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salahuddin_diane_epa_gov/Documents/Documents/"/>
    </mc:Choice>
  </mc:AlternateContent>
  <xr:revisionPtr revIDLastSave="0" documentId="8_{29F7525C-BB65-4BCA-982B-6EFA51D9C5A9}" xr6:coauthVersionLast="47" xr6:coauthVersionMax="47" xr10:uidLastSave="{00000000-0000-0000-0000-000000000000}"/>
  <bookViews>
    <workbookView xWindow="-110" yWindow="-110" windowWidth="19420" windowHeight="10300" firstSheet="13" activeTab="19" xr2:uid="{00000000-000D-0000-FFFF-FFFF00000000}"/>
  </bookViews>
  <sheets>
    <sheet name="Labor" sheetId="6" r:id="rId1"/>
    <sheet name="Inflation" sheetId="4" r:id="rId2"/>
    <sheet name="MonitorEquip" sheetId="8" r:id="rId3"/>
    <sheet name="SO2" sheetId="9" r:id="rId4"/>
    <sheet name="CO" sheetId="10" r:id="rId5"/>
    <sheet name="NO2" sheetId="1" r:id="rId6"/>
    <sheet name="O3" sheetId="7" r:id="rId7"/>
    <sheet name="PM10" sheetId="15" r:id="rId8"/>
    <sheet name="PM25" sheetId="24" r:id="rId9"/>
    <sheet name="Pb" sheetId="11" r:id="rId10"/>
    <sheet name="PAMSVOC" sheetId="25" r:id="rId11"/>
    <sheet name="PAMS NO2" sheetId="13" r:id="rId12"/>
    <sheet name="NF_PAMSSurfMet" sheetId="14" r:id="rId13"/>
    <sheet name="PAMS_Upper_Air" sheetId="16" r:id="rId14"/>
    <sheet name="PAMSCarbonyls" sheetId="17" r:id="rId15"/>
    <sheet name="NATTS" sheetId="22" r:id="rId16"/>
    <sheet name="Generic" sheetId="20" r:id="rId17"/>
    <sheet name="Sensors" sheetId="27" r:id="rId18"/>
    <sheet name="Summary" sheetId="21" r:id="rId19"/>
    <sheet name="Grand Total" sheetId="23" r:id="rId20"/>
  </sheets>
  <definedNames>
    <definedName name="InflationTable">Inflation!$C$2:$AN$3</definedName>
    <definedName name="Labor_rates_based_on_year">Labor!$B$11</definedName>
    <definedName name="Monitor_Costs">MonitorEquip!$B$5:$AZ$25</definedName>
    <definedName name="_xlnm.Print_Area" localSheetId="16">Generic!$A$1:$V$106</definedName>
    <definedName name="_xlnm.Print_Area" localSheetId="13">PAMS_Upper_Air!$A$1:$W$120</definedName>
    <definedName name="_xlnm.Print_Area" localSheetId="18">Summary!$A$1:$R$64</definedName>
    <definedName name="_xlnm.Print_Titles" localSheetId="2">MonitorEquip!$A:$B</definedName>
    <definedName name="_xlnm.Print_Titles">#N/A</definedName>
    <definedName name="year_1">Inflation!#REF!</definedName>
    <definedName name="YearList">Inflation!$C$2:$AN$2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3" l="1"/>
  <c r="I8" i="23" l="1"/>
  <c r="Q66" i="1"/>
  <c r="R70" i="20"/>
  <c r="Q70" i="20"/>
  <c r="O70" i="20"/>
  <c r="N70" i="20"/>
  <c r="M69" i="20"/>
  <c r="L70" i="20"/>
  <c r="L69" i="20"/>
  <c r="K70" i="20"/>
  <c r="K69" i="20"/>
  <c r="J70" i="20"/>
  <c r="J69" i="20"/>
  <c r="L74" i="17"/>
  <c r="L75" i="17"/>
  <c r="J75" i="17"/>
  <c r="S65" i="16"/>
  <c r="R65" i="16"/>
  <c r="S64" i="16"/>
  <c r="R64" i="16"/>
  <c r="Q65" i="16"/>
  <c r="P64" i="16"/>
  <c r="O64" i="16"/>
  <c r="P65" i="16"/>
  <c r="O65" i="16"/>
  <c r="N65" i="16"/>
  <c r="M64" i="16"/>
  <c r="L64" i="16"/>
  <c r="M65" i="16"/>
  <c r="L65" i="16"/>
  <c r="K65" i="16"/>
  <c r="R64" i="14"/>
  <c r="R63" i="14"/>
  <c r="Q64" i="14"/>
  <c r="Q63" i="14"/>
  <c r="P64" i="14"/>
  <c r="O64" i="14"/>
  <c r="N64" i="14"/>
  <c r="O63" i="14"/>
  <c r="N63" i="14"/>
  <c r="M64" i="14"/>
  <c r="L64" i="14"/>
  <c r="L63" i="14"/>
  <c r="K64" i="14"/>
  <c r="K63" i="14"/>
  <c r="J64" i="14"/>
  <c r="R68" i="13"/>
  <c r="R67" i="13"/>
  <c r="Q68" i="13"/>
  <c r="Q67" i="13"/>
  <c r="P68" i="13"/>
  <c r="O68" i="13"/>
  <c r="N68" i="13"/>
  <c r="M68" i="13"/>
  <c r="N67" i="13"/>
  <c r="L68" i="13"/>
  <c r="L67" i="13"/>
  <c r="K68" i="13"/>
  <c r="K67" i="13"/>
  <c r="J68" i="13"/>
  <c r="Q68" i="25"/>
  <c r="N68" i="25"/>
  <c r="L68" i="25"/>
  <c r="L67" i="25"/>
  <c r="K68" i="25"/>
  <c r="K67" i="25"/>
  <c r="J58" i="25"/>
  <c r="J68" i="25" s="1"/>
  <c r="R70" i="11"/>
  <c r="Q70" i="11"/>
  <c r="P70" i="11"/>
  <c r="O70" i="11"/>
  <c r="N70" i="11"/>
  <c r="L70" i="11"/>
  <c r="L69" i="11"/>
  <c r="K70" i="11"/>
  <c r="K69" i="11"/>
  <c r="J70" i="11"/>
  <c r="P149" i="24"/>
  <c r="Q149" i="24"/>
  <c r="R149" i="24"/>
  <c r="O149" i="24"/>
  <c r="O148" i="24"/>
  <c r="N148" i="24"/>
  <c r="M149" i="24"/>
  <c r="M148" i="24"/>
  <c r="L149" i="24"/>
  <c r="L148" i="24"/>
  <c r="K149" i="24"/>
  <c r="K148" i="24"/>
  <c r="J149" i="24"/>
  <c r="J148" i="24"/>
  <c r="Q106" i="15"/>
  <c r="Q105" i="15"/>
  <c r="P105" i="15"/>
  <c r="R106" i="15"/>
  <c r="P106" i="15"/>
  <c r="R105" i="15"/>
  <c r="O106" i="15"/>
  <c r="N106" i="15"/>
  <c r="M106" i="15"/>
  <c r="O105" i="15"/>
  <c r="N105" i="15"/>
  <c r="M105" i="15"/>
  <c r="L106" i="15"/>
  <c r="L105" i="15"/>
  <c r="K106" i="15"/>
  <c r="K105" i="15"/>
  <c r="J106" i="15"/>
  <c r="J105" i="15"/>
  <c r="R75" i="7"/>
  <c r="Q75" i="7"/>
  <c r="P75" i="7"/>
  <c r="R74" i="7"/>
  <c r="Q74" i="7"/>
  <c r="O75" i="7"/>
  <c r="N75" i="7"/>
  <c r="M75" i="7"/>
  <c r="O74" i="7"/>
  <c r="N74" i="7"/>
  <c r="L75" i="7"/>
  <c r="L73" i="7"/>
  <c r="L74" i="7"/>
  <c r="K75" i="7"/>
  <c r="K74" i="7"/>
  <c r="J75" i="7"/>
  <c r="S67" i="9"/>
  <c r="P67" i="9"/>
  <c r="M67" i="9"/>
  <c r="J67" i="9"/>
  <c r="P67" i="10"/>
  <c r="M67" i="10"/>
  <c r="J67" i="10"/>
  <c r="J67" i="1"/>
  <c r="M67" i="1"/>
  <c r="P67" i="1"/>
  <c r="R67" i="1"/>
  <c r="Q67" i="1"/>
  <c r="R66" i="1"/>
  <c r="O67" i="1"/>
  <c r="N67" i="1"/>
  <c r="O66" i="1"/>
  <c r="N66" i="1"/>
  <c r="L67" i="1"/>
  <c r="L66" i="1"/>
  <c r="K67" i="1"/>
  <c r="K66" i="1"/>
  <c r="N66" i="10"/>
  <c r="O67" i="10"/>
  <c r="N67" i="10"/>
  <c r="R67" i="10"/>
  <c r="Q67" i="10"/>
  <c r="R66" i="10"/>
  <c r="Q66" i="10"/>
  <c r="O66" i="10"/>
  <c r="L67" i="10"/>
  <c r="K67" i="10"/>
  <c r="L66" i="10"/>
  <c r="K66" i="10"/>
  <c r="S66" i="9"/>
  <c r="R67" i="9"/>
  <c r="Q67" i="9"/>
  <c r="R66" i="9"/>
  <c r="Q66" i="9"/>
  <c r="O67" i="9"/>
  <c r="N67" i="9"/>
  <c r="O66" i="9"/>
  <c r="N66" i="9"/>
  <c r="L66" i="9"/>
  <c r="K66" i="9"/>
  <c r="L67" i="9"/>
  <c r="K67" i="9"/>
  <c r="D73" i="7"/>
  <c r="I73" i="7" s="1"/>
  <c r="K64" i="1"/>
  <c r="K72" i="7"/>
  <c r="L64" i="1"/>
  <c r="H2" i="4" l="1"/>
  <c r="G2" i="4" s="1"/>
  <c r="F2" i="4" s="1"/>
  <c r="R13" i="15"/>
  <c r="R7" i="15"/>
  <c r="R9" i="15" s="1"/>
  <c r="R10" i="15" s="1"/>
  <c r="O13" i="15"/>
  <c r="O7" i="15"/>
  <c r="O9" i="15" s="1"/>
  <c r="O10" i="15" s="1"/>
  <c r="L14" i="15"/>
  <c r="L7" i="15"/>
  <c r="O5" i="24"/>
  <c r="O3" i="24"/>
  <c r="L3" i="24"/>
  <c r="F62" i="21"/>
  <c r="F60" i="21"/>
  <c r="F59" i="21"/>
  <c r="E62" i="21"/>
  <c r="E60" i="21"/>
  <c r="E57" i="21"/>
  <c r="E56" i="21"/>
  <c r="T118" i="27"/>
  <c r="P117" i="27"/>
  <c r="M117" i="27"/>
  <c r="J117" i="27"/>
  <c r="D117" i="27"/>
  <c r="T116" i="27"/>
  <c r="Q116" i="27"/>
  <c r="N116" i="27"/>
  <c r="K116" i="27"/>
  <c r="Q115" i="27"/>
  <c r="P115" i="27"/>
  <c r="N115" i="27"/>
  <c r="M115" i="27"/>
  <c r="K115" i="27"/>
  <c r="J115" i="27"/>
  <c r="C115" i="27"/>
  <c r="T114" i="27"/>
  <c r="U113" i="27"/>
  <c r="T113" i="27"/>
  <c r="P113" i="27"/>
  <c r="M113" i="27"/>
  <c r="J113" i="27"/>
  <c r="P111" i="27"/>
  <c r="M111" i="27"/>
  <c r="J111" i="27"/>
  <c r="T109" i="27"/>
  <c r="P109" i="27"/>
  <c r="M109" i="27"/>
  <c r="J109" i="27"/>
  <c r="F109" i="27"/>
  <c r="T108" i="27"/>
  <c r="Q108" i="27"/>
  <c r="N108" i="27"/>
  <c r="K108" i="27"/>
  <c r="P107" i="27"/>
  <c r="M107" i="27"/>
  <c r="J107" i="27"/>
  <c r="T106" i="27"/>
  <c r="P105" i="27"/>
  <c r="M105" i="27"/>
  <c r="J105" i="27"/>
  <c r="P103" i="27"/>
  <c r="M103" i="27"/>
  <c r="K103" i="27"/>
  <c r="J103" i="27"/>
  <c r="C103" i="27"/>
  <c r="H100" i="27"/>
  <c r="H117" i="27" s="1"/>
  <c r="G100" i="27"/>
  <c r="G117" i="27" s="1"/>
  <c r="F100" i="27"/>
  <c r="F117" i="27" s="1"/>
  <c r="E100" i="27"/>
  <c r="E117" i="27" s="1"/>
  <c r="D100" i="27"/>
  <c r="C100" i="27"/>
  <c r="C117" i="27" s="1"/>
  <c r="I98" i="27"/>
  <c r="Q98" i="27" s="1"/>
  <c r="R98" i="27" s="1"/>
  <c r="I96" i="27"/>
  <c r="Q96" i="27" s="1"/>
  <c r="H90" i="27"/>
  <c r="H115" i="27" s="1"/>
  <c r="G90" i="27"/>
  <c r="G115" i="27" s="1"/>
  <c r="F90" i="27"/>
  <c r="F115" i="27" s="1"/>
  <c r="E90" i="27"/>
  <c r="E115" i="27" s="1"/>
  <c r="D90" i="27"/>
  <c r="D115" i="27" s="1"/>
  <c r="C90" i="27"/>
  <c r="I88" i="27"/>
  <c r="Q88" i="27" s="1"/>
  <c r="R88" i="27" s="1"/>
  <c r="I85" i="27"/>
  <c r="K85" i="27" s="1"/>
  <c r="L85" i="27" s="1"/>
  <c r="I82" i="27"/>
  <c r="N82" i="27" s="1"/>
  <c r="O82" i="27" s="1"/>
  <c r="K80" i="27"/>
  <c r="L80" i="27" s="1"/>
  <c r="I80" i="27"/>
  <c r="Q80" i="27" s="1"/>
  <c r="R80" i="27" s="1"/>
  <c r="I78" i="27"/>
  <c r="Q78" i="27" s="1"/>
  <c r="R78" i="27" s="1"/>
  <c r="I75" i="27"/>
  <c r="Q75" i="27" s="1"/>
  <c r="R75" i="27" s="1"/>
  <c r="I73" i="27"/>
  <c r="H66" i="27"/>
  <c r="H113" i="27" s="1"/>
  <c r="G66" i="27"/>
  <c r="G113" i="27" s="1"/>
  <c r="F66" i="27"/>
  <c r="F113" i="27" s="1"/>
  <c r="E66" i="27"/>
  <c r="E113" i="27" s="1"/>
  <c r="D66" i="27"/>
  <c r="D113" i="27" s="1"/>
  <c r="C66" i="27"/>
  <c r="C113" i="27" s="1"/>
  <c r="I64" i="27"/>
  <c r="Q64" i="27" s="1"/>
  <c r="R64" i="27" s="1"/>
  <c r="I62" i="27"/>
  <c r="Q62" i="27" s="1"/>
  <c r="R62" i="27" s="1"/>
  <c r="N60" i="27"/>
  <c r="O60" i="27" s="1"/>
  <c r="I60" i="27"/>
  <c r="Q60" i="27" s="1"/>
  <c r="R60" i="27" s="1"/>
  <c r="I58" i="27"/>
  <c r="Q58" i="27" s="1"/>
  <c r="R58" i="27" s="1"/>
  <c r="R56" i="27"/>
  <c r="Q56" i="27"/>
  <c r="K56" i="27"/>
  <c r="I56" i="27"/>
  <c r="H50" i="27"/>
  <c r="H111" i="27" s="1"/>
  <c r="G50" i="27"/>
  <c r="G111" i="27" s="1"/>
  <c r="F50" i="27"/>
  <c r="F111" i="27" s="1"/>
  <c r="E50" i="27"/>
  <c r="E111" i="27" s="1"/>
  <c r="D50" i="27"/>
  <c r="D111" i="27" s="1"/>
  <c r="C50" i="27"/>
  <c r="C111" i="27" s="1"/>
  <c r="I48" i="27"/>
  <c r="Q48" i="27" s="1"/>
  <c r="R48" i="27" s="1"/>
  <c r="I46" i="27"/>
  <c r="Q46" i="27" s="1"/>
  <c r="C44" i="27"/>
  <c r="H39" i="27"/>
  <c r="H110" i="27" s="1"/>
  <c r="F39" i="27"/>
  <c r="F110" i="27" s="1"/>
  <c r="H38" i="27"/>
  <c r="H109" i="27" s="1"/>
  <c r="G38" i="27"/>
  <c r="G39" i="27" s="1"/>
  <c r="G110" i="27" s="1"/>
  <c r="F38" i="27"/>
  <c r="E38" i="27"/>
  <c r="E109" i="27" s="1"/>
  <c r="D38" i="27"/>
  <c r="D109" i="27" s="1"/>
  <c r="C38" i="27"/>
  <c r="C109" i="27" s="1"/>
  <c r="Q36" i="27"/>
  <c r="Q38" i="27" s="1"/>
  <c r="Q109" i="27" s="1"/>
  <c r="I36" i="27"/>
  <c r="K36" i="27" s="1"/>
  <c r="C34" i="27"/>
  <c r="H28" i="27"/>
  <c r="H107" i="27" s="1"/>
  <c r="G28" i="27"/>
  <c r="G107" i="27" s="1"/>
  <c r="F28" i="27"/>
  <c r="F107" i="27" s="1"/>
  <c r="E28" i="27"/>
  <c r="E107" i="27" s="1"/>
  <c r="D28" i="27"/>
  <c r="D107" i="27" s="1"/>
  <c r="C28" i="27"/>
  <c r="C107" i="27" s="1"/>
  <c r="Q26" i="27"/>
  <c r="R26" i="27" s="1"/>
  <c r="N26" i="27"/>
  <c r="O26" i="27" s="1"/>
  <c r="K26" i="27"/>
  <c r="L26" i="27" s="1"/>
  <c r="I26" i="27"/>
  <c r="I24" i="27"/>
  <c r="D21" i="27"/>
  <c r="C21" i="27"/>
  <c r="H15" i="27"/>
  <c r="H105" i="27" s="1"/>
  <c r="G15" i="27"/>
  <c r="G105" i="27" s="1"/>
  <c r="F15" i="27"/>
  <c r="F105" i="27" s="1"/>
  <c r="E15" i="27"/>
  <c r="E105" i="27" s="1"/>
  <c r="D15" i="27"/>
  <c r="D105" i="27" s="1"/>
  <c r="C15" i="27"/>
  <c r="C105" i="27" s="1"/>
  <c r="I13" i="27"/>
  <c r="K13" i="27" s="1"/>
  <c r="L13" i="27" s="1"/>
  <c r="I10" i="27"/>
  <c r="Q10" i="27" s="1"/>
  <c r="R10" i="27" s="1"/>
  <c r="R5" i="27"/>
  <c r="O5" i="27"/>
  <c r="L5" i="27"/>
  <c r="T4" i="27"/>
  <c r="T3" i="27"/>
  <c r="N2" i="27"/>
  <c r="O17" i="20"/>
  <c r="M50" i="17"/>
  <c r="M37" i="17"/>
  <c r="M82" i="24"/>
  <c r="J81" i="24"/>
  <c r="AH3" i="4"/>
  <c r="AI3" i="4" s="1"/>
  <c r="AJ3" i="4" s="1"/>
  <c r="K38" i="16" l="1"/>
  <c r="N38" i="16"/>
  <c r="J78" i="24"/>
  <c r="J79" i="24"/>
  <c r="J80" i="24"/>
  <c r="J50" i="17"/>
  <c r="E2" i="4"/>
  <c r="D2" i="4" s="1"/>
  <c r="C2" i="4" s="1"/>
  <c r="M78" i="24"/>
  <c r="L17" i="20"/>
  <c r="J82" i="24"/>
  <c r="M79" i="24"/>
  <c r="L19" i="20"/>
  <c r="M80" i="24"/>
  <c r="L20" i="20"/>
  <c r="M81" i="24"/>
  <c r="O19" i="20"/>
  <c r="O20" i="20"/>
  <c r="J37" i="17"/>
  <c r="R8" i="15"/>
  <c r="O8" i="15"/>
  <c r="K75" i="27"/>
  <c r="L75" i="27" s="1"/>
  <c r="N88" i="27"/>
  <c r="O88" i="27" s="1"/>
  <c r="K88" i="27"/>
  <c r="L88" i="27" s="1"/>
  <c r="K82" i="27"/>
  <c r="L82" i="27" s="1"/>
  <c r="Q82" i="27"/>
  <c r="R82" i="27" s="1"/>
  <c r="E39" i="27"/>
  <c r="E110" i="27" s="1"/>
  <c r="N36" i="27"/>
  <c r="O36" i="27" s="1"/>
  <c r="O38" i="27" s="1"/>
  <c r="O109" i="27" s="1"/>
  <c r="R36" i="27"/>
  <c r="R38" i="27" s="1"/>
  <c r="R109" i="27" s="1"/>
  <c r="K96" i="27"/>
  <c r="L96" i="27" s="1"/>
  <c r="N98" i="27"/>
  <c r="O98" i="27" s="1"/>
  <c r="I100" i="27"/>
  <c r="I117" i="27" s="1"/>
  <c r="K98" i="27"/>
  <c r="L98" i="27" s="1"/>
  <c r="N85" i="27"/>
  <c r="O85" i="27" s="1"/>
  <c r="S85" i="27" s="1"/>
  <c r="Q85" i="27"/>
  <c r="R85" i="27" s="1"/>
  <c r="N80" i="27"/>
  <c r="O80" i="27" s="1"/>
  <c r="S80" i="27" s="1"/>
  <c r="I90" i="27"/>
  <c r="I115" i="27" s="1"/>
  <c r="K78" i="27"/>
  <c r="L78" i="27" s="1"/>
  <c r="N78" i="27"/>
  <c r="O78" i="27" s="1"/>
  <c r="N73" i="27"/>
  <c r="O73" i="27" s="1"/>
  <c r="Q73" i="27"/>
  <c r="R73" i="27" s="1"/>
  <c r="K64" i="27"/>
  <c r="L64" i="27" s="1"/>
  <c r="K62" i="27"/>
  <c r="L62" i="27" s="1"/>
  <c r="N62" i="27"/>
  <c r="O62" i="27" s="1"/>
  <c r="K60" i="27"/>
  <c r="L60" i="27" s="1"/>
  <c r="S60" i="27" s="1"/>
  <c r="I66" i="27"/>
  <c r="I113" i="27" s="1"/>
  <c r="K58" i="27"/>
  <c r="L58" i="27" s="1"/>
  <c r="N58" i="27"/>
  <c r="O58" i="27" s="1"/>
  <c r="K48" i="27"/>
  <c r="L48" i="27" s="1"/>
  <c r="N48" i="27"/>
  <c r="O48" i="27" s="1"/>
  <c r="N46" i="27"/>
  <c r="O46" i="27" s="1"/>
  <c r="I50" i="27"/>
  <c r="I111" i="27" s="1"/>
  <c r="K46" i="27"/>
  <c r="L46" i="27" s="1"/>
  <c r="J44" i="27"/>
  <c r="J34" i="27"/>
  <c r="K34" i="27" s="1"/>
  <c r="L34" i="27" s="1"/>
  <c r="N10" i="27"/>
  <c r="O10" i="27" s="1"/>
  <c r="I15" i="27"/>
  <c r="N15" i="27" s="1"/>
  <c r="N105" i="27" s="1"/>
  <c r="K10" i="27"/>
  <c r="L10" i="27" s="1"/>
  <c r="T5" i="27"/>
  <c r="N24" i="27"/>
  <c r="O24" i="27" s="1"/>
  <c r="O28" i="27" s="1"/>
  <c r="O107" i="27" s="1"/>
  <c r="S26" i="27"/>
  <c r="J21" i="27"/>
  <c r="K21" i="27" s="1"/>
  <c r="L21" i="27" s="1"/>
  <c r="E120" i="27"/>
  <c r="R46" i="27"/>
  <c r="R50" i="27" s="1"/>
  <c r="R111" i="27" s="1"/>
  <c r="Q50" i="27"/>
  <c r="Q111" i="27" s="1"/>
  <c r="R66" i="27"/>
  <c r="R113" i="27" s="1"/>
  <c r="F120" i="27"/>
  <c r="H120" i="27"/>
  <c r="Q100" i="27"/>
  <c r="Q117" i="27" s="1"/>
  <c r="R96" i="27"/>
  <c r="R100" i="27" s="1"/>
  <c r="R117" i="27" s="1"/>
  <c r="L36" i="27"/>
  <c r="K38" i="27"/>
  <c r="K109" i="27" s="1"/>
  <c r="N28" i="27"/>
  <c r="N107" i="27" s="1"/>
  <c r="C120" i="27"/>
  <c r="D120" i="27"/>
  <c r="Q66" i="27"/>
  <c r="Q113" i="27" s="1"/>
  <c r="M34" i="27"/>
  <c r="N34" i="27" s="1"/>
  <c r="O34" i="27" s="1"/>
  <c r="N13" i="27"/>
  <c r="O13" i="27" s="1"/>
  <c r="S13" i="27" s="1"/>
  <c r="I28" i="27"/>
  <c r="I107" i="27" s="1"/>
  <c r="Q15" i="27"/>
  <c r="M44" i="27"/>
  <c r="N44" i="27" s="1"/>
  <c r="O44" i="27" s="1"/>
  <c r="N64" i="27"/>
  <c r="O64" i="27" s="1"/>
  <c r="N96" i="27"/>
  <c r="G109" i="27"/>
  <c r="G120" i="27" s="1"/>
  <c r="Q13" i="27"/>
  <c r="R13" i="27" s="1"/>
  <c r="I38" i="27"/>
  <c r="I109" i="27" s="1"/>
  <c r="N75" i="27"/>
  <c r="O75" i="27" s="1"/>
  <c r="S75" i="27" s="1"/>
  <c r="Q2" i="27"/>
  <c r="Q24" i="27"/>
  <c r="N103" i="27"/>
  <c r="N38" i="27"/>
  <c r="N109" i="27" s="1"/>
  <c r="K73" i="27"/>
  <c r="L73" i="27" s="1"/>
  <c r="K24" i="27"/>
  <c r="M21" i="27"/>
  <c r="C39" i="27"/>
  <c r="C110" i="27" s="1"/>
  <c r="D39" i="27"/>
  <c r="D110" i="27" s="1"/>
  <c r="L56" i="27"/>
  <c r="N56" i="27"/>
  <c r="AK2" i="4"/>
  <c r="Q38" i="16" s="1"/>
  <c r="J59" i="20" l="1"/>
  <c r="M84" i="20"/>
  <c r="S88" i="27"/>
  <c r="J84" i="20"/>
  <c r="K50" i="20"/>
  <c r="N50" i="20"/>
  <c r="M59" i="20"/>
  <c r="AL2" i="4"/>
  <c r="AM2" i="4" s="1"/>
  <c r="AN2" i="4" s="1"/>
  <c r="AO2" i="4" s="1"/>
  <c r="AP2" i="4" s="1"/>
  <c r="AQ2" i="4" s="1"/>
  <c r="AR2" i="4" s="1"/>
  <c r="Q50" i="20"/>
  <c r="R20" i="20"/>
  <c r="R19" i="20"/>
  <c r="P80" i="24"/>
  <c r="R17" i="20"/>
  <c r="P79" i="24"/>
  <c r="P59" i="20"/>
  <c r="P78" i="24"/>
  <c r="P81" i="24"/>
  <c r="P84" i="20"/>
  <c r="P37" i="17"/>
  <c r="P82" i="24"/>
  <c r="P50" i="17"/>
  <c r="S64" i="27"/>
  <c r="S48" i="27"/>
  <c r="S78" i="27"/>
  <c r="R14" i="15"/>
  <c r="R11" i="15"/>
  <c r="O14" i="15"/>
  <c r="O11" i="15"/>
  <c r="S82" i="27"/>
  <c r="S10" i="27"/>
  <c r="K44" i="27"/>
  <c r="L44" i="27" s="1"/>
  <c r="S98" i="27"/>
  <c r="L100" i="27"/>
  <c r="L117" i="27" s="1"/>
  <c r="K100" i="27"/>
  <c r="K117" i="27" s="1"/>
  <c r="L90" i="27"/>
  <c r="L115" i="27" s="1"/>
  <c r="S73" i="27"/>
  <c r="R90" i="27"/>
  <c r="R115" i="27" s="1"/>
  <c r="S62" i="27"/>
  <c r="S58" i="27"/>
  <c r="K66" i="27"/>
  <c r="K113" i="27" s="1"/>
  <c r="O50" i="27"/>
  <c r="O111" i="27" s="1"/>
  <c r="N50" i="27"/>
  <c r="N111" i="27" s="1"/>
  <c r="S46" i="27"/>
  <c r="L50" i="27"/>
  <c r="L111" i="27" s="1"/>
  <c r="K50" i="27"/>
  <c r="K111" i="27" s="1"/>
  <c r="I105" i="27"/>
  <c r="K15" i="27"/>
  <c r="K105" i="27" s="1"/>
  <c r="L15" i="27"/>
  <c r="O15" i="27"/>
  <c r="O105" i="27" s="1"/>
  <c r="O90" i="27"/>
  <c r="O115" i="27" s="1"/>
  <c r="K22" i="27"/>
  <c r="L22" i="27" s="1"/>
  <c r="R24" i="27"/>
  <c r="R28" i="27" s="1"/>
  <c r="R107" i="27" s="1"/>
  <c r="Q28" i="27"/>
  <c r="Q107" i="27" s="1"/>
  <c r="P34" i="27"/>
  <c r="Q34" i="27" s="1"/>
  <c r="R34" i="27" s="1"/>
  <c r="T34" i="27" s="1"/>
  <c r="T39" i="27" s="1"/>
  <c r="T110" i="27" s="1"/>
  <c r="Q103" i="27"/>
  <c r="P44" i="27"/>
  <c r="Q44" i="27" s="1"/>
  <c r="R44" i="27" s="1"/>
  <c r="P21" i="27"/>
  <c r="I120" i="27"/>
  <c r="L66" i="27"/>
  <c r="N100" i="27"/>
  <c r="N117" i="27" s="1"/>
  <c r="O96" i="27"/>
  <c r="S36" i="27"/>
  <c r="S38" i="27" s="1"/>
  <c r="L38" i="27"/>
  <c r="L109" i="27" s="1"/>
  <c r="N21" i="27"/>
  <c r="O21" i="27" s="1"/>
  <c r="N22" i="27"/>
  <c r="O22" i="27" s="1"/>
  <c r="Q105" i="27"/>
  <c r="R15" i="27"/>
  <c r="R105" i="27" s="1"/>
  <c r="L24" i="27"/>
  <c r="K28" i="27"/>
  <c r="K107" i="27" s="1"/>
  <c r="O56" i="27"/>
  <c r="O66" i="27" s="1"/>
  <c r="O113" i="27" s="1"/>
  <c r="N66" i="27"/>
  <c r="N113" i="27" s="1"/>
  <c r="I69" i="20"/>
  <c r="H69" i="20"/>
  <c r="G69" i="20"/>
  <c r="F69" i="20"/>
  <c r="E69" i="20"/>
  <c r="D69" i="20"/>
  <c r="C69" i="20"/>
  <c r="P67" i="20"/>
  <c r="Q67" i="20" s="1"/>
  <c r="Q69" i="20" s="1"/>
  <c r="M67" i="20"/>
  <c r="J67" i="20"/>
  <c r="K67" i="20" s="1"/>
  <c r="I67" i="20"/>
  <c r="H74" i="17"/>
  <c r="G74" i="17"/>
  <c r="F74" i="17"/>
  <c r="E74" i="17"/>
  <c r="D74" i="17"/>
  <c r="C74" i="17"/>
  <c r="I72" i="17"/>
  <c r="P72" i="17" s="1"/>
  <c r="Q72" i="17" s="1"/>
  <c r="I65" i="16"/>
  <c r="J64" i="16"/>
  <c r="I64" i="16"/>
  <c r="H64" i="16"/>
  <c r="G64" i="16"/>
  <c r="F64" i="16"/>
  <c r="E64" i="16"/>
  <c r="D64" i="16"/>
  <c r="C64" i="16"/>
  <c r="J62" i="16"/>
  <c r="K62" i="16" s="1"/>
  <c r="L62" i="16" s="1"/>
  <c r="I63" i="14"/>
  <c r="H63" i="14"/>
  <c r="G63" i="14"/>
  <c r="F63" i="14"/>
  <c r="E63" i="14"/>
  <c r="D63" i="14"/>
  <c r="C63" i="14"/>
  <c r="I61" i="14"/>
  <c r="P61" i="14" s="1"/>
  <c r="Q61" i="14" s="1"/>
  <c r="I67" i="13"/>
  <c r="H67" i="13"/>
  <c r="G67" i="13"/>
  <c r="F67" i="13"/>
  <c r="E67" i="13"/>
  <c r="D67" i="13"/>
  <c r="C67" i="13"/>
  <c r="I65" i="13"/>
  <c r="P65" i="13" s="1"/>
  <c r="Q65" i="13" s="1"/>
  <c r="I67" i="25"/>
  <c r="H67" i="25"/>
  <c r="G67" i="25"/>
  <c r="F67" i="25"/>
  <c r="E67" i="25"/>
  <c r="D67" i="25"/>
  <c r="C67" i="25"/>
  <c r="I65" i="25"/>
  <c r="P65" i="25" s="1"/>
  <c r="Q65" i="25" s="1"/>
  <c r="Q67" i="25" s="1"/>
  <c r="I69" i="11"/>
  <c r="H69" i="11"/>
  <c r="G69" i="11"/>
  <c r="F69" i="11"/>
  <c r="E69" i="11"/>
  <c r="D69" i="11"/>
  <c r="C69" i="11"/>
  <c r="I67" i="11"/>
  <c r="P67" i="11" s="1"/>
  <c r="Q67" i="11" s="1"/>
  <c r="I148" i="24"/>
  <c r="H148" i="24"/>
  <c r="G148" i="24"/>
  <c r="F148" i="24"/>
  <c r="E148" i="24"/>
  <c r="D148" i="24"/>
  <c r="C148" i="24"/>
  <c r="P146" i="24"/>
  <c r="M146" i="24"/>
  <c r="I146" i="24"/>
  <c r="J146" i="24" s="1"/>
  <c r="Q103" i="15"/>
  <c r="R103" i="15" s="1"/>
  <c r="N103" i="15"/>
  <c r="O103" i="15" s="1"/>
  <c r="K103" i="15"/>
  <c r="Q101" i="15"/>
  <c r="N101" i="15"/>
  <c r="O101" i="15" s="1"/>
  <c r="P103" i="15"/>
  <c r="M103" i="15"/>
  <c r="J103" i="15"/>
  <c r="P101" i="15"/>
  <c r="M101" i="15"/>
  <c r="J101" i="15"/>
  <c r="I105" i="15"/>
  <c r="H105" i="15"/>
  <c r="G105" i="15"/>
  <c r="F105" i="15"/>
  <c r="E105" i="15"/>
  <c r="D105" i="15"/>
  <c r="C105" i="15"/>
  <c r="I103" i="15"/>
  <c r="R101" i="15"/>
  <c r="I101" i="15"/>
  <c r="I72" i="7"/>
  <c r="I66" i="1"/>
  <c r="H66" i="1"/>
  <c r="G66" i="1"/>
  <c r="F66" i="1"/>
  <c r="E66" i="1"/>
  <c r="D66" i="1"/>
  <c r="C66" i="1"/>
  <c r="C66" i="10"/>
  <c r="Q64" i="1"/>
  <c r="R64" i="1" s="1"/>
  <c r="N64" i="1"/>
  <c r="O64" i="1" s="1"/>
  <c r="I64" i="1"/>
  <c r="I66" i="10"/>
  <c r="H66" i="10"/>
  <c r="G66" i="10"/>
  <c r="F66" i="10"/>
  <c r="E66" i="10"/>
  <c r="D66" i="10"/>
  <c r="I64" i="10"/>
  <c r="Q64" i="10" s="1"/>
  <c r="R64" i="10" s="1"/>
  <c r="I66" i="9"/>
  <c r="H66" i="9"/>
  <c r="G66" i="9"/>
  <c r="F66" i="9"/>
  <c r="E66" i="9"/>
  <c r="D66" i="9"/>
  <c r="Q64" i="9"/>
  <c r="R64" i="9" s="1"/>
  <c r="N64" i="9"/>
  <c r="O64" i="9" s="1"/>
  <c r="K64" i="9"/>
  <c r="L64" i="9" s="1"/>
  <c r="I64" i="9"/>
  <c r="C66" i="9"/>
  <c r="L105" i="27" l="1"/>
  <c r="S15" i="27"/>
  <c r="T44" i="27"/>
  <c r="T51" i="27" s="1"/>
  <c r="T112" i="27" s="1"/>
  <c r="E47" i="21" s="1"/>
  <c r="E46" i="21"/>
  <c r="S109" i="27"/>
  <c r="C46" i="21"/>
  <c r="S90" i="27"/>
  <c r="N120" i="27"/>
  <c r="S50" i="27"/>
  <c r="K120" i="27"/>
  <c r="Q120" i="27"/>
  <c r="R120" i="27"/>
  <c r="L113" i="27"/>
  <c r="S66" i="27"/>
  <c r="S56" i="27"/>
  <c r="S24" i="27"/>
  <c r="L28" i="27"/>
  <c r="O100" i="27"/>
  <c r="S96" i="27"/>
  <c r="Q21" i="27"/>
  <c r="R21" i="27" s="1"/>
  <c r="U21" i="27" s="1"/>
  <c r="Q22" i="27"/>
  <c r="R22" i="27" s="1"/>
  <c r="U22" i="27" s="1"/>
  <c r="S64" i="1"/>
  <c r="N67" i="20"/>
  <c r="N69" i="20" s="1"/>
  <c r="S64" i="9"/>
  <c r="P69" i="20"/>
  <c r="L103" i="15"/>
  <c r="S103" i="15" s="1"/>
  <c r="R67" i="20"/>
  <c r="R69" i="20" s="1"/>
  <c r="L67" i="20"/>
  <c r="J72" i="17"/>
  <c r="K72" i="17" s="1"/>
  <c r="M72" i="17"/>
  <c r="N72" i="17" s="1"/>
  <c r="Q62" i="16"/>
  <c r="M62" i="16"/>
  <c r="N62" i="16"/>
  <c r="O62" i="16" s="1"/>
  <c r="R61" i="14"/>
  <c r="J61" i="14"/>
  <c r="K61" i="14" s="1"/>
  <c r="M61" i="14"/>
  <c r="N61" i="14" s="1"/>
  <c r="R65" i="13"/>
  <c r="J65" i="13"/>
  <c r="K65" i="13" s="1"/>
  <c r="M65" i="13"/>
  <c r="N65" i="13" s="1"/>
  <c r="R65" i="25"/>
  <c r="R67" i="25" s="1"/>
  <c r="J65" i="25"/>
  <c r="K65" i="25" s="1"/>
  <c r="M65" i="25"/>
  <c r="N65" i="25" s="1"/>
  <c r="M67" i="11"/>
  <c r="N67" i="11" s="1"/>
  <c r="J67" i="11"/>
  <c r="K67" i="11" s="1"/>
  <c r="N64" i="10"/>
  <c r="O64" i="10" s="1"/>
  <c r="K64" i="10"/>
  <c r="L64" i="10" s="1"/>
  <c r="D23" i="25"/>
  <c r="E51" i="21" l="1"/>
  <c r="T121" i="27"/>
  <c r="S113" i="27"/>
  <c r="C48" i="21"/>
  <c r="S105" i="27"/>
  <c r="C44" i="21"/>
  <c r="S111" i="27"/>
  <c r="C47" i="21"/>
  <c r="S115" i="27"/>
  <c r="C49" i="21"/>
  <c r="S28" i="27"/>
  <c r="L107" i="27"/>
  <c r="L120" i="27" s="1"/>
  <c r="O117" i="27"/>
  <c r="O120" i="27" s="1"/>
  <c r="S100" i="27"/>
  <c r="U29" i="27"/>
  <c r="U108" i="27" s="1"/>
  <c r="O67" i="20"/>
  <c r="O69" i="20" s="1"/>
  <c r="R62" i="16"/>
  <c r="P62" i="16"/>
  <c r="O61" i="14"/>
  <c r="L61" i="14"/>
  <c r="L65" i="13"/>
  <c r="O65" i="13"/>
  <c r="O65" i="25"/>
  <c r="L65" i="25"/>
  <c r="S64" i="10"/>
  <c r="C23" i="25"/>
  <c r="M23" i="25" s="1"/>
  <c r="C22" i="25"/>
  <c r="D22" i="25"/>
  <c r="U121" i="27" l="1"/>
  <c r="F45" i="21"/>
  <c r="F51" i="21" s="1"/>
  <c r="S117" i="27"/>
  <c r="C50" i="21"/>
  <c r="S107" i="27"/>
  <c r="C45" i="21"/>
  <c r="C51" i="21" s="1"/>
  <c r="P23" i="25"/>
  <c r="S120" i="27"/>
  <c r="P22" i="25"/>
  <c r="M22" i="25"/>
  <c r="J22" i="25"/>
  <c r="J23" i="25"/>
  <c r="S67" i="20"/>
  <c r="S65" i="13"/>
  <c r="S62" i="16"/>
  <c r="T62" i="16" s="1"/>
  <c r="S65" i="25"/>
  <c r="S61" i="14"/>
  <c r="T119" i="25"/>
  <c r="P118" i="25"/>
  <c r="M118" i="25"/>
  <c r="J118" i="25"/>
  <c r="T117" i="25"/>
  <c r="Q117" i="25"/>
  <c r="N117" i="25"/>
  <c r="K117" i="25"/>
  <c r="Q116" i="25"/>
  <c r="P116" i="25"/>
  <c r="N116" i="25"/>
  <c r="M116" i="25"/>
  <c r="K116" i="25"/>
  <c r="J116" i="25"/>
  <c r="T115" i="25"/>
  <c r="U114" i="25"/>
  <c r="T114" i="25"/>
  <c r="P114" i="25"/>
  <c r="M114" i="25"/>
  <c r="J114" i="25"/>
  <c r="P112" i="25"/>
  <c r="M112" i="25"/>
  <c r="J112" i="25"/>
  <c r="T110" i="25"/>
  <c r="P110" i="25"/>
  <c r="M110" i="25"/>
  <c r="J110" i="25"/>
  <c r="T109" i="25"/>
  <c r="P108" i="25"/>
  <c r="M108" i="25"/>
  <c r="J108" i="25"/>
  <c r="T107" i="25"/>
  <c r="P106" i="25"/>
  <c r="M106" i="25"/>
  <c r="J106" i="25"/>
  <c r="P104" i="25"/>
  <c r="M104" i="25"/>
  <c r="K104" i="25"/>
  <c r="J104" i="25"/>
  <c r="C104" i="25"/>
  <c r="H101" i="25"/>
  <c r="H118" i="25" s="1"/>
  <c r="G101" i="25"/>
  <c r="G118" i="25" s="1"/>
  <c r="F101" i="25"/>
  <c r="F118" i="25" s="1"/>
  <c r="E101" i="25"/>
  <c r="E118" i="25" s="1"/>
  <c r="D101" i="25"/>
  <c r="D118" i="25" s="1"/>
  <c r="C101" i="25"/>
  <c r="C118" i="25" s="1"/>
  <c r="I99" i="25"/>
  <c r="Q99" i="25" s="1"/>
  <c r="R99" i="25" s="1"/>
  <c r="I97" i="25"/>
  <c r="H91" i="25"/>
  <c r="H116" i="25" s="1"/>
  <c r="G91" i="25"/>
  <c r="G116" i="25" s="1"/>
  <c r="F91" i="25"/>
  <c r="F116" i="25" s="1"/>
  <c r="E91" i="25"/>
  <c r="E116" i="25" s="1"/>
  <c r="D91" i="25"/>
  <c r="D116" i="25" s="1"/>
  <c r="C91" i="25"/>
  <c r="C116" i="25" s="1"/>
  <c r="I89" i="25"/>
  <c r="Q89" i="25" s="1"/>
  <c r="R89" i="25" s="1"/>
  <c r="I86" i="25"/>
  <c r="Q86" i="25" s="1"/>
  <c r="R86" i="25" s="1"/>
  <c r="I83" i="25"/>
  <c r="Q83" i="25" s="1"/>
  <c r="R83" i="25" s="1"/>
  <c r="I81" i="25"/>
  <c r="Q81" i="25" s="1"/>
  <c r="R81" i="25" s="1"/>
  <c r="I79" i="25"/>
  <c r="N79" i="25" s="1"/>
  <c r="O79" i="25" s="1"/>
  <c r="I76" i="25"/>
  <c r="Q76" i="25" s="1"/>
  <c r="R76" i="25" s="1"/>
  <c r="I74" i="25"/>
  <c r="H114" i="25"/>
  <c r="G114" i="25"/>
  <c r="F114" i="25"/>
  <c r="E114" i="25"/>
  <c r="D114" i="25"/>
  <c r="C114" i="25"/>
  <c r="I63" i="25"/>
  <c r="N63" i="25" s="1"/>
  <c r="O63" i="25" s="1"/>
  <c r="I61" i="25"/>
  <c r="Q61" i="25" s="1"/>
  <c r="R61" i="25" s="1"/>
  <c r="I59" i="25"/>
  <c r="Q59" i="25" s="1"/>
  <c r="R59" i="25" s="1"/>
  <c r="I57" i="25"/>
  <c r="N57" i="25" s="1"/>
  <c r="O57" i="25" s="1"/>
  <c r="H51" i="25"/>
  <c r="H112" i="25" s="1"/>
  <c r="G51" i="25"/>
  <c r="G112" i="25" s="1"/>
  <c r="F51" i="25"/>
  <c r="F112" i="25" s="1"/>
  <c r="E51" i="25"/>
  <c r="E112" i="25" s="1"/>
  <c r="D51" i="25"/>
  <c r="D112" i="25" s="1"/>
  <c r="C51" i="25"/>
  <c r="C112" i="25" s="1"/>
  <c r="I49" i="25"/>
  <c r="Q49" i="25" s="1"/>
  <c r="R49" i="25" s="1"/>
  <c r="I47" i="25"/>
  <c r="D45" i="25"/>
  <c r="C45" i="25"/>
  <c r="H39" i="25"/>
  <c r="H110" i="25" s="1"/>
  <c r="G39" i="25"/>
  <c r="G110" i="25" s="1"/>
  <c r="F39" i="25"/>
  <c r="F110" i="25" s="1"/>
  <c r="E39" i="25"/>
  <c r="E110" i="25" s="1"/>
  <c r="D39" i="25"/>
  <c r="D110" i="25" s="1"/>
  <c r="C39" i="25"/>
  <c r="C110" i="25" s="1"/>
  <c r="I37" i="25"/>
  <c r="I39" i="25" s="1"/>
  <c r="I110" i="25" s="1"/>
  <c r="D35" i="25"/>
  <c r="C35" i="25"/>
  <c r="H29" i="25"/>
  <c r="H108" i="25" s="1"/>
  <c r="G29" i="25"/>
  <c r="G108" i="25" s="1"/>
  <c r="F29" i="25"/>
  <c r="F108" i="25" s="1"/>
  <c r="E29" i="25"/>
  <c r="E108" i="25" s="1"/>
  <c r="D29" i="25"/>
  <c r="D108" i="25" s="1"/>
  <c r="C29" i="25"/>
  <c r="C108" i="25" s="1"/>
  <c r="I27" i="25"/>
  <c r="N27" i="25" s="1"/>
  <c r="O27" i="25" s="1"/>
  <c r="I25" i="25"/>
  <c r="D21" i="25"/>
  <c r="C21" i="25"/>
  <c r="H15" i="25"/>
  <c r="H106" i="25" s="1"/>
  <c r="G15" i="25"/>
  <c r="G106" i="25" s="1"/>
  <c r="F15" i="25"/>
  <c r="F106" i="25" s="1"/>
  <c r="E15" i="25"/>
  <c r="E106" i="25" s="1"/>
  <c r="D15" i="25"/>
  <c r="D106" i="25" s="1"/>
  <c r="C15" i="25"/>
  <c r="C106" i="25" s="1"/>
  <c r="I13" i="25"/>
  <c r="Q13" i="25" s="1"/>
  <c r="R13" i="25" s="1"/>
  <c r="I10" i="25"/>
  <c r="Q10" i="25" s="1"/>
  <c r="R10" i="25" s="1"/>
  <c r="T4" i="25"/>
  <c r="T3" i="25"/>
  <c r="N2" i="25"/>
  <c r="N104" i="25" s="1"/>
  <c r="J45" i="25" l="1"/>
  <c r="M45" i="25"/>
  <c r="P45" i="25"/>
  <c r="Q45" i="25" s="1"/>
  <c r="R45" i="25" s="1"/>
  <c r="P21" i="25"/>
  <c r="Q21" i="25" s="1"/>
  <c r="M21" i="25"/>
  <c r="J21" i="25"/>
  <c r="P35" i="25"/>
  <c r="Q35" i="25" s="1"/>
  <c r="R35" i="25" s="1"/>
  <c r="M35" i="25"/>
  <c r="J35" i="25"/>
  <c r="C121" i="25"/>
  <c r="G121" i="25"/>
  <c r="E121" i="25"/>
  <c r="Q22" i="25"/>
  <c r="R22" i="25" s="1"/>
  <c r="Q23" i="25"/>
  <c r="T5" i="25"/>
  <c r="I101" i="25"/>
  <c r="I118" i="25" s="1"/>
  <c r="K99" i="25"/>
  <c r="L99" i="25" s="1"/>
  <c r="N83" i="25"/>
  <c r="O83" i="25" s="1"/>
  <c r="K83" i="25"/>
  <c r="L83" i="25" s="1"/>
  <c r="H121" i="25"/>
  <c r="K63" i="25"/>
  <c r="L63" i="25" s="1"/>
  <c r="Q63" i="25"/>
  <c r="R63" i="25" s="1"/>
  <c r="K57" i="25"/>
  <c r="L57" i="25" s="1"/>
  <c r="Q57" i="25"/>
  <c r="R57" i="25" s="1"/>
  <c r="F121" i="25"/>
  <c r="I51" i="25"/>
  <c r="I112" i="25" s="1"/>
  <c r="K47" i="25"/>
  <c r="L47" i="25" s="1"/>
  <c r="Q47" i="25"/>
  <c r="Q51" i="25" s="1"/>
  <c r="Q112" i="25" s="1"/>
  <c r="N47" i="25"/>
  <c r="O47" i="25" s="1"/>
  <c r="D121" i="25"/>
  <c r="K13" i="25"/>
  <c r="L13" i="25" s="1"/>
  <c r="N13" i="25"/>
  <c r="O13" i="25" s="1"/>
  <c r="Q25" i="25"/>
  <c r="R25" i="25" s="1"/>
  <c r="N97" i="25"/>
  <c r="O97" i="25" s="1"/>
  <c r="K97" i="25"/>
  <c r="L97" i="25" s="1"/>
  <c r="Q97" i="25"/>
  <c r="R97" i="25" s="1"/>
  <c r="R101" i="25" s="1"/>
  <c r="R118" i="25" s="1"/>
  <c r="N89" i="25"/>
  <c r="O89" i="25" s="1"/>
  <c r="K89" i="25"/>
  <c r="L89" i="25" s="1"/>
  <c r="K79" i="25"/>
  <c r="L79" i="25" s="1"/>
  <c r="Q79" i="25"/>
  <c r="R79" i="25" s="1"/>
  <c r="I91" i="25"/>
  <c r="I116" i="25" s="1"/>
  <c r="K74" i="25"/>
  <c r="L74" i="25" s="1"/>
  <c r="Q74" i="25"/>
  <c r="R74" i="25" s="1"/>
  <c r="N74" i="25"/>
  <c r="O74" i="25" s="1"/>
  <c r="K27" i="25"/>
  <c r="L27" i="25" s="1"/>
  <c r="Q27" i="25"/>
  <c r="R27" i="25" s="1"/>
  <c r="I15" i="25"/>
  <c r="I29" i="25"/>
  <c r="I108" i="25" s="1"/>
  <c r="K37" i="25"/>
  <c r="N37" i="25"/>
  <c r="Q37" i="25"/>
  <c r="C40" i="25"/>
  <c r="C111" i="25" s="1"/>
  <c r="K49" i="25"/>
  <c r="L49" i="25" s="1"/>
  <c r="N49" i="25"/>
  <c r="O49" i="25" s="1"/>
  <c r="I114" i="25"/>
  <c r="K59" i="25"/>
  <c r="N59" i="25"/>
  <c r="Q2" i="25"/>
  <c r="Q104" i="25" s="1"/>
  <c r="K10" i="25"/>
  <c r="N10" i="25"/>
  <c r="O10" i="25" s="1"/>
  <c r="K25" i="25"/>
  <c r="N25" i="25"/>
  <c r="K61" i="25"/>
  <c r="L61" i="25" s="1"/>
  <c r="N61" i="25"/>
  <c r="O61" i="25" s="1"/>
  <c r="K76" i="25"/>
  <c r="L76" i="25" s="1"/>
  <c r="N76" i="25"/>
  <c r="O76" i="25" s="1"/>
  <c r="K81" i="25"/>
  <c r="L81" i="25" s="1"/>
  <c r="N81" i="25"/>
  <c r="O81" i="25" s="1"/>
  <c r="K86" i="25"/>
  <c r="L86" i="25" s="1"/>
  <c r="N86" i="25"/>
  <c r="O86" i="25" s="1"/>
  <c r="N99" i="25"/>
  <c r="O99" i="25" s="1"/>
  <c r="O59" i="25" l="1"/>
  <c r="O67" i="25" s="1"/>
  <c r="O114" i="25" s="1"/>
  <c r="N67" i="25"/>
  <c r="N114" i="25" s="1"/>
  <c r="L59" i="25"/>
  <c r="L114" i="25" s="1"/>
  <c r="K114" i="25"/>
  <c r="R114" i="25"/>
  <c r="L101" i="25"/>
  <c r="L118" i="25" s="1"/>
  <c r="S86" i="25"/>
  <c r="S83" i="25"/>
  <c r="S13" i="25"/>
  <c r="R23" i="25"/>
  <c r="R21" i="25"/>
  <c r="R29" i="25"/>
  <c r="R108" i="25" s="1"/>
  <c r="Q101" i="25"/>
  <c r="Q118" i="25" s="1"/>
  <c r="S79" i="25"/>
  <c r="S63" i="25"/>
  <c r="Q114" i="25"/>
  <c r="S57" i="25"/>
  <c r="S49" i="25"/>
  <c r="N51" i="25"/>
  <c r="N112" i="25" s="1"/>
  <c r="R47" i="25"/>
  <c r="R51" i="25" s="1"/>
  <c r="R112" i="25" s="1"/>
  <c r="S89" i="25"/>
  <c r="K101" i="25"/>
  <c r="K118" i="25" s="1"/>
  <c r="S97" i="25"/>
  <c r="O101" i="25"/>
  <c r="O118" i="25" s="1"/>
  <c r="S81" i="25"/>
  <c r="S76" i="25"/>
  <c r="R91" i="25"/>
  <c r="R116" i="25" s="1"/>
  <c r="S74" i="25"/>
  <c r="O91" i="25"/>
  <c r="O116" i="25" s="1"/>
  <c r="S27" i="25"/>
  <c r="Q29" i="25"/>
  <c r="Q108" i="25" s="1"/>
  <c r="N29" i="25"/>
  <c r="N108" i="25" s="1"/>
  <c r="O25" i="25"/>
  <c r="O29" i="25" s="1"/>
  <c r="O108" i="25" s="1"/>
  <c r="K15" i="25"/>
  <c r="K106" i="25" s="1"/>
  <c r="L10" i="25"/>
  <c r="S47" i="25"/>
  <c r="L51" i="25"/>
  <c r="Q39" i="25"/>
  <c r="Q110" i="25" s="1"/>
  <c r="R37" i="25"/>
  <c r="R39" i="25" s="1"/>
  <c r="R110" i="25" s="1"/>
  <c r="K39" i="25"/>
  <c r="K110" i="25" s="1"/>
  <c r="L37" i="25"/>
  <c r="K29" i="25"/>
  <c r="K108" i="25" s="1"/>
  <c r="L25" i="25"/>
  <c r="N39" i="25"/>
  <c r="N110" i="25" s="1"/>
  <c r="O37" i="25"/>
  <c r="O39" i="25" s="1"/>
  <c r="O110" i="25" s="1"/>
  <c r="I106" i="25"/>
  <c r="I121" i="25" s="1"/>
  <c r="Q15" i="25"/>
  <c r="N15" i="25"/>
  <c r="K51" i="25"/>
  <c r="K112" i="25" s="1"/>
  <c r="S61" i="25"/>
  <c r="N101" i="25"/>
  <c r="N118" i="25" s="1"/>
  <c r="S99" i="25"/>
  <c r="L91" i="25"/>
  <c r="O51" i="25"/>
  <c r="O112" i="25" s="1"/>
  <c r="S59" i="25" l="1"/>
  <c r="S67" i="25"/>
  <c r="S114" i="25" s="1"/>
  <c r="S101" i="25"/>
  <c r="S118" i="25" s="1"/>
  <c r="Q106" i="25"/>
  <c r="Q121" i="25" s="1"/>
  <c r="R15" i="25"/>
  <c r="R106" i="25" s="1"/>
  <c r="R121" i="25" s="1"/>
  <c r="K121" i="25"/>
  <c r="L116" i="25"/>
  <c r="S91" i="25"/>
  <c r="S116" i="25" s="1"/>
  <c r="N106" i="25"/>
  <c r="N121" i="25" s="1"/>
  <c r="O15" i="25"/>
  <c r="O106" i="25" s="1"/>
  <c r="O121" i="25" s="1"/>
  <c r="S25" i="25"/>
  <c r="L29" i="25"/>
  <c r="L39" i="25"/>
  <c r="L110" i="25" s="1"/>
  <c r="S37" i="25"/>
  <c r="S39" i="25" s="1"/>
  <c r="S110" i="25" s="1"/>
  <c r="L112" i="25"/>
  <c r="S51" i="25"/>
  <c r="S112" i="25" s="1"/>
  <c r="S10" i="25"/>
  <c r="L15" i="25"/>
  <c r="L106" i="25" l="1"/>
  <c r="S15" i="25"/>
  <c r="S106" i="25" s="1"/>
  <c r="L108" i="25"/>
  <c r="S29" i="25"/>
  <c r="S108" i="25" s="1"/>
  <c r="L121" i="25" l="1"/>
  <c r="S121" i="25"/>
  <c r="I13" i="9" l="1"/>
  <c r="K13" i="9" s="1"/>
  <c r="I13" i="10"/>
  <c r="K13" i="10" s="1"/>
  <c r="L13" i="10" s="1"/>
  <c r="I13" i="1"/>
  <c r="K13" i="1" s="1"/>
  <c r="L13" i="1" s="1"/>
  <c r="I13" i="11"/>
  <c r="I21" i="7"/>
  <c r="K21" i="7" s="1"/>
  <c r="L21" i="7" s="1"/>
  <c r="I22" i="15"/>
  <c r="K22" i="15" s="1"/>
  <c r="I17" i="24"/>
  <c r="E5" i="23"/>
  <c r="I26" i="9"/>
  <c r="K26" i="9" s="1"/>
  <c r="I26" i="10"/>
  <c r="K26" i="10" s="1"/>
  <c r="I26" i="1"/>
  <c r="N26" i="1" s="1"/>
  <c r="O26" i="1" s="1"/>
  <c r="I27" i="11"/>
  <c r="K27" i="11" s="1"/>
  <c r="L27" i="11" s="1"/>
  <c r="I34" i="7"/>
  <c r="I39" i="15"/>
  <c r="I41" i="15"/>
  <c r="K41" i="15" s="1"/>
  <c r="L41" i="15" s="1"/>
  <c r="E6" i="23"/>
  <c r="D21" i="9"/>
  <c r="C21" i="9"/>
  <c r="D21" i="10"/>
  <c r="C21" i="10"/>
  <c r="D21" i="1"/>
  <c r="C21" i="1"/>
  <c r="D21" i="11"/>
  <c r="C21" i="11"/>
  <c r="C22" i="11" s="1"/>
  <c r="D23" i="11"/>
  <c r="C23" i="11"/>
  <c r="D29" i="7"/>
  <c r="C29" i="7"/>
  <c r="D30" i="15"/>
  <c r="C30" i="15"/>
  <c r="D32" i="15"/>
  <c r="D34" i="15"/>
  <c r="C34" i="15"/>
  <c r="D25" i="24"/>
  <c r="C25" i="24"/>
  <c r="C26" i="24" s="1"/>
  <c r="C27" i="24" s="1"/>
  <c r="D26" i="24"/>
  <c r="C28" i="24"/>
  <c r="D29" i="24"/>
  <c r="C29" i="24"/>
  <c r="C30" i="24" s="1"/>
  <c r="D30" i="24"/>
  <c r="D31" i="24"/>
  <c r="D32" i="24"/>
  <c r="D33" i="24"/>
  <c r="C33" i="24"/>
  <c r="D34" i="24"/>
  <c r="D35" i="24"/>
  <c r="C35" i="24"/>
  <c r="D27" i="20"/>
  <c r="C27" i="20"/>
  <c r="D28" i="20"/>
  <c r="C28" i="20"/>
  <c r="D29" i="20"/>
  <c r="C29" i="20"/>
  <c r="D31" i="20"/>
  <c r="C31" i="20"/>
  <c r="D32" i="20"/>
  <c r="C32" i="20"/>
  <c r="D33" i="20"/>
  <c r="C33" i="20"/>
  <c r="D34" i="20"/>
  <c r="C34" i="20"/>
  <c r="D36" i="20"/>
  <c r="C36" i="20"/>
  <c r="D37" i="20"/>
  <c r="C37" i="20"/>
  <c r="D38" i="20"/>
  <c r="C38" i="20"/>
  <c r="D39" i="20"/>
  <c r="K49" i="20"/>
  <c r="L49" i="20" s="1"/>
  <c r="D34" i="9"/>
  <c r="C34" i="9"/>
  <c r="D34" i="10"/>
  <c r="C34" i="10"/>
  <c r="D34" i="1"/>
  <c r="C34" i="1"/>
  <c r="L50" i="20"/>
  <c r="O50" i="20"/>
  <c r="R50" i="20"/>
  <c r="D35" i="11"/>
  <c r="C35" i="11"/>
  <c r="C36" i="11"/>
  <c r="D42" i="7"/>
  <c r="C42" i="7"/>
  <c r="D49" i="15"/>
  <c r="D50" i="15"/>
  <c r="D56" i="24"/>
  <c r="C56" i="24"/>
  <c r="D46" i="20"/>
  <c r="C46" i="20"/>
  <c r="D47" i="20"/>
  <c r="C47" i="20"/>
  <c r="C37" i="11"/>
  <c r="D20" i="22"/>
  <c r="C20" i="22"/>
  <c r="D51" i="15"/>
  <c r="D57" i="24"/>
  <c r="C57" i="24"/>
  <c r="D58" i="24"/>
  <c r="C58" i="24"/>
  <c r="D59" i="24"/>
  <c r="C59" i="24"/>
  <c r="I48" i="9"/>
  <c r="K48" i="9" s="1"/>
  <c r="L48" i="9" s="1"/>
  <c r="I48" i="10"/>
  <c r="K48" i="10" s="1"/>
  <c r="L48" i="10" s="1"/>
  <c r="I48" i="1"/>
  <c r="K48" i="1" s="1"/>
  <c r="L48" i="1" s="1"/>
  <c r="I51" i="11"/>
  <c r="K51" i="11" s="1"/>
  <c r="D44" i="9"/>
  <c r="C44" i="9"/>
  <c r="D44" i="10"/>
  <c r="C44" i="10"/>
  <c r="D44" i="1"/>
  <c r="C44" i="1"/>
  <c r="D47" i="11"/>
  <c r="C47" i="11"/>
  <c r="D52" i="7"/>
  <c r="C52" i="7"/>
  <c r="D67" i="15"/>
  <c r="C67" i="15"/>
  <c r="D68" i="15"/>
  <c r="C68" i="15"/>
  <c r="Q78" i="24"/>
  <c r="Q79" i="24"/>
  <c r="R79" i="24" s="1"/>
  <c r="Q80" i="24"/>
  <c r="R80" i="24" s="1"/>
  <c r="Q81" i="24"/>
  <c r="R81" i="24" s="1"/>
  <c r="Q82" i="24"/>
  <c r="R82" i="24" s="1"/>
  <c r="E9" i="23"/>
  <c r="F9" i="23"/>
  <c r="I88" i="9"/>
  <c r="K88" i="9" s="1"/>
  <c r="L88" i="9" s="1"/>
  <c r="I85" i="9"/>
  <c r="I75" i="9"/>
  <c r="I88" i="10"/>
  <c r="I85" i="10"/>
  <c r="K85" i="10" s="1"/>
  <c r="L85" i="10" s="1"/>
  <c r="I75" i="10"/>
  <c r="I88" i="1"/>
  <c r="K88" i="1" s="1"/>
  <c r="L88" i="1" s="1"/>
  <c r="I85" i="1"/>
  <c r="K85" i="1" s="1"/>
  <c r="I75" i="1"/>
  <c r="I79" i="11"/>
  <c r="K79" i="11" s="1"/>
  <c r="I81" i="11"/>
  <c r="K81" i="11" s="1"/>
  <c r="L81" i="11" s="1"/>
  <c r="I84" i="11"/>
  <c r="K84" i="11" s="1"/>
  <c r="L84" i="11" s="1"/>
  <c r="I87" i="11"/>
  <c r="K87" i="11" s="1"/>
  <c r="L87" i="11" s="1"/>
  <c r="Q81" i="11"/>
  <c r="R81" i="11" s="1"/>
  <c r="Q84" i="11"/>
  <c r="R84" i="11" s="1"/>
  <c r="I118" i="15"/>
  <c r="K118" i="15" s="1"/>
  <c r="L118" i="15" s="1"/>
  <c r="I122" i="15"/>
  <c r="K122" i="15" s="1"/>
  <c r="L122" i="15" s="1"/>
  <c r="I126" i="15"/>
  <c r="K126" i="15" s="1"/>
  <c r="L126" i="15" s="1"/>
  <c r="I129" i="15"/>
  <c r="I132" i="15"/>
  <c r="K132" i="15" s="1"/>
  <c r="L132" i="15" s="1"/>
  <c r="I195" i="24"/>
  <c r="K195" i="24" s="1"/>
  <c r="L195" i="24" s="1"/>
  <c r="I198" i="24"/>
  <c r="K198" i="24" s="1"/>
  <c r="L198" i="24" s="1"/>
  <c r="D112" i="15"/>
  <c r="C112" i="15"/>
  <c r="D113" i="15"/>
  <c r="D155" i="24"/>
  <c r="D156" i="24"/>
  <c r="C156" i="24"/>
  <c r="C77" i="20"/>
  <c r="C78" i="20"/>
  <c r="I98" i="9"/>
  <c r="K98" i="9" s="1"/>
  <c r="I98" i="10"/>
  <c r="N98" i="10" s="1"/>
  <c r="I98" i="1"/>
  <c r="K98" i="1" s="1"/>
  <c r="I97" i="11"/>
  <c r="N97" i="11" s="1"/>
  <c r="I143" i="15"/>
  <c r="N143" i="15" s="1"/>
  <c r="O143" i="15" s="1"/>
  <c r="I146" i="15"/>
  <c r="I148" i="15"/>
  <c r="N148" i="15" s="1"/>
  <c r="O148" i="15" s="1"/>
  <c r="E11" i="23"/>
  <c r="F11" i="23"/>
  <c r="L32" i="21"/>
  <c r="L33" i="21"/>
  <c r="L35" i="21"/>
  <c r="L36" i="21"/>
  <c r="L37" i="21"/>
  <c r="L38" i="21"/>
  <c r="H39" i="21"/>
  <c r="I39" i="21"/>
  <c r="J39" i="21"/>
  <c r="L47" i="21"/>
  <c r="L50" i="21"/>
  <c r="N2" i="20"/>
  <c r="Q2" i="20" s="1"/>
  <c r="Q87" i="20" s="1"/>
  <c r="T3" i="20"/>
  <c r="T4" i="20"/>
  <c r="L6" i="20"/>
  <c r="O6" i="20"/>
  <c r="O8" i="20" s="1"/>
  <c r="R6" i="20"/>
  <c r="R8" i="20" s="1"/>
  <c r="L16" i="20"/>
  <c r="O16" i="20"/>
  <c r="R16" i="20"/>
  <c r="I17" i="20"/>
  <c r="L18" i="20"/>
  <c r="O18" i="20"/>
  <c r="R18" i="20"/>
  <c r="I19" i="20"/>
  <c r="I20" i="20"/>
  <c r="I21" i="20"/>
  <c r="L21" i="20" s="1"/>
  <c r="B27" i="20"/>
  <c r="B28" i="20"/>
  <c r="B29" i="20"/>
  <c r="B31" i="20"/>
  <c r="B32" i="20"/>
  <c r="B33" i="20"/>
  <c r="B34" i="20"/>
  <c r="B36" i="20"/>
  <c r="B37" i="20"/>
  <c r="B38" i="20"/>
  <c r="B39" i="20"/>
  <c r="B46" i="20"/>
  <c r="B47" i="20"/>
  <c r="U48" i="20"/>
  <c r="I52" i="20"/>
  <c r="J52" i="20" s="1"/>
  <c r="J54" i="20" s="1"/>
  <c r="J93" i="20" s="1"/>
  <c r="C54" i="20"/>
  <c r="D54" i="20"/>
  <c r="E54" i="20"/>
  <c r="F54" i="20"/>
  <c r="G54" i="20"/>
  <c r="H54" i="20"/>
  <c r="I65" i="20"/>
  <c r="M65" i="20" s="1"/>
  <c r="M97" i="20" s="1"/>
  <c r="C97" i="20"/>
  <c r="D97" i="20"/>
  <c r="E97" i="20"/>
  <c r="G97" i="20"/>
  <c r="H97" i="20"/>
  <c r="B76" i="20"/>
  <c r="C76" i="20"/>
  <c r="D76" i="20"/>
  <c r="B77" i="20"/>
  <c r="D77" i="20"/>
  <c r="B78" i="20"/>
  <c r="D78" i="20"/>
  <c r="S79" i="20"/>
  <c r="S84" i="20"/>
  <c r="S101" i="20" s="1"/>
  <c r="S85" i="20"/>
  <c r="S102" i="20" s="1"/>
  <c r="C87" i="20"/>
  <c r="J87" i="20"/>
  <c r="K87" i="20"/>
  <c r="M87" i="20"/>
  <c r="P87" i="20"/>
  <c r="C89" i="20"/>
  <c r="D89" i="20"/>
  <c r="E89" i="20"/>
  <c r="F89" i="20"/>
  <c r="G89" i="20"/>
  <c r="H89" i="20"/>
  <c r="M89" i="20"/>
  <c r="N89" i="20"/>
  <c r="P89" i="20"/>
  <c r="Q89" i="20"/>
  <c r="C90" i="20"/>
  <c r="D90" i="20"/>
  <c r="E90" i="20"/>
  <c r="F90" i="20"/>
  <c r="G90" i="20"/>
  <c r="H90" i="20"/>
  <c r="M90" i="20"/>
  <c r="N90" i="20"/>
  <c r="P90" i="20"/>
  <c r="Q90" i="20"/>
  <c r="T90" i="20"/>
  <c r="C91" i="20"/>
  <c r="D91" i="20"/>
  <c r="E91" i="20"/>
  <c r="F91" i="20"/>
  <c r="G91" i="20"/>
  <c r="H91" i="20"/>
  <c r="I91" i="20"/>
  <c r="J91" i="20"/>
  <c r="K91" i="20"/>
  <c r="L91" i="20"/>
  <c r="M91" i="20"/>
  <c r="N91" i="20"/>
  <c r="O91" i="20"/>
  <c r="P91" i="20"/>
  <c r="Q91" i="20"/>
  <c r="R91" i="20"/>
  <c r="S91" i="20"/>
  <c r="C92" i="20"/>
  <c r="D92" i="20"/>
  <c r="E92" i="20"/>
  <c r="F92" i="20"/>
  <c r="G92" i="20"/>
  <c r="H92" i="20"/>
  <c r="I92" i="20"/>
  <c r="J92" i="20"/>
  <c r="M92" i="20"/>
  <c r="P92" i="20"/>
  <c r="S92" i="20"/>
  <c r="T92" i="20"/>
  <c r="C93" i="20"/>
  <c r="D93" i="20"/>
  <c r="H93" i="20"/>
  <c r="T93" i="20"/>
  <c r="U93" i="20"/>
  <c r="C95" i="20"/>
  <c r="D95" i="20"/>
  <c r="E95" i="20"/>
  <c r="F95" i="20"/>
  <c r="G95" i="20"/>
  <c r="H95" i="20"/>
  <c r="I95" i="20"/>
  <c r="J95" i="20"/>
  <c r="K95" i="20"/>
  <c r="L95" i="20"/>
  <c r="M95" i="20"/>
  <c r="N95" i="20"/>
  <c r="O95" i="20"/>
  <c r="P95" i="20"/>
  <c r="Q95" i="20"/>
  <c r="R95" i="20"/>
  <c r="S95" i="20"/>
  <c r="C96" i="20"/>
  <c r="D96" i="20"/>
  <c r="E96" i="20"/>
  <c r="F96" i="20"/>
  <c r="G96" i="20"/>
  <c r="H96" i="20"/>
  <c r="I96" i="20"/>
  <c r="J96" i="20"/>
  <c r="K96" i="20"/>
  <c r="L96" i="20"/>
  <c r="M96" i="20"/>
  <c r="N96" i="20"/>
  <c r="O96" i="20"/>
  <c r="P96" i="20"/>
  <c r="Q96" i="20"/>
  <c r="R96" i="20"/>
  <c r="S96" i="20"/>
  <c r="T96" i="20"/>
  <c r="F97" i="20"/>
  <c r="T97" i="20"/>
  <c r="U97" i="20"/>
  <c r="T98" i="20"/>
  <c r="C99" i="20"/>
  <c r="D99" i="20"/>
  <c r="E99" i="20"/>
  <c r="F99" i="20"/>
  <c r="G99" i="20"/>
  <c r="H99" i="20"/>
  <c r="I99" i="20"/>
  <c r="J99" i="20"/>
  <c r="K99" i="20"/>
  <c r="L99" i="20"/>
  <c r="M99" i="20"/>
  <c r="N99" i="20"/>
  <c r="O99" i="20"/>
  <c r="P99" i="20"/>
  <c r="Q99" i="20"/>
  <c r="R99" i="20"/>
  <c r="C100" i="20"/>
  <c r="D100" i="20"/>
  <c r="E100" i="20"/>
  <c r="F100" i="20"/>
  <c r="G100" i="20"/>
  <c r="H100" i="20"/>
  <c r="I100" i="20"/>
  <c r="T100" i="20"/>
  <c r="C101" i="20"/>
  <c r="D101" i="20"/>
  <c r="E101" i="20"/>
  <c r="F101" i="20"/>
  <c r="G101" i="20"/>
  <c r="H101" i="20"/>
  <c r="I101" i="20"/>
  <c r="J101" i="20"/>
  <c r="K101" i="20"/>
  <c r="L101" i="20"/>
  <c r="M101" i="20"/>
  <c r="N101" i="20"/>
  <c r="O101" i="20"/>
  <c r="P101" i="20"/>
  <c r="Q101" i="20"/>
  <c r="R101" i="20"/>
  <c r="C102" i="20"/>
  <c r="D102" i="20"/>
  <c r="E102" i="20"/>
  <c r="F102" i="20"/>
  <c r="G102" i="20"/>
  <c r="H102" i="20"/>
  <c r="I102" i="20"/>
  <c r="J102" i="20"/>
  <c r="K102" i="20"/>
  <c r="L102" i="20"/>
  <c r="M102" i="20"/>
  <c r="N102" i="20"/>
  <c r="O102" i="20"/>
  <c r="P102" i="20"/>
  <c r="Q102" i="20"/>
  <c r="R102" i="20"/>
  <c r="T102" i="20"/>
  <c r="N2" i="22"/>
  <c r="Q2" i="22" s="1"/>
  <c r="Q45" i="22" s="1"/>
  <c r="T3" i="22"/>
  <c r="T4" i="22"/>
  <c r="L5" i="22"/>
  <c r="O5" i="22"/>
  <c r="R5" i="22"/>
  <c r="B20" i="22"/>
  <c r="S22" i="22"/>
  <c r="S52" i="22" s="1"/>
  <c r="S63" i="22" s="1"/>
  <c r="T22" i="22"/>
  <c r="T52" i="22" s="1"/>
  <c r="T63" i="22" s="1"/>
  <c r="C45" i="22"/>
  <c r="J45" i="22"/>
  <c r="K45" i="22"/>
  <c r="M45" i="22"/>
  <c r="P45" i="22"/>
  <c r="C47" i="22"/>
  <c r="D47" i="22"/>
  <c r="E47" i="22"/>
  <c r="F47" i="22"/>
  <c r="G47" i="22"/>
  <c r="H47" i="22"/>
  <c r="I47" i="22"/>
  <c r="J47" i="22"/>
  <c r="K47" i="22"/>
  <c r="L47" i="22"/>
  <c r="M47" i="22"/>
  <c r="N47" i="22"/>
  <c r="O47" i="22"/>
  <c r="P47" i="22"/>
  <c r="Q47" i="22"/>
  <c r="R47" i="22"/>
  <c r="S47" i="22"/>
  <c r="C48" i="22"/>
  <c r="D48" i="22"/>
  <c r="E48" i="22"/>
  <c r="F48" i="22"/>
  <c r="G48" i="22"/>
  <c r="H48" i="22"/>
  <c r="I48" i="22"/>
  <c r="J48" i="22"/>
  <c r="K48" i="22"/>
  <c r="L48" i="22"/>
  <c r="M48" i="22"/>
  <c r="N48" i="22"/>
  <c r="O48" i="22"/>
  <c r="P48" i="22"/>
  <c r="Q48" i="22"/>
  <c r="R48" i="22"/>
  <c r="S48" i="22"/>
  <c r="T48" i="22"/>
  <c r="C49" i="22"/>
  <c r="D49" i="22"/>
  <c r="E49" i="22"/>
  <c r="F49" i="22"/>
  <c r="G49" i="22"/>
  <c r="H49" i="22"/>
  <c r="I49" i="22"/>
  <c r="J49" i="22"/>
  <c r="K49" i="22"/>
  <c r="L49" i="22"/>
  <c r="M49" i="22"/>
  <c r="N49" i="22"/>
  <c r="O49" i="22"/>
  <c r="P49" i="22"/>
  <c r="Q49" i="22"/>
  <c r="R49" i="22"/>
  <c r="S49" i="22"/>
  <c r="C50" i="22"/>
  <c r="D50" i="22"/>
  <c r="E50" i="22"/>
  <c r="F50" i="22"/>
  <c r="G50" i="22"/>
  <c r="H50" i="22"/>
  <c r="I50" i="22"/>
  <c r="J50" i="22"/>
  <c r="K50" i="22"/>
  <c r="L50" i="22"/>
  <c r="M50" i="22"/>
  <c r="N50" i="22"/>
  <c r="O50" i="22"/>
  <c r="P50" i="22"/>
  <c r="Q50" i="22"/>
  <c r="R50" i="22"/>
  <c r="S50" i="22"/>
  <c r="T50" i="22"/>
  <c r="U50" i="22"/>
  <c r="C51" i="22"/>
  <c r="D51" i="22"/>
  <c r="E51" i="22"/>
  <c r="F51" i="22"/>
  <c r="G51" i="22"/>
  <c r="H51" i="22"/>
  <c r="I51" i="22"/>
  <c r="J51" i="22"/>
  <c r="K51" i="22"/>
  <c r="L51" i="22"/>
  <c r="M51" i="22"/>
  <c r="N51" i="22"/>
  <c r="O51" i="22"/>
  <c r="P51" i="22"/>
  <c r="Q51" i="22"/>
  <c r="R51" i="22"/>
  <c r="S51" i="22"/>
  <c r="T51" i="22"/>
  <c r="C52" i="22"/>
  <c r="D52" i="22"/>
  <c r="E52" i="22"/>
  <c r="F52" i="22"/>
  <c r="G52" i="22"/>
  <c r="H52" i="22"/>
  <c r="I52" i="22"/>
  <c r="C53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Q53" i="22"/>
  <c r="R53" i="22"/>
  <c r="S53" i="22"/>
  <c r="C54" i="22"/>
  <c r="D54" i="22"/>
  <c r="E54" i="22"/>
  <c r="F54" i="22"/>
  <c r="G54" i="22"/>
  <c r="H54" i="22"/>
  <c r="I54" i="22"/>
  <c r="J54" i="22"/>
  <c r="K54" i="22"/>
  <c r="L54" i="22"/>
  <c r="M54" i="22"/>
  <c r="N54" i="22"/>
  <c r="O54" i="22"/>
  <c r="P54" i="22"/>
  <c r="Q54" i="22"/>
  <c r="R54" i="22"/>
  <c r="S54" i="22"/>
  <c r="T54" i="22"/>
  <c r="C55" i="22"/>
  <c r="D55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Q55" i="22"/>
  <c r="R55" i="22"/>
  <c r="S55" i="22"/>
  <c r="T55" i="22"/>
  <c r="U55" i="22"/>
  <c r="C56" i="22"/>
  <c r="D56" i="22"/>
  <c r="E56" i="22"/>
  <c r="F56" i="22"/>
  <c r="G56" i="22"/>
  <c r="H56" i="22"/>
  <c r="I56" i="22"/>
  <c r="J56" i="22"/>
  <c r="K56" i="22"/>
  <c r="L56" i="22"/>
  <c r="M56" i="22"/>
  <c r="N56" i="22"/>
  <c r="O56" i="22"/>
  <c r="P56" i="22"/>
  <c r="Q56" i="22"/>
  <c r="R56" i="22"/>
  <c r="S56" i="22"/>
  <c r="T56" i="22"/>
  <c r="C57" i="22"/>
  <c r="D57" i="22"/>
  <c r="E57" i="22"/>
  <c r="F57" i="22"/>
  <c r="G57" i="22"/>
  <c r="H57" i="22"/>
  <c r="I57" i="22"/>
  <c r="J57" i="22"/>
  <c r="K57" i="22"/>
  <c r="L57" i="22"/>
  <c r="M57" i="22"/>
  <c r="N57" i="22"/>
  <c r="O57" i="22"/>
  <c r="P57" i="22"/>
  <c r="Q57" i="22"/>
  <c r="R57" i="22"/>
  <c r="S57" i="22"/>
  <c r="C58" i="22"/>
  <c r="D58" i="22"/>
  <c r="E58" i="22"/>
  <c r="F58" i="22"/>
  <c r="G58" i="22"/>
  <c r="H58" i="22"/>
  <c r="I58" i="22"/>
  <c r="J58" i="22"/>
  <c r="K58" i="22"/>
  <c r="L58" i="22"/>
  <c r="M58" i="22"/>
  <c r="N58" i="22"/>
  <c r="O58" i="22"/>
  <c r="P58" i="22"/>
  <c r="Q58" i="22"/>
  <c r="R58" i="22"/>
  <c r="S58" i="22"/>
  <c r="T58" i="22"/>
  <c r="C59" i="22"/>
  <c r="D59" i="22"/>
  <c r="E59" i="22"/>
  <c r="F59" i="22"/>
  <c r="G59" i="22"/>
  <c r="H59" i="22"/>
  <c r="I59" i="22"/>
  <c r="J59" i="22"/>
  <c r="K59" i="22"/>
  <c r="L59" i="22"/>
  <c r="M59" i="22"/>
  <c r="N59" i="22"/>
  <c r="O59" i="22"/>
  <c r="P59" i="22"/>
  <c r="Q59" i="22"/>
  <c r="R59" i="22"/>
  <c r="S59" i="22"/>
  <c r="C60" i="22"/>
  <c r="D60" i="22"/>
  <c r="E60" i="22"/>
  <c r="F60" i="22"/>
  <c r="G60" i="22"/>
  <c r="H60" i="22"/>
  <c r="I60" i="22"/>
  <c r="J60" i="22"/>
  <c r="K60" i="22"/>
  <c r="L60" i="22"/>
  <c r="M60" i="22"/>
  <c r="N60" i="22"/>
  <c r="O60" i="22"/>
  <c r="P60" i="22"/>
  <c r="Q60" i="22"/>
  <c r="R60" i="22"/>
  <c r="S60" i="22"/>
  <c r="T60" i="22"/>
  <c r="G62" i="22"/>
  <c r="N2" i="17"/>
  <c r="T3" i="17"/>
  <c r="T4" i="17"/>
  <c r="L5" i="17"/>
  <c r="O5" i="17"/>
  <c r="R5" i="17"/>
  <c r="Q24" i="17" s="1"/>
  <c r="R24" i="17" s="1"/>
  <c r="I10" i="17"/>
  <c r="K10" i="17" s="1"/>
  <c r="L10" i="17" s="1"/>
  <c r="I13" i="17"/>
  <c r="K13" i="17" s="1"/>
  <c r="L13" i="17" s="1"/>
  <c r="C15" i="17"/>
  <c r="C110" i="17" s="1"/>
  <c r="D15" i="17"/>
  <c r="D110" i="17" s="1"/>
  <c r="E15" i="17"/>
  <c r="E110" i="17" s="1"/>
  <c r="F15" i="17"/>
  <c r="G15" i="17"/>
  <c r="G110" i="17" s="1"/>
  <c r="H15" i="17"/>
  <c r="H110" i="17" s="1"/>
  <c r="C21" i="17"/>
  <c r="D21" i="17"/>
  <c r="I24" i="17"/>
  <c r="I26" i="17"/>
  <c r="C28" i="17"/>
  <c r="C112" i="17" s="1"/>
  <c r="D28" i="17"/>
  <c r="E28" i="17"/>
  <c r="E112" i="17" s="1"/>
  <c r="F28" i="17"/>
  <c r="F112" i="17" s="1"/>
  <c r="G28" i="17"/>
  <c r="G112" i="17" s="1"/>
  <c r="H28" i="17"/>
  <c r="D34" i="17"/>
  <c r="B35" i="17"/>
  <c r="D35" i="17"/>
  <c r="B36" i="17"/>
  <c r="D36" i="17"/>
  <c r="B37" i="17"/>
  <c r="B39" i="17"/>
  <c r="D39" i="17"/>
  <c r="B40" i="17"/>
  <c r="C40" i="17"/>
  <c r="D40" i="17"/>
  <c r="I42" i="17"/>
  <c r="K42" i="17" s="1"/>
  <c r="L42" i="17" s="1"/>
  <c r="C44" i="17"/>
  <c r="C45" i="17" s="1"/>
  <c r="C115" i="17" s="1"/>
  <c r="D44" i="17"/>
  <c r="E44" i="17"/>
  <c r="E114" i="17" s="1"/>
  <c r="F44" i="17"/>
  <c r="G44" i="17"/>
  <c r="G45" i="17" s="1"/>
  <c r="G115" i="17" s="1"/>
  <c r="H44" i="17"/>
  <c r="I52" i="17"/>
  <c r="K52" i="17" s="1"/>
  <c r="I54" i="17"/>
  <c r="K54" i="17" s="1"/>
  <c r="L54" i="17" s="1"/>
  <c r="N54" i="17" s="1"/>
  <c r="O54" i="17" s="1"/>
  <c r="I56" i="17"/>
  <c r="K56" i="17" s="1"/>
  <c r="L56" i="17" s="1"/>
  <c r="C58" i="17"/>
  <c r="C116" i="17" s="1"/>
  <c r="D58" i="17"/>
  <c r="D116" i="17" s="1"/>
  <c r="E58" i="17"/>
  <c r="E116" i="17" s="1"/>
  <c r="F58" i="17"/>
  <c r="F116" i="17" s="1"/>
  <c r="G58" i="17"/>
  <c r="G116" i="17" s="1"/>
  <c r="H58" i="17"/>
  <c r="H116" i="17" s="1"/>
  <c r="I64" i="17"/>
  <c r="I66" i="17"/>
  <c r="K66" i="17" s="1"/>
  <c r="L66" i="17" s="1"/>
  <c r="I68" i="17"/>
  <c r="I70" i="17"/>
  <c r="K70" i="17" s="1"/>
  <c r="L70" i="17" s="1"/>
  <c r="C118" i="17"/>
  <c r="D118" i="17"/>
  <c r="E118" i="17"/>
  <c r="F118" i="17"/>
  <c r="H118" i="17"/>
  <c r="B81" i="17"/>
  <c r="D81" i="17"/>
  <c r="I83" i="17"/>
  <c r="I85" i="17"/>
  <c r="K85" i="17" s="1"/>
  <c r="L85" i="17" s="1"/>
  <c r="I87" i="17"/>
  <c r="I90" i="17"/>
  <c r="K90" i="17" s="1"/>
  <c r="L90" i="17" s="1"/>
  <c r="I93" i="17"/>
  <c r="K93" i="17" s="1"/>
  <c r="L93" i="17" s="1"/>
  <c r="C95" i="17"/>
  <c r="C120" i="17" s="1"/>
  <c r="D95" i="17"/>
  <c r="D120" i="17" s="1"/>
  <c r="E95" i="17"/>
  <c r="E120" i="17" s="1"/>
  <c r="F95" i="17"/>
  <c r="F120" i="17" s="1"/>
  <c r="G95" i="17"/>
  <c r="G120" i="17" s="1"/>
  <c r="H95" i="17"/>
  <c r="H120" i="17" s="1"/>
  <c r="I101" i="17"/>
  <c r="K101" i="17" s="1"/>
  <c r="L101" i="17" s="1"/>
  <c r="I103" i="17"/>
  <c r="K103" i="17" s="1"/>
  <c r="C105" i="17"/>
  <c r="C122" i="17" s="1"/>
  <c r="D105" i="17"/>
  <c r="D122" i="17" s="1"/>
  <c r="E105" i="17"/>
  <c r="E122" i="17" s="1"/>
  <c r="F105" i="17"/>
  <c r="F122" i="17" s="1"/>
  <c r="G105" i="17"/>
  <c r="G122" i="17" s="1"/>
  <c r="H105" i="17"/>
  <c r="H122" i="17" s="1"/>
  <c r="C108" i="17"/>
  <c r="J108" i="17"/>
  <c r="K108" i="17"/>
  <c r="M108" i="17"/>
  <c r="P108" i="17"/>
  <c r="F110" i="17"/>
  <c r="J110" i="17"/>
  <c r="M110" i="17"/>
  <c r="P110" i="17"/>
  <c r="T111" i="17"/>
  <c r="D112" i="17"/>
  <c r="H112" i="17"/>
  <c r="J112" i="17"/>
  <c r="M112" i="17"/>
  <c r="P112" i="17"/>
  <c r="K113" i="17"/>
  <c r="N113" i="17"/>
  <c r="Q113" i="17"/>
  <c r="T113" i="17"/>
  <c r="J114" i="17"/>
  <c r="M114" i="17"/>
  <c r="P114" i="17"/>
  <c r="T114" i="17"/>
  <c r="J116" i="17"/>
  <c r="M116" i="17"/>
  <c r="P116" i="17"/>
  <c r="G118" i="17"/>
  <c r="J118" i="17"/>
  <c r="M118" i="17"/>
  <c r="P118" i="17"/>
  <c r="T118" i="17"/>
  <c r="U118" i="17"/>
  <c r="T119" i="17"/>
  <c r="J120" i="17"/>
  <c r="K120" i="17"/>
  <c r="M120" i="17"/>
  <c r="N120" i="17"/>
  <c r="P120" i="17"/>
  <c r="Q120" i="17"/>
  <c r="J122" i="17"/>
  <c r="M122" i="17"/>
  <c r="P122" i="17"/>
  <c r="T123" i="17"/>
  <c r="O2" i="16"/>
  <c r="R2" i="16" s="1"/>
  <c r="R101" i="16" s="1"/>
  <c r="U3" i="16"/>
  <c r="U4" i="16"/>
  <c r="M5" i="16"/>
  <c r="P5" i="16"/>
  <c r="S5" i="16"/>
  <c r="J10" i="16"/>
  <c r="L10" i="16" s="1"/>
  <c r="L12" i="16" s="1"/>
  <c r="L103" i="16" s="1"/>
  <c r="C12" i="16"/>
  <c r="D12" i="16"/>
  <c r="D103" i="16" s="1"/>
  <c r="E12" i="16"/>
  <c r="E103" i="16" s="1"/>
  <c r="F12" i="16"/>
  <c r="F103" i="16" s="1"/>
  <c r="G12" i="16"/>
  <c r="G103" i="16" s="1"/>
  <c r="H12" i="16"/>
  <c r="H103" i="16" s="1"/>
  <c r="K12" i="16"/>
  <c r="K103" i="16" s="1"/>
  <c r="N12" i="16"/>
  <c r="Q12" i="16"/>
  <c r="B18" i="16"/>
  <c r="C18" i="16"/>
  <c r="D18" i="16"/>
  <c r="B19" i="16"/>
  <c r="C19" i="16"/>
  <c r="D19" i="16"/>
  <c r="B20" i="16"/>
  <c r="C20" i="16"/>
  <c r="D20" i="16"/>
  <c r="B21" i="16"/>
  <c r="C21" i="16"/>
  <c r="D21" i="16"/>
  <c r="B22" i="16"/>
  <c r="C22" i="16"/>
  <c r="D22" i="16"/>
  <c r="B23" i="16"/>
  <c r="C23" i="16"/>
  <c r="D23" i="16"/>
  <c r="J26" i="16"/>
  <c r="L26" i="16" s="1"/>
  <c r="M26" i="16" s="1"/>
  <c r="J28" i="16"/>
  <c r="J30" i="16"/>
  <c r="L30" i="16" s="1"/>
  <c r="M30" i="16" s="1"/>
  <c r="C32" i="16"/>
  <c r="C105" i="16" s="1"/>
  <c r="D32" i="16"/>
  <c r="D105" i="16" s="1"/>
  <c r="E32" i="16"/>
  <c r="F32" i="16"/>
  <c r="F105" i="16" s="1"/>
  <c r="G32" i="16"/>
  <c r="G105" i="16" s="1"/>
  <c r="H32" i="16"/>
  <c r="D38" i="16"/>
  <c r="J40" i="16"/>
  <c r="L40" i="16" s="1"/>
  <c r="L42" i="16" s="1"/>
  <c r="L107" i="16" s="1"/>
  <c r="C42" i="16"/>
  <c r="C43" i="16" s="1"/>
  <c r="C108" i="16" s="1"/>
  <c r="D42" i="16"/>
  <c r="D43" i="16" s="1"/>
  <c r="D108" i="16" s="1"/>
  <c r="E42" i="16"/>
  <c r="F42" i="16"/>
  <c r="F107" i="16" s="1"/>
  <c r="G42" i="16"/>
  <c r="H42" i="16"/>
  <c r="H43" i="16" s="1"/>
  <c r="H108" i="16" s="1"/>
  <c r="G43" i="16"/>
  <c r="G108" i="16" s="1"/>
  <c r="C48" i="16"/>
  <c r="D48" i="16"/>
  <c r="J50" i="16"/>
  <c r="C52" i="16"/>
  <c r="C109" i="16" s="1"/>
  <c r="D52" i="16"/>
  <c r="D109" i="16" s="1"/>
  <c r="E52" i="16"/>
  <c r="F52" i="16"/>
  <c r="F109" i="16" s="1"/>
  <c r="G52" i="16"/>
  <c r="G109" i="16" s="1"/>
  <c r="H52" i="16"/>
  <c r="H109" i="16" s="1"/>
  <c r="I52" i="16"/>
  <c r="K52" i="16"/>
  <c r="K109" i="16" s="1"/>
  <c r="N52" i="16"/>
  <c r="N109" i="16" s="1"/>
  <c r="Q52" i="16"/>
  <c r="Q109" i="16" s="1"/>
  <c r="I53" i="16"/>
  <c r="J58" i="16"/>
  <c r="J60" i="16"/>
  <c r="L60" i="16" s="1"/>
  <c r="D111" i="16"/>
  <c r="F111" i="16"/>
  <c r="G111" i="16"/>
  <c r="H111" i="16"/>
  <c r="J71" i="16"/>
  <c r="L71" i="16" s="1"/>
  <c r="M71" i="16" s="1"/>
  <c r="J73" i="16"/>
  <c r="L73" i="16" s="1"/>
  <c r="M73" i="16" s="1"/>
  <c r="J76" i="16"/>
  <c r="L76" i="16" s="1"/>
  <c r="M76" i="16" s="1"/>
  <c r="J78" i="16"/>
  <c r="L78" i="16" s="1"/>
  <c r="M78" i="16" s="1"/>
  <c r="J80" i="16"/>
  <c r="L80" i="16" s="1"/>
  <c r="M80" i="16" s="1"/>
  <c r="J83" i="16"/>
  <c r="L83" i="16" s="1"/>
  <c r="M83" i="16" s="1"/>
  <c r="J86" i="16"/>
  <c r="L86" i="16" s="1"/>
  <c r="M86" i="16" s="1"/>
  <c r="C88" i="16"/>
  <c r="C113" i="16" s="1"/>
  <c r="D88" i="16"/>
  <c r="D113" i="16" s="1"/>
  <c r="E88" i="16"/>
  <c r="E113" i="16" s="1"/>
  <c r="F88" i="16"/>
  <c r="G88" i="16"/>
  <c r="G113" i="16" s="1"/>
  <c r="H88" i="16"/>
  <c r="H113" i="16" s="1"/>
  <c r="J94" i="16"/>
  <c r="L94" i="16" s="1"/>
  <c r="M94" i="16" s="1"/>
  <c r="J96" i="16"/>
  <c r="L96" i="16" s="1"/>
  <c r="C98" i="16"/>
  <c r="C115" i="16" s="1"/>
  <c r="D98" i="16"/>
  <c r="D115" i="16" s="1"/>
  <c r="E98" i="16"/>
  <c r="F98" i="16"/>
  <c r="F115" i="16" s="1"/>
  <c r="G98" i="16"/>
  <c r="G115" i="16" s="1"/>
  <c r="H98" i="16"/>
  <c r="H115" i="16" s="1"/>
  <c r="C101" i="16"/>
  <c r="K101" i="16"/>
  <c r="L101" i="16"/>
  <c r="N101" i="16"/>
  <c r="O101" i="16"/>
  <c r="Q101" i="16"/>
  <c r="C103" i="16"/>
  <c r="N103" i="16"/>
  <c r="Q103" i="16"/>
  <c r="U104" i="16"/>
  <c r="E105" i="16"/>
  <c r="H105" i="16"/>
  <c r="K105" i="16"/>
  <c r="N105" i="16"/>
  <c r="Q105" i="16"/>
  <c r="N106" i="16"/>
  <c r="O106" i="16"/>
  <c r="Q106" i="16"/>
  <c r="R106" i="16"/>
  <c r="U106" i="16"/>
  <c r="C107" i="16"/>
  <c r="G107" i="16"/>
  <c r="K107" i="16"/>
  <c r="N107" i="16"/>
  <c r="Q107" i="16"/>
  <c r="U107" i="16"/>
  <c r="E109" i="16"/>
  <c r="C111" i="16"/>
  <c r="E111" i="16"/>
  <c r="K111" i="16"/>
  <c r="N111" i="16"/>
  <c r="Q111" i="16"/>
  <c r="U111" i="16"/>
  <c r="V111" i="16"/>
  <c r="U112" i="16"/>
  <c r="F113" i="16"/>
  <c r="K113" i="16"/>
  <c r="L113" i="16"/>
  <c r="N113" i="16"/>
  <c r="O113" i="16"/>
  <c r="Q113" i="16"/>
  <c r="R113" i="16"/>
  <c r="L114" i="16"/>
  <c r="O114" i="16"/>
  <c r="R114" i="16"/>
  <c r="U114" i="16"/>
  <c r="E115" i="16"/>
  <c r="K115" i="16"/>
  <c r="N115" i="16"/>
  <c r="Q115" i="16"/>
  <c r="U116" i="16"/>
  <c r="N2" i="14"/>
  <c r="T3" i="14"/>
  <c r="T4" i="14"/>
  <c r="L5" i="14"/>
  <c r="O5" i="14"/>
  <c r="R5" i="14"/>
  <c r="I10" i="14"/>
  <c r="K10" i="14" s="1"/>
  <c r="K12" i="14" s="1"/>
  <c r="K102" i="14" s="1"/>
  <c r="C12" i="14"/>
  <c r="C102" i="14" s="1"/>
  <c r="D12" i="14"/>
  <c r="E12" i="14"/>
  <c r="F12" i="14"/>
  <c r="F102" i="14" s="1"/>
  <c r="G12" i="14"/>
  <c r="G102" i="14" s="1"/>
  <c r="H12" i="14"/>
  <c r="H102" i="14" s="1"/>
  <c r="J12" i="14"/>
  <c r="J102" i="14" s="1"/>
  <c r="M12" i="14"/>
  <c r="P12" i="14"/>
  <c r="P102" i="14" s="1"/>
  <c r="C18" i="14"/>
  <c r="D18" i="14"/>
  <c r="I21" i="14"/>
  <c r="I23" i="14"/>
  <c r="K23" i="14" s="1"/>
  <c r="C25" i="14"/>
  <c r="C104" i="14" s="1"/>
  <c r="D25" i="14"/>
  <c r="E25" i="14"/>
  <c r="E104" i="14" s="1"/>
  <c r="F25" i="14"/>
  <c r="F104" i="14" s="1"/>
  <c r="G25" i="14"/>
  <c r="G104" i="14" s="1"/>
  <c r="H25" i="14"/>
  <c r="C31" i="14"/>
  <c r="D31" i="14"/>
  <c r="I33" i="14"/>
  <c r="C35" i="14"/>
  <c r="C106" i="14" s="1"/>
  <c r="D35" i="14"/>
  <c r="D106" i="14" s="1"/>
  <c r="E35" i="14"/>
  <c r="E106" i="14" s="1"/>
  <c r="F35" i="14"/>
  <c r="F106" i="14" s="1"/>
  <c r="G35" i="14"/>
  <c r="G106" i="14" s="1"/>
  <c r="H35" i="14"/>
  <c r="C41" i="14"/>
  <c r="D41" i="14"/>
  <c r="I43" i="14"/>
  <c r="K43" i="14" s="1"/>
  <c r="L43" i="14" s="1"/>
  <c r="I45" i="14"/>
  <c r="K45" i="14" s="1"/>
  <c r="C47" i="14"/>
  <c r="D47" i="14"/>
  <c r="D108" i="14" s="1"/>
  <c r="E47" i="14"/>
  <c r="F47" i="14"/>
  <c r="G47" i="14"/>
  <c r="G108" i="14" s="1"/>
  <c r="H47" i="14"/>
  <c r="H108" i="14" s="1"/>
  <c r="I53" i="14"/>
  <c r="I55" i="14"/>
  <c r="I57" i="14"/>
  <c r="K57" i="14" s="1"/>
  <c r="L57" i="14" s="1"/>
  <c r="I59" i="14"/>
  <c r="K59" i="14" s="1"/>
  <c r="L59" i="14" s="1"/>
  <c r="C110" i="14"/>
  <c r="E110" i="14"/>
  <c r="F110" i="14"/>
  <c r="G110" i="14"/>
  <c r="H110" i="14"/>
  <c r="I70" i="14"/>
  <c r="K70" i="14" s="1"/>
  <c r="L70" i="14" s="1"/>
  <c r="I72" i="14"/>
  <c r="K72" i="14" s="1"/>
  <c r="L72" i="14" s="1"/>
  <c r="I75" i="14"/>
  <c r="I77" i="14"/>
  <c r="K77" i="14" s="1"/>
  <c r="L77" i="14" s="1"/>
  <c r="I79" i="14"/>
  <c r="I82" i="14"/>
  <c r="K82" i="14" s="1"/>
  <c r="L82" i="14" s="1"/>
  <c r="I85" i="14"/>
  <c r="K85" i="14" s="1"/>
  <c r="L85" i="14" s="1"/>
  <c r="C87" i="14"/>
  <c r="D87" i="14"/>
  <c r="D112" i="14" s="1"/>
  <c r="E87" i="14"/>
  <c r="F87" i="14"/>
  <c r="F112" i="14" s="1"/>
  <c r="G87" i="14"/>
  <c r="G112" i="14" s="1"/>
  <c r="H87" i="14"/>
  <c r="H112" i="14" s="1"/>
  <c r="I93" i="14"/>
  <c r="I95" i="14"/>
  <c r="K95" i="14" s="1"/>
  <c r="L95" i="14" s="1"/>
  <c r="C97" i="14"/>
  <c r="C114" i="14" s="1"/>
  <c r="D97" i="14"/>
  <c r="E97" i="14"/>
  <c r="F97" i="14"/>
  <c r="F114" i="14" s="1"/>
  <c r="G97" i="14"/>
  <c r="G114" i="14" s="1"/>
  <c r="H97" i="14"/>
  <c r="C100" i="14"/>
  <c r="J100" i="14"/>
  <c r="K100" i="14"/>
  <c r="M100" i="14"/>
  <c r="P100" i="14"/>
  <c r="D102" i="14"/>
  <c r="E102" i="14"/>
  <c r="M102" i="14"/>
  <c r="T103" i="14"/>
  <c r="D104" i="14"/>
  <c r="H104" i="14"/>
  <c r="J104" i="14"/>
  <c r="M104" i="14"/>
  <c r="P104" i="14"/>
  <c r="K105" i="14"/>
  <c r="N105" i="14"/>
  <c r="Q105" i="14"/>
  <c r="T105" i="14"/>
  <c r="J106" i="14"/>
  <c r="M106" i="14"/>
  <c r="P106" i="14"/>
  <c r="T106" i="14"/>
  <c r="C108" i="14"/>
  <c r="E108" i="14"/>
  <c r="F108" i="14"/>
  <c r="J108" i="14"/>
  <c r="M108" i="14"/>
  <c r="P108" i="14"/>
  <c r="D110" i="14"/>
  <c r="J110" i="14"/>
  <c r="M110" i="14"/>
  <c r="P110" i="14"/>
  <c r="T110" i="14"/>
  <c r="U110" i="14"/>
  <c r="T111" i="14"/>
  <c r="C112" i="14"/>
  <c r="E112" i="14"/>
  <c r="J112" i="14"/>
  <c r="K112" i="14"/>
  <c r="M112" i="14"/>
  <c r="N112" i="14"/>
  <c r="P112" i="14"/>
  <c r="Q112" i="14"/>
  <c r="K113" i="14"/>
  <c r="N113" i="14"/>
  <c r="Q113" i="14"/>
  <c r="T113" i="14"/>
  <c r="D114" i="14"/>
  <c r="E114" i="14"/>
  <c r="H114" i="14"/>
  <c r="J114" i="14"/>
  <c r="M114" i="14"/>
  <c r="P114" i="14"/>
  <c r="T115" i="14"/>
  <c r="N2" i="13"/>
  <c r="T3" i="13"/>
  <c r="T4" i="13"/>
  <c r="T5" i="13"/>
  <c r="L6" i="13"/>
  <c r="O6" i="13"/>
  <c r="R6" i="13"/>
  <c r="I11" i="13"/>
  <c r="K11" i="13" s="1"/>
  <c r="I14" i="13"/>
  <c r="K14" i="13" s="1"/>
  <c r="L14" i="13" s="1"/>
  <c r="C16" i="13"/>
  <c r="D16" i="13"/>
  <c r="E16" i="13"/>
  <c r="F16" i="13"/>
  <c r="F106" i="13" s="1"/>
  <c r="G16" i="13"/>
  <c r="H16" i="13"/>
  <c r="C22" i="13"/>
  <c r="D22" i="13"/>
  <c r="I25" i="13"/>
  <c r="I27" i="13"/>
  <c r="K27" i="13" s="1"/>
  <c r="L27" i="13" s="1"/>
  <c r="C29" i="13"/>
  <c r="D29" i="13"/>
  <c r="D108" i="13" s="1"/>
  <c r="E29" i="13"/>
  <c r="F29" i="13"/>
  <c r="F108" i="13" s="1"/>
  <c r="G29" i="13"/>
  <c r="H29" i="13"/>
  <c r="H108" i="13" s="1"/>
  <c r="C35" i="13"/>
  <c r="D35" i="13"/>
  <c r="I37" i="13"/>
  <c r="K37" i="13" s="1"/>
  <c r="L37" i="13" s="1"/>
  <c r="L39" i="13" s="1"/>
  <c r="L110" i="13" s="1"/>
  <c r="C39" i="13"/>
  <c r="D39" i="13"/>
  <c r="D40" i="13" s="1"/>
  <c r="D111" i="13" s="1"/>
  <c r="E39" i="13"/>
  <c r="F39" i="13"/>
  <c r="F40" i="13" s="1"/>
  <c r="F111" i="13" s="1"/>
  <c r="G39" i="13"/>
  <c r="H39" i="13"/>
  <c r="H40" i="13" s="1"/>
  <c r="H111" i="13" s="1"/>
  <c r="E40" i="13"/>
  <c r="E111" i="13" s="1"/>
  <c r="C45" i="13"/>
  <c r="D45" i="13"/>
  <c r="I47" i="13"/>
  <c r="K47" i="13" s="1"/>
  <c r="L47" i="13" s="1"/>
  <c r="I49" i="13"/>
  <c r="K49" i="13" s="1"/>
  <c r="C51" i="13"/>
  <c r="C112" i="13" s="1"/>
  <c r="D51" i="13"/>
  <c r="D112" i="13" s="1"/>
  <c r="E51" i="13"/>
  <c r="E112" i="13" s="1"/>
  <c r="F51" i="13"/>
  <c r="F112" i="13" s="1"/>
  <c r="G51" i="13"/>
  <c r="G112" i="13" s="1"/>
  <c r="H51" i="13"/>
  <c r="I57" i="13"/>
  <c r="K57" i="13" s="1"/>
  <c r="I59" i="13"/>
  <c r="K59" i="13" s="1"/>
  <c r="I61" i="13"/>
  <c r="K61" i="13" s="1"/>
  <c r="L61" i="13" s="1"/>
  <c r="I63" i="13"/>
  <c r="K63" i="13" s="1"/>
  <c r="L63" i="13" s="1"/>
  <c r="C114" i="13"/>
  <c r="E114" i="13"/>
  <c r="G114" i="13"/>
  <c r="H114" i="13"/>
  <c r="I74" i="13"/>
  <c r="K74" i="13" s="1"/>
  <c r="L74" i="13" s="1"/>
  <c r="I76" i="13"/>
  <c r="K76" i="13" s="1"/>
  <c r="L76" i="13" s="1"/>
  <c r="I79" i="13"/>
  <c r="K79" i="13" s="1"/>
  <c r="L79" i="13" s="1"/>
  <c r="I81" i="13"/>
  <c r="K81" i="13" s="1"/>
  <c r="I83" i="13"/>
  <c r="K83" i="13" s="1"/>
  <c r="L83" i="13" s="1"/>
  <c r="I86" i="13"/>
  <c r="K86" i="13" s="1"/>
  <c r="L86" i="13" s="1"/>
  <c r="I89" i="13"/>
  <c r="K89" i="13" s="1"/>
  <c r="L89" i="13" s="1"/>
  <c r="C91" i="13"/>
  <c r="D91" i="13"/>
  <c r="D116" i="13" s="1"/>
  <c r="E91" i="13"/>
  <c r="E116" i="13" s="1"/>
  <c r="F91" i="13"/>
  <c r="F116" i="13" s="1"/>
  <c r="G91" i="13"/>
  <c r="G116" i="13" s="1"/>
  <c r="H91" i="13"/>
  <c r="H116" i="13" s="1"/>
  <c r="I97" i="13"/>
  <c r="K97" i="13" s="1"/>
  <c r="L97" i="13" s="1"/>
  <c r="I99" i="13"/>
  <c r="K99" i="13" s="1"/>
  <c r="C101" i="13"/>
  <c r="C118" i="13" s="1"/>
  <c r="D101" i="13"/>
  <c r="D118" i="13" s="1"/>
  <c r="E101" i="13"/>
  <c r="E118" i="13" s="1"/>
  <c r="F101" i="13"/>
  <c r="F118" i="13" s="1"/>
  <c r="G101" i="13"/>
  <c r="G118" i="13" s="1"/>
  <c r="H101" i="13"/>
  <c r="H118" i="13" s="1"/>
  <c r="C104" i="13"/>
  <c r="J104" i="13"/>
  <c r="K104" i="13"/>
  <c r="M104" i="13"/>
  <c r="P104" i="13"/>
  <c r="C106" i="13"/>
  <c r="D106" i="13"/>
  <c r="E106" i="13"/>
  <c r="G106" i="13"/>
  <c r="H106" i="13"/>
  <c r="J106" i="13"/>
  <c r="M106" i="13"/>
  <c r="P106" i="13"/>
  <c r="T107" i="13"/>
  <c r="C108" i="13"/>
  <c r="E108" i="13"/>
  <c r="G108" i="13"/>
  <c r="J108" i="13"/>
  <c r="M108" i="13"/>
  <c r="P108" i="13"/>
  <c r="K109" i="13"/>
  <c r="N109" i="13"/>
  <c r="Q109" i="13"/>
  <c r="T109" i="13"/>
  <c r="D110" i="13"/>
  <c r="E110" i="13"/>
  <c r="H110" i="13"/>
  <c r="J110" i="13"/>
  <c r="M110" i="13"/>
  <c r="P110" i="13"/>
  <c r="T110" i="13"/>
  <c r="H112" i="13"/>
  <c r="J112" i="13"/>
  <c r="M112" i="13"/>
  <c r="P112" i="13"/>
  <c r="D114" i="13"/>
  <c r="F114" i="13"/>
  <c r="J114" i="13"/>
  <c r="M114" i="13"/>
  <c r="P114" i="13"/>
  <c r="T114" i="13"/>
  <c r="U114" i="13"/>
  <c r="T115" i="13"/>
  <c r="C116" i="13"/>
  <c r="J116" i="13"/>
  <c r="K116" i="13"/>
  <c r="M116" i="13"/>
  <c r="N116" i="13"/>
  <c r="P116" i="13"/>
  <c r="Q116" i="13"/>
  <c r="K117" i="13"/>
  <c r="N117" i="13"/>
  <c r="Q117" i="13"/>
  <c r="T117" i="13"/>
  <c r="J118" i="13"/>
  <c r="M118" i="13"/>
  <c r="P118" i="13"/>
  <c r="T119" i="13"/>
  <c r="N2" i="11"/>
  <c r="T3" i="11"/>
  <c r="T4" i="11"/>
  <c r="L5" i="11"/>
  <c r="O5" i="11"/>
  <c r="R5" i="11"/>
  <c r="I10" i="11"/>
  <c r="Q10" i="11" s="1"/>
  <c r="R10" i="11" s="1"/>
  <c r="C15" i="11"/>
  <c r="C104" i="11" s="1"/>
  <c r="D15" i="11"/>
  <c r="D104" i="11" s="1"/>
  <c r="E15" i="11"/>
  <c r="E104" i="11" s="1"/>
  <c r="F15" i="11"/>
  <c r="F104" i="11" s="1"/>
  <c r="G15" i="11"/>
  <c r="G104" i="11" s="1"/>
  <c r="H15" i="11"/>
  <c r="B23" i="11"/>
  <c r="I25" i="11"/>
  <c r="C29" i="11"/>
  <c r="C106" i="11" s="1"/>
  <c r="D29" i="11"/>
  <c r="E29" i="11"/>
  <c r="E106" i="11" s="1"/>
  <c r="F29" i="11"/>
  <c r="F106" i="11" s="1"/>
  <c r="G29" i="11"/>
  <c r="H29" i="11"/>
  <c r="H106" i="11" s="1"/>
  <c r="D36" i="11"/>
  <c r="B37" i="11"/>
  <c r="D37" i="11"/>
  <c r="I39" i="11"/>
  <c r="Q39" i="11" s="1"/>
  <c r="R39" i="11" s="1"/>
  <c r="R41" i="11" s="1"/>
  <c r="R108" i="11" s="1"/>
  <c r="C41" i="11"/>
  <c r="D41" i="11"/>
  <c r="D42" i="11" s="1"/>
  <c r="D109" i="11" s="1"/>
  <c r="E41" i="11"/>
  <c r="E42" i="11" s="1"/>
  <c r="E109" i="11" s="1"/>
  <c r="F41" i="11"/>
  <c r="G41" i="11"/>
  <c r="H41" i="11"/>
  <c r="I49" i="11"/>
  <c r="Q49" i="11" s="1"/>
  <c r="R49" i="11" s="1"/>
  <c r="C53" i="11"/>
  <c r="D53" i="11"/>
  <c r="D110" i="11" s="1"/>
  <c r="E53" i="11"/>
  <c r="F53" i="11"/>
  <c r="F110" i="11" s="1"/>
  <c r="G53" i="11"/>
  <c r="G110" i="11" s="1"/>
  <c r="H53" i="11"/>
  <c r="H110" i="11" s="1"/>
  <c r="I53" i="11"/>
  <c r="I110" i="11" s="1"/>
  <c r="I59" i="11"/>
  <c r="I61" i="11"/>
  <c r="Q61" i="11" s="1"/>
  <c r="R61" i="11" s="1"/>
  <c r="I63" i="11"/>
  <c r="Q63" i="11" s="1"/>
  <c r="R63" i="11" s="1"/>
  <c r="I65" i="11"/>
  <c r="Q65" i="11" s="1"/>
  <c r="R65" i="11" s="1"/>
  <c r="C112" i="11"/>
  <c r="G112" i="11"/>
  <c r="I76" i="11"/>
  <c r="K76" i="11" s="1"/>
  <c r="C89" i="11"/>
  <c r="C114" i="11" s="1"/>
  <c r="D89" i="11"/>
  <c r="D114" i="11" s="1"/>
  <c r="E89" i="11"/>
  <c r="E114" i="11" s="1"/>
  <c r="F89" i="11"/>
  <c r="G89" i="11"/>
  <c r="G114" i="11" s="1"/>
  <c r="H89" i="11"/>
  <c r="H114" i="11" s="1"/>
  <c r="I95" i="11"/>
  <c r="K95" i="11" s="1"/>
  <c r="L95" i="11" s="1"/>
  <c r="C99" i="11"/>
  <c r="D99" i="11"/>
  <c r="D116" i="11" s="1"/>
  <c r="E99" i="11"/>
  <c r="E116" i="11" s="1"/>
  <c r="F99" i="11"/>
  <c r="G99" i="11"/>
  <c r="H99" i="11"/>
  <c r="C102" i="11"/>
  <c r="J102" i="11"/>
  <c r="K102" i="11"/>
  <c r="M102" i="11"/>
  <c r="P102" i="11"/>
  <c r="H104" i="11"/>
  <c r="J104" i="11"/>
  <c r="M104" i="11"/>
  <c r="P104" i="11"/>
  <c r="T105" i="11"/>
  <c r="D106" i="11"/>
  <c r="G106" i="11"/>
  <c r="J106" i="11"/>
  <c r="M106" i="11"/>
  <c r="P106" i="11"/>
  <c r="K107" i="11"/>
  <c r="N107" i="11"/>
  <c r="Q107" i="11"/>
  <c r="T107" i="11"/>
  <c r="J108" i="11"/>
  <c r="M108" i="11"/>
  <c r="P108" i="11"/>
  <c r="T108" i="11"/>
  <c r="C110" i="11"/>
  <c r="E110" i="11"/>
  <c r="J110" i="11"/>
  <c r="M110" i="11"/>
  <c r="P110" i="11"/>
  <c r="D112" i="11"/>
  <c r="E112" i="11"/>
  <c r="F112" i="11"/>
  <c r="H112" i="11"/>
  <c r="J112" i="11"/>
  <c r="M112" i="11"/>
  <c r="P112" i="11"/>
  <c r="T112" i="11"/>
  <c r="U112" i="11"/>
  <c r="T113" i="11"/>
  <c r="F114" i="11"/>
  <c r="J114" i="11"/>
  <c r="M114" i="11"/>
  <c r="P114" i="11"/>
  <c r="T115" i="11"/>
  <c r="C116" i="11"/>
  <c r="F116" i="11"/>
  <c r="G116" i="11"/>
  <c r="H116" i="11"/>
  <c r="J116" i="11"/>
  <c r="M116" i="11"/>
  <c r="P116" i="11"/>
  <c r="T117" i="11"/>
  <c r="P3" i="24"/>
  <c r="P4" i="24"/>
  <c r="P6" i="24"/>
  <c r="L7" i="24"/>
  <c r="N10" i="24"/>
  <c r="I14" i="24"/>
  <c r="K14" i="24" s="1"/>
  <c r="L14" i="24" s="1"/>
  <c r="C19" i="24"/>
  <c r="D19" i="24"/>
  <c r="E19" i="24"/>
  <c r="E233" i="24" s="1"/>
  <c r="F19" i="24"/>
  <c r="G19" i="24"/>
  <c r="H19" i="24"/>
  <c r="B29" i="24"/>
  <c r="B30" i="24" s="1"/>
  <c r="B31" i="24"/>
  <c r="B32" i="24" s="1"/>
  <c r="B33" i="24"/>
  <c r="B34" i="24"/>
  <c r="B35" i="24"/>
  <c r="I37" i="24"/>
  <c r="I40" i="24"/>
  <c r="Q40" i="24" s="1"/>
  <c r="R40" i="24" s="1"/>
  <c r="I42" i="24"/>
  <c r="I44" i="24"/>
  <c r="I46" i="24"/>
  <c r="K46" i="24" s="1"/>
  <c r="L46" i="24" s="1"/>
  <c r="I48" i="24"/>
  <c r="Q48" i="24" s="1"/>
  <c r="R48" i="24" s="1"/>
  <c r="C50" i="24"/>
  <c r="D50" i="24"/>
  <c r="D235" i="24" s="1"/>
  <c r="E50" i="24"/>
  <c r="F50" i="24"/>
  <c r="F235" i="24" s="1"/>
  <c r="G50" i="24"/>
  <c r="H50" i="24"/>
  <c r="H235" i="24" s="1"/>
  <c r="B57" i="24"/>
  <c r="B58" i="24"/>
  <c r="B59" i="24"/>
  <c r="I61" i="24"/>
  <c r="I63" i="24"/>
  <c r="I65" i="24"/>
  <c r="Q65" i="24" s="1"/>
  <c r="R65" i="24" s="1"/>
  <c r="I67" i="24"/>
  <c r="K67" i="24" s="1"/>
  <c r="L67" i="24" s="1"/>
  <c r="I69" i="24"/>
  <c r="C71" i="24"/>
  <c r="D71" i="24"/>
  <c r="E71" i="24"/>
  <c r="F71" i="24"/>
  <c r="G71" i="24"/>
  <c r="H71" i="24"/>
  <c r="I84" i="24"/>
  <c r="I86" i="24"/>
  <c r="J86" i="24" s="1"/>
  <c r="K86" i="24" s="1"/>
  <c r="L86" i="24" s="1"/>
  <c r="I88" i="24"/>
  <c r="I90" i="24"/>
  <c r="J90" i="24" s="1"/>
  <c r="K90" i="24" s="1"/>
  <c r="L90" i="24" s="1"/>
  <c r="I92" i="24"/>
  <c r="J92" i="24" s="1"/>
  <c r="I95" i="24"/>
  <c r="I97" i="24"/>
  <c r="J97" i="24" s="1"/>
  <c r="K97" i="24" s="1"/>
  <c r="L97" i="24" s="1"/>
  <c r="I99" i="24"/>
  <c r="M99" i="24" s="1"/>
  <c r="N99" i="24" s="1"/>
  <c r="O99" i="24" s="1"/>
  <c r="I101" i="24"/>
  <c r="J101" i="24" s="1"/>
  <c r="I103" i="24"/>
  <c r="J103" i="24" s="1"/>
  <c r="C105" i="24"/>
  <c r="D105" i="24"/>
  <c r="E105" i="24"/>
  <c r="E239" i="24" s="1"/>
  <c r="F105" i="24"/>
  <c r="G105" i="24"/>
  <c r="H105" i="24"/>
  <c r="D111" i="24"/>
  <c r="E111" i="24"/>
  <c r="F111" i="24"/>
  <c r="F241" i="24" s="1"/>
  <c r="I113" i="24"/>
  <c r="J113" i="24" s="1"/>
  <c r="I115" i="24"/>
  <c r="I117" i="24"/>
  <c r="P117" i="24" s="1"/>
  <c r="Q117" i="24" s="1"/>
  <c r="I120" i="24"/>
  <c r="M120" i="24" s="1"/>
  <c r="N120" i="24" s="1"/>
  <c r="O120" i="24" s="1"/>
  <c r="I122" i="24"/>
  <c r="J122" i="24" s="1"/>
  <c r="K122" i="24" s="1"/>
  <c r="I124" i="24"/>
  <c r="J124" i="24" s="1"/>
  <c r="K124" i="24" s="1"/>
  <c r="L124" i="24" s="1"/>
  <c r="I126" i="24"/>
  <c r="I129" i="24"/>
  <c r="I131" i="24"/>
  <c r="J131" i="24" s="1"/>
  <c r="I133" i="24"/>
  <c r="I135" i="24"/>
  <c r="I138" i="24"/>
  <c r="I140" i="24"/>
  <c r="I142" i="24"/>
  <c r="I144" i="24"/>
  <c r="M144" i="24" s="1"/>
  <c r="N144" i="24" s="1"/>
  <c r="O144" i="24" s="1"/>
  <c r="C241" i="24"/>
  <c r="B155" i="24"/>
  <c r="B156" i="24"/>
  <c r="I159" i="24"/>
  <c r="J159" i="24" s="1"/>
  <c r="I161" i="24"/>
  <c r="I163" i="24"/>
  <c r="I165" i="24"/>
  <c r="I168" i="24"/>
  <c r="I170" i="24"/>
  <c r="J170" i="24" s="1"/>
  <c r="I172" i="24"/>
  <c r="I174" i="24"/>
  <c r="I177" i="24"/>
  <c r="I179" i="24"/>
  <c r="J179" i="24" s="1"/>
  <c r="Q179" i="24"/>
  <c r="R179" i="24" s="1"/>
  <c r="I181" i="24"/>
  <c r="J181" i="24" s="1"/>
  <c r="K181" i="24" s="1"/>
  <c r="L181" i="24" s="1"/>
  <c r="I183" i="24"/>
  <c r="I186" i="24"/>
  <c r="I188" i="24"/>
  <c r="J188" i="24" s="1"/>
  <c r="I190" i="24"/>
  <c r="J190" i="24" s="1"/>
  <c r="K190" i="24" s="1"/>
  <c r="L190" i="24" s="1"/>
  <c r="I192" i="24"/>
  <c r="P192" i="24" s="1"/>
  <c r="Q192" i="24" s="1"/>
  <c r="R192" i="24" s="1"/>
  <c r="C200" i="24"/>
  <c r="C243" i="24" s="1"/>
  <c r="D200" i="24"/>
  <c r="E200" i="24"/>
  <c r="E243" i="24" s="1"/>
  <c r="F200" i="24"/>
  <c r="F243" i="24" s="1"/>
  <c r="G200" i="24"/>
  <c r="G243" i="24" s="1"/>
  <c r="H200" i="24"/>
  <c r="T201" i="24"/>
  <c r="T244" i="24" s="1"/>
  <c r="I206" i="24"/>
  <c r="K206" i="24" s="1"/>
  <c r="L206" i="24" s="1"/>
  <c r="I208" i="24"/>
  <c r="Q208" i="24" s="1"/>
  <c r="R208" i="24" s="1"/>
  <c r="I210" i="24"/>
  <c r="Q210" i="24" s="1"/>
  <c r="R210" i="24" s="1"/>
  <c r="I212" i="24"/>
  <c r="Q212" i="24" s="1"/>
  <c r="R212" i="24" s="1"/>
  <c r="I214" i="24"/>
  <c r="Q214" i="24" s="1"/>
  <c r="R214" i="24" s="1"/>
  <c r="I217" i="24"/>
  <c r="Q217" i="24" s="1"/>
  <c r="R217" i="24" s="1"/>
  <c r="I219" i="24"/>
  <c r="Q219" i="24" s="1"/>
  <c r="R219" i="24" s="1"/>
  <c r="I221" i="24"/>
  <c r="Q221" i="24" s="1"/>
  <c r="R221" i="24" s="1"/>
  <c r="I223" i="24"/>
  <c r="Q223" i="24" s="1"/>
  <c r="R223" i="24" s="1"/>
  <c r="I225" i="24"/>
  <c r="Q225" i="24" s="1"/>
  <c r="R225" i="24" s="1"/>
  <c r="C227" i="24"/>
  <c r="C245" i="24" s="1"/>
  <c r="D227" i="24"/>
  <c r="D245" i="24" s="1"/>
  <c r="E227" i="24"/>
  <c r="E245" i="24" s="1"/>
  <c r="F227" i="24"/>
  <c r="F245" i="24" s="1"/>
  <c r="G227" i="24"/>
  <c r="G245" i="24" s="1"/>
  <c r="H227" i="24"/>
  <c r="H245" i="24" s="1"/>
  <c r="C231" i="24"/>
  <c r="J231" i="24"/>
  <c r="K231" i="24"/>
  <c r="M231" i="24"/>
  <c r="P231" i="24"/>
  <c r="C233" i="24"/>
  <c r="D233" i="24"/>
  <c r="F233" i="24"/>
  <c r="G233" i="24"/>
  <c r="H233" i="24"/>
  <c r="J233" i="24"/>
  <c r="M233" i="24"/>
  <c r="P233" i="24"/>
  <c r="T234" i="24"/>
  <c r="C235" i="24"/>
  <c r="E235" i="24"/>
  <c r="G235" i="24"/>
  <c r="J235" i="24"/>
  <c r="M235" i="24"/>
  <c r="P235" i="24"/>
  <c r="T236" i="24"/>
  <c r="C237" i="24"/>
  <c r="D237" i="24"/>
  <c r="E237" i="24"/>
  <c r="F237" i="24"/>
  <c r="G237" i="24"/>
  <c r="H237" i="24"/>
  <c r="J237" i="24"/>
  <c r="M237" i="24"/>
  <c r="P237" i="24"/>
  <c r="T237" i="24"/>
  <c r="C239" i="24"/>
  <c r="D239" i="24"/>
  <c r="F239" i="24"/>
  <c r="G239" i="24"/>
  <c r="H239" i="24"/>
  <c r="J240" i="24"/>
  <c r="G241" i="24"/>
  <c r="H241" i="24"/>
  <c r="T241" i="24"/>
  <c r="U241" i="24"/>
  <c r="T242" i="24"/>
  <c r="D243" i="24"/>
  <c r="H243" i="24"/>
  <c r="J245" i="24"/>
  <c r="M245" i="24"/>
  <c r="P245" i="24"/>
  <c r="J246" i="24"/>
  <c r="M246" i="24"/>
  <c r="P246" i="24"/>
  <c r="T246" i="24"/>
  <c r="N2" i="15"/>
  <c r="Q2" i="15" s="1"/>
  <c r="Q154" i="15" s="1"/>
  <c r="L9" i="15"/>
  <c r="L10" i="15" s="1"/>
  <c r="L8" i="15"/>
  <c r="K101" i="15" s="1"/>
  <c r="L101" i="15" s="1"/>
  <c r="S101" i="15" s="1"/>
  <c r="T12" i="15"/>
  <c r="L13" i="15"/>
  <c r="T14" i="15"/>
  <c r="I19" i="15"/>
  <c r="Q19" i="15" s="1"/>
  <c r="R19" i="15" s="1"/>
  <c r="C24" i="15"/>
  <c r="C156" i="15" s="1"/>
  <c r="D24" i="15"/>
  <c r="D156" i="15" s="1"/>
  <c r="E24" i="15"/>
  <c r="F24" i="15"/>
  <c r="F156" i="15" s="1"/>
  <c r="G24" i="15"/>
  <c r="G156" i="15" s="1"/>
  <c r="H24" i="15"/>
  <c r="H156" i="15" s="1"/>
  <c r="I24" i="15"/>
  <c r="I156" i="15" s="1"/>
  <c r="I36" i="15"/>
  <c r="C43" i="15"/>
  <c r="C158" i="15" s="1"/>
  <c r="D43" i="15"/>
  <c r="D158" i="15" s="1"/>
  <c r="E43" i="15"/>
  <c r="F43" i="15"/>
  <c r="F158" i="15" s="1"/>
  <c r="G43" i="15"/>
  <c r="H43" i="15"/>
  <c r="H158" i="15" s="1"/>
  <c r="B49" i="15"/>
  <c r="B50" i="15"/>
  <c r="B51" i="15"/>
  <c r="I53" i="15"/>
  <c r="Q53" i="15" s="1"/>
  <c r="R53" i="15" s="1"/>
  <c r="I55" i="15"/>
  <c r="K55" i="15" s="1"/>
  <c r="L55" i="15" s="1"/>
  <c r="I57" i="15"/>
  <c r="K57" i="15" s="1"/>
  <c r="L57" i="15" s="1"/>
  <c r="I59" i="15"/>
  <c r="C61" i="15"/>
  <c r="C160" i="15" s="1"/>
  <c r="D61" i="15"/>
  <c r="E61" i="15"/>
  <c r="E160" i="15" s="1"/>
  <c r="F61" i="15"/>
  <c r="G61" i="15"/>
  <c r="G160" i="15" s="1"/>
  <c r="H61" i="15"/>
  <c r="H160" i="15" s="1"/>
  <c r="B68" i="15"/>
  <c r="I70" i="15"/>
  <c r="I72" i="15"/>
  <c r="I74" i="15"/>
  <c r="I76" i="15"/>
  <c r="Q76" i="15" s="1"/>
  <c r="R76" i="15" s="1"/>
  <c r="C78" i="15"/>
  <c r="C162" i="15" s="1"/>
  <c r="D78" i="15"/>
  <c r="D162" i="15" s="1"/>
  <c r="E78" i="15"/>
  <c r="F78" i="15"/>
  <c r="F162" i="15" s="1"/>
  <c r="G78" i="15"/>
  <c r="G162" i="15" s="1"/>
  <c r="H78" i="15"/>
  <c r="H162" i="15" s="1"/>
  <c r="I85" i="15"/>
  <c r="I87" i="15"/>
  <c r="J87" i="15" s="1"/>
  <c r="I89" i="15"/>
  <c r="I91" i="15"/>
  <c r="I93" i="15"/>
  <c r="I95" i="15"/>
  <c r="I97" i="15"/>
  <c r="J97" i="15" s="1"/>
  <c r="I99" i="15"/>
  <c r="C164" i="15"/>
  <c r="D164" i="15"/>
  <c r="E164" i="15"/>
  <c r="G164" i="15"/>
  <c r="H164" i="15"/>
  <c r="B112" i="15"/>
  <c r="B113" i="15"/>
  <c r="I116" i="15"/>
  <c r="I120" i="15"/>
  <c r="I124" i="15"/>
  <c r="C134" i="15"/>
  <c r="C166" i="15" s="1"/>
  <c r="D134" i="15"/>
  <c r="D166" i="15" s="1"/>
  <c r="E134" i="15"/>
  <c r="E166" i="15" s="1"/>
  <c r="F134" i="15"/>
  <c r="F166" i="15" s="1"/>
  <c r="G134" i="15"/>
  <c r="G166" i="15" s="1"/>
  <c r="H134" i="15"/>
  <c r="H166" i="15" s="1"/>
  <c r="I140" i="15"/>
  <c r="K140" i="15" s="1"/>
  <c r="L140" i="15" s="1"/>
  <c r="C150" i="15"/>
  <c r="C168" i="15" s="1"/>
  <c r="D150" i="15"/>
  <c r="E150" i="15"/>
  <c r="E168" i="15" s="1"/>
  <c r="F150" i="15"/>
  <c r="F168" i="15" s="1"/>
  <c r="G150" i="15"/>
  <c r="G168" i="15" s="1"/>
  <c r="H150" i="15"/>
  <c r="H168" i="15" s="1"/>
  <c r="C154" i="15"/>
  <c r="J154" i="15"/>
  <c r="K154" i="15"/>
  <c r="M154" i="15"/>
  <c r="P154" i="15"/>
  <c r="E156" i="15"/>
  <c r="J156" i="15"/>
  <c r="M156" i="15"/>
  <c r="P156" i="15"/>
  <c r="T157" i="15"/>
  <c r="E158" i="15"/>
  <c r="G158" i="15"/>
  <c r="J158" i="15"/>
  <c r="M158" i="15"/>
  <c r="P158" i="15"/>
  <c r="T159" i="15"/>
  <c r="D160" i="15"/>
  <c r="F160" i="15"/>
  <c r="J160" i="15"/>
  <c r="M160" i="15"/>
  <c r="P160" i="15"/>
  <c r="T160" i="15"/>
  <c r="E162" i="15"/>
  <c r="J162" i="15"/>
  <c r="M162" i="15"/>
  <c r="P162" i="15"/>
  <c r="F164" i="15"/>
  <c r="T164" i="15"/>
  <c r="U164" i="15"/>
  <c r="T165" i="15"/>
  <c r="J166" i="15"/>
  <c r="M166" i="15"/>
  <c r="P166" i="15"/>
  <c r="D168" i="15"/>
  <c r="J168" i="15"/>
  <c r="M168" i="15"/>
  <c r="P168" i="15"/>
  <c r="J169" i="15"/>
  <c r="M169" i="15"/>
  <c r="P169" i="15"/>
  <c r="T169" i="15"/>
  <c r="N2" i="7"/>
  <c r="Q2" i="7" s="1"/>
  <c r="Q113" i="7" s="1"/>
  <c r="T4" i="7"/>
  <c r="T5" i="7"/>
  <c r="T6" i="7"/>
  <c r="T7" i="7"/>
  <c r="T8" i="7"/>
  <c r="T9" i="7"/>
  <c r="T10" i="7"/>
  <c r="L11" i="7"/>
  <c r="O11" i="7"/>
  <c r="R11" i="7"/>
  <c r="T13" i="7"/>
  <c r="I18" i="7"/>
  <c r="I23" i="7" s="1"/>
  <c r="I115" i="7" s="1"/>
  <c r="N21" i="7"/>
  <c r="O21" i="7" s="1"/>
  <c r="Q21" i="7"/>
  <c r="R21" i="7" s="1"/>
  <c r="C23" i="7"/>
  <c r="C115" i="7" s="1"/>
  <c r="D23" i="7"/>
  <c r="D115" i="7" s="1"/>
  <c r="E23" i="7"/>
  <c r="E115" i="7" s="1"/>
  <c r="F23" i="7"/>
  <c r="F115" i="7" s="1"/>
  <c r="G23" i="7"/>
  <c r="G115" i="7" s="1"/>
  <c r="H23" i="7"/>
  <c r="H115" i="7" s="1"/>
  <c r="I32" i="7"/>
  <c r="C36" i="7"/>
  <c r="C117" i="7" s="1"/>
  <c r="D36" i="7"/>
  <c r="D117" i="7" s="1"/>
  <c r="E36" i="7"/>
  <c r="E117" i="7" s="1"/>
  <c r="F36" i="7"/>
  <c r="F117" i="7" s="1"/>
  <c r="G36" i="7"/>
  <c r="G117" i="7" s="1"/>
  <c r="H36" i="7"/>
  <c r="H117" i="7" s="1"/>
  <c r="I44" i="7"/>
  <c r="I46" i="7" s="1"/>
  <c r="I119" i="7" s="1"/>
  <c r="C46" i="7"/>
  <c r="D46" i="7"/>
  <c r="E46" i="7"/>
  <c r="F46" i="7"/>
  <c r="G46" i="7"/>
  <c r="G47" i="7" s="1"/>
  <c r="G120" i="7" s="1"/>
  <c r="H46" i="7"/>
  <c r="H119" i="7" s="1"/>
  <c r="I54" i="7"/>
  <c r="I56" i="7"/>
  <c r="C58" i="7"/>
  <c r="C121" i="7" s="1"/>
  <c r="D58" i="7"/>
  <c r="D121" i="7" s="1"/>
  <c r="E58" i="7"/>
  <c r="E121" i="7" s="1"/>
  <c r="F58" i="7"/>
  <c r="F121" i="7" s="1"/>
  <c r="G58" i="7"/>
  <c r="H58" i="7"/>
  <c r="H121" i="7" s="1"/>
  <c r="I64" i="7"/>
  <c r="I66" i="7"/>
  <c r="I68" i="7"/>
  <c r="I70" i="7"/>
  <c r="C74" i="7"/>
  <c r="C123" i="7" s="1"/>
  <c r="D74" i="7"/>
  <c r="D123" i="7" s="1"/>
  <c r="E74" i="7"/>
  <c r="E123" i="7" s="1"/>
  <c r="F74" i="7"/>
  <c r="F123" i="7" s="1"/>
  <c r="G74" i="7"/>
  <c r="G123" i="7" s="1"/>
  <c r="H74" i="7"/>
  <c r="H123" i="7" s="1"/>
  <c r="I81" i="7"/>
  <c r="I83" i="7"/>
  <c r="I86" i="7"/>
  <c r="I88" i="7"/>
  <c r="I90" i="7"/>
  <c r="I94" i="7"/>
  <c r="K94" i="7" s="1"/>
  <c r="L94" i="7" s="1"/>
  <c r="I98" i="7"/>
  <c r="K98" i="7" s="1"/>
  <c r="L98" i="7" s="1"/>
  <c r="C100" i="7"/>
  <c r="C125" i="7" s="1"/>
  <c r="D100" i="7"/>
  <c r="D125" i="7" s="1"/>
  <c r="E100" i="7"/>
  <c r="E125" i="7" s="1"/>
  <c r="F100" i="7"/>
  <c r="F125" i="7" s="1"/>
  <c r="G100" i="7"/>
  <c r="H100" i="7"/>
  <c r="H125" i="7" s="1"/>
  <c r="I106" i="7"/>
  <c r="I108" i="7"/>
  <c r="C110" i="7"/>
  <c r="C127" i="7" s="1"/>
  <c r="D110" i="7"/>
  <c r="D127" i="7" s="1"/>
  <c r="E110" i="7"/>
  <c r="F110" i="7"/>
  <c r="F127" i="7" s="1"/>
  <c r="G110" i="7"/>
  <c r="G127" i="7" s="1"/>
  <c r="H110" i="7"/>
  <c r="H127" i="7" s="1"/>
  <c r="C113" i="7"/>
  <c r="J113" i="7"/>
  <c r="K113" i="7"/>
  <c r="M113" i="7"/>
  <c r="P113" i="7"/>
  <c r="J115" i="7"/>
  <c r="M115" i="7"/>
  <c r="P115" i="7"/>
  <c r="T116" i="7"/>
  <c r="J117" i="7"/>
  <c r="M117" i="7"/>
  <c r="P117" i="7"/>
  <c r="K118" i="7"/>
  <c r="N118" i="7"/>
  <c r="Q118" i="7"/>
  <c r="T118" i="7"/>
  <c r="G119" i="7"/>
  <c r="J119" i="7"/>
  <c r="M119" i="7"/>
  <c r="P119" i="7"/>
  <c r="T119" i="7"/>
  <c r="G121" i="7"/>
  <c r="J121" i="7"/>
  <c r="M121" i="7"/>
  <c r="P121" i="7"/>
  <c r="J123" i="7"/>
  <c r="M123" i="7"/>
  <c r="P123" i="7"/>
  <c r="T123" i="7"/>
  <c r="U123" i="7"/>
  <c r="T124" i="7"/>
  <c r="G125" i="7"/>
  <c r="J125" i="7"/>
  <c r="K125" i="7"/>
  <c r="M125" i="7"/>
  <c r="N125" i="7"/>
  <c r="P125" i="7"/>
  <c r="Q125" i="7"/>
  <c r="T126" i="7"/>
  <c r="E127" i="7"/>
  <c r="J127" i="7"/>
  <c r="M127" i="7"/>
  <c r="P127" i="7"/>
  <c r="T128" i="7"/>
  <c r="N2" i="1"/>
  <c r="T3" i="1"/>
  <c r="T4" i="1"/>
  <c r="L5" i="1"/>
  <c r="O5" i="1"/>
  <c r="R5" i="1"/>
  <c r="I10" i="1"/>
  <c r="N13" i="1"/>
  <c r="O13" i="1" s="1"/>
  <c r="Q13" i="1"/>
  <c r="R13" i="1" s="1"/>
  <c r="C15" i="1"/>
  <c r="C105" i="1" s="1"/>
  <c r="D15" i="1"/>
  <c r="D105" i="1" s="1"/>
  <c r="E15" i="1"/>
  <c r="E105" i="1" s="1"/>
  <c r="F15" i="1"/>
  <c r="F105" i="1" s="1"/>
  <c r="G15" i="1"/>
  <c r="H15" i="1"/>
  <c r="H105" i="1" s="1"/>
  <c r="I24" i="1"/>
  <c r="I28" i="1" s="1"/>
  <c r="I107" i="1" s="1"/>
  <c r="C28" i="1"/>
  <c r="C107" i="1" s="1"/>
  <c r="D28" i="1"/>
  <c r="E28" i="1"/>
  <c r="E107" i="1" s="1"/>
  <c r="F28" i="1"/>
  <c r="F107" i="1" s="1"/>
  <c r="G28" i="1"/>
  <c r="G107" i="1" s="1"/>
  <c r="H28" i="1"/>
  <c r="H107" i="1" s="1"/>
  <c r="I36" i="1"/>
  <c r="Q36" i="1" s="1"/>
  <c r="R36" i="1" s="1"/>
  <c r="R38" i="1" s="1"/>
  <c r="R109" i="1" s="1"/>
  <c r="C38" i="1"/>
  <c r="D38" i="1"/>
  <c r="D39" i="1" s="1"/>
  <c r="D110" i="1" s="1"/>
  <c r="E38" i="1"/>
  <c r="E39" i="1" s="1"/>
  <c r="E110" i="1" s="1"/>
  <c r="F38" i="1"/>
  <c r="F39" i="1" s="1"/>
  <c r="F110" i="1" s="1"/>
  <c r="G38" i="1"/>
  <c r="G39" i="1" s="1"/>
  <c r="G110" i="1" s="1"/>
  <c r="H38" i="1"/>
  <c r="H109" i="1" s="1"/>
  <c r="I46" i="1"/>
  <c r="Q46" i="1" s="1"/>
  <c r="C50" i="1"/>
  <c r="D50" i="1"/>
  <c r="D111" i="1" s="1"/>
  <c r="E50" i="1"/>
  <c r="E111" i="1" s="1"/>
  <c r="F50" i="1"/>
  <c r="F111" i="1" s="1"/>
  <c r="G50" i="1"/>
  <c r="G111" i="1" s="1"/>
  <c r="H50" i="1"/>
  <c r="H111" i="1" s="1"/>
  <c r="I56" i="1"/>
  <c r="I58" i="1"/>
  <c r="Q58" i="1" s="1"/>
  <c r="R58" i="1" s="1"/>
  <c r="I60" i="1"/>
  <c r="Q60" i="1" s="1"/>
  <c r="R60" i="1" s="1"/>
  <c r="I62" i="1"/>
  <c r="Q62" i="1" s="1"/>
  <c r="R62" i="1" s="1"/>
  <c r="D113" i="1"/>
  <c r="E113" i="1"/>
  <c r="I73" i="1"/>
  <c r="I78" i="1"/>
  <c r="Q78" i="1" s="1"/>
  <c r="R78" i="1" s="1"/>
  <c r="I80" i="1"/>
  <c r="Q80" i="1" s="1"/>
  <c r="R80" i="1" s="1"/>
  <c r="I82" i="1"/>
  <c r="L85" i="1"/>
  <c r="C90" i="1"/>
  <c r="C115" i="1" s="1"/>
  <c r="D90" i="1"/>
  <c r="D115" i="1" s="1"/>
  <c r="E90" i="1"/>
  <c r="E115" i="1" s="1"/>
  <c r="F90" i="1"/>
  <c r="G90" i="1"/>
  <c r="G115" i="1" s="1"/>
  <c r="H90" i="1"/>
  <c r="I96" i="1"/>
  <c r="K96" i="1" s="1"/>
  <c r="L96" i="1" s="1"/>
  <c r="C100" i="1"/>
  <c r="D100" i="1"/>
  <c r="D117" i="1" s="1"/>
  <c r="E100" i="1"/>
  <c r="E117" i="1" s="1"/>
  <c r="F100" i="1"/>
  <c r="F117" i="1" s="1"/>
  <c r="G100" i="1"/>
  <c r="H100" i="1"/>
  <c r="H117" i="1" s="1"/>
  <c r="C103" i="1"/>
  <c r="J103" i="1"/>
  <c r="K103" i="1"/>
  <c r="M103" i="1"/>
  <c r="P103" i="1"/>
  <c r="G105" i="1"/>
  <c r="J105" i="1"/>
  <c r="M105" i="1"/>
  <c r="P105" i="1"/>
  <c r="T106" i="1"/>
  <c r="D107" i="1"/>
  <c r="J107" i="1"/>
  <c r="M107" i="1"/>
  <c r="P107" i="1"/>
  <c r="K108" i="1"/>
  <c r="N108" i="1"/>
  <c r="Q108" i="1"/>
  <c r="T108" i="1"/>
  <c r="D109" i="1"/>
  <c r="E109" i="1"/>
  <c r="F109" i="1"/>
  <c r="G109" i="1"/>
  <c r="J109" i="1"/>
  <c r="M109" i="1"/>
  <c r="P109" i="1"/>
  <c r="T109" i="1"/>
  <c r="C111" i="1"/>
  <c r="J111" i="1"/>
  <c r="M111" i="1"/>
  <c r="P111" i="1"/>
  <c r="C113" i="1"/>
  <c r="F113" i="1"/>
  <c r="G113" i="1"/>
  <c r="H113" i="1"/>
  <c r="J113" i="1"/>
  <c r="M113" i="1"/>
  <c r="P113" i="1"/>
  <c r="T113" i="1"/>
  <c r="U113" i="1"/>
  <c r="T114" i="1"/>
  <c r="F115" i="1"/>
  <c r="H115" i="1"/>
  <c r="J115" i="1"/>
  <c r="K115" i="1"/>
  <c r="M115" i="1"/>
  <c r="N115" i="1"/>
  <c r="P115" i="1"/>
  <c r="Q115" i="1"/>
  <c r="K116" i="1"/>
  <c r="N116" i="1"/>
  <c r="Q116" i="1"/>
  <c r="T116" i="1"/>
  <c r="C117" i="1"/>
  <c r="G117" i="1"/>
  <c r="J117" i="1"/>
  <c r="M117" i="1"/>
  <c r="P117" i="1"/>
  <c r="T118" i="1"/>
  <c r="N2" i="10"/>
  <c r="Q2" i="10" s="1"/>
  <c r="Q103" i="10" s="1"/>
  <c r="T3" i="10"/>
  <c r="T4" i="10"/>
  <c r="L5" i="10"/>
  <c r="O5" i="10"/>
  <c r="R5" i="10"/>
  <c r="I10" i="10"/>
  <c r="I15" i="10" s="1"/>
  <c r="N15" i="10" s="1"/>
  <c r="N13" i="10"/>
  <c r="O13" i="10" s="1"/>
  <c r="Q13" i="10"/>
  <c r="R13" i="10" s="1"/>
  <c r="C15" i="10"/>
  <c r="D15" i="10"/>
  <c r="D105" i="10" s="1"/>
  <c r="E15" i="10"/>
  <c r="F15" i="10"/>
  <c r="F105" i="10" s="1"/>
  <c r="G15" i="10"/>
  <c r="G105" i="10" s="1"/>
  <c r="H15" i="10"/>
  <c r="H105" i="10" s="1"/>
  <c r="I24" i="10"/>
  <c r="C28" i="10"/>
  <c r="C107" i="10" s="1"/>
  <c r="D28" i="10"/>
  <c r="E28" i="10"/>
  <c r="E107" i="10" s="1"/>
  <c r="F28" i="10"/>
  <c r="F107" i="10" s="1"/>
  <c r="G28" i="10"/>
  <c r="G107" i="10" s="1"/>
  <c r="H28" i="10"/>
  <c r="H107" i="10" s="1"/>
  <c r="I28" i="10"/>
  <c r="I107" i="10" s="1"/>
  <c r="I36" i="10"/>
  <c r="Q36" i="10" s="1"/>
  <c r="R36" i="10" s="1"/>
  <c r="C38" i="10"/>
  <c r="D38" i="10"/>
  <c r="D39" i="10"/>
  <c r="D110" i="10" s="1"/>
  <c r="E38" i="10"/>
  <c r="E39" i="10" s="1"/>
  <c r="E110" i="10" s="1"/>
  <c r="F38" i="10"/>
  <c r="F39" i="10" s="1"/>
  <c r="F110" i="10" s="1"/>
  <c r="G38" i="10"/>
  <c r="G39" i="10" s="1"/>
  <c r="G110" i="10" s="1"/>
  <c r="H38" i="10"/>
  <c r="I46" i="10"/>
  <c r="N46" i="10" s="1"/>
  <c r="O46" i="10" s="1"/>
  <c r="C50" i="10"/>
  <c r="C111" i="10" s="1"/>
  <c r="D50" i="10"/>
  <c r="D111" i="10" s="1"/>
  <c r="E50" i="10"/>
  <c r="E111" i="10" s="1"/>
  <c r="F50" i="10"/>
  <c r="F111" i="10" s="1"/>
  <c r="G50" i="10"/>
  <c r="G111" i="10" s="1"/>
  <c r="H50" i="10"/>
  <c r="H111" i="10" s="1"/>
  <c r="I56" i="10"/>
  <c r="I58" i="10"/>
  <c r="Q58" i="10" s="1"/>
  <c r="I60" i="10"/>
  <c r="Q60" i="10" s="1"/>
  <c r="R60" i="10" s="1"/>
  <c r="I62" i="10"/>
  <c r="E113" i="10"/>
  <c r="F113" i="10"/>
  <c r="G113" i="10"/>
  <c r="H113" i="10"/>
  <c r="I73" i="10"/>
  <c r="K73" i="10" s="1"/>
  <c r="L73" i="10" s="1"/>
  <c r="I78" i="10"/>
  <c r="Q78" i="10" s="1"/>
  <c r="R78" i="10" s="1"/>
  <c r="I80" i="10"/>
  <c r="Q80" i="10" s="1"/>
  <c r="R80" i="10" s="1"/>
  <c r="I82" i="10"/>
  <c r="C90" i="10"/>
  <c r="D90" i="10"/>
  <c r="D115" i="10" s="1"/>
  <c r="E90" i="10"/>
  <c r="E115" i="10" s="1"/>
  <c r="F90" i="10"/>
  <c r="F115" i="10" s="1"/>
  <c r="G90" i="10"/>
  <c r="G115" i="10" s="1"/>
  <c r="H90" i="10"/>
  <c r="H115" i="10" s="1"/>
  <c r="I96" i="10"/>
  <c r="C100" i="10"/>
  <c r="C117" i="10" s="1"/>
  <c r="D100" i="10"/>
  <c r="D117" i="10" s="1"/>
  <c r="E100" i="10"/>
  <c r="E117" i="10" s="1"/>
  <c r="F100" i="10"/>
  <c r="F117" i="10" s="1"/>
  <c r="G100" i="10"/>
  <c r="G117" i="10" s="1"/>
  <c r="H100" i="10"/>
  <c r="H117" i="10" s="1"/>
  <c r="C103" i="10"/>
  <c r="J103" i="10"/>
  <c r="K103" i="10"/>
  <c r="M103" i="10"/>
  <c r="P103" i="10"/>
  <c r="C105" i="10"/>
  <c r="E105" i="10"/>
  <c r="J105" i="10"/>
  <c r="M105" i="10"/>
  <c r="P105" i="10"/>
  <c r="T106" i="10"/>
  <c r="D107" i="10"/>
  <c r="J107" i="10"/>
  <c r="M107" i="10"/>
  <c r="P107" i="10"/>
  <c r="K108" i="10"/>
  <c r="N108" i="10"/>
  <c r="Q108" i="10"/>
  <c r="T108" i="10"/>
  <c r="D109" i="10"/>
  <c r="E109" i="10"/>
  <c r="J109" i="10"/>
  <c r="M109" i="10"/>
  <c r="P109" i="10"/>
  <c r="T109" i="10"/>
  <c r="J111" i="10"/>
  <c r="M111" i="10"/>
  <c r="P111" i="10"/>
  <c r="C113" i="10"/>
  <c r="D113" i="10"/>
  <c r="J113" i="10"/>
  <c r="M113" i="10"/>
  <c r="P113" i="10"/>
  <c r="T113" i="10"/>
  <c r="U113" i="10"/>
  <c r="T114" i="10"/>
  <c r="C115" i="10"/>
  <c r="J115" i="10"/>
  <c r="K115" i="10"/>
  <c r="M115" i="10"/>
  <c r="N115" i="10"/>
  <c r="P115" i="10"/>
  <c r="Q115" i="10"/>
  <c r="K116" i="10"/>
  <c r="N116" i="10"/>
  <c r="Q116" i="10"/>
  <c r="T116" i="10"/>
  <c r="J117" i="10"/>
  <c r="M117" i="10"/>
  <c r="P117" i="10"/>
  <c r="T118" i="10"/>
  <c r="N2" i="9"/>
  <c r="Q2" i="9" s="1"/>
  <c r="Q103" i="9" s="1"/>
  <c r="T3" i="9"/>
  <c r="T4" i="9"/>
  <c r="L5" i="9"/>
  <c r="O5" i="9"/>
  <c r="R5" i="9"/>
  <c r="I10" i="9"/>
  <c r="I15" i="9" s="1"/>
  <c r="N13" i="9"/>
  <c r="O13" i="9" s="1"/>
  <c r="Q13" i="9"/>
  <c r="R13" i="9" s="1"/>
  <c r="C15" i="9"/>
  <c r="C105" i="9" s="1"/>
  <c r="D15" i="9"/>
  <c r="E15" i="9"/>
  <c r="E105" i="9" s="1"/>
  <c r="F15" i="9"/>
  <c r="G15" i="9"/>
  <c r="G105" i="9" s="1"/>
  <c r="H15" i="9"/>
  <c r="I24" i="9"/>
  <c r="C28" i="9"/>
  <c r="D28" i="9"/>
  <c r="D107" i="9" s="1"/>
  <c r="E28" i="9"/>
  <c r="E107" i="9" s="1"/>
  <c r="F28" i="9"/>
  <c r="G28" i="9"/>
  <c r="G107" i="9" s="1"/>
  <c r="H28" i="9"/>
  <c r="H107" i="9" s="1"/>
  <c r="I36" i="9"/>
  <c r="C38" i="9"/>
  <c r="C39" i="9" s="1"/>
  <c r="C110" i="9" s="1"/>
  <c r="D38" i="9"/>
  <c r="D109" i="9" s="1"/>
  <c r="E38" i="9"/>
  <c r="E39" i="9" s="1"/>
  <c r="E110" i="9" s="1"/>
  <c r="F38" i="9"/>
  <c r="G38" i="9"/>
  <c r="H38" i="9"/>
  <c r="H39" i="9" s="1"/>
  <c r="H110" i="9" s="1"/>
  <c r="I46" i="9"/>
  <c r="K46" i="9" s="1"/>
  <c r="C50" i="9"/>
  <c r="C111" i="9" s="1"/>
  <c r="D50" i="9"/>
  <c r="D111" i="9" s="1"/>
  <c r="E50" i="9"/>
  <c r="E111" i="9" s="1"/>
  <c r="F50" i="9"/>
  <c r="F111" i="9" s="1"/>
  <c r="G50" i="9"/>
  <c r="G111" i="9" s="1"/>
  <c r="H50" i="9"/>
  <c r="I56" i="9"/>
  <c r="K56" i="9" s="1"/>
  <c r="I58" i="9"/>
  <c r="Q58" i="9" s="1"/>
  <c r="R58" i="9" s="1"/>
  <c r="I60" i="9"/>
  <c r="I62" i="9"/>
  <c r="Q62" i="9" s="1"/>
  <c r="R62" i="9" s="1"/>
  <c r="C113" i="9"/>
  <c r="E113" i="9"/>
  <c r="G113" i="9"/>
  <c r="H113" i="9"/>
  <c r="I73" i="9"/>
  <c r="I78" i="9"/>
  <c r="Q78" i="9" s="1"/>
  <c r="R78" i="9" s="1"/>
  <c r="I80" i="9"/>
  <c r="K80" i="9" s="1"/>
  <c r="L80" i="9" s="1"/>
  <c r="I82" i="9"/>
  <c r="Q82" i="9" s="1"/>
  <c r="R82" i="9" s="1"/>
  <c r="C90" i="9"/>
  <c r="C115" i="9" s="1"/>
  <c r="D90" i="9"/>
  <c r="E90" i="9"/>
  <c r="E115" i="9" s="1"/>
  <c r="F90" i="9"/>
  <c r="F115" i="9" s="1"/>
  <c r="G90" i="9"/>
  <c r="G115" i="9" s="1"/>
  <c r="H90" i="9"/>
  <c r="H115" i="9" s="1"/>
  <c r="I96" i="9"/>
  <c r="K96" i="9" s="1"/>
  <c r="L96" i="9" s="1"/>
  <c r="C100" i="9"/>
  <c r="C117" i="9" s="1"/>
  <c r="D100" i="9"/>
  <c r="D117" i="9" s="1"/>
  <c r="E100" i="9"/>
  <c r="E117" i="9" s="1"/>
  <c r="F100" i="9"/>
  <c r="F117" i="9" s="1"/>
  <c r="G100" i="9"/>
  <c r="G117" i="9" s="1"/>
  <c r="H100" i="9"/>
  <c r="H117" i="9" s="1"/>
  <c r="C103" i="9"/>
  <c r="J103" i="9"/>
  <c r="K103" i="9"/>
  <c r="M103" i="9"/>
  <c r="P103" i="9"/>
  <c r="D105" i="9"/>
  <c r="F105" i="9"/>
  <c r="H105" i="9"/>
  <c r="J105" i="9"/>
  <c r="M105" i="9"/>
  <c r="P105" i="9"/>
  <c r="T106" i="9"/>
  <c r="C107" i="9"/>
  <c r="F107" i="9"/>
  <c r="J107" i="9"/>
  <c r="M107" i="9"/>
  <c r="P107" i="9"/>
  <c r="K108" i="9"/>
  <c r="N108" i="9"/>
  <c r="Q108" i="9"/>
  <c r="T108" i="9"/>
  <c r="E109" i="9"/>
  <c r="H109" i="9"/>
  <c r="J109" i="9"/>
  <c r="M109" i="9"/>
  <c r="P109" i="9"/>
  <c r="T109" i="9"/>
  <c r="H111" i="9"/>
  <c r="J111" i="9"/>
  <c r="M111" i="9"/>
  <c r="P111" i="9"/>
  <c r="D113" i="9"/>
  <c r="F113" i="9"/>
  <c r="J113" i="9"/>
  <c r="M113" i="9"/>
  <c r="P113" i="9"/>
  <c r="T113" i="9"/>
  <c r="U113" i="9"/>
  <c r="T114" i="9"/>
  <c r="D115" i="9"/>
  <c r="J115" i="9"/>
  <c r="K115" i="9"/>
  <c r="M115" i="9"/>
  <c r="N115" i="9"/>
  <c r="P115" i="9"/>
  <c r="Q115" i="9"/>
  <c r="K116" i="9"/>
  <c r="N116" i="9"/>
  <c r="Q116" i="9"/>
  <c r="T116" i="9"/>
  <c r="J117" i="9"/>
  <c r="M117" i="9"/>
  <c r="P117" i="9"/>
  <c r="T118" i="9"/>
  <c r="AP6" i="8"/>
  <c r="C39" i="20" s="1"/>
  <c r="X17" i="8"/>
  <c r="L19" i="8"/>
  <c r="C32" i="15" s="1"/>
  <c r="R19" i="8"/>
  <c r="C49" i="15" s="1"/>
  <c r="U19" i="8"/>
  <c r="C50" i="15" s="1"/>
  <c r="X19" i="8"/>
  <c r="C51" i="15" s="1"/>
  <c r="AD19" i="8"/>
  <c r="C113" i="15" s="1"/>
  <c r="O20" i="8"/>
  <c r="U20" i="8"/>
  <c r="C34" i="24" s="1"/>
  <c r="AJ20" i="8"/>
  <c r="C155" i="24" s="1"/>
  <c r="D3" i="6"/>
  <c r="D4" i="6"/>
  <c r="D5" i="6"/>
  <c r="D6" i="6"/>
  <c r="F27" i="1" s="1"/>
  <c r="D7" i="6"/>
  <c r="D8" i="6"/>
  <c r="H62" i="24" s="1"/>
  <c r="D9" i="6"/>
  <c r="I29" i="16" s="1"/>
  <c r="K159" i="24"/>
  <c r="L159" i="24" s="1"/>
  <c r="R46" i="1"/>
  <c r="L76" i="11"/>
  <c r="H58" i="15"/>
  <c r="H59" i="1"/>
  <c r="H130" i="24"/>
  <c r="H133" i="15"/>
  <c r="H178" i="24"/>
  <c r="H215" i="24"/>
  <c r="H74" i="16"/>
  <c r="H38" i="13"/>
  <c r="H91" i="17"/>
  <c r="H54" i="14"/>
  <c r="F11" i="10"/>
  <c r="F11" i="11"/>
  <c r="F63" i="9"/>
  <c r="F63" i="10"/>
  <c r="F63" i="1"/>
  <c r="F119" i="15"/>
  <c r="F127" i="15"/>
  <c r="F60" i="11"/>
  <c r="F213" i="24"/>
  <c r="F222" i="24"/>
  <c r="F55" i="17"/>
  <c r="F95" i="16"/>
  <c r="F54" i="14"/>
  <c r="F83" i="14"/>
  <c r="D11" i="9"/>
  <c r="D14" i="9"/>
  <c r="D11" i="10"/>
  <c r="D14" i="10"/>
  <c r="D11" i="1"/>
  <c r="D14" i="1"/>
  <c r="D16" i="1" s="1"/>
  <c r="D106" i="1" s="1"/>
  <c r="D11" i="11"/>
  <c r="D14" i="11"/>
  <c r="D19" i="7"/>
  <c r="D22" i="7"/>
  <c r="D20" i="15"/>
  <c r="D23" i="15"/>
  <c r="D15" i="24"/>
  <c r="D18" i="24"/>
  <c r="D25" i="9"/>
  <c r="D27" i="10"/>
  <c r="D27" i="9"/>
  <c r="D25" i="10"/>
  <c r="D27" i="1"/>
  <c r="D29" i="1" s="1"/>
  <c r="D108" i="1" s="1"/>
  <c r="D26" i="11"/>
  <c r="D35" i="7"/>
  <c r="D37" i="7" s="1"/>
  <c r="D118" i="7" s="1"/>
  <c r="D40" i="15"/>
  <c r="D41" i="24"/>
  <c r="D45" i="24"/>
  <c r="D49" i="24"/>
  <c r="D25" i="1"/>
  <c r="D28" i="11"/>
  <c r="D30" i="11" s="1"/>
  <c r="D107" i="11" s="1"/>
  <c r="D33" i="7"/>
  <c r="D37" i="15"/>
  <c r="D42" i="15"/>
  <c r="D38" i="24"/>
  <c r="D43" i="24"/>
  <c r="D47" i="24"/>
  <c r="D37" i="9"/>
  <c r="D37" i="1"/>
  <c r="D58" i="15"/>
  <c r="D60" i="15"/>
  <c r="D62" i="24"/>
  <c r="D66" i="24"/>
  <c r="D70" i="24"/>
  <c r="D53" i="20"/>
  <c r="D55" i="20" s="1"/>
  <c r="D37" i="10"/>
  <c r="D40" i="11"/>
  <c r="D45" i="7"/>
  <c r="D54" i="15"/>
  <c r="D56" i="15"/>
  <c r="D64" i="24"/>
  <c r="D68" i="24"/>
  <c r="D47" i="9"/>
  <c r="D49" i="9"/>
  <c r="D49" i="10"/>
  <c r="D47" i="1"/>
  <c r="D52" i="11"/>
  <c r="D55" i="7"/>
  <c r="D75" i="15"/>
  <c r="D87" i="24"/>
  <c r="D91" i="24"/>
  <c r="D96" i="24"/>
  <c r="D100" i="24"/>
  <c r="D104" i="24"/>
  <c r="D57" i="9"/>
  <c r="D59" i="9"/>
  <c r="D61" i="9"/>
  <c r="D63" i="9"/>
  <c r="D57" i="10"/>
  <c r="D59" i="10"/>
  <c r="D61" i="10"/>
  <c r="D63" i="10"/>
  <c r="D57" i="1"/>
  <c r="D59" i="1"/>
  <c r="D61" i="1"/>
  <c r="D63" i="1"/>
  <c r="D47" i="10"/>
  <c r="D51" i="10" s="1"/>
  <c r="D112" i="10" s="1"/>
  <c r="D49" i="1"/>
  <c r="D50" i="11"/>
  <c r="D57" i="7"/>
  <c r="D71" i="15"/>
  <c r="D79" i="15" s="1"/>
  <c r="D163" i="15" s="1"/>
  <c r="D85" i="24"/>
  <c r="D89" i="24"/>
  <c r="D93" i="24"/>
  <c r="D98" i="24"/>
  <c r="D102" i="24"/>
  <c r="D60" i="11"/>
  <c r="D64" i="11"/>
  <c r="D66" i="11"/>
  <c r="D65" i="7"/>
  <c r="D67" i="7"/>
  <c r="D69" i="7"/>
  <c r="D71" i="7"/>
  <c r="D100" i="15"/>
  <c r="D98" i="15"/>
  <c r="D96" i="15"/>
  <c r="D94" i="15"/>
  <c r="D92" i="15"/>
  <c r="D90" i="15"/>
  <c r="D88" i="15"/>
  <c r="D86" i="15"/>
  <c r="D116" i="24"/>
  <c r="D121" i="24"/>
  <c r="D125" i="24"/>
  <c r="D130" i="24"/>
  <c r="D134" i="24"/>
  <c r="D139" i="24"/>
  <c r="D143" i="24"/>
  <c r="D89" i="9"/>
  <c r="D86" i="9"/>
  <c r="D81" i="9"/>
  <c r="D76" i="9"/>
  <c r="D89" i="10"/>
  <c r="D86" i="10"/>
  <c r="D81" i="10"/>
  <c r="D76" i="10"/>
  <c r="D89" i="1"/>
  <c r="D86" i="1"/>
  <c r="D81" i="1"/>
  <c r="D76" i="1"/>
  <c r="D77" i="11"/>
  <c r="D80" i="11"/>
  <c r="D82" i="11"/>
  <c r="D85" i="11"/>
  <c r="D88" i="11"/>
  <c r="D90" i="11" s="1"/>
  <c r="D115" i="11" s="1"/>
  <c r="D99" i="7"/>
  <c r="D95" i="7"/>
  <c r="D89" i="7"/>
  <c r="D84" i="7"/>
  <c r="D117" i="15"/>
  <c r="D119" i="15"/>
  <c r="D121" i="15"/>
  <c r="D123" i="15"/>
  <c r="D125" i="15"/>
  <c r="D127" i="15"/>
  <c r="D130" i="15"/>
  <c r="D133" i="15"/>
  <c r="D196" i="24"/>
  <c r="D62" i="11"/>
  <c r="D114" i="24"/>
  <c r="D118" i="24"/>
  <c r="D123" i="24"/>
  <c r="D127" i="24"/>
  <c r="D132" i="24"/>
  <c r="D136" i="24"/>
  <c r="D141" i="24"/>
  <c r="D145" i="24"/>
  <c r="D66" i="20"/>
  <c r="D83" i="9"/>
  <c r="D79" i="9"/>
  <c r="D74" i="9"/>
  <c r="D83" i="10"/>
  <c r="D79" i="10"/>
  <c r="D74" i="10"/>
  <c r="D83" i="1"/>
  <c r="D79" i="1"/>
  <c r="D74" i="1"/>
  <c r="D91" i="7"/>
  <c r="D87" i="7"/>
  <c r="D82" i="7"/>
  <c r="D160" i="24"/>
  <c r="D162" i="24"/>
  <c r="D164" i="24"/>
  <c r="D166" i="24"/>
  <c r="D169" i="24"/>
  <c r="D171" i="24"/>
  <c r="D173" i="24"/>
  <c r="D175" i="24"/>
  <c r="D178" i="24"/>
  <c r="D180" i="24"/>
  <c r="D182" i="24"/>
  <c r="D184" i="24"/>
  <c r="D187" i="24"/>
  <c r="D189" i="24"/>
  <c r="D191" i="24"/>
  <c r="D193" i="24"/>
  <c r="D199" i="24"/>
  <c r="D97" i="9"/>
  <c r="D99" i="9"/>
  <c r="D97" i="10"/>
  <c r="D99" i="10"/>
  <c r="D97" i="1"/>
  <c r="D99" i="1"/>
  <c r="D96" i="11"/>
  <c r="D98" i="11"/>
  <c r="D107" i="7"/>
  <c r="D109" i="7"/>
  <c r="D141" i="15"/>
  <c r="D144" i="15"/>
  <c r="D147" i="15"/>
  <c r="D149" i="15"/>
  <c r="D207" i="24"/>
  <c r="D209" i="24"/>
  <c r="D211" i="24"/>
  <c r="D213" i="24"/>
  <c r="D215" i="24"/>
  <c r="D218" i="24"/>
  <c r="D220" i="24"/>
  <c r="D222" i="24"/>
  <c r="D224" i="24"/>
  <c r="D226" i="24"/>
  <c r="D14" i="17"/>
  <c r="D27" i="17"/>
  <c r="D55" i="17"/>
  <c r="D65" i="17"/>
  <c r="D69" i="17"/>
  <c r="D84" i="17"/>
  <c r="D88" i="17"/>
  <c r="D94" i="17"/>
  <c r="D102" i="17"/>
  <c r="D51" i="16"/>
  <c r="D53" i="16" s="1"/>
  <c r="D110" i="16" s="1"/>
  <c r="D59" i="16"/>
  <c r="D74" i="16"/>
  <c r="D79" i="16"/>
  <c r="D84" i="16"/>
  <c r="D97" i="16"/>
  <c r="D24" i="14"/>
  <c r="D34" i="14"/>
  <c r="D36" i="14" s="1"/>
  <c r="D107" i="14" s="1"/>
  <c r="D46" i="14"/>
  <c r="D56" i="14"/>
  <c r="D60" i="14"/>
  <c r="D71" i="14"/>
  <c r="D76" i="14"/>
  <c r="D80" i="14"/>
  <c r="D86" i="14"/>
  <c r="D94" i="14"/>
  <c r="D15" i="13"/>
  <c r="D28" i="13"/>
  <c r="D38" i="13"/>
  <c r="D50" i="13"/>
  <c r="D60" i="13"/>
  <c r="D64" i="13"/>
  <c r="D75" i="13"/>
  <c r="D80" i="13"/>
  <c r="D84" i="13"/>
  <c r="D90" i="13"/>
  <c r="D11" i="17"/>
  <c r="D25" i="17"/>
  <c r="D43" i="17"/>
  <c r="D53" i="17"/>
  <c r="D57" i="17"/>
  <c r="D67" i="17"/>
  <c r="D71" i="17"/>
  <c r="D86" i="17"/>
  <c r="D91" i="17"/>
  <c r="D104" i="17"/>
  <c r="D106" i="17" s="1"/>
  <c r="D123" i="17" s="1"/>
  <c r="D11" i="16"/>
  <c r="D13" i="16" s="1"/>
  <c r="D104" i="16" s="1"/>
  <c r="D27" i="16"/>
  <c r="D29" i="16"/>
  <c r="D31" i="16"/>
  <c r="D41" i="16"/>
  <c r="D61" i="16"/>
  <c r="D72" i="16"/>
  <c r="D77" i="16"/>
  <c r="D81" i="16"/>
  <c r="D87" i="16"/>
  <c r="D95" i="16"/>
  <c r="D11" i="14"/>
  <c r="D13" i="14" s="1"/>
  <c r="D103" i="14" s="1"/>
  <c r="D22" i="14"/>
  <c r="D44" i="14"/>
  <c r="D54" i="14"/>
  <c r="D58" i="14"/>
  <c r="D73" i="14"/>
  <c r="D78" i="14"/>
  <c r="D83" i="14"/>
  <c r="D96" i="14"/>
  <c r="D12" i="13"/>
  <c r="D26" i="13"/>
  <c r="D48" i="13"/>
  <c r="D58" i="13"/>
  <c r="D62" i="13"/>
  <c r="D77" i="13"/>
  <c r="D82" i="13"/>
  <c r="D87" i="13"/>
  <c r="D100" i="13"/>
  <c r="C31" i="24"/>
  <c r="C32" i="24"/>
  <c r="K82" i="9"/>
  <c r="L82" i="9" s="1"/>
  <c r="N82" i="9"/>
  <c r="O82" i="9" s="1"/>
  <c r="K78" i="9"/>
  <c r="L78" i="9" s="1"/>
  <c r="N78" i="9"/>
  <c r="O78" i="9" s="1"/>
  <c r="K58" i="10"/>
  <c r="N58" i="10"/>
  <c r="K36" i="10"/>
  <c r="L36" i="10" s="1"/>
  <c r="L38" i="10" s="1"/>
  <c r="L109" i="10" s="1"/>
  <c r="N36" i="10"/>
  <c r="O36" i="10" s="1"/>
  <c r="O38" i="10" s="1"/>
  <c r="O109" i="10" s="1"/>
  <c r="N80" i="1"/>
  <c r="O80" i="1" s="1"/>
  <c r="K80" i="1"/>
  <c r="L80" i="1" s="1"/>
  <c r="K78" i="1"/>
  <c r="L78" i="1" s="1"/>
  <c r="K60" i="1"/>
  <c r="L60" i="1" s="1"/>
  <c r="N60" i="1"/>
  <c r="O60" i="1" s="1"/>
  <c r="M95" i="15"/>
  <c r="N95" i="15" s="1"/>
  <c r="O95" i="15" s="1"/>
  <c r="J95" i="15"/>
  <c r="K95" i="15" s="1"/>
  <c r="L95" i="15" s="1"/>
  <c r="P95" i="15"/>
  <c r="Q95" i="15" s="1"/>
  <c r="R95" i="15" s="1"/>
  <c r="M91" i="15"/>
  <c r="N91" i="15" s="1"/>
  <c r="O91" i="15" s="1"/>
  <c r="J91" i="15"/>
  <c r="K91" i="15" s="1"/>
  <c r="L91" i="15" s="1"/>
  <c r="P91" i="15"/>
  <c r="Q91" i="15" s="1"/>
  <c r="R91" i="15" s="1"/>
  <c r="K219" i="24"/>
  <c r="L219" i="24" s="1"/>
  <c r="N219" i="24"/>
  <c r="O219" i="24" s="1"/>
  <c r="K214" i="24"/>
  <c r="L214" i="24" s="1"/>
  <c r="N214" i="24"/>
  <c r="O214" i="24" s="1"/>
  <c r="K210" i="24"/>
  <c r="L210" i="24" s="1"/>
  <c r="N210" i="24"/>
  <c r="O210" i="24" s="1"/>
  <c r="J183" i="24"/>
  <c r="K183" i="24" s="1"/>
  <c r="L183" i="24" s="1"/>
  <c r="M183" i="24"/>
  <c r="N183" i="24" s="1"/>
  <c r="O183" i="24" s="1"/>
  <c r="P183" i="24"/>
  <c r="Q183" i="24" s="1"/>
  <c r="R183" i="24" s="1"/>
  <c r="J177" i="24"/>
  <c r="K177" i="24" s="1"/>
  <c r="L177" i="24" s="1"/>
  <c r="M177" i="24"/>
  <c r="N177" i="24" s="1"/>
  <c r="O177" i="24" s="1"/>
  <c r="P177" i="24"/>
  <c r="Q177" i="24" s="1"/>
  <c r="R177" i="24" s="1"/>
  <c r="J172" i="24"/>
  <c r="K172" i="24" s="1"/>
  <c r="L172" i="24" s="1"/>
  <c r="M172" i="24"/>
  <c r="N172" i="24" s="1"/>
  <c r="O172" i="24" s="1"/>
  <c r="P172" i="24"/>
  <c r="Q172" i="24" s="1"/>
  <c r="R172" i="24" s="1"/>
  <c r="J165" i="24"/>
  <c r="K165" i="24" s="1"/>
  <c r="M165" i="24"/>
  <c r="N165" i="24" s="1"/>
  <c r="O165" i="24" s="1"/>
  <c r="P165" i="24"/>
  <c r="Q165" i="24" s="1"/>
  <c r="R165" i="24" s="1"/>
  <c r="M140" i="24"/>
  <c r="N140" i="24" s="1"/>
  <c r="O140" i="24" s="1"/>
  <c r="J140" i="24"/>
  <c r="K140" i="24" s="1"/>
  <c r="L140" i="24" s="1"/>
  <c r="P140" i="24"/>
  <c r="Q140" i="24" s="1"/>
  <c r="R140" i="24" s="1"/>
  <c r="M135" i="24"/>
  <c r="N135" i="24" s="1"/>
  <c r="O135" i="24" s="1"/>
  <c r="J135" i="24"/>
  <c r="K135" i="24" s="1"/>
  <c r="L135" i="24" s="1"/>
  <c r="P135" i="24"/>
  <c r="Q135" i="24" s="1"/>
  <c r="R135" i="24" s="1"/>
  <c r="J129" i="24"/>
  <c r="K129" i="24" s="1"/>
  <c r="L129" i="24" s="1"/>
  <c r="P129" i="24"/>
  <c r="Q129" i="24" s="1"/>
  <c r="R129" i="24" s="1"/>
  <c r="M129" i="24"/>
  <c r="N129" i="24" s="1"/>
  <c r="O129" i="24" s="1"/>
  <c r="M124" i="24"/>
  <c r="N124" i="24" s="1"/>
  <c r="O124" i="24" s="1"/>
  <c r="J120" i="24"/>
  <c r="K120" i="24" s="1"/>
  <c r="L120" i="24" s="1"/>
  <c r="P120" i="24"/>
  <c r="Q120" i="24" s="1"/>
  <c r="J115" i="24"/>
  <c r="K115" i="24" s="1"/>
  <c r="L115" i="24" s="1"/>
  <c r="P115" i="24"/>
  <c r="Q115" i="24" s="1"/>
  <c r="R115" i="24" s="1"/>
  <c r="M115" i="24"/>
  <c r="N115" i="24" s="1"/>
  <c r="O115" i="24" s="1"/>
  <c r="N103" i="24"/>
  <c r="O103" i="24" s="1"/>
  <c r="K103" i="24"/>
  <c r="L103" i="24" s="1"/>
  <c r="P97" i="24"/>
  <c r="Q97" i="24" s="1"/>
  <c r="R97" i="24" s="1"/>
  <c r="M97" i="24"/>
  <c r="N97" i="24" s="1"/>
  <c r="M95" i="24"/>
  <c r="N95" i="24" s="1"/>
  <c r="O95" i="24" s="1"/>
  <c r="J95" i="24"/>
  <c r="K95" i="24" s="1"/>
  <c r="L95" i="24" s="1"/>
  <c r="P95" i="24"/>
  <c r="Q95" i="24" s="1"/>
  <c r="R95" i="24" s="1"/>
  <c r="N48" i="24"/>
  <c r="O48" i="24" s="1"/>
  <c r="K48" i="24"/>
  <c r="L48" i="24" s="1"/>
  <c r="K65" i="11"/>
  <c r="L65" i="11" s="1"/>
  <c r="N65" i="11"/>
  <c r="O65" i="11" s="1"/>
  <c r="K49" i="11"/>
  <c r="L49" i="11" s="1"/>
  <c r="N49" i="11"/>
  <c r="O49" i="11" s="1"/>
  <c r="M40" i="16"/>
  <c r="M42" i="16" s="1"/>
  <c r="M107" i="16" s="1"/>
  <c r="M10" i="16"/>
  <c r="M12" i="16" s="1"/>
  <c r="M103" i="16" s="1"/>
  <c r="I100" i="1"/>
  <c r="I117" i="1" s="1"/>
  <c r="Q96" i="1"/>
  <c r="N96" i="1"/>
  <c r="O96" i="1" s="1"/>
  <c r="I50" i="1"/>
  <c r="I111" i="1" s="1"/>
  <c r="K18" i="7"/>
  <c r="L18" i="7" s="1"/>
  <c r="L23" i="7" s="1"/>
  <c r="S23" i="7" s="1"/>
  <c r="P97" i="15"/>
  <c r="P87" i="15"/>
  <c r="E77" i="15"/>
  <c r="C77" i="15"/>
  <c r="P76" i="15"/>
  <c r="E73" i="15"/>
  <c r="C73" i="15"/>
  <c r="P72" i="15"/>
  <c r="Q55" i="15"/>
  <c r="R55" i="15" s="1"/>
  <c r="N55" i="15"/>
  <c r="O55" i="15" s="1"/>
  <c r="Q146" i="15"/>
  <c r="R146" i="15" s="1"/>
  <c r="K146" i="15"/>
  <c r="L146" i="15" s="1"/>
  <c r="Q170" i="24"/>
  <c r="R170" i="24" s="1"/>
  <c r="P131" i="24"/>
  <c r="D112" i="24"/>
  <c r="P92" i="24"/>
  <c r="I71" i="24"/>
  <c r="I237" i="24" s="1"/>
  <c r="Q67" i="24"/>
  <c r="I89" i="11"/>
  <c r="I114" i="11" s="1"/>
  <c r="Q76" i="11"/>
  <c r="N76" i="11"/>
  <c r="O76" i="11" s="1"/>
  <c r="Q59" i="11"/>
  <c r="Q41" i="11"/>
  <c r="Q108" i="11" s="1"/>
  <c r="I29" i="11"/>
  <c r="I106" i="11" s="1"/>
  <c r="H98" i="13"/>
  <c r="D98" i="13"/>
  <c r="G19" i="7"/>
  <c r="G20" i="15"/>
  <c r="G25" i="10"/>
  <c r="G26" i="11"/>
  <c r="G37" i="1"/>
  <c r="G60" i="15"/>
  <c r="G93" i="24"/>
  <c r="G102" i="24"/>
  <c r="G63" i="9"/>
  <c r="G59" i="10"/>
  <c r="G136" i="24"/>
  <c r="G145" i="24"/>
  <c r="G160" i="24"/>
  <c r="G164" i="24"/>
  <c r="G64" i="11"/>
  <c r="G65" i="7"/>
  <c r="G121" i="24"/>
  <c r="G130" i="24"/>
  <c r="G81" i="1"/>
  <c r="G77" i="11"/>
  <c r="G127" i="15"/>
  <c r="G133" i="15"/>
  <c r="G147" i="15"/>
  <c r="G207" i="24"/>
  <c r="G53" i="17"/>
  <c r="G67" i="17"/>
  <c r="G87" i="16"/>
  <c r="G11" i="14"/>
  <c r="G13" i="14" s="1"/>
  <c r="G103" i="14" s="1"/>
  <c r="G77" i="13"/>
  <c r="G87" i="13"/>
  <c r="G94" i="17"/>
  <c r="G51" i="16"/>
  <c r="G53" i="16" s="1"/>
  <c r="G110" i="16" s="1"/>
  <c r="G86" i="14"/>
  <c r="G15" i="13"/>
  <c r="E27" i="9"/>
  <c r="E11" i="9"/>
  <c r="E14" i="9"/>
  <c r="E16" i="9" s="1"/>
  <c r="E106" i="9" s="1"/>
  <c r="E11" i="10"/>
  <c r="E14" i="10"/>
  <c r="E11" i="1"/>
  <c r="E14" i="1"/>
  <c r="E16" i="1" s="1"/>
  <c r="E106" i="1" s="1"/>
  <c r="E11" i="11"/>
  <c r="E14" i="11"/>
  <c r="E19" i="7"/>
  <c r="E22" i="7"/>
  <c r="E20" i="15"/>
  <c r="E23" i="15"/>
  <c r="E15" i="24"/>
  <c r="E18" i="24"/>
  <c r="E20" i="24" s="1"/>
  <c r="E234" i="24" s="1"/>
  <c r="E25" i="9"/>
  <c r="E27" i="10"/>
  <c r="E25" i="1"/>
  <c r="E28" i="11"/>
  <c r="E33" i="7"/>
  <c r="E37" i="15"/>
  <c r="E42" i="15"/>
  <c r="E38" i="24"/>
  <c r="E43" i="24"/>
  <c r="E47" i="24"/>
  <c r="E25" i="10"/>
  <c r="E27" i="1"/>
  <c r="E26" i="11"/>
  <c r="E35" i="7"/>
  <c r="E37" i="7" s="1"/>
  <c r="E118" i="7" s="1"/>
  <c r="E40" i="15"/>
  <c r="E41" i="24"/>
  <c r="E45" i="24"/>
  <c r="E49" i="24"/>
  <c r="E37" i="10"/>
  <c r="E40" i="11"/>
  <c r="E45" i="7"/>
  <c r="E54" i="15"/>
  <c r="E56" i="15"/>
  <c r="E64" i="24"/>
  <c r="E68" i="24"/>
  <c r="E37" i="9"/>
  <c r="E37" i="1"/>
  <c r="E58" i="15"/>
  <c r="E60" i="15"/>
  <c r="E62" i="24"/>
  <c r="E66" i="24"/>
  <c r="E70" i="24"/>
  <c r="E53" i="20"/>
  <c r="E55" i="20" s="1"/>
  <c r="E49" i="9"/>
  <c r="E47" i="10"/>
  <c r="E49" i="1"/>
  <c r="E50" i="11"/>
  <c r="E57" i="7"/>
  <c r="E71" i="15"/>
  <c r="E79" i="15" s="1"/>
  <c r="E163" i="15" s="1"/>
  <c r="E85" i="24"/>
  <c r="E89" i="24"/>
  <c r="E93" i="24"/>
  <c r="E98" i="24"/>
  <c r="E102" i="24"/>
  <c r="E47" i="9"/>
  <c r="E49" i="10"/>
  <c r="E47" i="1"/>
  <c r="E52" i="11"/>
  <c r="E55" i="7"/>
  <c r="E75" i="15"/>
  <c r="E87" i="24"/>
  <c r="E91" i="24"/>
  <c r="E96" i="24"/>
  <c r="E100" i="24"/>
  <c r="E104" i="24"/>
  <c r="E57" i="9"/>
  <c r="E59" i="9"/>
  <c r="E61" i="9"/>
  <c r="E63" i="9"/>
  <c r="E57" i="10"/>
  <c r="E59" i="10"/>
  <c r="E61" i="10"/>
  <c r="E63" i="10"/>
  <c r="E57" i="1"/>
  <c r="E59" i="1"/>
  <c r="E61" i="1"/>
  <c r="E63" i="1"/>
  <c r="E60" i="11"/>
  <c r="E62" i="11"/>
  <c r="E114" i="24"/>
  <c r="E118" i="24"/>
  <c r="E123" i="24"/>
  <c r="E127" i="24"/>
  <c r="E132" i="24"/>
  <c r="E136" i="24"/>
  <c r="E141" i="24"/>
  <c r="E145" i="24"/>
  <c r="E66" i="20"/>
  <c r="E83" i="9"/>
  <c r="E79" i="9"/>
  <c r="E74" i="9"/>
  <c r="E83" i="10"/>
  <c r="E79" i="10"/>
  <c r="E74" i="10"/>
  <c r="E83" i="1"/>
  <c r="E79" i="1"/>
  <c r="E74" i="1"/>
  <c r="E91" i="7"/>
  <c r="E87" i="7"/>
  <c r="E82" i="7"/>
  <c r="E160" i="24"/>
  <c r="E162" i="24"/>
  <c r="E164" i="24"/>
  <c r="E166" i="24"/>
  <c r="E169" i="24"/>
  <c r="E171" i="24"/>
  <c r="E173" i="24"/>
  <c r="E175" i="24"/>
  <c r="E178" i="24"/>
  <c r="E180" i="24"/>
  <c r="E182" i="24"/>
  <c r="E184" i="24"/>
  <c r="E187" i="24"/>
  <c r="E189" i="24"/>
  <c r="E191" i="24"/>
  <c r="E193" i="24"/>
  <c r="E64" i="11"/>
  <c r="E66" i="11"/>
  <c r="E65" i="7"/>
  <c r="E67" i="7"/>
  <c r="E69" i="7"/>
  <c r="E71" i="7"/>
  <c r="E100" i="15"/>
  <c r="E98" i="15"/>
  <c r="E96" i="15"/>
  <c r="E94" i="15"/>
  <c r="E92" i="15"/>
  <c r="E90" i="15"/>
  <c r="E88" i="15"/>
  <c r="E86" i="15"/>
  <c r="E116" i="24"/>
  <c r="E121" i="24"/>
  <c r="E125" i="24"/>
  <c r="E130" i="24"/>
  <c r="E134" i="24"/>
  <c r="E139" i="24"/>
  <c r="E143" i="24"/>
  <c r="E89" i="9"/>
  <c r="E86" i="9"/>
  <c r="E81" i="9"/>
  <c r="E76" i="9"/>
  <c r="E89" i="10"/>
  <c r="E86" i="10"/>
  <c r="E81" i="10"/>
  <c r="E76" i="10"/>
  <c r="E89" i="1"/>
  <c r="E86" i="1"/>
  <c r="E81" i="1"/>
  <c r="E76" i="1"/>
  <c r="E77" i="11"/>
  <c r="E80" i="11"/>
  <c r="E82" i="11"/>
  <c r="E85" i="11"/>
  <c r="E88" i="11"/>
  <c r="E99" i="7"/>
  <c r="E95" i="7"/>
  <c r="E89" i="7"/>
  <c r="E84" i="7"/>
  <c r="E117" i="15"/>
  <c r="E119" i="15"/>
  <c r="E121" i="15"/>
  <c r="E123" i="15"/>
  <c r="E125" i="15"/>
  <c r="E127" i="15"/>
  <c r="E130" i="15"/>
  <c r="E133" i="15"/>
  <c r="E196" i="24"/>
  <c r="E199" i="24"/>
  <c r="E99" i="9"/>
  <c r="E97" i="10"/>
  <c r="E97" i="9"/>
  <c r="E99" i="10"/>
  <c r="E97" i="1"/>
  <c r="E99" i="1"/>
  <c r="E96" i="11"/>
  <c r="E98" i="11"/>
  <c r="E107" i="7"/>
  <c r="E109" i="7"/>
  <c r="E141" i="15"/>
  <c r="E144" i="15"/>
  <c r="E147" i="15"/>
  <c r="E149" i="15"/>
  <c r="E207" i="24"/>
  <c r="E209" i="24"/>
  <c r="E211" i="24"/>
  <c r="E213" i="24"/>
  <c r="E215" i="24"/>
  <c r="E218" i="24"/>
  <c r="E220" i="24"/>
  <c r="E222" i="24"/>
  <c r="E224" i="24"/>
  <c r="E226" i="24"/>
  <c r="E11" i="17"/>
  <c r="E25" i="17"/>
  <c r="E43" i="17"/>
  <c r="E45" i="17" s="1"/>
  <c r="E115" i="17" s="1"/>
  <c r="E53" i="17"/>
  <c r="E57" i="17"/>
  <c r="E67" i="17"/>
  <c r="E71" i="17"/>
  <c r="E86" i="17"/>
  <c r="E91" i="17"/>
  <c r="E104" i="17"/>
  <c r="E11" i="16"/>
  <c r="E13" i="16" s="1"/>
  <c r="E104" i="16" s="1"/>
  <c r="E27" i="16"/>
  <c r="E29" i="16"/>
  <c r="E31" i="16"/>
  <c r="E41" i="16"/>
  <c r="E61" i="16"/>
  <c r="E72" i="16"/>
  <c r="E77" i="16"/>
  <c r="E81" i="16"/>
  <c r="E87" i="16"/>
  <c r="E95" i="16"/>
  <c r="E11" i="14"/>
  <c r="E13" i="14" s="1"/>
  <c r="E103" i="14" s="1"/>
  <c r="E22" i="14"/>
  <c r="E44" i="14"/>
  <c r="E54" i="14"/>
  <c r="E58" i="14"/>
  <c r="E73" i="14"/>
  <c r="E78" i="14"/>
  <c r="E83" i="14"/>
  <c r="E96" i="14"/>
  <c r="E98" i="14" s="1"/>
  <c r="E115" i="14" s="1"/>
  <c r="E12" i="13"/>
  <c r="E26" i="13"/>
  <c r="E48" i="13"/>
  <c r="E58" i="13"/>
  <c r="E62" i="13"/>
  <c r="E77" i="13"/>
  <c r="E82" i="13"/>
  <c r="E87" i="13"/>
  <c r="E14" i="17"/>
  <c r="E27" i="17"/>
  <c r="E55" i="17"/>
  <c r="E65" i="17"/>
  <c r="E69" i="17"/>
  <c r="E84" i="17"/>
  <c r="E88" i="17"/>
  <c r="E94" i="17"/>
  <c r="E102" i="17"/>
  <c r="E51" i="16"/>
  <c r="E53" i="16" s="1"/>
  <c r="E110" i="16" s="1"/>
  <c r="E59" i="16"/>
  <c r="E74" i="16"/>
  <c r="E79" i="16"/>
  <c r="E84" i="16"/>
  <c r="E97" i="16"/>
  <c r="E24" i="14"/>
  <c r="E34" i="14"/>
  <c r="E36" i="14" s="1"/>
  <c r="E107" i="14" s="1"/>
  <c r="E46" i="14"/>
  <c r="E56" i="14"/>
  <c r="E60" i="14"/>
  <c r="E71" i="14"/>
  <c r="E76" i="14"/>
  <c r="E80" i="14"/>
  <c r="E86" i="14"/>
  <c r="E94" i="14"/>
  <c r="E15" i="13"/>
  <c r="E28" i="13"/>
  <c r="E30" i="13" s="1"/>
  <c r="E109" i="13" s="1"/>
  <c r="E38" i="13"/>
  <c r="E50" i="13"/>
  <c r="E60" i="13"/>
  <c r="E64" i="13"/>
  <c r="E75" i="13"/>
  <c r="E80" i="13"/>
  <c r="E84" i="13"/>
  <c r="E90" i="13"/>
  <c r="E98" i="13"/>
  <c r="C27" i="9"/>
  <c r="C29" i="9" s="1"/>
  <c r="C108" i="9" s="1"/>
  <c r="C25" i="10"/>
  <c r="C11" i="9"/>
  <c r="C14" i="9"/>
  <c r="C11" i="10"/>
  <c r="C14" i="10"/>
  <c r="C11" i="1"/>
  <c r="C14" i="1"/>
  <c r="C11" i="11"/>
  <c r="C14" i="11"/>
  <c r="C19" i="7"/>
  <c r="C22" i="7"/>
  <c r="C24" i="7" s="1"/>
  <c r="C116" i="7" s="1"/>
  <c r="C20" i="15"/>
  <c r="C23" i="15"/>
  <c r="C15" i="24"/>
  <c r="C18" i="24"/>
  <c r="C25" i="9"/>
  <c r="C25" i="1"/>
  <c r="C29" i="1" s="1"/>
  <c r="C108" i="1" s="1"/>
  <c r="C28" i="11"/>
  <c r="C33" i="7"/>
  <c r="C37" i="15"/>
  <c r="C42" i="15"/>
  <c r="C38" i="24"/>
  <c r="C43" i="24"/>
  <c r="C47" i="24"/>
  <c r="C27" i="10"/>
  <c r="C27" i="1"/>
  <c r="C26" i="11"/>
  <c r="C35" i="7"/>
  <c r="C37" i="7" s="1"/>
  <c r="C118" i="7" s="1"/>
  <c r="C40" i="15"/>
  <c r="C41" i="24"/>
  <c r="C45" i="24"/>
  <c r="C49" i="24"/>
  <c r="C37" i="10"/>
  <c r="C40" i="11"/>
  <c r="C45" i="7"/>
  <c r="C54" i="15"/>
  <c r="C56" i="15"/>
  <c r="C64" i="24"/>
  <c r="C68" i="24"/>
  <c r="C37" i="9"/>
  <c r="C37" i="1"/>
  <c r="C58" i="15"/>
  <c r="C60" i="15"/>
  <c r="C62" i="24"/>
  <c r="C66" i="24"/>
  <c r="C70" i="24"/>
  <c r="C53" i="20"/>
  <c r="C55" i="20" s="1"/>
  <c r="C49" i="9"/>
  <c r="C47" i="9"/>
  <c r="C47" i="10"/>
  <c r="C49" i="1"/>
  <c r="C50" i="11"/>
  <c r="C57" i="7"/>
  <c r="C59" i="7" s="1"/>
  <c r="C122" i="7" s="1"/>
  <c r="C71" i="15"/>
  <c r="C79" i="15" s="1"/>
  <c r="C163" i="15" s="1"/>
  <c r="C85" i="24"/>
  <c r="C89" i="24"/>
  <c r="C93" i="24"/>
  <c r="C98" i="24"/>
  <c r="C102" i="24"/>
  <c r="C49" i="10"/>
  <c r="C47" i="1"/>
  <c r="C52" i="11"/>
  <c r="C55" i="7"/>
  <c r="C75" i="15"/>
  <c r="C87" i="24"/>
  <c r="C91" i="24"/>
  <c r="C96" i="24"/>
  <c r="C100" i="24"/>
  <c r="C104" i="24"/>
  <c r="C57" i="9"/>
  <c r="C59" i="9"/>
  <c r="C61" i="9"/>
  <c r="C57" i="10"/>
  <c r="C59" i="10"/>
  <c r="C61" i="10"/>
  <c r="C63" i="10"/>
  <c r="C57" i="1"/>
  <c r="C59" i="1"/>
  <c r="C61" i="1"/>
  <c r="C63" i="1"/>
  <c r="C60" i="11"/>
  <c r="C62" i="11"/>
  <c r="C114" i="24"/>
  <c r="C118" i="24"/>
  <c r="C123" i="24"/>
  <c r="C127" i="24"/>
  <c r="C132" i="24"/>
  <c r="C136" i="24"/>
  <c r="C141" i="24"/>
  <c r="C145" i="24"/>
  <c r="C66" i="20"/>
  <c r="C83" i="9"/>
  <c r="C79" i="9"/>
  <c r="C74" i="9"/>
  <c r="C83" i="10"/>
  <c r="C79" i="10"/>
  <c r="C74" i="10"/>
  <c r="C83" i="1"/>
  <c r="C79" i="1"/>
  <c r="C74" i="1"/>
  <c r="C91" i="7"/>
  <c r="C87" i="7"/>
  <c r="C82" i="7"/>
  <c r="C160" i="24"/>
  <c r="C162" i="24"/>
  <c r="C164" i="24"/>
  <c r="C166" i="24"/>
  <c r="C169" i="24"/>
  <c r="C171" i="24"/>
  <c r="C173" i="24"/>
  <c r="C175" i="24"/>
  <c r="C178" i="24"/>
  <c r="C180" i="24"/>
  <c r="C182" i="24"/>
  <c r="C184" i="24"/>
  <c r="C187" i="24"/>
  <c r="C189" i="24"/>
  <c r="C191" i="24"/>
  <c r="C193" i="24"/>
  <c r="C64" i="11"/>
  <c r="C66" i="11"/>
  <c r="C65" i="7"/>
  <c r="C67" i="7"/>
  <c r="C69" i="7"/>
  <c r="C71" i="7"/>
  <c r="C100" i="15"/>
  <c r="C98" i="15"/>
  <c r="C96" i="15"/>
  <c r="C94" i="15"/>
  <c r="C92" i="15"/>
  <c r="C90" i="15"/>
  <c r="C88" i="15"/>
  <c r="C86" i="15"/>
  <c r="C112" i="24"/>
  <c r="C116" i="24"/>
  <c r="C121" i="24"/>
  <c r="C125" i="24"/>
  <c r="C130" i="24"/>
  <c r="C134" i="24"/>
  <c r="C139" i="24"/>
  <c r="C143" i="24"/>
  <c r="C89" i="9"/>
  <c r="C86" i="9"/>
  <c r="C81" i="9"/>
  <c r="C76" i="9"/>
  <c r="C89" i="10"/>
  <c r="C86" i="10"/>
  <c r="C81" i="10"/>
  <c r="C76" i="10"/>
  <c r="C89" i="1"/>
  <c r="C86" i="1"/>
  <c r="C81" i="1"/>
  <c r="C76" i="1"/>
  <c r="C77" i="11"/>
  <c r="C80" i="11"/>
  <c r="C82" i="11"/>
  <c r="C85" i="11"/>
  <c r="C88" i="11"/>
  <c r="C99" i="7"/>
  <c r="C95" i="7"/>
  <c r="C89" i="7"/>
  <c r="C84" i="7"/>
  <c r="C117" i="15"/>
  <c r="C119" i="15"/>
  <c r="C121" i="15"/>
  <c r="C123" i="15"/>
  <c r="C125" i="15"/>
  <c r="C127" i="15"/>
  <c r="C130" i="15"/>
  <c r="C133" i="15"/>
  <c r="C196" i="24"/>
  <c r="C97" i="9"/>
  <c r="C99" i="10"/>
  <c r="C199" i="24"/>
  <c r="C99" i="9"/>
  <c r="C97" i="10"/>
  <c r="C97" i="1"/>
  <c r="C101" i="1" s="1"/>
  <c r="C118" i="1" s="1"/>
  <c r="C99" i="1"/>
  <c r="C96" i="11"/>
  <c r="C98" i="11"/>
  <c r="C107" i="7"/>
  <c r="C109" i="7"/>
  <c r="C141" i="15"/>
  <c r="C144" i="15"/>
  <c r="C147" i="15"/>
  <c r="C149" i="15"/>
  <c r="C207" i="24"/>
  <c r="C209" i="24"/>
  <c r="C211" i="24"/>
  <c r="C213" i="24"/>
  <c r="C215" i="24"/>
  <c r="C218" i="24"/>
  <c r="C220" i="24"/>
  <c r="C222" i="24"/>
  <c r="C224" i="24"/>
  <c r="C226" i="24"/>
  <c r="C11" i="17"/>
  <c r="C25" i="17"/>
  <c r="C43" i="17"/>
  <c r="C53" i="17"/>
  <c r="C57" i="17"/>
  <c r="C67" i="17"/>
  <c r="C71" i="17"/>
  <c r="C86" i="17"/>
  <c r="C91" i="17"/>
  <c r="C104" i="17"/>
  <c r="C11" i="16"/>
  <c r="C27" i="16"/>
  <c r="C29" i="16"/>
  <c r="C31" i="16"/>
  <c r="C41" i="16"/>
  <c r="C61" i="16"/>
  <c r="C72" i="16"/>
  <c r="C77" i="16"/>
  <c r="C81" i="16"/>
  <c r="C87" i="16"/>
  <c r="C95" i="16"/>
  <c r="C11" i="14"/>
  <c r="C13" i="14" s="1"/>
  <c r="C103" i="14" s="1"/>
  <c r="C22" i="14"/>
  <c r="C44" i="14"/>
  <c r="C54" i="14"/>
  <c r="C58" i="14"/>
  <c r="C73" i="14"/>
  <c r="C78" i="14"/>
  <c r="C83" i="14"/>
  <c r="C96" i="14"/>
  <c r="C12" i="13"/>
  <c r="C26" i="13"/>
  <c r="C48" i="13"/>
  <c r="C58" i="13"/>
  <c r="C62" i="13"/>
  <c r="C77" i="13"/>
  <c r="C82" i="13"/>
  <c r="C87" i="13"/>
  <c r="C14" i="17"/>
  <c r="C27" i="17"/>
  <c r="C55" i="17"/>
  <c r="C65" i="17"/>
  <c r="C69" i="17"/>
  <c r="C84" i="17"/>
  <c r="C88" i="17"/>
  <c r="C94" i="17"/>
  <c r="C102" i="17"/>
  <c r="C106" i="17" s="1"/>
  <c r="C123" i="17" s="1"/>
  <c r="C51" i="16"/>
  <c r="C59" i="16"/>
  <c r="C74" i="16"/>
  <c r="C79" i="16"/>
  <c r="C84" i="16"/>
  <c r="C97" i="16"/>
  <c r="C24" i="14"/>
  <c r="C34" i="14"/>
  <c r="C46" i="14"/>
  <c r="C56" i="14"/>
  <c r="C60" i="14"/>
  <c r="C71" i="14"/>
  <c r="C76" i="14"/>
  <c r="C80" i="14"/>
  <c r="C86" i="14"/>
  <c r="C94" i="14"/>
  <c r="C15" i="13"/>
  <c r="C28" i="13"/>
  <c r="C30" i="13" s="1"/>
  <c r="C109" i="13" s="1"/>
  <c r="C38" i="13"/>
  <c r="C50" i="13"/>
  <c r="C52" i="13" s="1"/>
  <c r="C113" i="13" s="1"/>
  <c r="C60" i="13"/>
  <c r="C64" i="13"/>
  <c r="C75" i="13"/>
  <c r="C80" i="13"/>
  <c r="C84" i="13"/>
  <c r="C90" i="13"/>
  <c r="C98" i="13"/>
  <c r="K36" i="9"/>
  <c r="N82" i="10"/>
  <c r="O82" i="10" s="1"/>
  <c r="K60" i="10"/>
  <c r="L60" i="10" s="1"/>
  <c r="N60" i="10"/>
  <c r="O60" i="10" s="1"/>
  <c r="K62" i="1"/>
  <c r="L62" i="1" s="1"/>
  <c r="N62" i="1"/>
  <c r="O62" i="1" s="1"/>
  <c r="K46" i="1"/>
  <c r="K50" i="1" s="1"/>
  <c r="K111" i="1" s="1"/>
  <c r="N46" i="1"/>
  <c r="O46" i="1" s="1"/>
  <c r="K36" i="1"/>
  <c r="J99" i="15"/>
  <c r="K99" i="15" s="1"/>
  <c r="L99" i="15" s="1"/>
  <c r="P99" i="15"/>
  <c r="M99" i="15"/>
  <c r="N87" i="15"/>
  <c r="O87" i="15" s="1"/>
  <c r="K87" i="15"/>
  <c r="L87" i="15" s="1"/>
  <c r="K225" i="24"/>
  <c r="L225" i="24" s="1"/>
  <c r="N225" i="24"/>
  <c r="O225" i="24" s="1"/>
  <c r="K217" i="24"/>
  <c r="L217" i="24" s="1"/>
  <c r="N217" i="24"/>
  <c r="O217" i="24" s="1"/>
  <c r="M192" i="24"/>
  <c r="N192" i="24" s="1"/>
  <c r="O192" i="24" s="1"/>
  <c r="J192" i="24"/>
  <c r="K192" i="24" s="1"/>
  <c r="L192" i="24" s="1"/>
  <c r="M186" i="24"/>
  <c r="N186" i="24" s="1"/>
  <c r="O186" i="24" s="1"/>
  <c r="P186" i="24"/>
  <c r="Q186" i="24" s="1"/>
  <c r="R186" i="24" s="1"/>
  <c r="J186" i="24"/>
  <c r="K186" i="24" s="1"/>
  <c r="L186" i="24" s="1"/>
  <c r="M181" i="24"/>
  <c r="N181" i="24" s="1"/>
  <c r="O181" i="24" s="1"/>
  <c r="M174" i="24"/>
  <c r="N174" i="24" s="1"/>
  <c r="P174" i="24"/>
  <c r="Q174" i="24" s="1"/>
  <c r="R174" i="24" s="1"/>
  <c r="J174" i="24"/>
  <c r="K174" i="24" s="1"/>
  <c r="L174" i="24" s="1"/>
  <c r="M168" i="24"/>
  <c r="N168" i="24" s="1"/>
  <c r="O168" i="24" s="1"/>
  <c r="P168" i="24"/>
  <c r="Q168" i="24" s="1"/>
  <c r="R168" i="24" s="1"/>
  <c r="J168" i="24"/>
  <c r="K168" i="24" s="1"/>
  <c r="L168" i="24" s="1"/>
  <c r="M163" i="24"/>
  <c r="N163" i="24" s="1"/>
  <c r="O163" i="24" s="1"/>
  <c r="P163" i="24"/>
  <c r="Q163" i="24" s="1"/>
  <c r="J163" i="24"/>
  <c r="K163" i="24" s="1"/>
  <c r="L163" i="24" s="1"/>
  <c r="N131" i="24"/>
  <c r="O131" i="24" s="1"/>
  <c r="K188" i="24"/>
  <c r="L188" i="24" s="1"/>
  <c r="N179" i="24"/>
  <c r="O179" i="24" s="1"/>
  <c r="K179" i="24"/>
  <c r="L179" i="24" s="1"/>
  <c r="N188" i="24"/>
  <c r="O188" i="24" s="1"/>
  <c r="M142" i="24"/>
  <c r="N142" i="24" s="1"/>
  <c r="O142" i="24" s="1"/>
  <c r="J142" i="24"/>
  <c r="K142" i="24" s="1"/>
  <c r="L142" i="24" s="1"/>
  <c r="P142" i="24"/>
  <c r="Q142" i="24" s="1"/>
  <c r="R142" i="24" s="1"/>
  <c r="M138" i="24"/>
  <c r="N138" i="24" s="1"/>
  <c r="J138" i="24"/>
  <c r="K138" i="24" s="1"/>
  <c r="L138" i="24" s="1"/>
  <c r="P138" i="24"/>
  <c r="Q138" i="24" s="1"/>
  <c r="R138" i="24" s="1"/>
  <c r="M133" i="24"/>
  <c r="N133" i="24" s="1"/>
  <c r="O133" i="24" s="1"/>
  <c r="J133" i="24"/>
  <c r="K133" i="24" s="1"/>
  <c r="L133" i="24" s="1"/>
  <c r="P133" i="24"/>
  <c r="Q133" i="24" s="1"/>
  <c r="R133" i="24" s="1"/>
  <c r="J126" i="24"/>
  <c r="K126" i="24" s="1"/>
  <c r="L126" i="24" s="1"/>
  <c r="P126" i="24"/>
  <c r="Q126" i="24" s="1"/>
  <c r="R126" i="24" s="1"/>
  <c r="M126" i="24"/>
  <c r="N126" i="24" s="1"/>
  <c r="O126" i="24" s="1"/>
  <c r="J117" i="24"/>
  <c r="K117" i="24" s="1"/>
  <c r="L117" i="24" s="1"/>
  <c r="M117" i="24"/>
  <c r="N117" i="24" s="1"/>
  <c r="O117" i="24" s="1"/>
  <c r="N92" i="24"/>
  <c r="O92" i="24" s="1"/>
  <c r="K92" i="24"/>
  <c r="L92" i="24" s="1"/>
  <c r="M88" i="24"/>
  <c r="N88" i="24" s="1"/>
  <c r="O88" i="24" s="1"/>
  <c r="J88" i="24"/>
  <c r="K88" i="24" s="1"/>
  <c r="L88" i="24" s="1"/>
  <c r="P88" i="24"/>
  <c r="Q88" i="24" s="1"/>
  <c r="R88" i="24" s="1"/>
  <c r="P86" i="24"/>
  <c r="Q86" i="24" s="1"/>
  <c r="R86" i="24" s="1"/>
  <c r="M84" i="24"/>
  <c r="N84" i="24" s="1"/>
  <c r="O84" i="24" s="1"/>
  <c r="J84" i="24"/>
  <c r="K84" i="24" s="1"/>
  <c r="L84" i="24" s="1"/>
  <c r="P84" i="24"/>
  <c r="Q84" i="24" s="1"/>
  <c r="R84" i="24" s="1"/>
  <c r="K63" i="11"/>
  <c r="L63" i="11" s="1"/>
  <c r="N63" i="11"/>
  <c r="O63" i="11" s="1"/>
  <c r="K25" i="11"/>
  <c r="L25" i="11" s="1"/>
  <c r="L29" i="11" s="1"/>
  <c r="L106" i="11" s="1"/>
  <c r="L10" i="14"/>
  <c r="L12" i="14" s="1"/>
  <c r="L102" i="14" s="1"/>
  <c r="D77" i="15"/>
  <c r="D73" i="15"/>
  <c r="N146" i="15"/>
  <c r="O146" i="15" s="1"/>
  <c r="Q131" i="24"/>
  <c r="R131" i="24" s="1"/>
  <c r="E100" i="13"/>
  <c r="Q86" i="13"/>
  <c r="N86" i="13"/>
  <c r="O86" i="13" s="1"/>
  <c r="Q81" i="13"/>
  <c r="R81" i="13" s="1"/>
  <c r="N81" i="13"/>
  <c r="O81" i="13" s="1"/>
  <c r="Q76" i="13"/>
  <c r="R76" i="13" s="1"/>
  <c r="N76" i="13"/>
  <c r="O76" i="13" s="1"/>
  <c r="Q57" i="13"/>
  <c r="R57" i="13" s="1"/>
  <c r="N57" i="13"/>
  <c r="O57" i="13" s="1"/>
  <c r="Q47" i="13"/>
  <c r="R47" i="13" s="1"/>
  <c r="N47" i="13"/>
  <c r="O47" i="13" s="1"/>
  <c r="N25" i="13"/>
  <c r="O25" i="13" s="1"/>
  <c r="Q11" i="13"/>
  <c r="R11" i="13" s="1"/>
  <c r="N11" i="13"/>
  <c r="O11" i="13" s="1"/>
  <c r="I97" i="14"/>
  <c r="I114" i="14" s="1"/>
  <c r="Q95" i="14"/>
  <c r="R95" i="14" s="1"/>
  <c r="N95" i="14"/>
  <c r="O95" i="14" s="1"/>
  <c r="Q82" i="14"/>
  <c r="R82" i="14" s="1"/>
  <c r="N82" i="14"/>
  <c r="O82" i="14" s="1"/>
  <c r="Q77" i="14"/>
  <c r="R77" i="14" s="1"/>
  <c r="N77" i="14"/>
  <c r="O77" i="14" s="1"/>
  <c r="Q72" i="14"/>
  <c r="R72" i="14" s="1"/>
  <c r="N72" i="14"/>
  <c r="O72" i="14" s="1"/>
  <c r="Q53" i="14"/>
  <c r="R53" i="14" s="1"/>
  <c r="N53" i="14"/>
  <c r="O53" i="14" s="1"/>
  <c r="Q43" i="14"/>
  <c r="R43" i="14" s="1"/>
  <c r="N43" i="14"/>
  <c r="O43" i="14" s="1"/>
  <c r="Q21" i="14"/>
  <c r="R21" i="14" s="1"/>
  <c r="N21" i="14"/>
  <c r="O21" i="14" s="1"/>
  <c r="I12" i="14"/>
  <c r="I102" i="14" s="1"/>
  <c r="Q10" i="14"/>
  <c r="Q12" i="14" s="1"/>
  <c r="Q102" i="14" s="1"/>
  <c r="N10" i="14"/>
  <c r="O10" i="14" s="1"/>
  <c r="O12" i="14" s="1"/>
  <c r="O102" i="14" s="1"/>
  <c r="R94" i="16"/>
  <c r="S94" i="16" s="1"/>
  <c r="O94" i="16"/>
  <c r="P94" i="16" s="1"/>
  <c r="J88" i="16"/>
  <c r="J113" i="16" s="1"/>
  <c r="R86" i="16"/>
  <c r="S86" i="16" s="1"/>
  <c r="O86" i="16"/>
  <c r="P86" i="16" s="1"/>
  <c r="R80" i="16"/>
  <c r="S80" i="16" s="1"/>
  <c r="O80" i="16"/>
  <c r="P80" i="16" s="1"/>
  <c r="R76" i="16"/>
  <c r="S76" i="16" s="1"/>
  <c r="O76" i="16"/>
  <c r="P76" i="16" s="1"/>
  <c r="R71" i="16"/>
  <c r="S71" i="16" s="1"/>
  <c r="O71" i="16"/>
  <c r="P71" i="16" s="1"/>
  <c r="R60" i="16"/>
  <c r="S60" i="16" s="1"/>
  <c r="O60" i="16"/>
  <c r="J42" i="16"/>
  <c r="J107" i="16" s="1"/>
  <c r="R40" i="16"/>
  <c r="R42" i="16" s="1"/>
  <c r="R107" i="16" s="1"/>
  <c r="O40" i="16"/>
  <c r="O42" i="16" s="1"/>
  <c r="O107" i="16" s="1"/>
  <c r="R30" i="16"/>
  <c r="S30" i="16" s="1"/>
  <c r="O30" i="16"/>
  <c r="P30" i="16" s="1"/>
  <c r="R28" i="16"/>
  <c r="S28" i="16" s="1"/>
  <c r="O28" i="16"/>
  <c r="P28" i="16" s="1"/>
  <c r="R26" i="16"/>
  <c r="O26" i="16"/>
  <c r="P26" i="16" s="1"/>
  <c r="J12" i="16"/>
  <c r="J103" i="16" s="1"/>
  <c r="R10" i="16"/>
  <c r="S10" i="16" s="1"/>
  <c r="O10" i="16"/>
  <c r="O12" i="16" s="1"/>
  <c r="O103" i="16" s="1"/>
  <c r="Q90" i="17"/>
  <c r="R90" i="17" s="1"/>
  <c r="N90" i="17"/>
  <c r="O90" i="17" s="1"/>
  <c r="Q85" i="17"/>
  <c r="R85" i="17" s="1"/>
  <c r="N85" i="17"/>
  <c r="O85" i="17" s="1"/>
  <c r="Q70" i="17"/>
  <c r="R70" i="17" s="1"/>
  <c r="N70" i="17"/>
  <c r="O70" i="17" s="1"/>
  <c r="Q66" i="17"/>
  <c r="R66" i="17" s="1"/>
  <c r="N66" i="17"/>
  <c r="O66" i="17" s="1"/>
  <c r="I44" i="17"/>
  <c r="I114" i="17" s="1"/>
  <c r="Q42" i="17"/>
  <c r="Q44" i="17" s="1"/>
  <c r="Q114" i="17" s="1"/>
  <c r="N42" i="17"/>
  <c r="O42" i="17" s="1"/>
  <c r="O44" i="17" s="1"/>
  <c r="O114" i="17" s="1"/>
  <c r="N24" i="17"/>
  <c r="O24" i="17" s="1"/>
  <c r="K148" i="15"/>
  <c r="L148" i="15" s="1"/>
  <c r="Q148" i="15"/>
  <c r="R148" i="15" s="1"/>
  <c r="K143" i="15"/>
  <c r="L143" i="15" s="1"/>
  <c r="Q143" i="15"/>
  <c r="R143" i="15" s="1"/>
  <c r="K98" i="10"/>
  <c r="L98" i="10" s="1"/>
  <c r="Q98" i="10"/>
  <c r="R98" i="10" s="1"/>
  <c r="P65" i="20"/>
  <c r="P97" i="20" s="1"/>
  <c r="N65" i="20"/>
  <c r="O65" i="20" s="1"/>
  <c r="O97" i="20" s="1"/>
  <c r="K97" i="11"/>
  <c r="Q97" i="11"/>
  <c r="R97" i="11" s="1"/>
  <c r="Q198" i="24"/>
  <c r="R198" i="24" s="1"/>
  <c r="N198" i="24"/>
  <c r="O198" i="24" s="1"/>
  <c r="Q87" i="11"/>
  <c r="R87" i="11" s="1"/>
  <c r="Q88" i="1"/>
  <c r="R88" i="1" s="1"/>
  <c r="N75" i="1"/>
  <c r="O75" i="1" s="1"/>
  <c r="N88" i="1"/>
  <c r="O88" i="1" s="1"/>
  <c r="N75" i="9"/>
  <c r="O75" i="9" s="1"/>
  <c r="Q48" i="1"/>
  <c r="R48" i="1" s="1"/>
  <c r="R50" i="1" s="1"/>
  <c r="R111" i="1" s="1"/>
  <c r="Q48" i="9"/>
  <c r="Q27" i="11"/>
  <c r="Q26" i="10"/>
  <c r="R26" i="10" s="1"/>
  <c r="Q22" i="15"/>
  <c r="R22" i="15" s="1"/>
  <c r="S40" i="16"/>
  <c r="S42" i="16" s="1"/>
  <c r="S107" i="16" s="1"/>
  <c r="R10" i="14"/>
  <c r="R12" i="14" s="1"/>
  <c r="R102" i="14" s="1"/>
  <c r="C53" i="16"/>
  <c r="C110" i="16" s="1"/>
  <c r="R76" i="11"/>
  <c r="E106" i="17"/>
  <c r="E123" i="17" s="1"/>
  <c r="E17" i="13"/>
  <c r="E107" i="13" s="1"/>
  <c r="E51" i="9"/>
  <c r="E112" i="9" s="1"/>
  <c r="E54" i="11"/>
  <c r="E111" i="11" s="1"/>
  <c r="E25" i="15"/>
  <c r="E157" i="15" s="1"/>
  <c r="D26" i="14"/>
  <c r="D105" i="14" s="1"/>
  <c r="D16" i="11"/>
  <c r="D105" i="11" s="1"/>
  <c r="D16" i="10"/>
  <c r="D106" i="10" s="1"/>
  <c r="C99" i="16"/>
  <c r="C116" i="16" s="1"/>
  <c r="C13" i="16"/>
  <c r="C104" i="16" s="1"/>
  <c r="C16" i="17"/>
  <c r="C111" i="17" s="1"/>
  <c r="C16" i="11"/>
  <c r="C105" i="11" s="1"/>
  <c r="R67" i="24"/>
  <c r="R96" i="1"/>
  <c r="D30" i="13"/>
  <c r="D109" i="13" s="1"/>
  <c r="D51" i="1"/>
  <c r="D112" i="1" s="1"/>
  <c r="D29" i="10"/>
  <c r="D108" i="10" s="1"/>
  <c r="O58" i="10" l="1"/>
  <c r="K44" i="17"/>
  <c r="K114" i="17" s="1"/>
  <c r="L13" i="9"/>
  <c r="K15" i="9"/>
  <c r="H77" i="15"/>
  <c r="H78" i="14"/>
  <c r="H64" i="13"/>
  <c r="H224" i="24"/>
  <c r="H127" i="24"/>
  <c r="H57" i="7"/>
  <c r="H58" i="14"/>
  <c r="H104" i="17"/>
  <c r="H50" i="13"/>
  <c r="H79" i="16"/>
  <c r="H218" i="24"/>
  <c r="H182" i="24"/>
  <c r="H62" i="11"/>
  <c r="H139" i="24"/>
  <c r="H63" i="1"/>
  <c r="I63" i="1" s="1"/>
  <c r="H14" i="1"/>
  <c r="H97" i="27"/>
  <c r="H101" i="27" s="1"/>
  <c r="H118" i="27" s="1"/>
  <c r="H61" i="27"/>
  <c r="H49" i="27"/>
  <c r="H51" i="27" s="1"/>
  <c r="H112" i="27" s="1"/>
  <c r="H79" i="27"/>
  <c r="H27" i="27"/>
  <c r="H29" i="27" s="1"/>
  <c r="H108" i="27" s="1"/>
  <c r="H47" i="27"/>
  <c r="H74" i="27"/>
  <c r="H99" i="27"/>
  <c r="H76" i="27"/>
  <c r="H59" i="27"/>
  <c r="H57" i="27"/>
  <c r="H89" i="27"/>
  <c r="H14" i="27"/>
  <c r="H11" i="27"/>
  <c r="H63" i="27"/>
  <c r="H86" i="27"/>
  <c r="H81" i="27"/>
  <c r="H37" i="27"/>
  <c r="H83" i="27"/>
  <c r="H25" i="27"/>
  <c r="H44" i="14"/>
  <c r="H48" i="14" s="1"/>
  <c r="H109" i="14" s="1"/>
  <c r="H86" i="17"/>
  <c r="H28" i="13"/>
  <c r="H30" i="13" s="1"/>
  <c r="H109" i="13" s="1"/>
  <c r="H59" i="16"/>
  <c r="H213" i="24"/>
  <c r="H173" i="24"/>
  <c r="H127" i="15"/>
  <c r="H121" i="24"/>
  <c r="H63" i="10"/>
  <c r="H37" i="9"/>
  <c r="H100" i="13"/>
  <c r="H102" i="13" s="1"/>
  <c r="H119" i="13" s="1"/>
  <c r="H169" i="24"/>
  <c r="H87" i="13"/>
  <c r="H11" i="14"/>
  <c r="H13" i="14" s="1"/>
  <c r="H103" i="14" s="1"/>
  <c r="H67" i="17"/>
  <c r="H94" i="14"/>
  <c r="H102" i="17"/>
  <c r="H207" i="24"/>
  <c r="H164" i="24"/>
  <c r="H119" i="15"/>
  <c r="H88" i="15"/>
  <c r="H63" i="9"/>
  <c r="H42" i="15"/>
  <c r="H209" i="24"/>
  <c r="H82" i="13"/>
  <c r="H95" i="16"/>
  <c r="H57" i="17"/>
  <c r="H59" i="17" s="1"/>
  <c r="H117" i="17" s="1"/>
  <c r="H86" i="14"/>
  <c r="H94" i="17"/>
  <c r="H149" i="15"/>
  <c r="H160" i="24"/>
  <c r="H84" i="7"/>
  <c r="H92" i="15"/>
  <c r="H59" i="9"/>
  <c r="H33" i="7"/>
  <c r="H22" i="14"/>
  <c r="H43" i="24"/>
  <c r="H77" i="13"/>
  <c r="H87" i="16"/>
  <c r="H53" i="17"/>
  <c r="H80" i="14"/>
  <c r="H88" i="17"/>
  <c r="H144" i="15"/>
  <c r="H87" i="7"/>
  <c r="H95" i="7"/>
  <c r="H96" i="15"/>
  <c r="H104" i="24"/>
  <c r="H25" i="1"/>
  <c r="H15" i="13"/>
  <c r="H112" i="24"/>
  <c r="H62" i="13"/>
  <c r="H81" i="16"/>
  <c r="H43" i="17"/>
  <c r="H76" i="14"/>
  <c r="H84" i="17"/>
  <c r="H141" i="15"/>
  <c r="H74" i="1"/>
  <c r="H88" i="11"/>
  <c r="H100" i="15"/>
  <c r="H96" i="24"/>
  <c r="H45" i="24"/>
  <c r="H58" i="13"/>
  <c r="H77" i="16"/>
  <c r="H25" i="17"/>
  <c r="H71" i="14"/>
  <c r="H69" i="17"/>
  <c r="H109" i="7"/>
  <c r="H83" i="1"/>
  <c r="H82" i="11"/>
  <c r="H69" i="7"/>
  <c r="H87" i="24"/>
  <c r="H40" i="15"/>
  <c r="H71" i="17"/>
  <c r="H123" i="15"/>
  <c r="H48" i="13"/>
  <c r="H52" i="13" s="1"/>
  <c r="H113" i="13" s="1"/>
  <c r="H72" i="16"/>
  <c r="H11" i="17"/>
  <c r="H60" i="14"/>
  <c r="H65" i="17"/>
  <c r="H98" i="11"/>
  <c r="H79" i="10"/>
  <c r="H77" i="11"/>
  <c r="H65" i="7"/>
  <c r="H55" i="7"/>
  <c r="H26" i="11"/>
  <c r="H59" i="10"/>
  <c r="H26" i="13"/>
  <c r="H61" i="16"/>
  <c r="H90" i="13"/>
  <c r="I90" i="13" s="1"/>
  <c r="H56" i="14"/>
  <c r="H55" i="17"/>
  <c r="I55" i="17" s="1"/>
  <c r="H99" i="1"/>
  <c r="H74" i="9"/>
  <c r="H81" i="1"/>
  <c r="H64" i="11"/>
  <c r="H47" i="1"/>
  <c r="H25" i="10"/>
  <c r="H51" i="16"/>
  <c r="H53" i="16" s="1"/>
  <c r="H110" i="16" s="1"/>
  <c r="H12" i="13"/>
  <c r="H41" i="16"/>
  <c r="H84" i="13"/>
  <c r="H46" i="14"/>
  <c r="H27" i="17"/>
  <c r="H99" i="10"/>
  <c r="H83" i="9"/>
  <c r="H89" i="1"/>
  <c r="H102" i="24"/>
  <c r="I102" i="24" s="1"/>
  <c r="H49" i="9"/>
  <c r="H18" i="24"/>
  <c r="H73" i="15"/>
  <c r="H96" i="14"/>
  <c r="H31" i="16"/>
  <c r="H80" i="13"/>
  <c r="H34" i="14"/>
  <c r="H14" i="17"/>
  <c r="H99" i="9"/>
  <c r="H145" i="24"/>
  <c r="H81" i="10"/>
  <c r="H93" i="24"/>
  <c r="H68" i="24"/>
  <c r="H14" i="9"/>
  <c r="H83" i="14"/>
  <c r="H29" i="16"/>
  <c r="H33" i="16" s="1"/>
  <c r="H106" i="16" s="1"/>
  <c r="H119" i="16" s="1"/>
  <c r="H75" i="13"/>
  <c r="H24" i="14"/>
  <c r="H226" i="24"/>
  <c r="H199" i="24"/>
  <c r="H136" i="24"/>
  <c r="H89" i="10"/>
  <c r="H85" i="24"/>
  <c r="H45" i="7"/>
  <c r="H27" i="16"/>
  <c r="H97" i="16"/>
  <c r="H191" i="24"/>
  <c r="H81" i="9"/>
  <c r="H37" i="10"/>
  <c r="H73" i="14"/>
  <c r="H88" i="14" s="1"/>
  <c r="H113" i="14" s="1"/>
  <c r="H11" i="16"/>
  <c r="H13" i="16" s="1"/>
  <c r="H104" i="16" s="1"/>
  <c r="H60" i="13"/>
  <c r="I60" i="13" s="1"/>
  <c r="H84" i="16"/>
  <c r="H222" i="24"/>
  <c r="H187" i="24"/>
  <c r="H118" i="24"/>
  <c r="H89" i="9"/>
  <c r="H49" i="1"/>
  <c r="H70" i="24"/>
  <c r="G73" i="15"/>
  <c r="I73" i="15" s="1"/>
  <c r="G86" i="27"/>
  <c r="G99" i="27"/>
  <c r="G59" i="27"/>
  <c r="G57" i="27"/>
  <c r="G25" i="27"/>
  <c r="G97" i="27"/>
  <c r="G101" i="27" s="1"/>
  <c r="G118" i="27" s="1"/>
  <c r="G76" i="27"/>
  <c r="G83" i="27"/>
  <c r="G47" i="27"/>
  <c r="G14" i="27"/>
  <c r="G49" i="27"/>
  <c r="G81" i="27"/>
  <c r="G89" i="27"/>
  <c r="G27" i="27"/>
  <c r="G29" i="27" s="1"/>
  <c r="G108" i="27" s="1"/>
  <c r="G63" i="27"/>
  <c r="G79" i="27"/>
  <c r="G74" i="27"/>
  <c r="G61" i="27"/>
  <c r="G11" i="27"/>
  <c r="G37" i="27"/>
  <c r="F48" i="13"/>
  <c r="F88" i="17"/>
  <c r="F127" i="24"/>
  <c r="F50" i="11"/>
  <c r="F20" i="15"/>
  <c r="F72" i="16"/>
  <c r="F149" i="15"/>
  <c r="F95" i="7"/>
  <c r="F104" i="24"/>
  <c r="F29" i="16"/>
  <c r="F109" i="7"/>
  <c r="F82" i="11"/>
  <c r="F87" i="24"/>
  <c r="F91" i="17"/>
  <c r="F99" i="1"/>
  <c r="F81" i="1"/>
  <c r="F47" i="1"/>
  <c r="F77" i="15"/>
  <c r="F57" i="17"/>
  <c r="F99" i="9"/>
  <c r="F81" i="10"/>
  <c r="F64" i="24"/>
  <c r="F73" i="15"/>
  <c r="F11" i="17"/>
  <c r="F191" i="24"/>
  <c r="F81" i="9"/>
  <c r="F40" i="11"/>
  <c r="F90" i="13"/>
  <c r="F182" i="24"/>
  <c r="F139" i="24"/>
  <c r="F66" i="24"/>
  <c r="F64" i="13"/>
  <c r="F173" i="24"/>
  <c r="F121" i="24"/>
  <c r="F37" i="1"/>
  <c r="F28" i="13"/>
  <c r="F164" i="24"/>
  <c r="F90" i="15"/>
  <c r="F38" i="24"/>
  <c r="F80" i="14"/>
  <c r="F87" i="7"/>
  <c r="F98" i="15"/>
  <c r="F28" i="11"/>
  <c r="F56" i="14"/>
  <c r="F83" i="1"/>
  <c r="F67" i="7"/>
  <c r="F41" i="24"/>
  <c r="F97" i="16"/>
  <c r="F74" i="9"/>
  <c r="F62" i="11"/>
  <c r="F89" i="27"/>
  <c r="F14" i="27"/>
  <c r="F79" i="27"/>
  <c r="F57" i="27"/>
  <c r="F11" i="27"/>
  <c r="F16" i="27" s="1"/>
  <c r="F106" i="27" s="1"/>
  <c r="F83" i="27"/>
  <c r="F61" i="27"/>
  <c r="F76" i="27"/>
  <c r="F74" i="27"/>
  <c r="F47" i="27"/>
  <c r="F25" i="27"/>
  <c r="F81" i="27"/>
  <c r="F63" i="27"/>
  <c r="F97" i="27"/>
  <c r="F59" i="27"/>
  <c r="F27" i="27"/>
  <c r="F49" i="27"/>
  <c r="F51" i="27" s="1"/>
  <c r="F112" i="27" s="1"/>
  <c r="F37" i="27"/>
  <c r="F99" i="27"/>
  <c r="F86" i="27"/>
  <c r="F98" i="13"/>
  <c r="F82" i="13"/>
  <c r="F59" i="16"/>
  <c r="F145" i="24"/>
  <c r="F89" i="24"/>
  <c r="F25" i="9"/>
  <c r="E16" i="11"/>
  <c r="E105" i="11" s="1"/>
  <c r="E51" i="24"/>
  <c r="E236" i="24" s="1"/>
  <c r="E51" i="10"/>
  <c r="E112" i="10" s="1"/>
  <c r="E59" i="7"/>
  <c r="E122" i="7" s="1"/>
  <c r="E37" i="27"/>
  <c r="E61" i="27"/>
  <c r="E25" i="27"/>
  <c r="E97" i="27"/>
  <c r="E79" i="27"/>
  <c r="E86" i="27"/>
  <c r="E59" i="27"/>
  <c r="E11" i="27"/>
  <c r="E81" i="27"/>
  <c r="E99" i="27"/>
  <c r="E89" i="27"/>
  <c r="E49" i="27"/>
  <c r="E83" i="27"/>
  <c r="E76" i="27"/>
  <c r="E74" i="27"/>
  <c r="E63" i="27"/>
  <c r="E57" i="27"/>
  <c r="E27" i="27"/>
  <c r="E29" i="27" s="1"/>
  <c r="E108" i="27" s="1"/>
  <c r="E47" i="27"/>
  <c r="E14" i="27"/>
  <c r="E106" i="24"/>
  <c r="E240" i="24" s="1"/>
  <c r="E112" i="24"/>
  <c r="E228" i="24"/>
  <c r="E246" i="24" s="1"/>
  <c r="E72" i="24"/>
  <c r="E238" i="24" s="1"/>
  <c r="E16" i="17"/>
  <c r="E111" i="17" s="1"/>
  <c r="E101" i="7"/>
  <c r="E126" i="7" s="1"/>
  <c r="D98" i="14"/>
  <c r="D115" i="14" s="1"/>
  <c r="D151" i="15"/>
  <c r="D169" i="15" s="1"/>
  <c r="D24" i="7"/>
  <c r="D116" i="7" s="1"/>
  <c r="D79" i="27"/>
  <c r="D37" i="27"/>
  <c r="D11" i="27"/>
  <c r="D47" i="27"/>
  <c r="D27" i="27"/>
  <c r="D29" i="27" s="1"/>
  <c r="D108" i="27" s="1"/>
  <c r="D83" i="27"/>
  <c r="D86" i="27"/>
  <c r="D61" i="27"/>
  <c r="D99" i="27"/>
  <c r="D101" i="27" s="1"/>
  <c r="D118" i="27" s="1"/>
  <c r="D63" i="27"/>
  <c r="D76" i="27"/>
  <c r="D59" i="27"/>
  <c r="D89" i="27"/>
  <c r="D81" i="27"/>
  <c r="D97" i="27"/>
  <c r="D25" i="27"/>
  <c r="D14" i="27"/>
  <c r="D49" i="27"/>
  <c r="D74" i="27"/>
  <c r="D57" i="27"/>
  <c r="D91" i="1"/>
  <c r="D116" i="1" s="1"/>
  <c r="D89" i="16"/>
  <c r="D114" i="16" s="1"/>
  <c r="D59" i="7"/>
  <c r="D122" i="7" s="1"/>
  <c r="D99" i="16"/>
  <c r="D116" i="16" s="1"/>
  <c r="D51" i="24"/>
  <c r="D236" i="24" s="1"/>
  <c r="D106" i="24"/>
  <c r="D240" i="24" s="1"/>
  <c r="D72" i="24"/>
  <c r="D238" i="24" s="1"/>
  <c r="D94" i="20"/>
  <c r="C16" i="1"/>
  <c r="C106" i="1" s="1"/>
  <c r="C94" i="20"/>
  <c r="C62" i="15"/>
  <c r="C161" i="15" s="1"/>
  <c r="C44" i="15"/>
  <c r="C159" i="15" s="1"/>
  <c r="C17" i="13"/>
  <c r="C107" i="13" s="1"/>
  <c r="C100" i="11"/>
  <c r="C117" i="11" s="1"/>
  <c r="C91" i="1"/>
  <c r="C116" i="1" s="1"/>
  <c r="C98" i="14"/>
  <c r="C115" i="14" s="1"/>
  <c r="C30" i="11"/>
  <c r="C107" i="11" s="1"/>
  <c r="C65" i="27"/>
  <c r="C25" i="27"/>
  <c r="C63" i="27"/>
  <c r="C74" i="27"/>
  <c r="C14" i="27"/>
  <c r="C99" i="27"/>
  <c r="C79" i="27"/>
  <c r="C47" i="27"/>
  <c r="C37" i="27"/>
  <c r="C83" i="27"/>
  <c r="C59" i="27"/>
  <c r="C89" i="27"/>
  <c r="C27" i="27"/>
  <c r="C11" i="27"/>
  <c r="D65" i="27"/>
  <c r="D67" i="27" s="1"/>
  <c r="D114" i="27" s="1"/>
  <c r="C97" i="27"/>
  <c r="H65" i="27"/>
  <c r="C76" i="27"/>
  <c r="G65" i="27"/>
  <c r="C81" i="27"/>
  <c r="F65" i="27"/>
  <c r="F67" i="27" s="1"/>
  <c r="F114" i="27" s="1"/>
  <c r="C57" i="27"/>
  <c r="E65" i="27"/>
  <c r="C61" i="27"/>
  <c r="C49" i="27"/>
  <c r="C86" i="27"/>
  <c r="C66" i="13"/>
  <c r="H66" i="25"/>
  <c r="D104" i="15"/>
  <c r="C73" i="7"/>
  <c r="G65" i="9"/>
  <c r="F66" i="25"/>
  <c r="E65" i="9"/>
  <c r="E67" i="9" s="1"/>
  <c r="E114" i="9" s="1"/>
  <c r="H63" i="16"/>
  <c r="H65" i="16" s="1"/>
  <c r="H112" i="16" s="1"/>
  <c r="H102" i="15"/>
  <c r="G66" i="25"/>
  <c r="C104" i="15"/>
  <c r="C106" i="15" s="1"/>
  <c r="C165" i="15" s="1"/>
  <c r="H65" i="1"/>
  <c r="F65" i="9"/>
  <c r="G65" i="1"/>
  <c r="E66" i="25"/>
  <c r="F65" i="1"/>
  <c r="G63" i="16"/>
  <c r="D66" i="25"/>
  <c r="G102" i="15"/>
  <c r="E65" i="1"/>
  <c r="E67" i="1" s="1"/>
  <c r="E114" i="1" s="1"/>
  <c r="F63" i="16"/>
  <c r="C66" i="25"/>
  <c r="F102" i="15"/>
  <c r="H68" i="11"/>
  <c r="H70" i="11" s="1"/>
  <c r="D65" i="1"/>
  <c r="D67" i="1" s="1"/>
  <c r="E63" i="16"/>
  <c r="E65" i="16" s="1"/>
  <c r="E112" i="16" s="1"/>
  <c r="H62" i="14"/>
  <c r="H64" i="14" s="1"/>
  <c r="H111" i="14" s="1"/>
  <c r="G68" i="11"/>
  <c r="E102" i="15"/>
  <c r="E106" i="15" s="1"/>
  <c r="E165" i="15" s="1"/>
  <c r="C65" i="1"/>
  <c r="C65" i="9"/>
  <c r="D63" i="16"/>
  <c r="G62" i="14"/>
  <c r="F68" i="11"/>
  <c r="D102" i="15"/>
  <c r="D106" i="15" s="1"/>
  <c r="D165" i="15" s="1"/>
  <c r="H65" i="10"/>
  <c r="C63" i="9"/>
  <c r="C67" i="9" s="1"/>
  <c r="C114" i="9" s="1"/>
  <c r="C73" i="17"/>
  <c r="H65" i="9"/>
  <c r="H68" i="20"/>
  <c r="H70" i="20" s="1"/>
  <c r="C63" i="16"/>
  <c r="C65" i="16" s="1"/>
  <c r="C112" i="16" s="1"/>
  <c r="F62" i="14"/>
  <c r="E68" i="11"/>
  <c r="E70" i="11" s="1"/>
  <c r="E113" i="11" s="1"/>
  <c r="C102" i="15"/>
  <c r="G65" i="10"/>
  <c r="F104" i="15"/>
  <c r="G68" i="20"/>
  <c r="G70" i="20" s="1"/>
  <c r="E62" i="14"/>
  <c r="E64" i="14" s="1"/>
  <c r="E111" i="14" s="1"/>
  <c r="D68" i="11"/>
  <c r="D70" i="11" s="1"/>
  <c r="D113" i="11" s="1"/>
  <c r="F65" i="10"/>
  <c r="E65" i="10"/>
  <c r="E67" i="10" s="1"/>
  <c r="E114" i="10" s="1"/>
  <c r="D65" i="10"/>
  <c r="E147" i="24"/>
  <c r="E149" i="24" s="1"/>
  <c r="E242" i="24" s="1"/>
  <c r="E73" i="7"/>
  <c r="E104" i="15"/>
  <c r="F68" i="20"/>
  <c r="H73" i="17"/>
  <c r="D62" i="14"/>
  <c r="C68" i="11"/>
  <c r="H147" i="24"/>
  <c r="F73" i="7"/>
  <c r="D147" i="24"/>
  <c r="D149" i="24" s="1"/>
  <c r="D66" i="13"/>
  <c r="D68" i="13" s="1"/>
  <c r="E68" i="20"/>
  <c r="E70" i="20" s="1"/>
  <c r="E98" i="20" s="1"/>
  <c r="G73" i="17"/>
  <c r="C62" i="14"/>
  <c r="H66" i="13"/>
  <c r="G147" i="24"/>
  <c r="H73" i="7"/>
  <c r="C68" i="20"/>
  <c r="F66" i="13"/>
  <c r="C147" i="24"/>
  <c r="D68" i="20"/>
  <c r="D70" i="20" s="1"/>
  <c r="D98" i="20" s="1"/>
  <c r="D105" i="20" s="1"/>
  <c r="F73" i="17"/>
  <c r="G66" i="13"/>
  <c r="F147" i="24"/>
  <c r="H104" i="15"/>
  <c r="G73" i="7"/>
  <c r="C65" i="10"/>
  <c r="E73" i="17"/>
  <c r="E75" i="17" s="1"/>
  <c r="E119" i="17" s="1"/>
  <c r="G104" i="15"/>
  <c r="D73" i="17"/>
  <c r="D75" i="17" s="1"/>
  <c r="D119" i="17" s="1"/>
  <c r="E66" i="13"/>
  <c r="E68" i="13" s="1"/>
  <c r="E115" i="13" s="1"/>
  <c r="D65" i="9"/>
  <c r="D67" i="9" s="1"/>
  <c r="D114" i="9" s="1"/>
  <c r="D114" i="1"/>
  <c r="C75" i="17"/>
  <c r="C54" i="11"/>
  <c r="C111" i="11" s="1"/>
  <c r="C72" i="24"/>
  <c r="C238" i="24" s="1"/>
  <c r="C70" i="20"/>
  <c r="C98" i="20" s="1"/>
  <c r="C105" i="20" s="1"/>
  <c r="C64" i="14"/>
  <c r="C111" i="14" s="1"/>
  <c r="C67" i="1"/>
  <c r="C114" i="1" s="1"/>
  <c r="C29" i="17"/>
  <c r="C113" i="17" s="1"/>
  <c r="C59" i="17"/>
  <c r="C117" i="17" s="1"/>
  <c r="C67" i="10"/>
  <c r="C106" i="24"/>
  <c r="C240" i="24" s="1"/>
  <c r="L72" i="7"/>
  <c r="Q50" i="1"/>
  <c r="Q111" i="1" s="1"/>
  <c r="K146" i="24"/>
  <c r="L146" i="24" s="1"/>
  <c r="Q146" i="24"/>
  <c r="N146" i="24"/>
  <c r="O146" i="24" s="1"/>
  <c r="M47" i="11"/>
  <c r="N47" i="11" s="1"/>
  <c r="O47" i="11" s="1"/>
  <c r="P47" i="11"/>
  <c r="Q47" i="11" s="1"/>
  <c r="R47" i="11" s="1"/>
  <c r="J47" i="11"/>
  <c r="K47" i="11" s="1"/>
  <c r="L47" i="11" s="1"/>
  <c r="P32" i="15"/>
  <c r="Q33" i="15" s="1"/>
  <c r="R33" i="15" s="1"/>
  <c r="M32" i="15"/>
  <c r="J32" i="15"/>
  <c r="Q23" i="16"/>
  <c r="N23" i="16"/>
  <c r="O23" i="16" s="1"/>
  <c r="P23" i="16" s="1"/>
  <c r="K23" i="16"/>
  <c r="P81" i="17"/>
  <c r="M81" i="17"/>
  <c r="J81" i="17"/>
  <c r="K81" i="17" s="1"/>
  <c r="L81" i="17" s="1"/>
  <c r="P44" i="1"/>
  <c r="Q44" i="1" s="1"/>
  <c r="R44" i="1" s="1"/>
  <c r="M44" i="1"/>
  <c r="J44" i="1"/>
  <c r="K44" i="1" s="1"/>
  <c r="L44" i="1" s="1"/>
  <c r="J36" i="20"/>
  <c r="M36" i="20"/>
  <c r="N36" i="20" s="1"/>
  <c r="O36" i="20" s="1"/>
  <c r="P36" i="20"/>
  <c r="Q36" i="20" s="1"/>
  <c r="R36" i="20" s="1"/>
  <c r="P35" i="24"/>
  <c r="J35" i="24"/>
  <c r="M35" i="24"/>
  <c r="J57" i="24"/>
  <c r="P57" i="24"/>
  <c r="M57" i="24"/>
  <c r="N57" i="24" s="1"/>
  <c r="O57" i="24" s="1"/>
  <c r="P20" i="22"/>
  <c r="M20" i="22"/>
  <c r="J20" i="22"/>
  <c r="M34" i="24"/>
  <c r="N34" i="24" s="1"/>
  <c r="O34" i="24" s="1"/>
  <c r="P34" i="24"/>
  <c r="Q34" i="24" s="1"/>
  <c r="R34" i="24" s="1"/>
  <c r="J34" i="24"/>
  <c r="K34" i="24" s="1"/>
  <c r="L34" i="24" s="1"/>
  <c r="P30" i="15"/>
  <c r="Q31" i="15" s="1"/>
  <c r="R31" i="15" s="1"/>
  <c r="M30" i="15"/>
  <c r="J30" i="15"/>
  <c r="J36" i="17"/>
  <c r="K36" i="17" s="1"/>
  <c r="L36" i="17" s="1"/>
  <c r="P36" i="17"/>
  <c r="Q36" i="17" s="1"/>
  <c r="R36" i="17" s="1"/>
  <c r="M36" i="17"/>
  <c r="N36" i="17" s="1"/>
  <c r="O36" i="17" s="1"/>
  <c r="P44" i="10"/>
  <c r="M44" i="10"/>
  <c r="J44" i="10"/>
  <c r="K44" i="10" s="1"/>
  <c r="L44" i="10" s="1"/>
  <c r="M34" i="20"/>
  <c r="J34" i="20"/>
  <c r="P34" i="20"/>
  <c r="Q34" i="20" s="1"/>
  <c r="R34" i="20" s="1"/>
  <c r="N22" i="16"/>
  <c r="O22" i="16" s="1"/>
  <c r="P22" i="16" s="1"/>
  <c r="Q22" i="16"/>
  <c r="R22" i="16" s="1"/>
  <c r="S22" i="16" s="1"/>
  <c r="K22" i="16"/>
  <c r="L22" i="16" s="1"/>
  <c r="M22" i="16" s="1"/>
  <c r="M33" i="24"/>
  <c r="P33" i="24"/>
  <c r="Q33" i="24" s="1"/>
  <c r="R33" i="24" s="1"/>
  <c r="J33" i="24"/>
  <c r="K33" i="24" s="1"/>
  <c r="L33" i="24" s="1"/>
  <c r="P29" i="7"/>
  <c r="Q29" i="7" s="1"/>
  <c r="R29" i="7" s="1"/>
  <c r="M29" i="7"/>
  <c r="J29" i="7"/>
  <c r="J35" i="11"/>
  <c r="K35" i="11" s="1"/>
  <c r="L35" i="11" s="1"/>
  <c r="P35" i="11"/>
  <c r="M35" i="11"/>
  <c r="P37" i="11"/>
  <c r="Q37" i="11" s="1"/>
  <c r="R37" i="11" s="1"/>
  <c r="M37" i="11"/>
  <c r="N37" i="11" s="1"/>
  <c r="O37" i="11" s="1"/>
  <c r="J37" i="11"/>
  <c r="P35" i="17"/>
  <c r="Q35" i="17" s="1"/>
  <c r="R35" i="17" s="1"/>
  <c r="M35" i="17"/>
  <c r="N35" i="17" s="1"/>
  <c r="O35" i="17" s="1"/>
  <c r="J35" i="17"/>
  <c r="K35" i="17" s="1"/>
  <c r="L35" i="17" s="1"/>
  <c r="M44" i="9"/>
  <c r="J44" i="9"/>
  <c r="K44" i="9" s="1"/>
  <c r="L44" i="9" s="1"/>
  <c r="P44" i="9"/>
  <c r="Q44" i="9" s="1"/>
  <c r="R44" i="9" s="1"/>
  <c r="P47" i="20"/>
  <c r="Q47" i="20" s="1"/>
  <c r="R47" i="20" s="1"/>
  <c r="M47" i="20"/>
  <c r="N47" i="20" s="1"/>
  <c r="O47" i="20" s="1"/>
  <c r="J47" i="20"/>
  <c r="K47" i="20" s="1"/>
  <c r="L47" i="20" s="1"/>
  <c r="P34" i="1"/>
  <c r="Q34" i="1" s="1"/>
  <c r="R34" i="1" s="1"/>
  <c r="J34" i="1"/>
  <c r="K34" i="1" s="1"/>
  <c r="L34" i="1" s="1"/>
  <c r="M34" i="1"/>
  <c r="J33" i="20"/>
  <c r="M33" i="20"/>
  <c r="N33" i="20" s="1"/>
  <c r="O33" i="20" s="1"/>
  <c r="P33" i="20"/>
  <c r="M32" i="24"/>
  <c r="P32" i="24"/>
  <c r="Q32" i="24" s="1"/>
  <c r="R32" i="24" s="1"/>
  <c r="J32" i="24"/>
  <c r="K32" i="24" s="1"/>
  <c r="L32" i="24" s="1"/>
  <c r="M35" i="13"/>
  <c r="P35" i="13"/>
  <c r="Q35" i="13" s="1"/>
  <c r="R35" i="13" s="1"/>
  <c r="J35" i="13"/>
  <c r="K35" i="13" s="1"/>
  <c r="L35" i="13" s="1"/>
  <c r="P31" i="14"/>
  <c r="Q31" i="14" s="1"/>
  <c r="R31" i="14" s="1"/>
  <c r="M31" i="14"/>
  <c r="J31" i="14"/>
  <c r="K31" i="14" s="1"/>
  <c r="L31" i="14" s="1"/>
  <c r="P156" i="24"/>
  <c r="Q156" i="24" s="1"/>
  <c r="R156" i="24" s="1"/>
  <c r="M156" i="24"/>
  <c r="N156" i="24" s="1"/>
  <c r="O156" i="24" s="1"/>
  <c r="J156" i="24"/>
  <c r="K156" i="24" s="1"/>
  <c r="L156" i="24" s="1"/>
  <c r="M31" i="24"/>
  <c r="P31" i="24"/>
  <c r="Q31" i="24" s="1"/>
  <c r="R31" i="24" s="1"/>
  <c r="J31" i="24"/>
  <c r="K31" i="24" s="1"/>
  <c r="L31" i="24" s="1"/>
  <c r="P23" i="11"/>
  <c r="M23" i="11"/>
  <c r="J23" i="11"/>
  <c r="K23" i="11" s="1"/>
  <c r="L23" i="11" s="1"/>
  <c r="M22" i="13"/>
  <c r="J22" i="13"/>
  <c r="P22" i="13"/>
  <c r="Q23" i="13" s="1"/>
  <c r="R23" i="13" s="1"/>
  <c r="J51" i="15"/>
  <c r="K51" i="15" s="1"/>
  <c r="L51" i="15" s="1"/>
  <c r="P51" i="15"/>
  <c r="Q51" i="15" s="1"/>
  <c r="R51" i="15" s="1"/>
  <c r="M51" i="15"/>
  <c r="N51" i="15" s="1"/>
  <c r="O51" i="15" s="1"/>
  <c r="M36" i="11"/>
  <c r="N36" i="11" s="1"/>
  <c r="O36" i="11" s="1"/>
  <c r="P36" i="11"/>
  <c r="Q36" i="11" s="1"/>
  <c r="R36" i="11" s="1"/>
  <c r="J36" i="11"/>
  <c r="K36" i="11" s="1"/>
  <c r="L36" i="11" s="1"/>
  <c r="R38" i="16"/>
  <c r="S38" i="16" s="1"/>
  <c r="K21" i="16"/>
  <c r="Q21" i="16"/>
  <c r="N21" i="16"/>
  <c r="O21" i="16" s="1"/>
  <c r="P21" i="16" s="1"/>
  <c r="P34" i="17"/>
  <c r="Q34" i="17" s="1"/>
  <c r="R34" i="17" s="1"/>
  <c r="M34" i="17"/>
  <c r="J34" i="17"/>
  <c r="K34" i="17" s="1"/>
  <c r="L34" i="17" s="1"/>
  <c r="P155" i="24"/>
  <c r="Q155" i="24" s="1"/>
  <c r="R155" i="24" s="1"/>
  <c r="M155" i="24"/>
  <c r="N155" i="24" s="1"/>
  <c r="O155" i="24" s="1"/>
  <c r="J155" i="24"/>
  <c r="K155" i="24" s="1"/>
  <c r="L155" i="24" s="1"/>
  <c r="J46" i="20"/>
  <c r="P46" i="20"/>
  <c r="M46" i="20"/>
  <c r="J34" i="10"/>
  <c r="K34" i="10" s="1"/>
  <c r="L34" i="10" s="1"/>
  <c r="P34" i="10"/>
  <c r="Q34" i="10" s="1"/>
  <c r="R34" i="10" s="1"/>
  <c r="M34" i="10"/>
  <c r="N34" i="10" s="1"/>
  <c r="P32" i="20"/>
  <c r="Q32" i="20" s="1"/>
  <c r="R32" i="20" s="1"/>
  <c r="J32" i="20"/>
  <c r="M32" i="20"/>
  <c r="P30" i="24"/>
  <c r="M30" i="24"/>
  <c r="N30" i="24" s="1"/>
  <c r="O30" i="24" s="1"/>
  <c r="J30" i="24"/>
  <c r="J37" i="20"/>
  <c r="M37" i="20"/>
  <c r="N37" i="20" s="1"/>
  <c r="O37" i="20" s="1"/>
  <c r="P37" i="20"/>
  <c r="Q37" i="20" s="1"/>
  <c r="R37" i="20" s="1"/>
  <c r="M113" i="15"/>
  <c r="N113" i="15" s="1"/>
  <c r="O113" i="15" s="1"/>
  <c r="J113" i="15"/>
  <c r="K113" i="15" s="1"/>
  <c r="L113" i="15" s="1"/>
  <c r="P113" i="15"/>
  <c r="Q113" i="15" s="1"/>
  <c r="R113" i="15" s="1"/>
  <c r="D22" i="11"/>
  <c r="P21" i="11"/>
  <c r="Q21" i="11" s="1"/>
  <c r="R21" i="11" s="1"/>
  <c r="M21" i="11"/>
  <c r="J21" i="11"/>
  <c r="J39" i="17"/>
  <c r="K39" i="17" s="1"/>
  <c r="L39" i="17" s="1"/>
  <c r="P39" i="17"/>
  <c r="Q39" i="17" s="1"/>
  <c r="R39" i="17" s="1"/>
  <c r="M39" i="17"/>
  <c r="P68" i="15"/>
  <c r="Q68" i="15" s="1"/>
  <c r="R68" i="15" s="1"/>
  <c r="M68" i="15"/>
  <c r="N68" i="15" s="1"/>
  <c r="O68" i="15" s="1"/>
  <c r="J68" i="15"/>
  <c r="K68" i="15" s="1"/>
  <c r="L68" i="15" s="1"/>
  <c r="J56" i="24"/>
  <c r="P56" i="24"/>
  <c r="M56" i="24"/>
  <c r="J34" i="9"/>
  <c r="K34" i="9" s="1"/>
  <c r="L34" i="9" s="1"/>
  <c r="P34" i="9"/>
  <c r="Q34" i="9" s="1"/>
  <c r="R34" i="9" s="1"/>
  <c r="M34" i="9"/>
  <c r="P31" i="20"/>
  <c r="Q31" i="20" s="1"/>
  <c r="R31" i="20" s="1"/>
  <c r="M31" i="20"/>
  <c r="N31" i="20" s="1"/>
  <c r="O31" i="20" s="1"/>
  <c r="J31" i="20"/>
  <c r="K31" i="20" s="1"/>
  <c r="L31" i="20" s="1"/>
  <c r="J29" i="24"/>
  <c r="K29" i="24" s="1"/>
  <c r="L29" i="24" s="1"/>
  <c r="M29" i="24"/>
  <c r="P29" i="24"/>
  <c r="K20" i="16"/>
  <c r="L20" i="16" s="1"/>
  <c r="M20" i="16" s="1"/>
  <c r="N20" i="16"/>
  <c r="O20" i="16" s="1"/>
  <c r="P20" i="16" s="1"/>
  <c r="Q20" i="16"/>
  <c r="R20" i="16" s="1"/>
  <c r="S20" i="16" s="1"/>
  <c r="M112" i="15"/>
  <c r="N112" i="15" s="1"/>
  <c r="O112" i="15" s="1"/>
  <c r="J112" i="15"/>
  <c r="K112" i="15" s="1"/>
  <c r="L112" i="15" s="1"/>
  <c r="P112" i="15"/>
  <c r="J50" i="15"/>
  <c r="K50" i="15" s="1"/>
  <c r="L50" i="15" s="1"/>
  <c r="P50" i="15"/>
  <c r="Q50" i="15" s="1"/>
  <c r="R50" i="15" s="1"/>
  <c r="M50" i="15"/>
  <c r="N50" i="15" s="1"/>
  <c r="O50" i="15" s="1"/>
  <c r="P21" i="1"/>
  <c r="M21" i="1"/>
  <c r="J21" i="1"/>
  <c r="P27" i="20"/>
  <c r="Q27" i="20" s="1"/>
  <c r="R27" i="20" s="1"/>
  <c r="J27" i="20"/>
  <c r="K27" i="20" s="1"/>
  <c r="L27" i="20" s="1"/>
  <c r="M27" i="20"/>
  <c r="N27" i="20" s="1"/>
  <c r="P18" i="14"/>
  <c r="Q18" i="14" s="1"/>
  <c r="R18" i="14" s="1"/>
  <c r="M18" i="14"/>
  <c r="N18" i="14" s="1"/>
  <c r="O18" i="14" s="1"/>
  <c r="J18" i="14"/>
  <c r="K18" i="14" s="1"/>
  <c r="L18" i="14" s="1"/>
  <c r="P67" i="15"/>
  <c r="Q67" i="15" s="1"/>
  <c r="R67" i="15" s="1"/>
  <c r="J67" i="15"/>
  <c r="K67" i="15" s="1"/>
  <c r="L67" i="15" s="1"/>
  <c r="M67" i="15"/>
  <c r="N67" i="15" s="1"/>
  <c r="O67" i="15" s="1"/>
  <c r="J59" i="24"/>
  <c r="K59" i="24" s="1"/>
  <c r="L59" i="24" s="1"/>
  <c r="P59" i="24"/>
  <c r="Q59" i="24" s="1"/>
  <c r="R59" i="24" s="1"/>
  <c r="M59" i="24"/>
  <c r="N59" i="24" s="1"/>
  <c r="O59" i="24" s="1"/>
  <c r="J49" i="15"/>
  <c r="P49" i="15"/>
  <c r="Q49" i="15" s="1"/>
  <c r="R49" i="15" s="1"/>
  <c r="M49" i="15"/>
  <c r="N49" i="15" s="1"/>
  <c r="O49" i="15" s="1"/>
  <c r="J39" i="20"/>
  <c r="M39" i="20"/>
  <c r="N39" i="20" s="1"/>
  <c r="O39" i="20" s="1"/>
  <c r="P39" i="20"/>
  <c r="Q39" i="20" s="1"/>
  <c r="R39" i="20" s="1"/>
  <c r="P29" i="20"/>
  <c r="Q29" i="20" s="1"/>
  <c r="R29" i="20" s="1"/>
  <c r="J29" i="20"/>
  <c r="K29" i="20" s="1"/>
  <c r="L29" i="20" s="1"/>
  <c r="M29" i="20"/>
  <c r="N29" i="20" s="1"/>
  <c r="O29" i="20" s="1"/>
  <c r="D27" i="24"/>
  <c r="J26" i="24"/>
  <c r="K26" i="24" s="1"/>
  <c r="L26" i="24" s="1"/>
  <c r="M26" i="24"/>
  <c r="P26" i="24"/>
  <c r="M21" i="17"/>
  <c r="J21" i="17"/>
  <c r="P21" i="17"/>
  <c r="Q22" i="17" s="1"/>
  <c r="R22" i="17" s="1"/>
  <c r="P45" i="13"/>
  <c r="Q45" i="13" s="1"/>
  <c r="R45" i="13" s="1"/>
  <c r="J45" i="13"/>
  <c r="K45" i="13" s="1"/>
  <c r="L45" i="13" s="1"/>
  <c r="M45" i="13"/>
  <c r="P78" i="20"/>
  <c r="Q78" i="20" s="1"/>
  <c r="R78" i="20" s="1"/>
  <c r="M78" i="20"/>
  <c r="N78" i="20" s="1"/>
  <c r="O78" i="20" s="1"/>
  <c r="J78" i="20"/>
  <c r="K78" i="20" s="1"/>
  <c r="L78" i="20" s="1"/>
  <c r="J21" i="10"/>
  <c r="P21" i="10"/>
  <c r="Q22" i="10" s="1"/>
  <c r="R22" i="10" s="1"/>
  <c r="M21" i="10"/>
  <c r="P34" i="15"/>
  <c r="M34" i="15"/>
  <c r="J34" i="15"/>
  <c r="J76" i="20"/>
  <c r="P76" i="20"/>
  <c r="M76" i="20"/>
  <c r="J41" i="14"/>
  <c r="K41" i="14" s="1"/>
  <c r="L41" i="14" s="1"/>
  <c r="P41" i="14"/>
  <c r="Q41" i="14" s="1"/>
  <c r="R41" i="14" s="1"/>
  <c r="M41" i="14"/>
  <c r="N41" i="14" s="1"/>
  <c r="Q48" i="16"/>
  <c r="R48" i="16" s="1"/>
  <c r="S48" i="16" s="1"/>
  <c r="N48" i="16"/>
  <c r="O48" i="16" s="1"/>
  <c r="P48" i="16" s="1"/>
  <c r="K48" i="16"/>
  <c r="L48" i="16" s="1"/>
  <c r="M48" i="16" s="1"/>
  <c r="K19" i="16"/>
  <c r="L19" i="16" s="1"/>
  <c r="M19" i="16" s="1"/>
  <c r="Q19" i="16"/>
  <c r="R19" i="16" s="1"/>
  <c r="S19" i="16" s="1"/>
  <c r="N19" i="16"/>
  <c r="J40" i="17"/>
  <c r="K40" i="17" s="1"/>
  <c r="L40" i="17" s="1"/>
  <c r="P40" i="17"/>
  <c r="Q40" i="17" s="1"/>
  <c r="R40" i="17" s="1"/>
  <c r="M40" i="17"/>
  <c r="N40" i="17" s="1"/>
  <c r="O40" i="17" s="1"/>
  <c r="M52" i="7"/>
  <c r="P52" i="7"/>
  <c r="J52" i="7"/>
  <c r="J58" i="24"/>
  <c r="K58" i="24" s="1"/>
  <c r="L58" i="24" s="1"/>
  <c r="P58" i="24"/>
  <c r="Q58" i="24" s="1"/>
  <c r="R58" i="24" s="1"/>
  <c r="M58" i="24"/>
  <c r="N58" i="24" s="1"/>
  <c r="O58" i="24" s="1"/>
  <c r="J42" i="7"/>
  <c r="P42" i="7"/>
  <c r="M42" i="7"/>
  <c r="J38" i="20"/>
  <c r="M38" i="20"/>
  <c r="N38" i="20" s="1"/>
  <c r="O38" i="20" s="1"/>
  <c r="P38" i="20"/>
  <c r="Q38" i="20" s="1"/>
  <c r="R38" i="20" s="1"/>
  <c r="P28" i="20"/>
  <c r="Q28" i="20" s="1"/>
  <c r="R28" i="20" s="1"/>
  <c r="J28" i="20"/>
  <c r="K28" i="20" s="1"/>
  <c r="L28" i="20" s="1"/>
  <c r="M28" i="20"/>
  <c r="N28" i="20" s="1"/>
  <c r="O28" i="20" s="1"/>
  <c r="J25" i="24"/>
  <c r="K25" i="24" s="1"/>
  <c r="L25" i="24" s="1"/>
  <c r="M25" i="24"/>
  <c r="P25" i="24"/>
  <c r="K18" i="16"/>
  <c r="L18" i="16" s="1"/>
  <c r="Q18" i="16"/>
  <c r="R18" i="16" s="1"/>
  <c r="N18" i="16"/>
  <c r="O18" i="16" s="1"/>
  <c r="P18" i="16" s="1"/>
  <c r="P77" i="20"/>
  <c r="Q77" i="20" s="1"/>
  <c r="R77" i="20" s="1"/>
  <c r="M77" i="20"/>
  <c r="N77" i="20" s="1"/>
  <c r="O77" i="20" s="1"/>
  <c r="J77" i="20"/>
  <c r="K77" i="20" s="1"/>
  <c r="L77" i="20" s="1"/>
  <c r="J21" i="9"/>
  <c r="P21" i="9"/>
  <c r="Q22" i="9" s="1"/>
  <c r="R22" i="9" s="1"/>
  <c r="M21" i="9"/>
  <c r="N98" i="7"/>
  <c r="O98" i="7" s="1"/>
  <c r="Q98" i="7"/>
  <c r="R98" i="7" s="1"/>
  <c r="D75" i="7"/>
  <c r="D124" i="7" s="1"/>
  <c r="E75" i="7"/>
  <c r="E124" i="7" s="1"/>
  <c r="Q72" i="7"/>
  <c r="O12" i="7"/>
  <c r="N72" i="7"/>
  <c r="Q25" i="11"/>
  <c r="R25" i="11" s="1"/>
  <c r="R59" i="11"/>
  <c r="Q69" i="11"/>
  <c r="Q112" i="11" s="1"/>
  <c r="L59" i="13"/>
  <c r="K114" i="13"/>
  <c r="L58" i="10"/>
  <c r="N99" i="15"/>
  <c r="K113" i="24"/>
  <c r="M60" i="16"/>
  <c r="I74" i="17"/>
  <c r="I118" i="17" s="1"/>
  <c r="M52" i="20"/>
  <c r="M54" i="20" s="1"/>
  <c r="M93" i="20" s="1"/>
  <c r="N87" i="20"/>
  <c r="O22" i="20"/>
  <c r="O90" i="20" s="1"/>
  <c r="R22" i="20"/>
  <c r="R90" i="20" s="1"/>
  <c r="P52" i="20"/>
  <c r="P54" i="20" s="1"/>
  <c r="P93" i="20" s="1"/>
  <c r="N97" i="20"/>
  <c r="N52" i="20"/>
  <c r="O52" i="20" s="1"/>
  <c r="H96" i="17"/>
  <c r="H121" i="17" s="1"/>
  <c r="F114" i="17"/>
  <c r="Q10" i="17"/>
  <c r="R10" i="17" s="1"/>
  <c r="R42" i="17"/>
  <c r="R44" i="17" s="1"/>
  <c r="R114" i="17" s="1"/>
  <c r="C119" i="17"/>
  <c r="N103" i="17"/>
  <c r="O103" i="17" s="1"/>
  <c r="Q103" i="17"/>
  <c r="R103" i="17" s="1"/>
  <c r="N52" i="17"/>
  <c r="O52" i="17" s="1"/>
  <c r="I105" i="17"/>
  <c r="I122" i="17" s="1"/>
  <c r="Q52" i="17"/>
  <c r="R52" i="17" s="1"/>
  <c r="N56" i="17"/>
  <c r="O56" i="17" s="1"/>
  <c r="D96" i="17"/>
  <c r="D121" i="17" s="1"/>
  <c r="H29" i="17"/>
  <c r="H113" i="17" s="1"/>
  <c r="Q56" i="17"/>
  <c r="R56" i="17" s="1"/>
  <c r="I58" i="17"/>
  <c r="I116" i="17" s="1"/>
  <c r="N10" i="17"/>
  <c r="O10" i="17" s="1"/>
  <c r="H89" i="16"/>
  <c r="H114" i="16" s="1"/>
  <c r="C89" i="16"/>
  <c r="C114" i="16" s="1"/>
  <c r="N12" i="14"/>
  <c r="N102" i="14" s="1"/>
  <c r="H26" i="14"/>
  <c r="H105" i="14" s="1"/>
  <c r="D88" i="14"/>
  <c r="D113" i="14" s="1"/>
  <c r="E88" i="14"/>
  <c r="E113" i="14" s="1"/>
  <c r="Q61" i="13"/>
  <c r="R61" i="13" s="1"/>
  <c r="D17" i="13"/>
  <c r="D107" i="13" s="1"/>
  <c r="H17" i="13"/>
  <c r="H107" i="13" s="1"/>
  <c r="E102" i="13"/>
  <c r="E119" i="13" s="1"/>
  <c r="E92" i="13"/>
  <c r="E117" i="13" s="1"/>
  <c r="F110" i="13"/>
  <c r="Q25" i="13"/>
  <c r="R25" i="13" s="1"/>
  <c r="H92" i="13"/>
  <c r="H117" i="13" s="1"/>
  <c r="N61" i="13"/>
  <c r="O61" i="13" s="1"/>
  <c r="S61" i="13" s="1"/>
  <c r="N87" i="11"/>
  <c r="O87" i="11" s="1"/>
  <c r="S87" i="11" s="1"/>
  <c r="E108" i="11"/>
  <c r="T5" i="11"/>
  <c r="N81" i="11"/>
  <c r="O81" i="11" s="1"/>
  <c r="N95" i="11"/>
  <c r="O95" i="11" s="1"/>
  <c r="Q95" i="11"/>
  <c r="R95" i="11" s="1"/>
  <c r="R99" i="11" s="1"/>
  <c r="N39" i="11"/>
  <c r="I99" i="11"/>
  <c r="I116" i="11" s="1"/>
  <c r="K39" i="11"/>
  <c r="L39" i="11" s="1"/>
  <c r="L41" i="11" s="1"/>
  <c r="L108" i="11" s="1"/>
  <c r="N61" i="11"/>
  <c r="K99" i="11"/>
  <c r="K116" i="11" s="1"/>
  <c r="K61" i="11"/>
  <c r="N221" i="24"/>
  <c r="O221" i="24" s="1"/>
  <c r="P124" i="24"/>
  <c r="Q124" i="24" s="1"/>
  <c r="R124" i="24" s="1"/>
  <c r="S124" i="24" s="1"/>
  <c r="N223" i="24"/>
  <c r="O223" i="24" s="1"/>
  <c r="D228" i="24"/>
  <c r="D246" i="24" s="1"/>
  <c r="D201" i="24"/>
  <c r="D244" i="24" s="1"/>
  <c r="D20" i="24"/>
  <c r="D234" i="24" s="1"/>
  <c r="K221" i="24"/>
  <c r="L221" i="24" s="1"/>
  <c r="P99" i="24"/>
  <c r="Q99" i="24" s="1"/>
  <c r="R99" i="24" s="1"/>
  <c r="K223" i="24"/>
  <c r="L223" i="24" s="1"/>
  <c r="M159" i="24"/>
  <c r="N159" i="24" s="1"/>
  <c r="O159" i="24" s="1"/>
  <c r="S159" i="24" s="1"/>
  <c r="J99" i="24"/>
  <c r="K99" i="24" s="1"/>
  <c r="L99" i="24" s="1"/>
  <c r="E241" i="24"/>
  <c r="P159" i="24"/>
  <c r="Q159" i="24" s="1"/>
  <c r="R159" i="24" s="1"/>
  <c r="P101" i="24"/>
  <c r="Q101" i="24" s="1"/>
  <c r="R101" i="24" s="1"/>
  <c r="K40" i="24"/>
  <c r="L40" i="24" s="1"/>
  <c r="M101" i="24"/>
  <c r="N101" i="24" s="1"/>
  <c r="O101" i="24" s="1"/>
  <c r="N40" i="24"/>
  <c r="O40" i="24" s="1"/>
  <c r="P190" i="24"/>
  <c r="Q190" i="24" s="1"/>
  <c r="R190" i="24" s="1"/>
  <c r="M190" i="24"/>
  <c r="N190" i="24" s="1"/>
  <c r="O190" i="24" s="1"/>
  <c r="C51" i="24"/>
  <c r="C236" i="24" s="1"/>
  <c r="C20" i="24"/>
  <c r="C234" i="24" s="1"/>
  <c r="N65" i="24"/>
  <c r="O65" i="24" s="1"/>
  <c r="M122" i="24"/>
  <c r="N122" i="24" s="1"/>
  <c r="O122" i="24" s="1"/>
  <c r="K65" i="24"/>
  <c r="L65" i="24" s="1"/>
  <c r="P122" i="24"/>
  <c r="Q122" i="24" s="1"/>
  <c r="R122" i="24" s="1"/>
  <c r="E201" i="24"/>
  <c r="E244" i="24" s="1"/>
  <c r="N67" i="24"/>
  <c r="O67" i="24" s="1"/>
  <c r="S67" i="24" s="1"/>
  <c r="C151" i="15"/>
  <c r="C169" i="15" s="1"/>
  <c r="D25" i="15"/>
  <c r="D157" i="15" s="1"/>
  <c r="Q39" i="15"/>
  <c r="R39" i="15" s="1"/>
  <c r="C135" i="15"/>
  <c r="C167" i="15" s="1"/>
  <c r="E151" i="15"/>
  <c r="E169" i="15" s="1"/>
  <c r="N19" i="15"/>
  <c r="O19" i="15" s="1"/>
  <c r="M85" i="15"/>
  <c r="M74" i="15"/>
  <c r="N74" i="15" s="1"/>
  <c r="O74" i="15" s="1"/>
  <c r="M93" i="15"/>
  <c r="N93" i="15" s="1"/>
  <c r="O93" i="15" s="1"/>
  <c r="M116" i="15"/>
  <c r="N116" i="15" s="1"/>
  <c r="O116" i="15" s="1"/>
  <c r="M89" i="15"/>
  <c r="N89" i="15" s="1"/>
  <c r="O89" i="15" s="1"/>
  <c r="M70" i="15"/>
  <c r="N70" i="15" s="1"/>
  <c r="O70" i="15" s="1"/>
  <c r="M59" i="15"/>
  <c r="N59" i="15" s="1"/>
  <c r="O59" i="15" s="1"/>
  <c r="D62" i="15"/>
  <c r="D161" i="15" s="1"/>
  <c r="N85" i="15"/>
  <c r="O85" i="15" s="1"/>
  <c r="D135" i="15"/>
  <c r="D167" i="15" s="1"/>
  <c r="T9" i="15"/>
  <c r="N126" i="15"/>
  <c r="O126" i="15" s="1"/>
  <c r="Q126" i="15"/>
  <c r="R126" i="15" s="1"/>
  <c r="N39" i="15"/>
  <c r="O39" i="15" s="1"/>
  <c r="N36" i="15"/>
  <c r="O36" i="15" s="1"/>
  <c r="I78" i="15"/>
  <c r="I162" i="15" s="1"/>
  <c r="N97" i="15"/>
  <c r="O97" i="15" s="1"/>
  <c r="N124" i="15"/>
  <c r="O124" i="15" s="1"/>
  <c r="Q122" i="15"/>
  <c r="R122" i="15" s="1"/>
  <c r="E62" i="15"/>
  <c r="E161" i="15" s="1"/>
  <c r="E44" i="15"/>
  <c r="E159" i="15" s="1"/>
  <c r="N154" i="15"/>
  <c r="N122" i="15"/>
  <c r="O122" i="15" s="1"/>
  <c r="C25" i="15"/>
  <c r="C157" i="15" s="1"/>
  <c r="N57" i="15"/>
  <c r="O57" i="15" s="1"/>
  <c r="S57" i="15" s="1"/>
  <c r="S61" i="15" s="1"/>
  <c r="S160" i="15" s="1"/>
  <c r="H22" i="21" s="1"/>
  <c r="E24" i="7"/>
  <c r="E116" i="7" s="1"/>
  <c r="N18" i="7"/>
  <c r="O18" i="7" s="1"/>
  <c r="Q18" i="7"/>
  <c r="R18" i="7" s="1"/>
  <c r="Q23" i="7"/>
  <c r="C101" i="7"/>
  <c r="C126" i="7" s="1"/>
  <c r="I100" i="7"/>
  <c r="I125" i="7" s="1"/>
  <c r="N23" i="7"/>
  <c r="O23" i="7" s="1"/>
  <c r="O115" i="7" s="1"/>
  <c r="I36" i="7"/>
  <c r="I117" i="7" s="1"/>
  <c r="K23" i="7"/>
  <c r="K115" i="7" s="1"/>
  <c r="N94" i="7"/>
  <c r="O94" i="7" s="1"/>
  <c r="Q94" i="7"/>
  <c r="R94" i="7" s="1"/>
  <c r="K88" i="7"/>
  <c r="L88" i="7" s="1"/>
  <c r="N78" i="1"/>
  <c r="O78" i="1" s="1"/>
  <c r="S78" i="1" s="1"/>
  <c r="E51" i="1"/>
  <c r="E112" i="1" s="1"/>
  <c r="N24" i="1"/>
  <c r="O24" i="1" s="1"/>
  <c r="Q24" i="1"/>
  <c r="R24" i="1" s="1"/>
  <c r="N103" i="10"/>
  <c r="C29" i="10"/>
  <c r="C108" i="10" s="1"/>
  <c r="N73" i="10"/>
  <c r="O73" i="10" s="1"/>
  <c r="Q73" i="10"/>
  <c r="R73" i="10" s="1"/>
  <c r="C91" i="10"/>
  <c r="C116" i="10" s="1"/>
  <c r="C16" i="10"/>
  <c r="C106" i="10" s="1"/>
  <c r="K10" i="10"/>
  <c r="L10" i="10" s="1"/>
  <c r="L15" i="10" s="1"/>
  <c r="L105" i="10" s="1"/>
  <c r="E16" i="10"/>
  <c r="E106" i="10" s="1"/>
  <c r="N10" i="10"/>
  <c r="O10" i="10" s="1"/>
  <c r="Q10" i="10"/>
  <c r="R10" i="10" s="1"/>
  <c r="N24" i="10"/>
  <c r="O24" i="10" s="1"/>
  <c r="C101" i="10"/>
  <c r="C118" i="10" s="1"/>
  <c r="C51" i="10"/>
  <c r="C112" i="10" s="1"/>
  <c r="E91" i="10"/>
  <c r="E116" i="10" s="1"/>
  <c r="N80" i="10"/>
  <c r="O80" i="10" s="1"/>
  <c r="K80" i="10"/>
  <c r="L80" i="10" s="1"/>
  <c r="I100" i="9"/>
  <c r="I117" i="9" s="1"/>
  <c r="C101" i="9"/>
  <c r="C118" i="9" s="1"/>
  <c r="D51" i="9"/>
  <c r="D112" i="9" s="1"/>
  <c r="K58" i="9"/>
  <c r="C16" i="9"/>
  <c r="C106" i="9" s="1"/>
  <c r="N46" i="9"/>
  <c r="O46" i="9" s="1"/>
  <c r="E91" i="9"/>
  <c r="E116" i="9" s="1"/>
  <c r="D91" i="9"/>
  <c r="D116" i="9" s="1"/>
  <c r="D16" i="9"/>
  <c r="D106" i="9" s="1"/>
  <c r="C51" i="9"/>
  <c r="C112" i="9" s="1"/>
  <c r="N96" i="9"/>
  <c r="O96" i="9" s="1"/>
  <c r="S96" i="9" s="1"/>
  <c r="Q96" i="9"/>
  <c r="R96" i="9" s="1"/>
  <c r="N58" i="9"/>
  <c r="N62" i="9"/>
  <c r="O62" i="9" s="1"/>
  <c r="K62" i="9"/>
  <c r="L62" i="9" s="1"/>
  <c r="D16" i="17"/>
  <c r="D111" i="17" s="1"/>
  <c r="P181" i="24"/>
  <c r="Q181" i="24" s="1"/>
  <c r="R181" i="24" s="1"/>
  <c r="S181" i="24" s="1"/>
  <c r="G28" i="13"/>
  <c r="G59" i="16"/>
  <c r="J59" i="16" s="1"/>
  <c r="G22" i="14"/>
  <c r="G71" i="17"/>
  <c r="G209" i="24"/>
  <c r="G196" i="24"/>
  <c r="G80" i="11"/>
  <c r="G134" i="24"/>
  <c r="G67" i="7"/>
  <c r="G166" i="24"/>
  <c r="G66" i="20"/>
  <c r="G61" i="10"/>
  <c r="G49" i="10"/>
  <c r="G62" i="24"/>
  <c r="G35" i="7"/>
  <c r="G23" i="15"/>
  <c r="G25" i="15" s="1"/>
  <c r="G157" i="15" s="1"/>
  <c r="N76" i="15"/>
  <c r="O76" i="15" s="1"/>
  <c r="K46" i="10"/>
  <c r="L46" i="10" s="1"/>
  <c r="L50" i="10" s="1"/>
  <c r="L111" i="10" s="1"/>
  <c r="Q79" i="11"/>
  <c r="R79" i="11" s="1"/>
  <c r="R89" i="11" s="1"/>
  <c r="R114" i="11" s="1"/>
  <c r="M86" i="24"/>
  <c r="N86" i="24" s="1"/>
  <c r="O86" i="24" s="1"/>
  <c r="N36" i="1"/>
  <c r="O36" i="1" s="1"/>
  <c r="O38" i="1" s="1"/>
  <c r="O109" i="1" s="1"/>
  <c r="G94" i="14"/>
  <c r="G102" i="17"/>
  <c r="G82" i="13"/>
  <c r="G95" i="16"/>
  <c r="G57" i="17"/>
  <c r="G149" i="15"/>
  <c r="I149" i="15" s="1"/>
  <c r="G130" i="15"/>
  <c r="G76" i="1"/>
  <c r="G125" i="24"/>
  <c r="G66" i="11"/>
  <c r="G162" i="24"/>
  <c r="G141" i="24"/>
  <c r="G57" i="10"/>
  <c r="G98" i="24"/>
  <c r="G58" i="15"/>
  <c r="G27" i="1"/>
  <c r="G22" i="7"/>
  <c r="P179" i="24"/>
  <c r="N84" i="11"/>
  <c r="O84" i="11" s="1"/>
  <c r="I227" i="24"/>
  <c r="I245" i="24" s="1"/>
  <c r="G93" i="20"/>
  <c r="D52" i="13"/>
  <c r="D113" i="13" s="1"/>
  <c r="G80" i="14"/>
  <c r="G88" i="17"/>
  <c r="I88" i="17" s="1"/>
  <c r="G62" i="13"/>
  <c r="G81" i="16"/>
  <c r="G43" i="17"/>
  <c r="G144" i="15"/>
  <c r="G125" i="15"/>
  <c r="G86" i="1"/>
  <c r="G116" i="24"/>
  <c r="G193" i="24"/>
  <c r="G82" i="7"/>
  <c r="G132" i="24"/>
  <c r="G61" i="9"/>
  <c r="G89" i="24"/>
  <c r="G37" i="9"/>
  <c r="G27" i="10"/>
  <c r="G29" i="10" s="1"/>
  <c r="G108" i="10" s="1"/>
  <c r="G14" i="11"/>
  <c r="G77" i="15"/>
  <c r="I77" i="15" s="1"/>
  <c r="I38" i="10"/>
  <c r="I109" i="10" s="1"/>
  <c r="H47" i="7"/>
  <c r="H120" i="7" s="1"/>
  <c r="K19" i="15"/>
  <c r="L19" i="15" s="1"/>
  <c r="I111" i="24"/>
  <c r="J111" i="16"/>
  <c r="F43" i="16"/>
  <c r="F108" i="16" s="1"/>
  <c r="N79" i="11"/>
  <c r="O79" i="11" s="1"/>
  <c r="G76" i="14"/>
  <c r="I76" i="14" s="1"/>
  <c r="G84" i="17"/>
  <c r="G58" i="13"/>
  <c r="G77" i="16"/>
  <c r="G25" i="17"/>
  <c r="G141" i="15"/>
  <c r="G123" i="15"/>
  <c r="G89" i="1"/>
  <c r="G112" i="24"/>
  <c r="G191" i="24"/>
  <c r="G87" i="7"/>
  <c r="I87" i="7" s="1"/>
  <c r="G127" i="24"/>
  <c r="I127" i="24" s="1"/>
  <c r="G59" i="9"/>
  <c r="G85" i="24"/>
  <c r="G68" i="24"/>
  <c r="G25" i="9"/>
  <c r="G11" i="11"/>
  <c r="D39" i="9"/>
  <c r="D110" i="9" s="1"/>
  <c r="Q132" i="15"/>
  <c r="R132" i="15" s="1"/>
  <c r="N58" i="1"/>
  <c r="O58" i="1" s="1"/>
  <c r="G71" i="14"/>
  <c r="G69" i="17"/>
  <c r="G48" i="13"/>
  <c r="G72" i="16"/>
  <c r="J72" i="16" s="1"/>
  <c r="G11" i="17"/>
  <c r="G109" i="7"/>
  <c r="G121" i="15"/>
  <c r="G76" i="10"/>
  <c r="G86" i="15"/>
  <c r="G189" i="24"/>
  <c r="G91" i="7"/>
  <c r="G123" i="24"/>
  <c r="G57" i="9"/>
  <c r="G71" i="15"/>
  <c r="G64" i="24"/>
  <c r="G47" i="24"/>
  <c r="G14" i="1"/>
  <c r="K58" i="1"/>
  <c r="E101" i="9"/>
  <c r="E118" i="9" s="1"/>
  <c r="G98" i="13"/>
  <c r="G60" i="14"/>
  <c r="G65" i="17"/>
  <c r="G26" i="13"/>
  <c r="G61" i="16"/>
  <c r="J61" i="16" s="1"/>
  <c r="G107" i="7"/>
  <c r="G119" i="15"/>
  <c r="I119" i="15" s="1"/>
  <c r="G81" i="10"/>
  <c r="I81" i="10" s="1"/>
  <c r="G88" i="15"/>
  <c r="G187" i="24"/>
  <c r="G74" i="1"/>
  <c r="G118" i="24"/>
  <c r="G104" i="24"/>
  <c r="G57" i="7"/>
  <c r="G56" i="15"/>
  <c r="G43" i="24"/>
  <c r="G11" i="1"/>
  <c r="N140" i="15"/>
  <c r="O140" i="15" s="1"/>
  <c r="O150" i="15" s="1"/>
  <c r="O168" i="15" s="1"/>
  <c r="I101" i="13"/>
  <c r="I118" i="13" s="1"/>
  <c r="P144" i="24"/>
  <c r="Q144" i="24" s="1"/>
  <c r="R144" i="24" s="1"/>
  <c r="G114" i="17"/>
  <c r="G125" i="17" s="1"/>
  <c r="I22" i="20"/>
  <c r="I90" i="20" s="1"/>
  <c r="Q118" i="15"/>
  <c r="R118" i="15" s="1"/>
  <c r="M90" i="24"/>
  <c r="N90" i="24" s="1"/>
  <c r="O90" i="24" s="1"/>
  <c r="N208" i="24"/>
  <c r="O208" i="24" s="1"/>
  <c r="G90" i="13"/>
  <c r="G56" i="14"/>
  <c r="I56" i="14" s="1"/>
  <c r="G55" i="17"/>
  <c r="G12" i="13"/>
  <c r="G17" i="13" s="1"/>
  <c r="G107" i="13" s="1"/>
  <c r="G41" i="16"/>
  <c r="J41" i="16" s="1"/>
  <c r="J43" i="16" s="1"/>
  <c r="J108" i="16" s="1"/>
  <c r="G226" i="24"/>
  <c r="G98" i="11"/>
  <c r="G117" i="15"/>
  <c r="G86" i="10"/>
  <c r="G90" i="15"/>
  <c r="G184" i="24"/>
  <c r="G79" i="1"/>
  <c r="G114" i="24"/>
  <c r="G100" i="24"/>
  <c r="G50" i="11"/>
  <c r="G54" i="15"/>
  <c r="G38" i="24"/>
  <c r="G14" i="10"/>
  <c r="Q140" i="15"/>
  <c r="R140" i="15" s="1"/>
  <c r="R150" i="15" s="1"/>
  <c r="R168" i="15" s="1"/>
  <c r="N99" i="13"/>
  <c r="O99" i="13" s="1"/>
  <c r="J144" i="24"/>
  <c r="K144" i="24" s="1"/>
  <c r="L144" i="24" s="1"/>
  <c r="P90" i="24"/>
  <c r="Q90" i="24" s="1"/>
  <c r="R90" i="24" s="1"/>
  <c r="K208" i="24"/>
  <c r="L208" i="24" s="1"/>
  <c r="G84" i="13"/>
  <c r="G46" i="14"/>
  <c r="G27" i="17"/>
  <c r="G96" i="14"/>
  <c r="G31" i="16"/>
  <c r="G224" i="24"/>
  <c r="G96" i="11"/>
  <c r="G100" i="11" s="1"/>
  <c r="G117" i="11" s="1"/>
  <c r="G84" i="7"/>
  <c r="G89" i="10"/>
  <c r="G92" i="15"/>
  <c r="G182" i="24"/>
  <c r="G83" i="1"/>
  <c r="G62" i="11"/>
  <c r="G96" i="24"/>
  <c r="G49" i="1"/>
  <c r="G45" i="7"/>
  <c r="G42" i="15"/>
  <c r="G11" i="10"/>
  <c r="I150" i="15"/>
  <c r="I168" i="15" s="1"/>
  <c r="C114" i="17"/>
  <c r="N212" i="24"/>
  <c r="O212" i="24" s="1"/>
  <c r="C111" i="7"/>
  <c r="C128" i="7" s="1"/>
  <c r="G80" i="13"/>
  <c r="G34" i="14"/>
  <c r="G36" i="14" s="1"/>
  <c r="G107" i="14" s="1"/>
  <c r="G14" i="17"/>
  <c r="G83" i="14"/>
  <c r="I83" i="14" s="1"/>
  <c r="G29" i="16"/>
  <c r="G222" i="24"/>
  <c r="G99" i="1"/>
  <c r="G89" i="7"/>
  <c r="G76" i="9"/>
  <c r="G94" i="15"/>
  <c r="G180" i="24"/>
  <c r="G74" i="10"/>
  <c r="G60" i="11"/>
  <c r="G91" i="24"/>
  <c r="G47" i="10"/>
  <c r="G40" i="11"/>
  <c r="G37" i="15"/>
  <c r="G14" i="9"/>
  <c r="H39" i="1"/>
  <c r="H110" i="1" s="1"/>
  <c r="K212" i="24"/>
  <c r="L212" i="24" s="1"/>
  <c r="G75" i="13"/>
  <c r="G24" i="14"/>
  <c r="G78" i="14"/>
  <c r="G27" i="16"/>
  <c r="G220" i="24"/>
  <c r="G97" i="1"/>
  <c r="G95" i="7"/>
  <c r="I95" i="7" s="1"/>
  <c r="G81" i="9"/>
  <c r="I81" i="9" s="1"/>
  <c r="G96" i="15"/>
  <c r="I96" i="15" s="1"/>
  <c r="G178" i="24"/>
  <c r="G79" i="10"/>
  <c r="G63" i="1"/>
  <c r="G87" i="24"/>
  <c r="I87" i="24" s="1"/>
  <c r="G47" i="9"/>
  <c r="G37" i="10"/>
  <c r="G33" i="7"/>
  <c r="G11" i="9"/>
  <c r="K10" i="11"/>
  <c r="L10" i="11" s="1"/>
  <c r="S10" i="11" s="1"/>
  <c r="G64" i="13"/>
  <c r="I64" i="13" s="1"/>
  <c r="G97" i="16"/>
  <c r="J97" i="16" s="1"/>
  <c r="G73" i="14"/>
  <c r="G11" i="16"/>
  <c r="G13" i="16" s="1"/>
  <c r="G104" i="16" s="1"/>
  <c r="G218" i="24"/>
  <c r="G97" i="10"/>
  <c r="G99" i="7"/>
  <c r="G86" i="9"/>
  <c r="G98" i="15"/>
  <c r="G175" i="24"/>
  <c r="G83" i="10"/>
  <c r="G61" i="1"/>
  <c r="G75" i="15"/>
  <c r="G49" i="9"/>
  <c r="I49" i="9" s="1"/>
  <c r="G49" i="24"/>
  <c r="G28" i="11"/>
  <c r="G30" i="11" s="1"/>
  <c r="G107" i="11" s="1"/>
  <c r="G27" i="9"/>
  <c r="N10" i="11"/>
  <c r="O10" i="11" s="1"/>
  <c r="I38" i="1"/>
  <c r="I109" i="1" s="1"/>
  <c r="N88" i="9"/>
  <c r="O88" i="9" s="1"/>
  <c r="M113" i="24"/>
  <c r="K78" i="10"/>
  <c r="L78" i="10" s="1"/>
  <c r="G60" i="13"/>
  <c r="G84" i="16"/>
  <c r="G58" i="14"/>
  <c r="G104" i="17"/>
  <c r="G215" i="24"/>
  <c r="G99" i="9"/>
  <c r="I99" i="9" s="1"/>
  <c r="G88" i="11"/>
  <c r="G89" i="9"/>
  <c r="G100" i="15"/>
  <c r="G173" i="24"/>
  <c r="G74" i="9"/>
  <c r="G59" i="1"/>
  <c r="I59" i="1" s="1"/>
  <c r="G55" i="7"/>
  <c r="G53" i="20"/>
  <c r="G55" i="20" s="1"/>
  <c r="G94" i="20" s="1"/>
  <c r="G45" i="24"/>
  <c r="G25" i="1"/>
  <c r="Q38" i="1"/>
  <c r="Q109" i="1" s="1"/>
  <c r="N57" i="14"/>
  <c r="O57" i="14" s="1"/>
  <c r="S57" i="14" s="1"/>
  <c r="P113" i="24"/>
  <c r="N78" i="10"/>
  <c r="O78" i="10" s="1"/>
  <c r="C26" i="14"/>
  <c r="C105" i="14" s="1"/>
  <c r="E52" i="13"/>
  <c r="E113" i="13" s="1"/>
  <c r="G50" i="13"/>
  <c r="G79" i="16"/>
  <c r="G54" i="14"/>
  <c r="G91" i="17"/>
  <c r="G213" i="24"/>
  <c r="G199" i="24"/>
  <c r="G99" i="10"/>
  <c r="G85" i="11"/>
  <c r="G143" i="24"/>
  <c r="G71" i="7"/>
  <c r="G171" i="24"/>
  <c r="G79" i="9"/>
  <c r="G57" i="1"/>
  <c r="G52" i="11"/>
  <c r="G70" i="24"/>
  <c r="G41" i="24"/>
  <c r="G18" i="24"/>
  <c r="H56" i="15"/>
  <c r="H22" i="7"/>
  <c r="K21" i="14"/>
  <c r="L21" i="14" s="1"/>
  <c r="Q88" i="9"/>
  <c r="R88" i="9" s="1"/>
  <c r="Q57" i="14"/>
  <c r="R57" i="14" s="1"/>
  <c r="G38" i="13"/>
  <c r="G74" i="16"/>
  <c r="G44" i="14"/>
  <c r="G86" i="17"/>
  <c r="G211" i="24"/>
  <c r="G97" i="9"/>
  <c r="G82" i="11"/>
  <c r="G139" i="24"/>
  <c r="G69" i="7"/>
  <c r="G169" i="24"/>
  <c r="G83" i="9"/>
  <c r="G63" i="10"/>
  <c r="I63" i="10" s="1"/>
  <c r="G47" i="1"/>
  <c r="I47" i="1" s="1"/>
  <c r="G66" i="24"/>
  <c r="I66" i="24" s="1"/>
  <c r="G40" i="15"/>
  <c r="G15" i="24"/>
  <c r="D29" i="9"/>
  <c r="D108" i="9" s="1"/>
  <c r="I89" i="20"/>
  <c r="R21" i="20"/>
  <c r="R89" i="20" s="1"/>
  <c r="J89" i="20"/>
  <c r="E29" i="17"/>
  <c r="E113" i="17" s="1"/>
  <c r="E48" i="14"/>
  <c r="E109" i="14" s="1"/>
  <c r="K23" i="25"/>
  <c r="L23" i="25" s="1"/>
  <c r="K22" i="25"/>
  <c r="L22" i="25" s="1"/>
  <c r="K21" i="25"/>
  <c r="L21" i="25" s="1"/>
  <c r="K45" i="25"/>
  <c r="L45" i="25" s="1"/>
  <c r="K35" i="25"/>
  <c r="L35" i="25" s="1"/>
  <c r="Q24" i="10"/>
  <c r="Q28" i="10" s="1"/>
  <c r="Q107" i="10" s="1"/>
  <c r="N70" i="14"/>
  <c r="O70" i="14" s="1"/>
  <c r="O78" i="16"/>
  <c r="P78" i="16" s="1"/>
  <c r="I97" i="20"/>
  <c r="O21" i="20"/>
  <c r="O89" i="20" s="1"/>
  <c r="Q52" i="20"/>
  <c r="R52" i="20" s="1"/>
  <c r="N132" i="15"/>
  <c r="O132" i="15" s="1"/>
  <c r="N80" i="24"/>
  <c r="O80" i="24" s="1"/>
  <c r="K79" i="24"/>
  <c r="L79" i="24" s="1"/>
  <c r="C33" i="16"/>
  <c r="C106" i="16" s="1"/>
  <c r="N32" i="15"/>
  <c r="O32" i="15" s="1"/>
  <c r="P170" i="24"/>
  <c r="N25" i="11"/>
  <c r="O25" i="11" s="1"/>
  <c r="N81" i="24"/>
  <c r="O81" i="24" s="1"/>
  <c r="K80" i="24"/>
  <c r="L80" i="24" s="1"/>
  <c r="K24" i="10"/>
  <c r="L24" i="10" s="1"/>
  <c r="K124" i="15"/>
  <c r="L124" i="15" s="1"/>
  <c r="M170" i="24"/>
  <c r="M131" i="24"/>
  <c r="Q103" i="24"/>
  <c r="R103" i="24" s="1"/>
  <c r="S103" i="24" s="1"/>
  <c r="N82" i="24"/>
  <c r="O82" i="24" s="1"/>
  <c r="K81" i="24"/>
  <c r="L81" i="24" s="1"/>
  <c r="N78" i="24"/>
  <c r="O78" i="24" s="1"/>
  <c r="Q26" i="9"/>
  <c r="R26" i="9" s="1"/>
  <c r="C92" i="13"/>
  <c r="C117" i="13" s="1"/>
  <c r="C91" i="9"/>
  <c r="C116" i="9" s="1"/>
  <c r="E96" i="17"/>
  <c r="E121" i="17" s="1"/>
  <c r="E89" i="16"/>
  <c r="E114" i="16" s="1"/>
  <c r="E90" i="11"/>
  <c r="E115" i="11" s="1"/>
  <c r="E91" i="1"/>
  <c r="E116" i="1" s="1"/>
  <c r="N22" i="25"/>
  <c r="O22" i="25" s="1"/>
  <c r="N45" i="25"/>
  <c r="O45" i="25" s="1"/>
  <c r="N35" i="25"/>
  <c r="O35" i="25" s="1"/>
  <c r="N23" i="25"/>
  <c r="O23" i="25" s="1"/>
  <c r="N21" i="25"/>
  <c r="O21" i="25" s="1"/>
  <c r="N56" i="9"/>
  <c r="O56" i="9" s="1"/>
  <c r="M103" i="24"/>
  <c r="C62" i="22"/>
  <c r="K82" i="24"/>
  <c r="L82" i="24" s="1"/>
  <c r="N79" i="24"/>
  <c r="O79" i="24" s="1"/>
  <c r="K78" i="24"/>
  <c r="L78" i="24" s="1"/>
  <c r="P70" i="15"/>
  <c r="Q70" i="15" s="1"/>
  <c r="R70" i="15" s="1"/>
  <c r="P89" i="15"/>
  <c r="Q89" i="15" s="1"/>
  <c r="R89" i="15" s="1"/>
  <c r="P74" i="15"/>
  <c r="Q74" i="15" s="1"/>
  <c r="P85" i="15"/>
  <c r="P93" i="15"/>
  <c r="Q93" i="15" s="1"/>
  <c r="R93" i="15" s="1"/>
  <c r="Q57" i="15"/>
  <c r="R57" i="15" s="1"/>
  <c r="Q24" i="15"/>
  <c r="M88" i="16"/>
  <c r="M113" i="16" s="1"/>
  <c r="K58" i="17"/>
  <c r="K116" i="17" s="1"/>
  <c r="P10" i="16"/>
  <c r="P12" i="16" s="1"/>
  <c r="P103" i="16" s="1"/>
  <c r="N88" i="7"/>
  <c r="O88" i="7" s="1"/>
  <c r="O13" i="7"/>
  <c r="N32" i="7" s="1"/>
  <c r="T5" i="22"/>
  <c r="N103" i="9"/>
  <c r="O38" i="16"/>
  <c r="P38" i="16" s="1"/>
  <c r="P22" i="22"/>
  <c r="P52" i="22" s="1"/>
  <c r="P63" i="22" s="1"/>
  <c r="R21" i="16"/>
  <c r="S21" i="16" s="1"/>
  <c r="K38" i="10"/>
  <c r="K109" i="10" s="1"/>
  <c r="S177" i="24"/>
  <c r="L97" i="11"/>
  <c r="L99" i="11" s="1"/>
  <c r="L116" i="11" s="1"/>
  <c r="S129" i="24"/>
  <c r="S115" i="24"/>
  <c r="S95" i="24"/>
  <c r="S95" i="15"/>
  <c r="L15" i="17"/>
  <c r="O28" i="1"/>
  <c r="O107" i="1" s="1"/>
  <c r="L52" i="17"/>
  <c r="L58" i="17" s="1"/>
  <c r="L116" i="17" s="1"/>
  <c r="P32" i="16"/>
  <c r="P105" i="16" s="1"/>
  <c r="K50" i="9"/>
  <c r="K111" i="9" s="1"/>
  <c r="P40" i="16"/>
  <c r="P42" i="16" s="1"/>
  <c r="P107" i="16" s="1"/>
  <c r="S88" i="24"/>
  <c r="N44" i="17"/>
  <c r="N114" i="17" s="1"/>
  <c r="N38" i="10"/>
  <c r="N109" i="10" s="1"/>
  <c r="K29" i="11"/>
  <c r="K106" i="11" s="1"/>
  <c r="L46" i="1"/>
  <c r="L50" i="1" s="1"/>
  <c r="L111" i="1" s="1"/>
  <c r="S47" i="13"/>
  <c r="O32" i="16"/>
  <c r="O105" i="16" s="1"/>
  <c r="R78" i="24"/>
  <c r="C48" i="14"/>
  <c r="C109" i="14" s="1"/>
  <c r="C118" i="14" s="1"/>
  <c r="C51" i="1"/>
  <c r="C112" i="1" s="1"/>
  <c r="E99" i="16"/>
  <c r="E116" i="16" s="1"/>
  <c r="J95" i="16"/>
  <c r="E135" i="15"/>
  <c r="E167" i="15" s="1"/>
  <c r="S82" i="14"/>
  <c r="S84" i="24"/>
  <c r="R27" i="11"/>
  <c r="N105" i="10"/>
  <c r="O15" i="10"/>
  <c r="O105" i="10" s="1"/>
  <c r="K38" i="9"/>
  <c r="K109" i="9" s="1"/>
  <c r="L36" i="9"/>
  <c r="L38" i="9" s="1"/>
  <c r="L109" i="9" s="1"/>
  <c r="L22" i="20"/>
  <c r="J90" i="20" s="1"/>
  <c r="C75" i="7"/>
  <c r="C124" i="7" s="1"/>
  <c r="C114" i="10"/>
  <c r="S17" i="20"/>
  <c r="Q46" i="9"/>
  <c r="R46" i="9" s="1"/>
  <c r="I50" i="9"/>
  <c r="I111" i="9" s="1"/>
  <c r="F39" i="9"/>
  <c r="F110" i="9" s="1"/>
  <c r="F109" i="9"/>
  <c r="F120" i="9" s="1"/>
  <c r="K56" i="10"/>
  <c r="N56" i="10"/>
  <c r="K75" i="10"/>
  <c r="L75" i="10" s="1"/>
  <c r="N75" i="10"/>
  <c r="O75" i="10" s="1"/>
  <c r="K13" i="11"/>
  <c r="N13" i="11"/>
  <c r="O13" i="11" s="1"/>
  <c r="Q13" i="11"/>
  <c r="R13" i="11" s="1"/>
  <c r="S19" i="20"/>
  <c r="E26" i="14"/>
  <c r="E105" i="14" s="1"/>
  <c r="Q56" i="10"/>
  <c r="F99" i="16"/>
  <c r="F116" i="16" s="1"/>
  <c r="Q62" i="10"/>
  <c r="R62" i="10" s="1"/>
  <c r="K62" i="10"/>
  <c r="L62" i="10" s="1"/>
  <c r="N62" i="10"/>
  <c r="O62" i="10" s="1"/>
  <c r="F14" i="10"/>
  <c r="F16" i="10" s="1"/>
  <c r="F106" i="10" s="1"/>
  <c r="F14" i="11"/>
  <c r="F16" i="11" s="1"/>
  <c r="F105" i="11" s="1"/>
  <c r="F23" i="15"/>
  <c r="F25" i="15" s="1"/>
  <c r="F157" i="15" s="1"/>
  <c r="F27" i="10"/>
  <c r="F26" i="11"/>
  <c r="F30" i="11" s="1"/>
  <c r="F107" i="11" s="1"/>
  <c r="F45" i="24"/>
  <c r="F33" i="7"/>
  <c r="F43" i="24"/>
  <c r="F58" i="15"/>
  <c r="F70" i="24"/>
  <c r="F45" i="7"/>
  <c r="F68" i="24"/>
  <c r="I68" i="24" s="1"/>
  <c r="F52" i="11"/>
  <c r="F54" i="11" s="1"/>
  <c r="F111" i="11" s="1"/>
  <c r="F91" i="24"/>
  <c r="F57" i="9"/>
  <c r="F57" i="10"/>
  <c r="F57" i="1"/>
  <c r="F49" i="9"/>
  <c r="F57" i="7"/>
  <c r="F93" i="24"/>
  <c r="F64" i="11"/>
  <c r="F69" i="7"/>
  <c r="F96" i="15"/>
  <c r="F88" i="15"/>
  <c r="F125" i="24"/>
  <c r="F143" i="24"/>
  <c r="F76" i="9"/>
  <c r="F76" i="10"/>
  <c r="F76" i="1"/>
  <c r="F85" i="11"/>
  <c r="F89" i="7"/>
  <c r="F121" i="15"/>
  <c r="F130" i="15"/>
  <c r="F114" i="24"/>
  <c r="F132" i="24"/>
  <c r="F66" i="20"/>
  <c r="F83" i="10"/>
  <c r="F79" i="1"/>
  <c r="F82" i="7"/>
  <c r="F166" i="24"/>
  <c r="F175" i="24"/>
  <c r="F184" i="24"/>
  <c r="F193" i="24"/>
  <c r="F97" i="10"/>
  <c r="F96" i="11"/>
  <c r="F141" i="15"/>
  <c r="F207" i="24"/>
  <c r="F215" i="24"/>
  <c r="F224" i="24"/>
  <c r="F65" i="17"/>
  <c r="F94" i="17"/>
  <c r="I94" i="17" s="1"/>
  <c r="F74" i="16"/>
  <c r="J74" i="16" s="1"/>
  <c r="F24" i="14"/>
  <c r="F60" i="14"/>
  <c r="F86" i="14"/>
  <c r="F38" i="13"/>
  <c r="I38" i="13" s="1"/>
  <c r="F75" i="13"/>
  <c r="F25" i="17"/>
  <c r="F67" i="17"/>
  <c r="F104" i="17"/>
  <c r="F31" i="16"/>
  <c r="F77" i="16"/>
  <c r="F11" i="14"/>
  <c r="F58" i="14"/>
  <c r="I58" i="14" s="1"/>
  <c r="F96" i="14"/>
  <c r="F58" i="13"/>
  <c r="F87" i="13"/>
  <c r="I87" i="13" s="1"/>
  <c r="F11" i="9"/>
  <c r="F11" i="1"/>
  <c r="F19" i="7"/>
  <c r="F15" i="24"/>
  <c r="F27" i="9"/>
  <c r="F29" i="9" s="1"/>
  <c r="F108" i="9" s="1"/>
  <c r="F35" i="7"/>
  <c r="F49" i="24"/>
  <c r="F37" i="15"/>
  <c r="F47" i="24"/>
  <c r="F60" i="15"/>
  <c r="I60" i="15" s="1"/>
  <c r="F53" i="20"/>
  <c r="F55" i="20" s="1"/>
  <c r="F94" i="20" s="1"/>
  <c r="F54" i="15"/>
  <c r="F47" i="9"/>
  <c r="F55" i="7"/>
  <c r="F96" i="24"/>
  <c r="F59" i="9"/>
  <c r="I59" i="9" s="1"/>
  <c r="F59" i="10"/>
  <c r="I59" i="10" s="1"/>
  <c r="F59" i="1"/>
  <c r="F47" i="10"/>
  <c r="F71" i="15"/>
  <c r="F98" i="24"/>
  <c r="F66" i="11"/>
  <c r="F71" i="7"/>
  <c r="F94" i="15"/>
  <c r="F86" i="15"/>
  <c r="F130" i="24"/>
  <c r="F89" i="9"/>
  <c r="F89" i="10"/>
  <c r="F89" i="1"/>
  <c r="I89" i="1" s="1"/>
  <c r="F77" i="11"/>
  <c r="F88" i="11"/>
  <c r="F84" i="7"/>
  <c r="I84" i="7" s="1"/>
  <c r="F123" i="15"/>
  <c r="I123" i="15" s="1"/>
  <c r="F133" i="15"/>
  <c r="I133" i="15" s="1"/>
  <c r="F118" i="24"/>
  <c r="F136" i="24"/>
  <c r="I136" i="24" s="1"/>
  <c r="F83" i="9"/>
  <c r="F79" i="10"/>
  <c r="F74" i="1"/>
  <c r="F160" i="24"/>
  <c r="F169" i="24"/>
  <c r="I169" i="24" s="1"/>
  <c r="F178" i="24"/>
  <c r="F187" i="24"/>
  <c r="F199" i="24"/>
  <c r="F99" i="10"/>
  <c r="F98" i="11"/>
  <c r="F144" i="15"/>
  <c r="F209" i="24"/>
  <c r="I209" i="24" s="1"/>
  <c r="F218" i="24"/>
  <c r="F226" i="24"/>
  <c r="F14" i="17"/>
  <c r="F69" i="17"/>
  <c r="I69" i="17" s="1"/>
  <c r="F102" i="17"/>
  <c r="F79" i="16"/>
  <c r="F34" i="14"/>
  <c r="F36" i="14" s="1"/>
  <c r="F107" i="14" s="1"/>
  <c r="F71" i="14"/>
  <c r="F94" i="14"/>
  <c r="F50" i="13"/>
  <c r="F52" i="13" s="1"/>
  <c r="F113" i="13" s="1"/>
  <c r="F80" i="13"/>
  <c r="F43" i="17"/>
  <c r="F45" i="17" s="1"/>
  <c r="F115" i="17" s="1"/>
  <c r="F71" i="17"/>
  <c r="F11" i="16"/>
  <c r="F13" i="16" s="1"/>
  <c r="F104" i="16" s="1"/>
  <c r="F41" i="16"/>
  <c r="F81" i="16"/>
  <c r="F22" i="14"/>
  <c r="F73" i="14"/>
  <c r="I73" i="14" s="1"/>
  <c r="F12" i="13"/>
  <c r="F62" i="13"/>
  <c r="F100" i="13"/>
  <c r="F102" i="13" s="1"/>
  <c r="F119" i="13" s="1"/>
  <c r="F14" i="9"/>
  <c r="F14" i="1"/>
  <c r="F22" i="7"/>
  <c r="F18" i="24"/>
  <c r="F25" i="10"/>
  <c r="F40" i="15"/>
  <c r="F25" i="1"/>
  <c r="F29" i="1" s="1"/>
  <c r="F108" i="1" s="1"/>
  <c r="F42" i="15"/>
  <c r="F37" i="9"/>
  <c r="I37" i="9" s="1"/>
  <c r="F62" i="24"/>
  <c r="F37" i="10"/>
  <c r="I37" i="10" s="1"/>
  <c r="F56" i="15"/>
  <c r="F49" i="10"/>
  <c r="F75" i="15"/>
  <c r="F100" i="24"/>
  <c r="F61" i="9"/>
  <c r="F61" i="10"/>
  <c r="F61" i="1"/>
  <c r="F49" i="1"/>
  <c r="F51" i="1" s="1"/>
  <c r="F112" i="1" s="1"/>
  <c r="F85" i="24"/>
  <c r="F102" i="24"/>
  <c r="F65" i="7"/>
  <c r="F100" i="15"/>
  <c r="F92" i="15"/>
  <c r="F116" i="24"/>
  <c r="F134" i="24"/>
  <c r="F86" i="9"/>
  <c r="F86" i="10"/>
  <c r="F86" i="1"/>
  <c r="F80" i="11"/>
  <c r="F99" i="7"/>
  <c r="F117" i="15"/>
  <c r="F125" i="15"/>
  <c r="F196" i="24"/>
  <c r="F123" i="24"/>
  <c r="F141" i="24"/>
  <c r="F79" i="9"/>
  <c r="F74" i="10"/>
  <c r="F91" i="7"/>
  <c r="F162" i="24"/>
  <c r="F171" i="24"/>
  <c r="F180" i="24"/>
  <c r="F189" i="24"/>
  <c r="F97" i="9"/>
  <c r="F101" i="9" s="1"/>
  <c r="F118" i="9" s="1"/>
  <c r="F97" i="1"/>
  <c r="F101" i="1" s="1"/>
  <c r="F118" i="1" s="1"/>
  <c r="F107" i="7"/>
  <c r="F111" i="7" s="1"/>
  <c r="F128" i="7" s="1"/>
  <c r="F147" i="15"/>
  <c r="F211" i="24"/>
  <c r="F220" i="24"/>
  <c r="F27" i="17"/>
  <c r="F29" i="17" s="1"/>
  <c r="F113" i="17" s="1"/>
  <c r="F84" i="17"/>
  <c r="F51" i="16"/>
  <c r="F53" i="16" s="1"/>
  <c r="F110" i="16" s="1"/>
  <c r="F84" i="16"/>
  <c r="J84" i="16" s="1"/>
  <c r="F46" i="14"/>
  <c r="F76" i="14"/>
  <c r="F15" i="13"/>
  <c r="F60" i="13"/>
  <c r="F84" i="13"/>
  <c r="F53" i="17"/>
  <c r="I53" i="17" s="1"/>
  <c r="F86" i="17"/>
  <c r="F27" i="16"/>
  <c r="F61" i="16"/>
  <c r="F87" i="16"/>
  <c r="F44" i="14"/>
  <c r="F78" i="14"/>
  <c r="F26" i="13"/>
  <c r="F30" i="13" s="1"/>
  <c r="F109" i="13" s="1"/>
  <c r="F77" i="13"/>
  <c r="I77" i="13" s="1"/>
  <c r="F112" i="24"/>
  <c r="F109" i="10"/>
  <c r="I218" i="24"/>
  <c r="K96" i="10"/>
  <c r="L96" i="10" s="1"/>
  <c r="L100" i="10" s="1"/>
  <c r="N96" i="10"/>
  <c r="O96" i="10" s="1"/>
  <c r="Q2" i="1"/>
  <c r="Q103" i="1" s="1"/>
  <c r="N103" i="1"/>
  <c r="F42" i="11"/>
  <c r="F109" i="11" s="1"/>
  <c r="F108" i="11"/>
  <c r="F119" i="11" s="1"/>
  <c r="K79" i="14"/>
  <c r="L79" i="14" s="1"/>
  <c r="N79" i="14"/>
  <c r="O79" i="14" s="1"/>
  <c r="H36" i="14"/>
  <c r="H107" i="14" s="1"/>
  <c r="H106" i="14"/>
  <c r="H117" i="14" s="1"/>
  <c r="D102" i="13"/>
  <c r="D119" i="13" s="1"/>
  <c r="H14" i="11"/>
  <c r="H27" i="10"/>
  <c r="H29" i="10" s="1"/>
  <c r="H108" i="10" s="1"/>
  <c r="H35" i="7"/>
  <c r="H49" i="24"/>
  <c r="H37" i="15"/>
  <c r="H44" i="15" s="1"/>
  <c r="H159" i="15" s="1"/>
  <c r="H47" i="24"/>
  <c r="H60" i="15"/>
  <c r="H53" i="20"/>
  <c r="H55" i="20" s="1"/>
  <c r="H94" i="20" s="1"/>
  <c r="H54" i="15"/>
  <c r="H47" i="9"/>
  <c r="H51" i="9" s="1"/>
  <c r="H112" i="9" s="1"/>
  <c r="H52" i="11"/>
  <c r="H91" i="24"/>
  <c r="H57" i="9"/>
  <c r="H57" i="10"/>
  <c r="H57" i="1"/>
  <c r="H47" i="10"/>
  <c r="H71" i="15"/>
  <c r="H98" i="24"/>
  <c r="H66" i="11"/>
  <c r="H71" i="7"/>
  <c r="H94" i="15"/>
  <c r="H86" i="15"/>
  <c r="H125" i="24"/>
  <c r="H143" i="24"/>
  <c r="H76" i="9"/>
  <c r="H76" i="10"/>
  <c r="H76" i="1"/>
  <c r="H85" i="11"/>
  <c r="H89" i="7"/>
  <c r="H121" i="15"/>
  <c r="H130" i="15"/>
  <c r="H114" i="24"/>
  <c r="H132" i="24"/>
  <c r="H66" i="20"/>
  <c r="H83" i="10"/>
  <c r="H79" i="1"/>
  <c r="H82" i="7"/>
  <c r="H166" i="24"/>
  <c r="H175" i="24"/>
  <c r="H184" i="24"/>
  <c r="H193" i="24"/>
  <c r="H97" i="10"/>
  <c r="H101" i="10" s="1"/>
  <c r="H118" i="10" s="1"/>
  <c r="H96" i="11"/>
  <c r="H14" i="10"/>
  <c r="H23" i="15"/>
  <c r="H27" i="1"/>
  <c r="H41" i="24"/>
  <c r="H28" i="11"/>
  <c r="H38" i="24"/>
  <c r="I38" i="24" s="1"/>
  <c r="H37" i="1"/>
  <c r="H66" i="24"/>
  <c r="H40" i="11"/>
  <c r="H64" i="24"/>
  <c r="H49" i="10"/>
  <c r="H75" i="15"/>
  <c r="H100" i="24"/>
  <c r="H61" i="9"/>
  <c r="H61" i="10"/>
  <c r="H61" i="1"/>
  <c r="I61" i="1" s="1"/>
  <c r="H50" i="11"/>
  <c r="H89" i="24"/>
  <c r="H60" i="11"/>
  <c r="H67" i="7"/>
  <c r="H98" i="15"/>
  <c r="H90" i="15"/>
  <c r="I90" i="15" s="1"/>
  <c r="H116" i="24"/>
  <c r="H134" i="24"/>
  <c r="H86" i="9"/>
  <c r="H86" i="10"/>
  <c r="H86" i="1"/>
  <c r="H80" i="11"/>
  <c r="H99" i="7"/>
  <c r="H117" i="15"/>
  <c r="H125" i="15"/>
  <c r="H196" i="24"/>
  <c r="H123" i="24"/>
  <c r="H141" i="24"/>
  <c r="H79" i="9"/>
  <c r="H74" i="10"/>
  <c r="H91" i="7"/>
  <c r="H162" i="24"/>
  <c r="I162" i="24" s="1"/>
  <c r="H171" i="24"/>
  <c r="H180" i="24"/>
  <c r="H189" i="24"/>
  <c r="H97" i="9"/>
  <c r="H101" i="9" s="1"/>
  <c r="H118" i="9" s="1"/>
  <c r="H97" i="1"/>
  <c r="H101" i="1" s="1"/>
  <c r="H118" i="1" s="1"/>
  <c r="H107" i="7"/>
  <c r="H111" i="7" s="1"/>
  <c r="H128" i="7" s="1"/>
  <c r="H147" i="15"/>
  <c r="H211" i="24"/>
  <c r="H220" i="24"/>
  <c r="K73" i="9"/>
  <c r="L73" i="9" s="1"/>
  <c r="N73" i="9"/>
  <c r="O73" i="9" s="1"/>
  <c r="I100" i="10"/>
  <c r="I117" i="10" s="1"/>
  <c r="H109" i="10"/>
  <c r="H39" i="10"/>
  <c r="H110" i="10" s="1"/>
  <c r="C39" i="1"/>
  <c r="C110" i="1" s="1"/>
  <c r="C109" i="1"/>
  <c r="C120" i="1" s="1"/>
  <c r="N63" i="24"/>
  <c r="O63" i="24" s="1"/>
  <c r="Q63" i="24"/>
  <c r="R63" i="24" s="1"/>
  <c r="K63" i="24"/>
  <c r="L63" i="24" s="1"/>
  <c r="Q46" i="10"/>
  <c r="R46" i="10" s="1"/>
  <c r="I50" i="10"/>
  <c r="I111" i="10" s="1"/>
  <c r="I15" i="1"/>
  <c r="N10" i="1"/>
  <c r="O10" i="1" s="1"/>
  <c r="F47" i="7"/>
  <c r="F120" i="7" s="1"/>
  <c r="F119" i="7"/>
  <c r="F130" i="7" s="1"/>
  <c r="N61" i="24"/>
  <c r="O61" i="24" s="1"/>
  <c r="Q61" i="24"/>
  <c r="R61" i="24" s="1"/>
  <c r="K61" i="24"/>
  <c r="L61" i="24" s="1"/>
  <c r="Q10" i="24"/>
  <c r="Q231" i="24" s="1"/>
  <c r="N231" i="24"/>
  <c r="C47" i="7"/>
  <c r="C120" i="7" s="1"/>
  <c r="C119" i="7"/>
  <c r="C130" i="7" s="1"/>
  <c r="I164" i="15"/>
  <c r="K53" i="14"/>
  <c r="L53" i="14" s="1"/>
  <c r="I110" i="14"/>
  <c r="F118" i="16"/>
  <c r="K68" i="17"/>
  <c r="L68" i="17" s="1"/>
  <c r="N68" i="17"/>
  <c r="O68" i="17" s="1"/>
  <c r="G40" i="13"/>
  <c r="G111" i="13" s="1"/>
  <c r="G110" i="13"/>
  <c r="G121" i="13" s="1"/>
  <c r="C40" i="13"/>
  <c r="C111" i="13" s="1"/>
  <c r="C110" i="13"/>
  <c r="Q2" i="13"/>
  <c r="Q104" i="13" s="1"/>
  <c r="N104" i="13"/>
  <c r="K33" i="14"/>
  <c r="N33" i="14"/>
  <c r="I35" i="14"/>
  <c r="I106" i="14" s="1"/>
  <c r="Q33" i="14"/>
  <c r="R33" i="14" s="1"/>
  <c r="N83" i="17"/>
  <c r="O83" i="17" s="1"/>
  <c r="K83" i="17"/>
  <c r="L83" i="17" s="1"/>
  <c r="F93" i="20"/>
  <c r="F104" i="20" s="1"/>
  <c r="N37" i="24"/>
  <c r="G42" i="11"/>
  <c r="G109" i="11" s="1"/>
  <c r="G108" i="11"/>
  <c r="G119" i="11" s="1"/>
  <c r="K64" i="17"/>
  <c r="N64" i="17"/>
  <c r="Q64" i="17"/>
  <c r="K26" i="17"/>
  <c r="L26" i="17" s="1"/>
  <c r="I28" i="17"/>
  <c r="I112" i="17" s="1"/>
  <c r="G63" i="22"/>
  <c r="C63" i="22"/>
  <c r="H63" i="22"/>
  <c r="D63" i="22"/>
  <c r="K75" i="9"/>
  <c r="L75" i="9" s="1"/>
  <c r="Q75" i="9"/>
  <c r="R75" i="9" s="1"/>
  <c r="F63" i="22"/>
  <c r="K36" i="15"/>
  <c r="L36" i="15" s="1"/>
  <c r="C248" i="24"/>
  <c r="I15" i="11"/>
  <c r="H62" i="22"/>
  <c r="D62" i="22"/>
  <c r="G104" i="20"/>
  <c r="C104" i="20"/>
  <c r="Q85" i="10"/>
  <c r="R85" i="10" s="1"/>
  <c r="Q51" i="11"/>
  <c r="N48" i="9"/>
  <c r="O48" i="9" s="1"/>
  <c r="I110" i="7"/>
  <c r="I127" i="7" s="1"/>
  <c r="I58" i="7"/>
  <c r="I121" i="7" s="1"/>
  <c r="P59" i="15"/>
  <c r="Q59" i="15" s="1"/>
  <c r="R59" i="15" s="1"/>
  <c r="R61" i="15" s="1"/>
  <c r="R160" i="15" s="1"/>
  <c r="Q99" i="15"/>
  <c r="R99" i="15" s="1"/>
  <c r="K38" i="1"/>
  <c r="K109" i="1" s="1"/>
  <c r="L36" i="1"/>
  <c r="L38" i="1" s="1"/>
  <c r="L109" i="1" s="1"/>
  <c r="Q80" i="9"/>
  <c r="R80" i="9" s="1"/>
  <c r="N80" i="9"/>
  <c r="O80" i="9" s="1"/>
  <c r="E120" i="9"/>
  <c r="I113" i="9"/>
  <c r="K60" i="9"/>
  <c r="L60" i="9" s="1"/>
  <c r="Q60" i="9"/>
  <c r="R60" i="9" s="1"/>
  <c r="N60" i="9"/>
  <c r="C39" i="10"/>
  <c r="C110" i="10" s="1"/>
  <c r="C109" i="10"/>
  <c r="C120" i="10" s="1"/>
  <c r="F120" i="10"/>
  <c r="Q82" i="1"/>
  <c r="R82" i="1" s="1"/>
  <c r="N82" i="1"/>
  <c r="O82" i="1" s="1"/>
  <c r="K82" i="1"/>
  <c r="L82" i="1" s="1"/>
  <c r="S76" i="11"/>
  <c r="L115" i="7"/>
  <c r="R32" i="16"/>
  <c r="R105" i="16" s="1"/>
  <c r="S26" i="16"/>
  <c r="S32" i="16" s="1"/>
  <c r="K101" i="24"/>
  <c r="L101" i="24" s="1"/>
  <c r="Q120" i="15"/>
  <c r="R120" i="15" s="1"/>
  <c r="K120" i="15"/>
  <c r="L120" i="15" s="1"/>
  <c r="I134" i="15"/>
  <c r="I166" i="15" s="1"/>
  <c r="N120" i="15"/>
  <c r="O120" i="15" s="1"/>
  <c r="I27" i="16"/>
  <c r="I31" i="16"/>
  <c r="G39" i="9"/>
  <c r="G110" i="9" s="1"/>
  <c r="G109" i="9"/>
  <c r="G120" i="9" s="1"/>
  <c r="D120" i="9"/>
  <c r="Q15" i="1"/>
  <c r="I105" i="1"/>
  <c r="N15" i="1"/>
  <c r="Q24" i="9"/>
  <c r="N24" i="9"/>
  <c r="K24" i="9"/>
  <c r="L24" i="9" s="1"/>
  <c r="I28" i="9"/>
  <c r="I107" i="9" s="1"/>
  <c r="E120" i="10"/>
  <c r="I105" i="10"/>
  <c r="Q15" i="10"/>
  <c r="K56" i="1"/>
  <c r="L56" i="1" s="1"/>
  <c r="I113" i="1"/>
  <c r="Q56" i="1"/>
  <c r="E43" i="16"/>
  <c r="E108" i="16" s="1"/>
  <c r="E107" i="16"/>
  <c r="C88" i="14"/>
  <c r="C113" i="14" s="1"/>
  <c r="D29" i="17"/>
  <c r="D113" i="17" s="1"/>
  <c r="C201" i="24"/>
  <c r="C244" i="24" s="1"/>
  <c r="C90" i="11"/>
  <c r="C115" i="11" s="1"/>
  <c r="C228" i="24"/>
  <c r="C246" i="24" s="1"/>
  <c r="C96" i="17"/>
  <c r="C121" i="17" s="1"/>
  <c r="C126" i="17" s="1"/>
  <c r="I98" i="13"/>
  <c r="L46" i="9"/>
  <c r="K150" i="15"/>
  <c r="K168" i="15" s="1"/>
  <c r="H120" i="9"/>
  <c r="L56" i="9"/>
  <c r="I38" i="9"/>
  <c r="I109" i="9" s="1"/>
  <c r="Q36" i="9"/>
  <c r="N36" i="9"/>
  <c r="H120" i="10"/>
  <c r="D120" i="10"/>
  <c r="Q82" i="10"/>
  <c r="R82" i="10" s="1"/>
  <c r="K82" i="10"/>
  <c r="L82" i="10" s="1"/>
  <c r="K73" i="1"/>
  <c r="L73" i="1" s="1"/>
  <c r="Q73" i="1"/>
  <c r="R73" i="1" s="1"/>
  <c r="I90" i="1"/>
  <c r="I115" i="1" s="1"/>
  <c r="E119" i="7"/>
  <c r="E130" i="7" s="1"/>
  <c r="E47" i="7"/>
  <c r="E120" i="7" s="1"/>
  <c r="J72" i="15"/>
  <c r="K72" i="15"/>
  <c r="L72" i="15" s="1"/>
  <c r="Q72" i="15"/>
  <c r="R72" i="15" s="1"/>
  <c r="N72" i="15"/>
  <c r="O72" i="15" s="1"/>
  <c r="K53" i="15"/>
  <c r="L53" i="15" s="1"/>
  <c r="N53" i="15"/>
  <c r="E248" i="24"/>
  <c r="J161" i="24"/>
  <c r="J200" i="24" s="1"/>
  <c r="J243" i="24" s="1"/>
  <c r="M161" i="24"/>
  <c r="Q161" i="24"/>
  <c r="R161" i="24" s="1"/>
  <c r="Q188" i="24"/>
  <c r="R188" i="24" s="1"/>
  <c r="S188" i="24" s="1"/>
  <c r="P161" i="24"/>
  <c r="K170" i="24"/>
  <c r="L170" i="24" s="1"/>
  <c r="K161" i="24"/>
  <c r="L161" i="24" s="1"/>
  <c r="I200" i="24"/>
  <c r="I243" i="24" s="1"/>
  <c r="K131" i="24"/>
  <c r="L131" i="24" s="1"/>
  <c r="S131" i="24" s="1"/>
  <c r="N161" i="24"/>
  <c r="O161" i="24" s="1"/>
  <c r="N170" i="24"/>
  <c r="O170" i="24" s="1"/>
  <c r="K42" i="24"/>
  <c r="L42" i="24" s="1"/>
  <c r="N42" i="24"/>
  <c r="O42" i="24" s="1"/>
  <c r="Q42" i="24"/>
  <c r="R42" i="24" s="1"/>
  <c r="I50" i="24"/>
  <c r="I235" i="24" s="1"/>
  <c r="S43" i="14"/>
  <c r="I86" i="14"/>
  <c r="J87" i="16"/>
  <c r="I127" i="15"/>
  <c r="I82" i="11"/>
  <c r="I81" i="1"/>
  <c r="I121" i="24"/>
  <c r="I64" i="11"/>
  <c r="I178" i="24"/>
  <c r="I104" i="24"/>
  <c r="I93" i="24"/>
  <c r="I37" i="1"/>
  <c r="I42" i="15"/>
  <c r="D242" i="24"/>
  <c r="S183" i="24"/>
  <c r="D48" i="14"/>
  <c r="D109" i="14" s="1"/>
  <c r="D101" i="9"/>
  <c r="D118" i="9" s="1"/>
  <c r="D91" i="10"/>
  <c r="D116" i="10" s="1"/>
  <c r="F98" i="25"/>
  <c r="F87" i="25"/>
  <c r="F77" i="25"/>
  <c r="F64" i="25"/>
  <c r="F38" i="25"/>
  <c r="F40" i="25" s="1"/>
  <c r="F111" i="25" s="1"/>
  <c r="F11" i="25"/>
  <c r="F80" i="25"/>
  <c r="F48" i="25"/>
  <c r="F14" i="25"/>
  <c r="F82" i="25"/>
  <c r="F60" i="25"/>
  <c r="F50" i="25"/>
  <c r="F26" i="25"/>
  <c r="F58" i="25"/>
  <c r="F84" i="25"/>
  <c r="F75" i="25"/>
  <c r="F62" i="25"/>
  <c r="F28" i="25"/>
  <c r="F100" i="25"/>
  <c r="F90" i="25"/>
  <c r="C100" i="13"/>
  <c r="C100" i="25"/>
  <c r="C90" i="25"/>
  <c r="C80" i="25"/>
  <c r="C58" i="25"/>
  <c r="C48" i="25"/>
  <c r="C14" i="25"/>
  <c r="C84" i="25"/>
  <c r="C75" i="25"/>
  <c r="C62" i="25"/>
  <c r="C28" i="25"/>
  <c r="C50" i="25"/>
  <c r="C98" i="25"/>
  <c r="C87" i="25"/>
  <c r="C77" i="25"/>
  <c r="C64" i="25"/>
  <c r="C38" i="25"/>
  <c r="C11" i="25"/>
  <c r="C82" i="25"/>
  <c r="C60" i="25"/>
  <c r="C26" i="25"/>
  <c r="C109" i="9"/>
  <c r="C120" i="9" s="1"/>
  <c r="Q73" i="9"/>
  <c r="R73" i="9" s="1"/>
  <c r="Q56" i="9"/>
  <c r="G109" i="10"/>
  <c r="G120" i="10" s="1"/>
  <c r="I113" i="10"/>
  <c r="F120" i="1"/>
  <c r="K34" i="7"/>
  <c r="L34" i="7" s="1"/>
  <c r="L12" i="7"/>
  <c r="G171" i="15"/>
  <c r="K44" i="24"/>
  <c r="L44" i="24" s="1"/>
  <c r="N44" i="24"/>
  <c r="O44" i="24" s="1"/>
  <c r="K59" i="11"/>
  <c r="N59" i="11"/>
  <c r="I112" i="11"/>
  <c r="C42" i="11"/>
  <c r="C109" i="11" s="1"/>
  <c r="C108" i="11"/>
  <c r="C119" i="11" s="1"/>
  <c r="E119" i="11"/>
  <c r="I84" i="13"/>
  <c r="I96" i="14"/>
  <c r="I67" i="17"/>
  <c r="I25" i="17"/>
  <c r="I224" i="24"/>
  <c r="I215" i="24"/>
  <c r="I130" i="24"/>
  <c r="I191" i="24"/>
  <c r="I182" i="24"/>
  <c r="I173" i="24"/>
  <c r="I164" i="24"/>
  <c r="I145" i="24"/>
  <c r="I62" i="11"/>
  <c r="I18" i="24"/>
  <c r="D33" i="16"/>
  <c r="D106" i="16" s="1"/>
  <c r="D101" i="7"/>
  <c r="D126" i="7" s="1"/>
  <c r="H11" i="9"/>
  <c r="H16" i="9" s="1"/>
  <c r="H106" i="9" s="1"/>
  <c r="H82" i="25"/>
  <c r="H60" i="25"/>
  <c r="H50" i="25"/>
  <c r="H26" i="25"/>
  <c r="H84" i="25"/>
  <c r="H75" i="25"/>
  <c r="H62" i="25"/>
  <c r="H98" i="25"/>
  <c r="H87" i="25"/>
  <c r="H77" i="25"/>
  <c r="H64" i="25"/>
  <c r="H38" i="25"/>
  <c r="H40" i="25" s="1"/>
  <c r="H111" i="25" s="1"/>
  <c r="H11" i="25"/>
  <c r="H100" i="25"/>
  <c r="H90" i="25"/>
  <c r="H80" i="25"/>
  <c r="H58" i="25"/>
  <c r="H48" i="25"/>
  <c r="H14" i="25"/>
  <c r="H28" i="25"/>
  <c r="H30" i="25" s="1"/>
  <c r="H109" i="25" s="1"/>
  <c r="E84" i="25"/>
  <c r="E75" i="25"/>
  <c r="E62" i="25"/>
  <c r="E28" i="25"/>
  <c r="E87" i="25"/>
  <c r="E77" i="25"/>
  <c r="E11" i="25"/>
  <c r="E100" i="25"/>
  <c r="E90" i="25"/>
  <c r="E80" i="25"/>
  <c r="E58" i="25"/>
  <c r="E48" i="25"/>
  <c r="E14" i="25"/>
  <c r="E82" i="25"/>
  <c r="E60" i="25"/>
  <c r="E50" i="25"/>
  <c r="E26" i="25"/>
  <c r="E98" i="25"/>
  <c r="E64" i="25"/>
  <c r="E38" i="25"/>
  <c r="E40" i="25" s="1"/>
  <c r="E111" i="25" s="1"/>
  <c r="K10" i="9"/>
  <c r="L10" i="9" s="1"/>
  <c r="L15" i="9" s="1"/>
  <c r="S15" i="9" s="1"/>
  <c r="S105" i="9" s="1"/>
  <c r="C8" i="21" s="1"/>
  <c r="G120" i="1"/>
  <c r="K24" i="1"/>
  <c r="L24" i="1" s="1"/>
  <c r="Q10" i="1"/>
  <c r="R10" i="1" s="1"/>
  <c r="K10" i="1"/>
  <c r="L10" i="1" s="1"/>
  <c r="I74" i="7"/>
  <c r="I123" i="7" s="1"/>
  <c r="D47" i="7"/>
  <c r="D120" i="7" s="1"/>
  <c r="D119" i="7"/>
  <c r="D130" i="7" s="1"/>
  <c r="D171" i="15"/>
  <c r="F171" i="15"/>
  <c r="G248" i="24"/>
  <c r="H42" i="11"/>
  <c r="H109" i="11" s="1"/>
  <c r="H108" i="11"/>
  <c r="H119" i="11" s="1"/>
  <c r="I82" i="13"/>
  <c r="I222" i="24"/>
  <c r="I213" i="24"/>
  <c r="I109" i="7"/>
  <c r="I99" i="1"/>
  <c r="I98" i="24"/>
  <c r="I58" i="15"/>
  <c r="I64" i="24"/>
  <c r="S19" i="15"/>
  <c r="D54" i="11"/>
  <c r="D111" i="11" s="1"/>
  <c r="H99" i="16"/>
  <c r="H116" i="16" s="1"/>
  <c r="G100" i="13"/>
  <c r="G100" i="25"/>
  <c r="G90" i="25"/>
  <c r="G80" i="25"/>
  <c r="G58" i="25"/>
  <c r="G48" i="25"/>
  <c r="G14" i="25"/>
  <c r="G60" i="25"/>
  <c r="G84" i="25"/>
  <c r="G75" i="25"/>
  <c r="G62" i="25"/>
  <c r="G28" i="25"/>
  <c r="G82" i="25"/>
  <c r="G50" i="25"/>
  <c r="G26" i="25"/>
  <c r="G98" i="25"/>
  <c r="G87" i="25"/>
  <c r="G77" i="25"/>
  <c r="G64" i="25"/>
  <c r="G38" i="25"/>
  <c r="G40" i="25" s="1"/>
  <c r="G111" i="25" s="1"/>
  <c r="G11" i="25"/>
  <c r="D82" i="25"/>
  <c r="D60" i="25"/>
  <c r="D50" i="25"/>
  <c r="D26" i="25"/>
  <c r="D84" i="25"/>
  <c r="D98" i="25"/>
  <c r="D87" i="25"/>
  <c r="D77" i="25"/>
  <c r="D64" i="25"/>
  <c r="D38" i="25"/>
  <c r="D40" i="25" s="1"/>
  <c r="D111" i="25" s="1"/>
  <c r="D11" i="25"/>
  <c r="D75" i="25"/>
  <c r="D100" i="25"/>
  <c r="D90" i="25"/>
  <c r="D80" i="25"/>
  <c r="D58" i="25"/>
  <c r="D48" i="25"/>
  <c r="D14" i="25"/>
  <c r="D62" i="25"/>
  <c r="D28" i="25"/>
  <c r="D30" i="25" s="1"/>
  <c r="D109" i="25" s="1"/>
  <c r="E120" i="1"/>
  <c r="H120" i="1"/>
  <c r="D120" i="1"/>
  <c r="H171" i="15"/>
  <c r="C171" i="15"/>
  <c r="J76" i="15"/>
  <c r="K76" i="15"/>
  <c r="L76" i="15" s="1"/>
  <c r="M76" i="15"/>
  <c r="Q2" i="11"/>
  <c r="Q102" i="11" s="1"/>
  <c r="N102" i="11"/>
  <c r="L8" i="20"/>
  <c r="K52" i="20" s="1"/>
  <c r="R13" i="7"/>
  <c r="Q32" i="7" s="1"/>
  <c r="R12" i="7"/>
  <c r="M97" i="15"/>
  <c r="Q85" i="15"/>
  <c r="R85" i="15" s="1"/>
  <c r="H248" i="24"/>
  <c r="M179" i="24"/>
  <c r="N46" i="24"/>
  <c r="O46" i="24" s="1"/>
  <c r="D108" i="11"/>
  <c r="D119" i="11" s="1"/>
  <c r="F117" i="14"/>
  <c r="C117" i="14"/>
  <c r="Q2" i="14"/>
  <c r="Q100" i="14" s="1"/>
  <c r="N100" i="14"/>
  <c r="F125" i="17"/>
  <c r="H104" i="20"/>
  <c r="D104" i="20"/>
  <c r="E94" i="20"/>
  <c r="E93" i="20"/>
  <c r="E104" i="20" s="1"/>
  <c r="K129" i="15"/>
  <c r="L129" i="15" s="1"/>
  <c r="N129" i="15"/>
  <c r="O129" i="15" s="1"/>
  <c r="Q129" i="15"/>
  <c r="R129" i="15" s="1"/>
  <c r="M188" i="24"/>
  <c r="M92" i="24"/>
  <c r="F121" i="13"/>
  <c r="K93" i="14"/>
  <c r="N93" i="14"/>
  <c r="O93" i="14" s="1"/>
  <c r="O97" i="14" s="1"/>
  <c r="O114" i="14" s="1"/>
  <c r="Q93" i="14"/>
  <c r="R93" i="14" s="1"/>
  <c r="R97" i="14" s="1"/>
  <c r="R114" i="14" s="1"/>
  <c r="K75" i="14"/>
  <c r="L75" i="14" s="1"/>
  <c r="N75" i="14"/>
  <c r="O75" i="14" s="1"/>
  <c r="Q75" i="14"/>
  <c r="R75" i="14" s="1"/>
  <c r="I87" i="14"/>
  <c r="I112" i="14" s="1"/>
  <c r="K55" i="14"/>
  <c r="N55" i="14"/>
  <c r="Q55" i="14"/>
  <c r="R55" i="14" s="1"/>
  <c r="K87" i="17"/>
  <c r="L87" i="17" s="1"/>
  <c r="N87" i="17"/>
  <c r="O87" i="17" s="1"/>
  <c r="K85" i="9"/>
  <c r="N85" i="9"/>
  <c r="O85" i="9" s="1"/>
  <c r="F248" i="24"/>
  <c r="D121" i="13"/>
  <c r="C121" i="13"/>
  <c r="L58" i="16"/>
  <c r="M58" i="16" s="1"/>
  <c r="O58" i="16"/>
  <c r="P58" i="16" s="1"/>
  <c r="R58" i="16"/>
  <c r="L50" i="16"/>
  <c r="O50" i="16"/>
  <c r="P50" i="16" s="1"/>
  <c r="P52" i="16" s="1"/>
  <c r="P109" i="16" s="1"/>
  <c r="R50" i="16"/>
  <c r="J52" i="16"/>
  <c r="J109" i="16" s="1"/>
  <c r="H114" i="17"/>
  <c r="H125" i="17" s="1"/>
  <c r="H45" i="17"/>
  <c r="H115" i="17" s="1"/>
  <c r="D114" i="17"/>
  <c r="D125" i="17" s="1"/>
  <c r="D45" i="17"/>
  <c r="D115" i="17" s="1"/>
  <c r="Q2" i="17"/>
  <c r="Q108" i="17" s="1"/>
  <c r="N108" i="17"/>
  <c r="I62" i="22"/>
  <c r="E62" i="22"/>
  <c r="I63" i="22"/>
  <c r="E63" i="22"/>
  <c r="F62" i="22"/>
  <c r="J65" i="20"/>
  <c r="J97" i="20" s="1"/>
  <c r="Q65" i="20"/>
  <c r="R65" i="20" s="1"/>
  <c r="R97" i="20" s="1"/>
  <c r="K65" i="20"/>
  <c r="K88" i="10"/>
  <c r="L88" i="10" s="1"/>
  <c r="N88" i="10"/>
  <c r="O88" i="10" s="1"/>
  <c r="E117" i="14"/>
  <c r="G118" i="16"/>
  <c r="C118" i="16"/>
  <c r="E118" i="16"/>
  <c r="C125" i="17"/>
  <c r="T6" i="13"/>
  <c r="N59" i="14"/>
  <c r="O59" i="14" s="1"/>
  <c r="J98" i="16"/>
  <c r="J115" i="16" s="1"/>
  <c r="E125" i="17"/>
  <c r="Q83" i="17"/>
  <c r="R83" i="17" s="1"/>
  <c r="S16" i="20"/>
  <c r="N26" i="9"/>
  <c r="O26" i="9" s="1"/>
  <c r="Q70" i="14"/>
  <c r="R70" i="14" s="1"/>
  <c r="S70" i="14" s="1"/>
  <c r="H107" i="16"/>
  <c r="H118" i="16" s="1"/>
  <c r="D107" i="16"/>
  <c r="D118" i="16" s="1"/>
  <c r="J32" i="16"/>
  <c r="J105" i="16" s="1"/>
  <c r="J118" i="16" s="1"/>
  <c r="N85" i="1"/>
  <c r="O85" i="1" s="1"/>
  <c r="T13" i="15"/>
  <c r="R73" i="16"/>
  <c r="S73" i="16" s="1"/>
  <c r="I95" i="17"/>
  <c r="I120" i="17" s="1"/>
  <c r="I15" i="17"/>
  <c r="N48" i="10"/>
  <c r="R48" i="9"/>
  <c r="S146" i="15"/>
  <c r="T10" i="15"/>
  <c r="S18" i="7"/>
  <c r="K39" i="15"/>
  <c r="L39" i="15" s="1"/>
  <c r="K97" i="15"/>
  <c r="L97" i="15" s="1"/>
  <c r="N51" i="11"/>
  <c r="N48" i="1"/>
  <c r="E101" i="10"/>
  <c r="E118" i="10" s="1"/>
  <c r="R96" i="16"/>
  <c r="O97" i="11"/>
  <c r="L51" i="11"/>
  <c r="L53" i="11" s="1"/>
  <c r="K53" i="11"/>
  <c r="K110" i="11" s="1"/>
  <c r="E29" i="1"/>
  <c r="E108" i="1" s="1"/>
  <c r="H100" i="11"/>
  <c r="H117" i="11" s="1"/>
  <c r="Q87" i="15"/>
  <c r="R87" i="15" s="1"/>
  <c r="S87" i="15" s="1"/>
  <c r="O96" i="16"/>
  <c r="Q98" i="1"/>
  <c r="N45" i="22"/>
  <c r="K26" i="1"/>
  <c r="Q26" i="1"/>
  <c r="R83" i="16"/>
  <c r="S83" i="16" s="1"/>
  <c r="K75" i="1"/>
  <c r="L75" i="1" s="1"/>
  <c r="Q75" i="1"/>
  <c r="R75" i="1" s="1"/>
  <c r="M87" i="15"/>
  <c r="R117" i="24"/>
  <c r="S117" i="24" s="1"/>
  <c r="C48" i="20"/>
  <c r="K15" i="17"/>
  <c r="K110" i="17" s="1"/>
  <c r="K37" i="24"/>
  <c r="Q36" i="15"/>
  <c r="T8" i="15"/>
  <c r="K101" i="13"/>
  <c r="K118" i="13" s="1"/>
  <c r="L99" i="13"/>
  <c r="Q99" i="13"/>
  <c r="R99" i="13" s="1"/>
  <c r="N83" i="13"/>
  <c r="O83" i="13" s="1"/>
  <c r="S12" i="14"/>
  <c r="S102" i="14" s="1"/>
  <c r="S10" i="14"/>
  <c r="S95" i="14"/>
  <c r="S21" i="14"/>
  <c r="Q35" i="14"/>
  <c r="Q106" i="14" s="1"/>
  <c r="N97" i="14"/>
  <c r="N114" i="14" s="1"/>
  <c r="S12" i="16"/>
  <c r="S103" i="16" s="1"/>
  <c r="R12" i="16"/>
  <c r="R103" i="16" s="1"/>
  <c r="T94" i="16"/>
  <c r="T26" i="16"/>
  <c r="L28" i="16"/>
  <c r="K105" i="17"/>
  <c r="K122" i="17" s="1"/>
  <c r="L103" i="17"/>
  <c r="S86" i="24"/>
  <c r="E33" i="16"/>
  <c r="E106" i="16" s="1"/>
  <c r="E30" i="11"/>
  <c r="E107" i="11" s="1"/>
  <c r="G101" i="1"/>
  <c r="G118" i="1" s="1"/>
  <c r="G20" i="24"/>
  <c r="G234" i="24" s="1"/>
  <c r="G24" i="7"/>
  <c r="G116" i="7" s="1"/>
  <c r="G16" i="10"/>
  <c r="G106" i="10" s="1"/>
  <c r="S219" i="24"/>
  <c r="C102" i="13"/>
  <c r="C119" i="13" s="1"/>
  <c r="I105" i="24"/>
  <c r="I239" i="24" s="1"/>
  <c r="I47" i="14"/>
  <c r="I108" i="14" s="1"/>
  <c r="O83" i="16"/>
  <c r="P83" i="16" s="1"/>
  <c r="Q26" i="17"/>
  <c r="Q13" i="17"/>
  <c r="R13" i="17" s="1"/>
  <c r="N41" i="15"/>
  <c r="O41" i="15" s="1"/>
  <c r="I34" i="14"/>
  <c r="C36" i="14"/>
  <c r="C107" i="14" s="1"/>
  <c r="D59" i="17"/>
  <c r="D117" i="17" s="1"/>
  <c r="I29" i="13"/>
  <c r="I108" i="13" s="1"/>
  <c r="Q98" i="9"/>
  <c r="N195" i="24"/>
  <c r="O195" i="24" s="1"/>
  <c r="T5" i="9"/>
  <c r="S96" i="1"/>
  <c r="T5" i="1"/>
  <c r="S80" i="1"/>
  <c r="U5" i="16"/>
  <c r="S66" i="17"/>
  <c r="S42" i="17"/>
  <c r="S44" i="17" s="1"/>
  <c r="S114" i="17" s="1"/>
  <c r="L44" i="17"/>
  <c r="L114" i="17" s="1"/>
  <c r="K24" i="17"/>
  <c r="Q97" i="13"/>
  <c r="G102" i="13"/>
  <c r="G119" i="13" s="1"/>
  <c r="H121" i="13"/>
  <c r="Q89" i="13"/>
  <c r="R89" i="13" s="1"/>
  <c r="N89" i="13"/>
  <c r="O89" i="13" s="1"/>
  <c r="Q83" i="13"/>
  <c r="R83" i="13" s="1"/>
  <c r="D92" i="13"/>
  <c r="D117" i="13" s="1"/>
  <c r="I91" i="13"/>
  <c r="I116" i="13" s="1"/>
  <c r="L81" i="13"/>
  <c r="S81" i="13" s="1"/>
  <c r="L91" i="13"/>
  <c r="L116" i="13" s="1"/>
  <c r="N79" i="13"/>
  <c r="O79" i="13" s="1"/>
  <c r="N63" i="13"/>
  <c r="O63" i="13" s="1"/>
  <c r="N59" i="13"/>
  <c r="Q59" i="13"/>
  <c r="R59" i="13" s="1"/>
  <c r="L57" i="13"/>
  <c r="I114" i="13"/>
  <c r="E121" i="13"/>
  <c r="Q49" i="13"/>
  <c r="I51" i="13"/>
  <c r="I112" i="13" s="1"/>
  <c r="I39" i="13"/>
  <c r="I110" i="13" s="1"/>
  <c r="K39" i="13"/>
  <c r="K110" i="13" s="1"/>
  <c r="N37" i="13"/>
  <c r="Q27" i="13"/>
  <c r="N27" i="13"/>
  <c r="K25" i="13"/>
  <c r="K29" i="13" s="1"/>
  <c r="K108" i="13" s="1"/>
  <c r="Q14" i="13"/>
  <c r="R14" i="13" s="1"/>
  <c r="I16" i="13"/>
  <c r="N14" i="13"/>
  <c r="O14" i="13" s="1"/>
  <c r="L11" i="13"/>
  <c r="L16" i="13" s="1"/>
  <c r="K16" i="13"/>
  <c r="K106" i="13" s="1"/>
  <c r="T5" i="17"/>
  <c r="R35" i="14"/>
  <c r="R106" i="14" s="1"/>
  <c r="T5" i="14"/>
  <c r="I25" i="14"/>
  <c r="I104" i="14" s="1"/>
  <c r="I117" i="14" s="1"/>
  <c r="D117" i="14"/>
  <c r="Q23" i="14"/>
  <c r="G26" i="14"/>
  <c r="G105" i="14" s="1"/>
  <c r="G117" i="14"/>
  <c r="I105" i="9"/>
  <c r="Q15" i="9"/>
  <c r="N15" i="9"/>
  <c r="R58" i="10"/>
  <c r="T71" i="16"/>
  <c r="T80" i="16"/>
  <c r="S168" i="24"/>
  <c r="S55" i="15"/>
  <c r="D44" i="15"/>
  <c r="D159" i="15" s="1"/>
  <c r="I90" i="9"/>
  <c r="I115" i="9" s="1"/>
  <c r="Q10" i="9"/>
  <c r="R10" i="9" s="1"/>
  <c r="N10" i="9"/>
  <c r="O10" i="9" s="1"/>
  <c r="Q96" i="10"/>
  <c r="I90" i="10"/>
  <c r="I115" i="10" s="1"/>
  <c r="N73" i="1"/>
  <c r="O73" i="1" s="1"/>
  <c r="N56" i="1"/>
  <c r="H130" i="7"/>
  <c r="G130" i="7"/>
  <c r="Q124" i="15"/>
  <c r="R124" i="15" s="1"/>
  <c r="E171" i="15"/>
  <c r="T76" i="16"/>
  <c r="S77" i="14"/>
  <c r="E59" i="17"/>
  <c r="E117" i="17" s="1"/>
  <c r="E111" i="7"/>
  <c r="E128" i="7" s="1"/>
  <c r="E100" i="11"/>
  <c r="E117" i="11" s="1"/>
  <c r="E101" i="1"/>
  <c r="E118" i="1" s="1"/>
  <c r="E29" i="10"/>
  <c r="E108" i="10" s="1"/>
  <c r="E29" i="9"/>
  <c r="E108" i="9" s="1"/>
  <c r="D115" i="13"/>
  <c r="D111" i="7"/>
  <c r="D128" i="7" s="1"/>
  <c r="D100" i="11"/>
  <c r="D117" i="11" s="1"/>
  <c r="D101" i="1"/>
  <c r="D118" i="1" s="1"/>
  <c r="D121" i="1" s="1"/>
  <c r="D101" i="10"/>
  <c r="D118" i="10" s="1"/>
  <c r="F33" i="16"/>
  <c r="F106" i="16" s="1"/>
  <c r="F100" i="11"/>
  <c r="F117" i="11" s="1"/>
  <c r="H16" i="17"/>
  <c r="H111" i="17" s="1"/>
  <c r="H30" i="11"/>
  <c r="H107" i="11" s="1"/>
  <c r="H37" i="7"/>
  <c r="H118" i="7" s="1"/>
  <c r="H29" i="1"/>
  <c r="H108" i="1" s="1"/>
  <c r="H27" i="9"/>
  <c r="H25" i="9"/>
  <c r="H15" i="24"/>
  <c r="H20" i="15"/>
  <c r="H19" i="7"/>
  <c r="H11" i="11"/>
  <c r="H11" i="1"/>
  <c r="H11" i="10"/>
  <c r="Q34" i="7"/>
  <c r="R34" i="7" s="1"/>
  <c r="I19" i="24"/>
  <c r="I233" i="24" s="1"/>
  <c r="I41" i="11"/>
  <c r="I108" i="11" s="1"/>
  <c r="N97" i="13"/>
  <c r="Q79" i="13"/>
  <c r="R79" i="13" s="1"/>
  <c r="Q74" i="13"/>
  <c r="R74" i="13" s="1"/>
  <c r="N74" i="13"/>
  <c r="Q63" i="13"/>
  <c r="N49" i="13"/>
  <c r="Q37" i="13"/>
  <c r="N85" i="14"/>
  <c r="O85" i="14" s="1"/>
  <c r="Q79" i="14"/>
  <c r="R79" i="14" s="1"/>
  <c r="Q59" i="14"/>
  <c r="N45" i="14"/>
  <c r="Q68" i="17"/>
  <c r="Q97" i="20"/>
  <c r="I54" i="20"/>
  <c r="I93" i="20" s="1"/>
  <c r="N98" i="1"/>
  <c r="N98" i="9"/>
  <c r="N118" i="15"/>
  <c r="Q85" i="1"/>
  <c r="R85" i="1" s="1"/>
  <c r="Q75" i="10"/>
  <c r="R75" i="10" s="1"/>
  <c r="Q88" i="10"/>
  <c r="R88" i="10" s="1"/>
  <c r="N85" i="10"/>
  <c r="N22" i="15"/>
  <c r="O22" i="15" s="1"/>
  <c r="N34" i="7"/>
  <c r="O34" i="7" s="1"/>
  <c r="N14" i="24"/>
  <c r="Q14" i="24"/>
  <c r="K17" i="24"/>
  <c r="L17" i="24" s="1"/>
  <c r="Q17" i="24"/>
  <c r="R17" i="24" s="1"/>
  <c r="N17" i="24"/>
  <c r="O17" i="24" s="1"/>
  <c r="N113" i="7"/>
  <c r="P116" i="15"/>
  <c r="Q116" i="15" s="1"/>
  <c r="Q97" i="15"/>
  <c r="M72" i="15"/>
  <c r="I61" i="15"/>
  <c r="I160" i="15" s="1"/>
  <c r="I43" i="15"/>
  <c r="I158" i="15" s="1"/>
  <c r="L11" i="15"/>
  <c r="Q206" i="24"/>
  <c r="N206" i="24"/>
  <c r="P188" i="24"/>
  <c r="D241" i="24"/>
  <c r="D248" i="24" s="1"/>
  <c r="P103" i="24"/>
  <c r="Q92" i="24"/>
  <c r="Q46" i="24"/>
  <c r="R46" i="24" s="1"/>
  <c r="Q44" i="24"/>
  <c r="R44" i="24" s="1"/>
  <c r="Q37" i="24"/>
  <c r="N23" i="14"/>
  <c r="R78" i="16"/>
  <c r="S78" i="16" s="1"/>
  <c r="O73" i="16"/>
  <c r="P73" i="16" s="1"/>
  <c r="Q101" i="17"/>
  <c r="N101" i="17"/>
  <c r="N93" i="17"/>
  <c r="O93" i="17" s="1"/>
  <c r="Q87" i="17"/>
  <c r="R87" i="17" s="1"/>
  <c r="N26" i="17"/>
  <c r="N13" i="17"/>
  <c r="O13" i="17" s="1"/>
  <c r="Q41" i="15"/>
  <c r="R41" i="15" s="1"/>
  <c r="N27" i="11"/>
  <c r="N26" i="10"/>
  <c r="O26" i="10" s="1"/>
  <c r="O28" i="10" s="1"/>
  <c r="S48" i="24"/>
  <c r="S210" i="24"/>
  <c r="L8" i="24"/>
  <c r="R116" i="11"/>
  <c r="E119" i="16"/>
  <c r="L45" i="14"/>
  <c r="K47" i="14"/>
  <c r="K108" i="14" s="1"/>
  <c r="L98" i="1"/>
  <c r="L100" i="1" s="1"/>
  <c r="L117" i="1" s="1"/>
  <c r="K100" i="1"/>
  <c r="K117" i="1" s="1"/>
  <c r="L98" i="9"/>
  <c r="L100" i="9" s="1"/>
  <c r="K100" i="9"/>
  <c r="K117" i="9" s="1"/>
  <c r="L26" i="9"/>
  <c r="S198" i="24"/>
  <c r="S72" i="14"/>
  <c r="S76" i="13"/>
  <c r="R86" i="13"/>
  <c r="S192" i="24"/>
  <c r="L49" i="13"/>
  <c r="K51" i="13"/>
  <c r="K112" i="13" s="1"/>
  <c r="L23" i="14"/>
  <c r="K25" i="14"/>
  <c r="K104" i="14" s="1"/>
  <c r="M96" i="16"/>
  <c r="L98" i="16"/>
  <c r="L115" i="16" s="1"/>
  <c r="O98" i="10"/>
  <c r="S98" i="10" s="1"/>
  <c r="L79" i="11"/>
  <c r="L89" i="11" s="1"/>
  <c r="L114" i="11" s="1"/>
  <c r="K89" i="11"/>
  <c r="K114" i="11" s="1"/>
  <c r="L26" i="10"/>
  <c r="L22" i="15"/>
  <c r="K24" i="15"/>
  <c r="K156" i="15" s="1"/>
  <c r="S90" i="17"/>
  <c r="S126" i="15"/>
  <c r="S13" i="1"/>
  <c r="Q85" i="14"/>
  <c r="R85" i="14" s="1"/>
  <c r="Q45" i="14"/>
  <c r="Q48" i="10"/>
  <c r="S135" i="24"/>
  <c r="S13" i="9"/>
  <c r="Q93" i="17"/>
  <c r="R93" i="17" s="1"/>
  <c r="Q195" i="24"/>
  <c r="R195" i="24" s="1"/>
  <c r="Q85" i="9"/>
  <c r="R85" i="9" s="1"/>
  <c r="Q88" i="7"/>
  <c r="R88" i="7" s="1"/>
  <c r="O32" i="7"/>
  <c r="L13" i="7"/>
  <c r="K32" i="7" s="1"/>
  <c r="T11" i="7"/>
  <c r="S98" i="7"/>
  <c r="S36" i="10"/>
  <c r="S38" i="10" s="1"/>
  <c r="S109" i="10" s="1"/>
  <c r="H10" i="21" s="1"/>
  <c r="R38" i="10"/>
  <c r="R109" i="10" s="1"/>
  <c r="T5" i="10"/>
  <c r="S60" i="10"/>
  <c r="Q38" i="10"/>
  <c r="Q109" i="10" s="1"/>
  <c r="S73" i="10"/>
  <c r="Q33" i="20"/>
  <c r="R33" i="20" s="1"/>
  <c r="N37" i="17"/>
  <c r="O37" i="17" s="1"/>
  <c r="N31" i="24"/>
  <c r="O31" i="24" s="1"/>
  <c r="N44" i="10"/>
  <c r="O44" i="10" s="1"/>
  <c r="Q35" i="11"/>
  <c r="R35" i="11" s="1"/>
  <c r="N23" i="11"/>
  <c r="O23" i="11" s="1"/>
  <c r="N32" i="24"/>
  <c r="O32" i="24" s="1"/>
  <c r="S65" i="11"/>
  <c r="R120" i="24"/>
  <c r="S172" i="24"/>
  <c r="S143" i="15"/>
  <c r="O138" i="24"/>
  <c r="S138" i="24" s="1"/>
  <c r="O174" i="24"/>
  <c r="S174" i="24" s="1"/>
  <c r="S186" i="24"/>
  <c r="L122" i="24"/>
  <c r="O97" i="24"/>
  <c r="S97" i="24" s="1"/>
  <c r="S86" i="13"/>
  <c r="S217" i="24"/>
  <c r="S225" i="24"/>
  <c r="S78" i="9"/>
  <c r="S148" i="15"/>
  <c r="L150" i="15"/>
  <c r="R163" i="24"/>
  <c r="S63" i="11"/>
  <c r="L165" i="24"/>
  <c r="S50" i="20"/>
  <c r="K37" i="11"/>
  <c r="L37" i="11" s="1"/>
  <c r="L38" i="16"/>
  <c r="M38" i="16" s="1"/>
  <c r="L23" i="16"/>
  <c r="M23" i="16" s="1"/>
  <c r="K34" i="20"/>
  <c r="L34" i="20" s="1"/>
  <c r="K33" i="20"/>
  <c r="L33" i="20" s="1"/>
  <c r="K30" i="24"/>
  <c r="L30" i="24" s="1"/>
  <c r="K57" i="24"/>
  <c r="L57" i="24" s="1"/>
  <c r="K37" i="17"/>
  <c r="L37" i="17" s="1"/>
  <c r="L21" i="16"/>
  <c r="M21" i="16" s="1"/>
  <c r="K32" i="20"/>
  <c r="L32" i="20" s="1"/>
  <c r="S88" i="1"/>
  <c r="P60" i="16"/>
  <c r="S179" i="24"/>
  <c r="S62" i="1"/>
  <c r="S13" i="10"/>
  <c r="S84" i="11"/>
  <c r="T30" i="16"/>
  <c r="S140" i="24"/>
  <c r="S214" i="24"/>
  <c r="S82" i="9"/>
  <c r="S18" i="20"/>
  <c r="S49" i="11"/>
  <c r="S70" i="17"/>
  <c r="T86" i="16"/>
  <c r="S133" i="24"/>
  <c r="S85" i="17"/>
  <c r="Q54" i="17"/>
  <c r="R54" i="17" s="1"/>
  <c r="S54" i="17" s="1"/>
  <c r="S126" i="24"/>
  <c r="S142" i="24"/>
  <c r="S91" i="15"/>
  <c r="S60" i="1"/>
  <c r="Q23" i="11"/>
  <c r="R23" i="11" s="1"/>
  <c r="Q44" i="10"/>
  <c r="R44" i="10" s="1"/>
  <c r="Q81" i="17"/>
  <c r="R81" i="17" s="1"/>
  <c r="Q112" i="15"/>
  <c r="R112" i="15" s="1"/>
  <c r="Q37" i="17"/>
  <c r="R37" i="17" s="1"/>
  <c r="R23" i="16"/>
  <c r="S23" i="16" s="1"/>
  <c r="N49" i="20"/>
  <c r="N32" i="20"/>
  <c r="O32" i="20" s="1"/>
  <c r="N34" i="20"/>
  <c r="O34" i="20" s="1"/>
  <c r="N35" i="11"/>
  <c r="N39" i="17"/>
  <c r="O39" i="17" s="1"/>
  <c r="O19" i="16"/>
  <c r="N81" i="17"/>
  <c r="O81" i="17" s="1"/>
  <c r="S21" i="7"/>
  <c r="O58" i="9" l="1"/>
  <c r="L58" i="9"/>
  <c r="S99" i="24"/>
  <c r="L113" i="9"/>
  <c r="S132" i="15"/>
  <c r="I28" i="13"/>
  <c r="H75" i="17"/>
  <c r="H119" i="17" s="1"/>
  <c r="I15" i="13"/>
  <c r="I71" i="17"/>
  <c r="H67" i="9"/>
  <c r="H67" i="27"/>
  <c r="H114" i="27" s="1"/>
  <c r="H16" i="27"/>
  <c r="H106" i="27" s="1"/>
  <c r="I80" i="13"/>
  <c r="I187" i="24"/>
  <c r="I25" i="1"/>
  <c r="H98" i="20"/>
  <c r="H105" i="20" s="1"/>
  <c r="I25" i="10"/>
  <c r="H67" i="10"/>
  <c r="H68" i="13"/>
  <c r="H115" i="13" s="1"/>
  <c r="H122" i="13" s="1"/>
  <c r="I22" i="7"/>
  <c r="M22" i="7" s="1"/>
  <c r="N22" i="7" s="1"/>
  <c r="O22" i="7" s="1"/>
  <c r="I226" i="24"/>
  <c r="M226" i="24" s="1"/>
  <c r="N226" i="24" s="1"/>
  <c r="O226" i="24" s="1"/>
  <c r="I57" i="17"/>
  <c r="H68" i="25"/>
  <c r="H59" i="7"/>
  <c r="H122" i="7" s="1"/>
  <c r="H106" i="17"/>
  <c r="H123" i="17" s="1"/>
  <c r="H91" i="27"/>
  <c r="H116" i="27" s="1"/>
  <c r="H51" i="1"/>
  <c r="H112" i="1" s="1"/>
  <c r="H98" i="14"/>
  <c r="H115" i="14" s="1"/>
  <c r="H118" i="14" s="1"/>
  <c r="H149" i="24"/>
  <c r="H67" i="1"/>
  <c r="I11" i="9"/>
  <c r="P11" i="9" s="1"/>
  <c r="H151" i="15"/>
  <c r="H169" i="15" s="1"/>
  <c r="G67" i="10"/>
  <c r="G67" i="1"/>
  <c r="I189" i="24"/>
  <c r="P189" i="24" s="1"/>
  <c r="Q189" i="24" s="1"/>
  <c r="R189" i="24" s="1"/>
  <c r="I171" i="24"/>
  <c r="J171" i="24" s="1"/>
  <c r="K171" i="24" s="1"/>
  <c r="L171" i="24" s="1"/>
  <c r="G68" i="13"/>
  <c r="G70" i="11"/>
  <c r="G68" i="25"/>
  <c r="G67" i="27"/>
  <c r="G114" i="27" s="1"/>
  <c r="G51" i="27"/>
  <c r="G112" i="27" s="1"/>
  <c r="G113" i="11"/>
  <c r="I27" i="1"/>
  <c r="J27" i="1" s="1"/>
  <c r="I70" i="24"/>
  <c r="G16" i="11"/>
  <c r="G105" i="11" s="1"/>
  <c r="G67" i="9"/>
  <c r="J79" i="16"/>
  <c r="G98" i="20"/>
  <c r="G105" i="20" s="1"/>
  <c r="G149" i="24"/>
  <c r="I44" i="14"/>
  <c r="I88" i="15"/>
  <c r="J88" i="15" s="1"/>
  <c r="K88" i="15" s="1"/>
  <c r="L88" i="15" s="1"/>
  <c r="G106" i="15"/>
  <c r="I139" i="24"/>
  <c r="I91" i="17"/>
  <c r="G16" i="27"/>
  <c r="G106" i="27" s="1"/>
  <c r="I211" i="24"/>
  <c r="J211" i="24" s="1"/>
  <c r="K211" i="24" s="1"/>
  <c r="L211" i="24" s="1"/>
  <c r="I193" i="24"/>
  <c r="I60" i="14"/>
  <c r="J60" i="14" s="1"/>
  <c r="K60" i="14" s="1"/>
  <c r="L60" i="14" s="1"/>
  <c r="I45" i="24"/>
  <c r="M45" i="24" s="1"/>
  <c r="N45" i="24" s="1"/>
  <c r="O45" i="24" s="1"/>
  <c r="G64" i="14"/>
  <c r="G65" i="16"/>
  <c r="G112" i="16" s="1"/>
  <c r="I83" i="1"/>
  <c r="J83" i="1" s="1"/>
  <c r="K83" i="1" s="1"/>
  <c r="L83" i="1" s="1"/>
  <c r="I100" i="24"/>
  <c r="J27" i="16"/>
  <c r="Q27" i="16" s="1"/>
  <c r="R27" i="16" s="1"/>
  <c r="S27" i="16" s="1"/>
  <c r="G91" i="27"/>
  <c r="G116" i="27" s="1"/>
  <c r="M11" i="9"/>
  <c r="J11" i="9"/>
  <c r="I53" i="20"/>
  <c r="I94" i="15"/>
  <c r="M94" i="15" s="1"/>
  <c r="N94" i="15" s="1"/>
  <c r="O94" i="15" s="1"/>
  <c r="F26" i="14"/>
  <c r="F105" i="14" s="1"/>
  <c r="J29" i="16"/>
  <c r="N29" i="16" s="1"/>
  <c r="O29" i="16" s="1"/>
  <c r="P29" i="16" s="1"/>
  <c r="I100" i="13"/>
  <c r="F75" i="17"/>
  <c r="I123" i="24"/>
  <c r="J123" i="24" s="1"/>
  <c r="K123" i="24" s="1"/>
  <c r="L123" i="24" s="1"/>
  <c r="F149" i="24"/>
  <c r="F67" i="9"/>
  <c r="F91" i="27"/>
  <c r="F116" i="27" s="1"/>
  <c r="I104" i="17"/>
  <c r="M104" i="17" s="1"/>
  <c r="N104" i="17" s="1"/>
  <c r="O104" i="17" s="1"/>
  <c r="I40" i="11"/>
  <c r="P40" i="11" s="1"/>
  <c r="I141" i="24"/>
  <c r="F64" i="14"/>
  <c r="I91" i="24"/>
  <c r="P91" i="24" s="1"/>
  <c r="Q91" i="24" s="1"/>
  <c r="R91" i="24" s="1"/>
  <c r="J81" i="16"/>
  <c r="N81" i="16" s="1"/>
  <c r="O81" i="16" s="1"/>
  <c r="P81" i="16" s="1"/>
  <c r="I66" i="11"/>
  <c r="F70" i="20"/>
  <c r="I25" i="27"/>
  <c r="J31" i="16"/>
  <c r="Q31" i="16" s="1"/>
  <c r="R31" i="16" s="1"/>
  <c r="S31" i="16" s="1"/>
  <c r="F68" i="13"/>
  <c r="F115" i="13" s="1"/>
  <c r="F68" i="25"/>
  <c r="I80" i="14"/>
  <c r="M80" i="14" s="1"/>
  <c r="N80" i="14" s="1"/>
  <c r="O80" i="14" s="1"/>
  <c r="F65" i="16"/>
  <c r="I220" i="24"/>
  <c r="M220" i="24" s="1"/>
  <c r="N220" i="24" s="1"/>
  <c r="O220" i="24" s="1"/>
  <c r="F29" i="27"/>
  <c r="F108" i="27" s="1"/>
  <c r="F121" i="27" s="1"/>
  <c r="F67" i="10"/>
  <c r="F114" i="10" s="1"/>
  <c r="F70" i="11"/>
  <c r="I78" i="14"/>
  <c r="M78" i="14" s="1"/>
  <c r="N78" i="14" s="1"/>
  <c r="O78" i="14" s="1"/>
  <c r="F101" i="27"/>
  <c r="F118" i="27" s="1"/>
  <c r="I118" i="24"/>
  <c r="P118" i="24" s="1"/>
  <c r="Q118" i="24" s="1"/>
  <c r="R118" i="24" s="1"/>
  <c r="F67" i="1"/>
  <c r="E172" i="15"/>
  <c r="E249" i="24"/>
  <c r="E101" i="27"/>
  <c r="E118" i="27" s="1"/>
  <c r="E51" i="27"/>
  <c r="E112" i="27" s="1"/>
  <c r="E91" i="27"/>
  <c r="E116" i="27" s="1"/>
  <c r="I49" i="27"/>
  <c r="M49" i="27" s="1"/>
  <c r="I37" i="27"/>
  <c r="I39" i="27" s="1"/>
  <c r="I110" i="27" s="1"/>
  <c r="E105" i="20"/>
  <c r="E67" i="27"/>
  <c r="E114" i="27" s="1"/>
  <c r="E121" i="27" s="1"/>
  <c r="I79" i="27"/>
  <c r="I99" i="27"/>
  <c r="J99" i="27" s="1"/>
  <c r="K99" i="27" s="1"/>
  <c r="L99" i="27" s="1"/>
  <c r="I14" i="27"/>
  <c r="J14" i="27" s="1"/>
  <c r="K14" i="27" s="1"/>
  <c r="L14" i="27" s="1"/>
  <c r="E16" i="27"/>
  <c r="E106" i="27" s="1"/>
  <c r="I76" i="27"/>
  <c r="E131" i="7"/>
  <c r="E68" i="25"/>
  <c r="E115" i="25" s="1"/>
  <c r="I81" i="27"/>
  <c r="I63" i="27"/>
  <c r="D249" i="24"/>
  <c r="I89" i="27"/>
  <c r="J89" i="27" s="1"/>
  <c r="K89" i="27" s="1"/>
  <c r="L89" i="27" s="1"/>
  <c r="D51" i="27"/>
  <c r="D112" i="27" s="1"/>
  <c r="I59" i="27"/>
  <c r="J59" i="27" s="1"/>
  <c r="K59" i="27" s="1"/>
  <c r="L59" i="27" s="1"/>
  <c r="D91" i="27"/>
  <c r="D116" i="27" s="1"/>
  <c r="D16" i="27"/>
  <c r="D106" i="27" s="1"/>
  <c r="D121" i="27" s="1"/>
  <c r="I86" i="27"/>
  <c r="J86" i="27" s="1"/>
  <c r="K86" i="27" s="1"/>
  <c r="L86" i="27" s="1"/>
  <c r="I83" i="27"/>
  <c r="M83" i="27" s="1"/>
  <c r="N83" i="27" s="1"/>
  <c r="O83" i="27" s="1"/>
  <c r="I61" i="27"/>
  <c r="J61" i="27" s="1"/>
  <c r="K61" i="27" s="1"/>
  <c r="L61" i="27" s="1"/>
  <c r="J102" i="24"/>
  <c r="M102" i="24"/>
  <c r="N102" i="24" s="1"/>
  <c r="O102" i="24" s="1"/>
  <c r="P102" i="24"/>
  <c r="Q102" i="24" s="1"/>
  <c r="R102" i="24" s="1"/>
  <c r="J98" i="13"/>
  <c r="P98" i="13"/>
  <c r="M98" i="13"/>
  <c r="N98" i="13" s="1"/>
  <c r="O98" i="13" s="1"/>
  <c r="I65" i="10"/>
  <c r="D67" i="10"/>
  <c r="D114" i="10" s="1"/>
  <c r="J81" i="1"/>
  <c r="P81" i="1"/>
  <c r="M81" i="1"/>
  <c r="N81" i="1" s="1"/>
  <c r="O81" i="1" s="1"/>
  <c r="P44" i="14"/>
  <c r="Q44" i="14" s="1"/>
  <c r="R44" i="14" s="1"/>
  <c r="J44" i="14"/>
  <c r="M44" i="14"/>
  <c r="N44" i="14" s="1"/>
  <c r="O44" i="14" s="1"/>
  <c r="N72" i="16"/>
  <c r="O72" i="16" s="1"/>
  <c r="P72" i="16" s="1"/>
  <c r="K72" i="16"/>
  <c r="Q72" i="16"/>
  <c r="P95" i="7"/>
  <c r="Q95" i="7" s="1"/>
  <c r="M95" i="7"/>
  <c r="N95" i="7" s="1"/>
  <c r="O95" i="7" s="1"/>
  <c r="J95" i="7"/>
  <c r="I27" i="27"/>
  <c r="C29" i="27"/>
  <c r="C108" i="27" s="1"/>
  <c r="J222" i="24"/>
  <c r="K222" i="24" s="1"/>
  <c r="L222" i="24" s="1"/>
  <c r="M222" i="24"/>
  <c r="N222" i="24" s="1"/>
  <c r="O222" i="24" s="1"/>
  <c r="P222" i="24"/>
  <c r="Q222" i="24" s="1"/>
  <c r="R222" i="24" s="1"/>
  <c r="J62" i="11"/>
  <c r="M62" i="11"/>
  <c r="N62" i="11" s="1"/>
  <c r="O62" i="11" s="1"/>
  <c r="P62" i="11"/>
  <c r="J60" i="13"/>
  <c r="K60" i="13" s="1"/>
  <c r="L60" i="13" s="1"/>
  <c r="P60" i="13"/>
  <c r="M60" i="13"/>
  <c r="J82" i="11"/>
  <c r="P82" i="11"/>
  <c r="Q82" i="11" s="1"/>
  <c r="R82" i="11" s="1"/>
  <c r="M82" i="11"/>
  <c r="M69" i="17"/>
  <c r="N69" i="17" s="1"/>
  <c r="O69" i="17" s="1"/>
  <c r="J69" i="17"/>
  <c r="P69" i="17"/>
  <c r="Q69" i="17" s="1"/>
  <c r="R69" i="17" s="1"/>
  <c r="I66" i="25"/>
  <c r="D68" i="25"/>
  <c r="J100" i="13"/>
  <c r="K100" i="13" s="1"/>
  <c r="L100" i="13" s="1"/>
  <c r="P100" i="13"/>
  <c r="Q100" i="13" s="1"/>
  <c r="R100" i="13" s="1"/>
  <c r="M100" i="13"/>
  <c r="M91" i="17"/>
  <c r="N91" i="17" s="1"/>
  <c r="O91" i="17" s="1"/>
  <c r="J91" i="17"/>
  <c r="P91" i="17"/>
  <c r="P145" i="24"/>
  <c r="Q145" i="24" s="1"/>
  <c r="R145" i="24" s="1"/>
  <c r="M145" i="24"/>
  <c r="N145" i="24" s="1"/>
  <c r="O145" i="24" s="1"/>
  <c r="J145" i="24"/>
  <c r="K145" i="24" s="1"/>
  <c r="L145" i="24" s="1"/>
  <c r="J84" i="13"/>
  <c r="K84" i="13" s="1"/>
  <c r="L84" i="13" s="1"/>
  <c r="P84" i="13"/>
  <c r="Q84" i="13" s="1"/>
  <c r="R84" i="13" s="1"/>
  <c r="M84" i="13"/>
  <c r="N84" i="13" s="1"/>
  <c r="O84" i="13" s="1"/>
  <c r="M127" i="15"/>
  <c r="N127" i="15" s="1"/>
  <c r="O127" i="15" s="1"/>
  <c r="P127" i="15"/>
  <c r="Q127" i="15" s="1"/>
  <c r="R127" i="15" s="1"/>
  <c r="J127" i="15"/>
  <c r="K127" i="15" s="1"/>
  <c r="L127" i="15" s="1"/>
  <c r="F112" i="16"/>
  <c r="J220" i="24"/>
  <c r="K220" i="24" s="1"/>
  <c r="L220" i="24" s="1"/>
  <c r="P73" i="15"/>
  <c r="J73" i="15"/>
  <c r="M73" i="15"/>
  <c r="N73" i="15" s="1"/>
  <c r="O73" i="15" s="1"/>
  <c r="J82" i="13"/>
  <c r="P82" i="13"/>
  <c r="Q82" i="13" s="1"/>
  <c r="R82" i="13" s="1"/>
  <c r="M82" i="13"/>
  <c r="N82" i="13" s="1"/>
  <c r="O82" i="13" s="1"/>
  <c r="M83" i="1"/>
  <c r="N83" i="1" s="1"/>
  <c r="O83" i="1" s="1"/>
  <c r="P83" i="1"/>
  <c r="Q83" i="1" s="1"/>
  <c r="R83" i="1" s="1"/>
  <c r="M42" i="15"/>
  <c r="N42" i="15" s="1"/>
  <c r="O42" i="15" s="1"/>
  <c r="J42" i="15"/>
  <c r="P42" i="15"/>
  <c r="Q42" i="15" s="1"/>
  <c r="R42" i="15" s="1"/>
  <c r="K61" i="16"/>
  <c r="L61" i="16" s="1"/>
  <c r="M61" i="16" s="1"/>
  <c r="N61" i="16"/>
  <c r="O61" i="16" s="1"/>
  <c r="P61" i="16" s="1"/>
  <c r="Q61" i="16"/>
  <c r="R61" i="16" s="1"/>
  <c r="S61" i="16" s="1"/>
  <c r="J94" i="15"/>
  <c r="K94" i="15" s="1"/>
  <c r="L94" i="15" s="1"/>
  <c r="P94" i="15"/>
  <c r="Q94" i="15" s="1"/>
  <c r="R94" i="15" s="1"/>
  <c r="K27" i="16"/>
  <c r="P73" i="14"/>
  <c r="M73" i="14"/>
  <c r="J73" i="14"/>
  <c r="K73" i="14" s="1"/>
  <c r="L73" i="14" s="1"/>
  <c r="M133" i="15"/>
  <c r="N133" i="15" s="1"/>
  <c r="O133" i="15" s="1"/>
  <c r="P133" i="15"/>
  <c r="Q133" i="15" s="1"/>
  <c r="R133" i="15" s="1"/>
  <c r="J133" i="15"/>
  <c r="Q97" i="16"/>
  <c r="R97" i="16" s="1"/>
  <c r="S97" i="16" s="1"/>
  <c r="N97" i="16"/>
  <c r="O97" i="16" s="1"/>
  <c r="P97" i="16" s="1"/>
  <c r="K97" i="16"/>
  <c r="L97" i="16" s="1"/>
  <c r="M97" i="16" s="1"/>
  <c r="P57" i="17"/>
  <c r="M57" i="17"/>
  <c r="N57" i="17" s="1"/>
  <c r="O57" i="17" s="1"/>
  <c r="J57" i="17"/>
  <c r="J63" i="16"/>
  <c r="D65" i="16"/>
  <c r="D112" i="16" s="1"/>
  <c r="J83" i="27"/>
  <c r="K83" i="27" s="1"/>
  <c r="L83" i="27" s="1"/>
  <c r="M76" i="14"/>
  <c r="N76" i="14" s="1"/>
  <c r="O76" i="14" s="1"/>
  <c r="P76" i="14"/>
  <c r="Q76" i="14" s="1"/>
  <c r="R76" i="14" s="1"/>
  <c r="J76" i="14"/>
  <c r="K76" i="14" s="1"/>
  <c r="L76" i="14" s="1"/>
  <c r="N79" i="16"/>
  <c r="O79" i="16" s="1"/>
  <c r="P79" i="16" s="1"/>
  <c r="K79" i="16"/>
  <c r="L79" i="16" s="1"/>
  <c r="M79" i="16" s="1"/>
  <c r="Q79" i="16"/>
  <c r="R79" i="16" s="1"/>
  <c r="S79" i="16" s="1"/>
  <c r="M25" i="1"/>
  <c r="N25" i="1" s="1"/>
  <c r="O25" i="1" s="1"/>
  <c r="P25" i="1"/>
  <c r="J25" i="1"/>
  <c r="K25" i="1" s="1"/>
  <c r="L25" i="1" s="1"/>
  <c r="P73" i="7"/>
  <c r="Q73" i="7" s="1"/>
  <c r="R73" i="7" s="1"/>
  <c r="M73" i="7"/>
  <c r="N73" i="7" s="1"/>
  <c r="O73" i="7" s="1"/>
  <c r="J73" i="7"/>
  <c r="M149" i="15"/>
  <c r="N149" i="15" s="1"/>
  <c r="O149" i="15" s="1"/>
  <c r="P149" i="15"/>
  <c r="Q149" i="15" s="1"/>
  <c r="R149" i="15" s="1"/>
  <c r="J149" i="15"/>
  <c r="K149" i="15" s="1"/>
  <c r="L149" i="15" s="1"/>
  <c r="I66" i="13"/>
  <c r="P164" i="24"/>
  <c r="Q164" i="24" s="1"/>
  <c r="R164" i="24" s="1"/>
  <c r="M164" i="24"/>
  <c r="N164" i="24" s="1"/>
  <c r="O164" i="24" s="1"/>
  <c r="J164" i="24"/>
  <c r="K164" i="24" s="1"/>
  <c r="L164" i="24" s="1"/>
  <c r="P37" i="1"/>
  <c r="M37" i="1"/>
  <c r="N37" i="1" s="1"/>
  <c r="O37" i="1" s="1"/>
  <c r="J37" i="1"/>
  <c r="K87" i="16"/>
  <c r="L87" i="16" s="1"/>
  <c r="M87" i="16" s="1"/>
  <c r="Q87" i="16"/>
  <c r="R87" i="16" s="1"/>
  <c r="S87" i="16" s="1"/>
  <c r="N87" i="16"/>
  <c r="O87" i="16" s="1"/>
  <c r="P87" i="16" s="1"/>
  <c r="P209" i="24"/>
  <c r="J209" i="24"/>
  <c r="K209" i="24" s="1"/>
  <c r="L209" i="24" s="1"/>
  <c r="M209" i="24"/>
  <c r="N209" i="24" s="1"/>
  <c r="O209" i="24" s="1"/>
  <c r="P123" i="15"/>
  <c r="Q123" i="15" s="1"/>
  <c r="R123" i="15" s="1"/>
  <c r="J123" i="15"/>
  <c r="K123" i="15" s="1"/>
  <c r="L123" i="15" s="1"/>
  <c r="M123" i="15"/>
  <c r="N123" i="15" s="1"/>
  <c r="O123" i="15" s="1"/>
  <c r="J59" i="10"/>
  <c r="K59" i="10" s="1"/>
  <c r="L59" i="10" s="1"/>
  <c r="P59" i="10"/>
  <c r="Q59" i="10" s="1"/>
  <c r="R59" i="10" s="1"/>
  <c r="M59" i="10"/>
  <c r="N74" i="16"/>
  <c r="O74" i="16" s="1"/>
  <c r="P74" i="16" s="1"/>
  <c r="K74" i="16"/>
  <c r="Q74" i="16"/>
  <c r="J64" i="13"/>
  <c r="K64" i="13" s="1"/>
  <c r="L64" i="13" s="1"/>
  <c r="P64" i="13"/>
  <c r="M64" i="13"/>
  <c r="J78" i="14"/>
  <c r="K78" i="14" s="1"/>
  <c r="L78" i="14" s="1"/>
  <c r="P78" i="14"/>
  <c r="Q78" i="14" s="1"/>
  <c r="R78" i="14" s="1"/>
  <c r="I65" i="9"/>
  <c r="J49" i="27"/>
  <c r="P49" i="27"/>
  <c r="J81" i="9"/>
  <c r="K81" i="9" s="1"/>
  <c r="L81" i="9" s="1"/>
  <c r="P81" i="9"/>
  <c r="Q81" i="9" s="1"/>
  <c r="R81" i="9" s="1"/>
  <c r="M81" i="9"/>
  <c r="N81" i="9" s="1"/>
  <c r="O81" i="9" s="1"/>
  <c r="I65" i="1"/>
  <c r="C51" i="27"/>
  <c r="C112" i="27" s="1"/>
  <c r="I47" i="27"/>
  <c r="P211" i="24"/>
  <c r="M211" i="24"/>
  <c r="N211" i="24" s="1"/>
  <c r="J218" i="24"/>
  <c r="K218" i="24" s="1"/>
  <c r="L218" i="24" s="1"/>
  <c r="M218" i="24"/>
  <c r="N218" i="24" s="1"/>
  <c r="O218" i="24" s="1"/>
  <c r="P218" i="24"/>
  <c r="Q218" i="24" s="1"/>
  <c r="R218" i="24" s="1"/>
  <c r="M182" i="24"/>
  <c r="N182" i="24" s="1"/>
  <c r="O182" i="24" s="1"/>
  <c r="J182" i="24"/>
  <c r="K182" i="24" s="1"/>
  <c r="L182" i="24" s="1"/>
  <c r="P182" i="24"/>
  <c r="Q182" i="24" s="1"/>
  <c r="R182" i="24" s="1"/>
  <c r="J104" i="24"/>
  <c r="M104" i="24"/>
  <c r="N104" i="24" s="1"/>
  <c r="O104" i="24" s="1"/>
  <c r="P104" i="24"/>
  <c r="Q104" i="24" s="1"/>
  <c r="R104" i="24" s="1"/>
  <c r="M86" i="14"/>
  <c r="N86" i="14" s="1"/>
  <c r="O86" i="14" s="1"/>
  <c r="J86" i="14"/>
  <c r="K86" i="14" s="1"/>
  <c r="L86" i="14" s="1"/>
  <c r="P86" i="14"/>
  <c r="J71" i="17"/>
  <c r="P71" i="17"/>
  <c r="M71" i="17"/>
  <c r="N71" i="17" s="1"/>
  <c r="O71" i="17" s="1"/>
  <c r="J79" i="27"/>
  <c r="K79" i="27" s="1"/>
  <c r="L79" i="27" s="1"/>
  <c r="M79" i="27"/>
  <c r="N79" i="27" s="1"/>
  <c r="O79" i="27" s="1"/>
  <c r="P79" i="27"/>
  <c r="Q79" i="27" s="1"/>
  <c r="R79" i="27" s="1"/>
  <c r="P191" i="24"/>
  <c r="Q191" i="24" s="1"/>
  <c r="R191" i="24" s="1"/>
  <c r="J191" i="24"/>
  <c r="K191" i="24" s="1"/>
  <c r="L191" i="24" s="1"/>
  <c r="M191" i="24"/>
  <c r="N191" i="24" s="1"/>
  <c r="O191" i="24" s="1"/>
  <c r="I63" i="9"/>
  <c r="P162" i="24"/>
  <c r="Q162" i="24" s="1"/>
  <c r="R162" i="24" s="1"/>
  <c r="M162" i="24"/>
  <c r="N162" i="24" s="1"/>
  <c r="O162" i="24" s="1"/>
  <c r="J162" i="24"/>
  <c r="K162" i="24" s="1"/>
  <c r="L162" i="24" s="1"/>
  <c r="J90" i="15"/>
  <c r="K90" i="15" s="1"/>
  <c r="L90" i="15" s="1"/>
  <c r="M90" i="15"/>
  <c r="N90" i="15" s="1"/>
  <c r="O90" i="15" s="1"/>
  <c r="P90" i="15"/>
  <c r="Q90" i="15" s="1"/>
  <c r="R90" i="15" s="1"/>
  <c r="P38" i="24"/>
  <c r="M38" i="24"/>
  <c r="N38" i="24" s="1"/>
  <c r="O38" i="24" s="1"/>
  <c r="J38" i="24"/>
  <c r="Q41" i="16"/>
  <c r="N41" i="16"/>
  <c r="O41" i="16" s="1"/>
  <c r="K41" i="16"/>
  <c r="M171" i="24"/>
  <c r="N171" i="24" s="1"/>
  <c r="O171" i="24" s="1"/>
  <c r="P37" i="9"/>
  <c r="M37" i="9"/>
  <c r="N37" i="9" s="1"/>
  <c r="O37" i="9" s="1"/>
  <c r="J37" i="9"/>
  <c r="P49" i="9"/>
  <c r="M49" i="9"/>
  <c r="N49" i="9" s="1"/>
  <c r="O49" i="9" s="1"/>
  <c r="J49" i="9"/>
  <c r="M83" i="14"/>
  <c r="N83" i="14" s="1"/>
  <c r="O83" i="14" s="1"/>
  <c r="J83" i="14"/>
  <c r="K83" i="14" s="1"/>
  <c r="L83" i="14" s="1"/>
  <c r="P83" i="14"/>
  <c r="Q83" i="14" s="1"/>
  <c r="R83" i="14" s="1"/>
  <c r="I102" i="15"/>
  <c r="C67" i="27"/>
  <c r="C114" i="27" s="1"/>
  <c r="I57" i="27"/>
  <c r="P193" i="24"/>
  <c r="Q193" i="24" s="1"/>
  <c r="R193" i="24" s="1"/>
  <c r="J193" i="24"/>
  <c r="K193" i="24" s="1"/>
  <c r="L193" i="24" s="1"/>
  <c r="M193" i="24"/>
  <c r="N193" i="24" s="1"/>
  <c r="O193" i="24" s="1"/>
  <c r="P77" i="15"/>
  <c r="Q77" i="15" s="1"/>
  <c r="R77" i="15" s="1"/>
  <c r="M77" i="15"/>
  <c r="N77" i="15" s="1"/>
  <c r="O77" i="15" s="1"/>
  <c r="J77" i="15"/>
  <c r="K77" i="15" s="1"/>
  <c r="L77" i="15" s="1"/>
  <c r="P130" i="24"/>
  <c r="Q130" i="24" s="1"/>
  <c r="R130" i="24" s="1"/>
  <c r="M130" i="24"/>
  <c r="N130" i="24" s="1"/>
  <c r="O130" i="24" s="1"/>
  <c r="J130" i="24"/>
  <c r="K130" i="24" s="1"/>
  <c r="L130" i="24" s="1"/>
  <c r="J63" i="10"/>
  <c r="K63" i="10" s="1"/>
  <c r="L63" i="10" s="1"/>
  <c r="P63" i="10"/>
  <c r="M63" i="10"/>
  <c r="N63" i="10" s="1"/>
  <c r="O63" i="10" s="1"/>
  <c r="P55" i="17"/>
  <c r="Q55" i="17" s="1"/>
  <c r="R55" i="17" s="1"/>
  <c r="J55" i="17"/>
  <c r="K55" i="17" s="1"/>
  <c r="L55" i="17" s="1"/>
  <c r="M55" i="17"/>
  <c r="M89" i="1"/>
  <c r="N89" i="1" s="1"/>
  <c r="O89" i="1" s="1"/>
  <c r="P89" i="1"/>
  <c r="Q89" i="1" s="1"/>
  <c r="R89" i="1" s="1"/>
  <c r="J89" i="1"/>
  <c r="K89" i="1" s="1"/>
  <c r="L89" i="1" s="1"/>
  <c r="P58" i="14"/>
  <c r="Q58" i="14" s="1"/>
  <c r="R58" i="14" s="1"/>
  <c r="M58" i="14"/>
  <c r="N58" i="14" s="1"/>
  <c r="O58" i="14" s="1"/>
  <c r="J58" i="14"/>
  <c r="K58" i="14" s="1"/>
  <c r="L58" i="14" s="1"/>
  <c r="I68" i="11"/>
  <c r="I104" i="15"/>
  <c r="M139" i="24"/>
  <c r="N139" i="24" s="1"/>
  <c r="O139" i="24" s="1"/>
  <c r="P139" i="24"/>
  <c r="Q139" i="24" s="1"/>
  <c r="R139" i="24" s="1"/>
  <c r="J139" i="24"/>
  <c r="K139" i="24" s="1"/>
  <c r="L139" i="24" s="1"/>
  <c r="P59" i="1"/>
  <c r="Q59" i="1" s="1"/>
  <c r="R59" i="1" s="1"/>
  <c r="M59" i="1"/>
  <c r="J59" i="1"/>
  <c r="K59" i="1" s="1"/>
  <c r="L59" i="1" s="1"/>
  <c r="J84" i="7"/>
  <c r="K84" i="7" s="1"/>
  <c r="L84" i="7" s="1"/>
  <c r="M84" i="7"/>
  <c r="N84" i="7" s="1"/>
  <c r="O84" i="7" s="1"/>
  <c r="P84" i="7"/>
  <c r="Q84" i="7" s="1"/>
  <c r="R84" i="7" s="1"/>
  <c r="J215" i="24"/>
  <c r="K215" i="24" s="1"/>
  <c r="L215" i="24" s="1"/>
  <c r="M215" i="24"/>
  <c r="N215" i="24" s="1"/>
  <c r="O215" i="24" s="1"/>
  <c r="P215" i="24"/>
  <c r="Q215" i="24" s="1"/>
  <c r="R215" i="24" s="1"/>
  <c r="P63" i="1"/>
  <c r="Q63" i="1" s="1"/>
  <c r="R63" i="1" s="1"/>
  <c r="M63" i="1"/>
  <c r="N63" i="1" s="1"/>
  <c r="O63" i="1" s="1"/>
  <c r="J63" i="1"/>
  <c r="K63" i="1" s="1"/>
  <c r="L63" i="1" s="1"/>
  <c r="P56" i="14"/>
  <c r="Q56" i="14" s="1"/>
  <c r="R56" i="14" s="1"/>
  <c r="M56" i="14"/>
  <c r="N56" i="14" s="1"/>
  <c r="O56" i="14" s="1"/>
  <c r="J56" i="14"/>
  <c r="P99" i="9"/>
  <c r="Q99" i="9" s="1"/>
  <c r="R99" i="9" s="1"/>
  <c r="M99" i="9"/>
  <c r="N99" i="9" s="1"/>
  <c r="O99" i="9" s="1"/>
  <c r="J99" i="9"/>
  <c r="K99" i="9" s="1"/>
  <c r="L99" i="9" s="1"/>
  <c r="I62" i="14"/>
  <c r="D64" i="14"/>
  <c r="D111" i="14" s="1"/>
  <c r="D118" i="14" s="1"/>
  <c r="J81" i="27"/>
  <c r="K81" i="27" s="1"/>
  <c r="L81" i="27" s="1"/>
  <c r="P81" i="27"/>
  <c r="Q81" i="27" s="1"/>
  <c r="R81" i="27" s="1"/>
  <c r="M81" i="27"/>
  <c r="N81" i="27" s="1"/>
  <c r="O81" i="27" s="1"/>
  <c r="I74" i="27"/>
  <c r="C91" i="27"/>
  <c r="C116" i="27" s="1"/>
  <c r="P100" i="24"/>
  <c r="Q100" i="24" s="1"/>
  <c r="R100" i="24" s="1"/>
  <c r="J100" i="24"/>
  <c r="K100" i="24" s="1"/>
  <c r="L100" i="24" s="1"/>
  <c r="M100" i="24"/>
  <c r="N100" i="24" s="1"/>
  <c r="O100" i="24" s="1"/>
  <c r="C68" i="25"/>
  <c r="P37" i="10"/>
  <c r="M37" i="10"/>
  <c r="N37" i="10" s="1"/>
  <c r="O37" i="10" s="1"/>
  <c r="J37" i="10"/>
  <c r="J94" i="17"/>
  <c r="K94" i="17" s="1"/>
  <c r="L94" i="17" s="1"/>
  <c r="P94" i="17"/>
  <c r="Q94" i="17" s="1"/>
  <c r="R94" i="17" s="1"/>
  <c r="M94" i="17"/>
  <c r="N94" i="17" s="1"/>
  <c r="O94" i="17" s="1"/>
  <c r="M66" i="24"/>
  <c r="N66" i="24" s="1"/>
  <c r="O66" i="24" s="1"/>
  <c r="J66" i="24"/>
  <c r="K66" i="24" s="1"/>
  <c r="L66" i="24" s="1"/>
  <c r="P66" i="24"/>
  <c r="E120" i="11"/>
  <c r="M224" i="24"/>
  <c r="N224" i="24" s="1"/>
  <c r="O224" i="24" s="1"/>
  <c r="J224" i="24"/>
  <c r="K224" i="24" s="1"/>
  <c r="L224" i="24" s="1"/>
  <c r="P224" i="24"/>
  <c r="Q224" i="24" s="1"/>
  <c r="R224" i="24" s="1"/>
  <c r="P136" i="24"/>
  <c r="J136" i="24"/>
  <c r="M136" i="24"/>
  <c r="N136" i="24" s="1"/>
  <c r="O136" i="24" s="1"/>
  <c r="K31" i="16"/>
  <c r="L31" i="16" s="1"/>
  <c r="M31" i="16" s="1"/>
  <c r="N31" i="16"/>
  <c r="O31" i="16" s="1"/>
  <c r="P31" i="16" s="1"/>
  <c r="P90" i="13"/>
  <c r="Q90" i="13" s="1"/>
  <c r="R90" i="13" s="1"/>
  <c r="M90" i="13"/>
  <c r="N90" i="13" s="1"/>
  <c r="O90" i="13" s="1"/>
  <c r="J90" i="13"/>
  <c r="J80" i="13"/>
  <c r="P80" i="13"/>
  <c r="Q80" i="13" s="1"/>
  <c r="R80" i="13" s="1"/>
  <c r="M80" i="13"/>
  <c r="N80" i="13" s="1"/>
  <c r="O80" i="13" s="1"/>
  <c r="M187" i="24"/>
  <c r="N187" i="24" s="1"/>
  <c r="O187" i="24" s="1"/>
  <c r="P187" i="24"/>
  <c r="Q187" i="24" s="1"/>
  <c r="R187" i="24" s="1"/>
  <c r="J187" i="24"/>
  <c r="K187" i="24" s="1"/>
  <c r="L187" i="24" s="1"/>
  <c r="Q95" i="16"/>
  <c r="N95" i="16"/>
  <c r="K95" i="16"/>
  <c r="M87" i="24"/>
  <c r="P87" i="24"/>
  <c r="Q87" i="24" s="1"/>
  <c r="R87" i="24" s="1"/>
  <c r="J87" i="24"/>
  <c r="K87" i="24" s="1"/>
  <c r="L87" i="24" s="1"/>
  <c r="P81" i="10"/>
  <c r="Q81" i="10" s="1"/>
  <c r="R81" i="10" s="1"/>
  <c r="M81" i="10"/>
  <c r="N81" i="10" s="1"/>
  <c r="O81" i="10" s="1"/>
  <c r="J81" i="10"/>
  <c r="H106" i="15"/>
  <c r="H165" i="15" s="1"/>
  <c r="J63" i="27"/>
  <c r="K63" i="27" s="1"/>
  <c r="L63" i="27" s="1"/>
  <c r="M63" i="27"/>
  <c r="N63" i="27" s="1"/>
  <c r="O63" i="27" s="1"/>
  <c r="P63" i="27"/>
  <c r="Q63" i="27" s="1"/>
  <c r="R63" i="27" s="1"/>
  <c r="M88" i="17"/>
  <c r="N88" i="17" s="1"/>
  <c r="O88" i="17" s="1"/>
  <c r="J88" i="17"/>
  <c r="K88" i="17" s="1"/>
  <c r="L88" i="17" s="1"/>
  <c r="P88" i="17"/>
  <c r="Q88" i="17" s="1"/>
  <c r="R88" i="17" s="1"/>
  <c r="P173" i="24"/>
  <c r="Q173" i="24" s="1"/>
  <c r="R173" i="24" s="1"/>
  <c r="M173" i="24"/>
  <c r="N173" i="24" s="1"/>
  <c r="O173" i="24" s="1"/>
  <c r="J173" i="24"/>
  <c r="K173" i="24" s="1"/>
  <c r="L173" i="24" s="1"/>
  <c r="M60" i="14"/>
  <c r="N60" i="14" s="1"/>
  <c r="O60" i="14" s="1"/>
  <c r="J53" i="17"/>
  <c r="K53" i="17" s="1"/>
  <c r="L53" i="17" s="1"/>
  <c r="P53" i="17"/>
  <c r="M53" i="17"/>
  <c r="N53" i="17" s="1"/>
  <c r="O53" i="17" s="1"/>
  <c r="M59" i="9"/>
  <c r="P59" i="9"/>
  <c r="J59" i="9"/>
  <c r="K59" i="9" s="1"/>
  <c r="L59" i="9" s="1"/>
  <c r="D119" i="16"/>
  <c r="P25" i="17"/>
  <c r="Q25" i="17" s="1"/>
  <c r="R25" i="17" s="1"/>
  <c r="M25" i="17"/>
  <c r="N25" i="17" s="1"/>
  <c r="O25" i="17" s="1"/>
  <c r="J25" i="17"/>
  <c r="K25" i="17" s="1"/>
  <c r="L25" i="17" s="1"/>
  <c r="P178" i="24"/>
  <c r="Q178" i="24" s="1"/>
  <c r="R178" i="24" s="1"/>
  <c r="M178" i="24"/>
  <c r="N178" i="24" s="1"/>
  <c r="O178" i="24" s="1"/>
  <c r="J178" i="24"/>
  <c r="K178" i="24" s="1"/>
  <c r="L178" i="24" s="1"/>
  <c r="Q84" i="16"/>
  <c r="R84" i="16" s="1"/>
  <c r="S84" i="16" s="1"/>
  <c r="K84" i="16"/>
  <c r="L84" i="16" s="1"/>
  <c r="M84" i="16" s="1"/>
  <c r="N84" i="16"/>
  <c r="O84" i="16" s="1"/>
  <c r="P84" i="16" s="1"/>
  <c r="M25" i="10"/>
  <c r="J25" i="10"/>
  <c r="P25" i="10"/>
  <c r="Q25" i="10" s="1"/>
  <c r="R25" i="10" s="1"/>
  <c r="M60" i="15"/>
  <c r="N60" i="15" s="1"/>
  <c r="O60" i="15" s="1"/>
  <c r="J60" i="15"/>
  <c r="K60" i="15" s="1"/>
  <c r="L60" i="15" s="1"/>
  <c r="P60" i="15"/>
  <c r="Q60" i="15" s="1"/>
  <c r="R60" i="15" s="1"/>
  <c r="J40" i="11"/>
  <c r="P119" i="15"/>
  <c r="Q119" i="15" s="1"/>
  <c r="R119" i="15" s="1"/>
  <c r="J119" i="15"/>
  <c r="K119" i="15" s="1"/>
  <c r="L119" i="15" s="1"/>
  <c r="M119" i="15"/>
  <c r="N119" i="15" s="1"/>
  <c r="O119" i="15" s="1"/>
  <c r="I147" i="24"/>
  <c r="J76" i="27"/>
  <c r="K76" i="27" s="1"/>
  <c r="L76" i="27" s="1"/>
  <c r="M76" i="27"/>
  <c r="N76" i="27" s="1"/>
  <c r="O76" i="27" s="1"/>
  <c r="P76" i="27"/>
  <c r="Q76" i="27" s="1"/>
  <c r="R76" i="27" s="1"/>
  <c r="J25" i="27"/>
  <c r="K25" i="27" s="1"/>
  <c r="L25" i="27" s="1"/>
  <c r="M25" i="27"/>
  <c r="N25" i="27" s="1"/>
  <c r="O25" i="27" s="1"/>
  <c r="P25" i="27"/>
  <c r="Q25" i="27" s="1"/>
  <c r="R25" i="27" s="1"/>
  <c r="J109" i="7"/>
  <c r="K109" i="7" s="1"/>
  <c r="L109" i="7" s="1"/>
  <c r="P109" i="7"/>
  <c r="Q109" i="7" s="1"/>
  <c r="R109" i="7" s="1"/>
  <c r="M109" i="7"/>
  <c r="N109" i="7" s="1"/>
  <c r="O109" i="7" s="1"/>
  <c r="C16" i="27"/>
  <c r="C106" i="27" s="1"/>
  <c r="I11" i="27"/>
  <c r="P213" i="24"/>
  <c r="Q213" i="24" s="1"/>
  <c r="R213" i="24" s="1"/>
  <c r="J213" i="24"/>
  <c r="K213" i="24" s="1"/>
  <c r="L213" i="24" s="1"/>
  <c r="M213" i="24"/>
  <c r="N213" i="24" s="1"/>
  <c r="O213" i="24" s="1"/>
  <c r="J93" i="24"/>
  <c r="K93" i="24" s="1"/>
  <c r="L93" i="24" s="1"/>
  <c r="P93" i="24"/>
  <c r="Q93" i="24" s="1"/>
  <c r="R93" i="24" s="1"/>
  <c r="M93" i="24"/>
  <c r="N93" i="24" s="1"/>
  <c r="O93" i="24" s="1"/>
  <c r="P58" i="15"/>
  <c r="Q58" i="15" s="1"/>
  <c r="R58" i="15" s="1"/>
  <c r="M58" i="15"/>
  <c r="N58" i="15" s="1"/>
  <c r="O58" i="15" s="1"/>
  <c r="J58" i="15"/>
  <c r="K58" i="15" s="1"/>
  <c r="L58" i="15" s="1"/>
  <c r="M67" i="17"/>
  <c r="N67" i="17" s="1"/>
  <c r="O67" i="17" s="1"/>
  <c r="J67" i="17"/>
  <c r="K67" i="17" s="1"/>
  <c r="L67" i="17" s="1"/>
  <c r="P67" i="17"/>
  <c r="Q67" i="17" s="1"/>
  <c r="R67" i="17" s="1"/>
  <c r="J64" i="11"/>
  <c r="K64" i="11" s="1"/>
  <c r="L64" i="11" s="1"/>
  <c r="P64" i="11"/>
  <c r="Q64" i="11" s="1"/>
  <c r="R64" i="11" s="1"/>
  <c r="M64" i="11"/>
  <c r="N64" i="11" s="1"/>
  <c r="O64" i="11" s="1"/>
  <c r="P169" i="24"/>
  <c r="Q169" i="24" s="1"/>
  <c r="R169" i="24" s="1"/>
  <c r="M169" i="24"/>
  <c r="N169" i="24" s="1"/>
  <c r="O169" i="24" s="1"/>
  <c r="J169" i="24"/>
  <c r="K169" i="24" s="1"/>
  <c r="L169" i="24" s="1"/>
  <c r="M68" i="24"/>
  <c r="N68" i="24" s="1"/>
  <c r="O68" i="24" s="1"/>
  <c r="J68" i="24"/>
  <c r="K68" i="24" s="1"/>
  <c r="L68" i="24" s="1"/>
  <c r="P68" i="24"/>
  <c r="Q68" i="24" s="1"/>
  <c r="R68" i="24" s="1"/>
  <c r="J141" i="24"/>
  <c r="K141" i="24" s="1"/>
  <c r="L141" i="24" s="1"/>
  <c r="M141" i="24"/>
  <c r="N141" i="24" s="1"/>
  <c r="O141" i="24" s="1"/>
  <c r="P141" i="24"/>
  <c r="Q141" i="24" s="1"/>
  <c r="R141" i="24" s="1"/>
  <c r="C70" i="11"/>
  <c r="C113" i="11" s="1"/>
  <c r="C120" i="11" s="1"/>
  <c r="F106" i="15"/>
  <c r="I65" i="27"/>
  <c r="P34" i="14"/>
  <c r="M34" i="14"/>
  <c r="N34" i="14" s="1"/>
  <c r="O34" i="14" s="1"/>
  <c r="J34" i="14"/>
  <c r="M64" i="24"/>
  <c r="N64" i="24" s="1"/>
  <c r="O64" i="24" s="1"/>
  <c r="J64" i="24"/>
  <c r="K64" i="24" s="1"/>
  <c r="L64" i="24" s="1"/>
  <c r="P64" i="24"/>
  <c r="Q64" i="24" s="1"/>
  <c r="R64" i="24" s="1"/>
  <c r="J98" i="24"/>
  <c r="K98" i="24" s="1"/>
  <c r="L98" i="24" s="1"/>
  <c r="M98" i="24"/>
  <c r="N98" i="24" s="1"/>
  <c r="O98" i="24" s="1"/>
  <c r="P98" i="24"/>
  <c r="Q98" i="24" s="1"/>
  <c r="R98" i="24" s="1"/>
  <c r="M18" i="24"/>
  <c r="N18" i="24" s="1"/>
  <c r="O18" i="24" s="1"/>
  <c r="P18" i="24"/>
  <c r="Q18" i="24" s="1"/>
  <c r="R18" i="24" s="1"/>
  <c r="J18" i="24"/>
  <c r="K18" i="24" s="1"/>
  <c r="L18" i="24" s="1"/>
  <c r="P96" i="14"/>
  <c r="Q96" i="14" s="1"/>
  <c r="R96" i="14" s="1"/>
  <c r="M96" i="14"/>
  <c r="N96" i="14" s="1"/>
  <c r="J96" i="14"/>
  <c r="K96" i="14" s="1"/>
  <c r="L96" i="14" s="1"/>
  <c r="M96" i="15"/>
  <c r="N96" i="15" s="1"/>
  <c r="O96" i="15" s="1"/>
  <c r="P96" i="15"/>
  <c r="Q96" i="15" s="1"/>
  <c r="R96" i="15" s="1"/>
  <c r="J96" i="15"/>
  <c r="J61" i="1"/>
  <c r="K61" i="1" s="1"/>
  <c r="L61" i="1" s="1"/>
  <c r="P61" i="1"/>
  <c r="Q61" i="1" s="1"/>
  <c r="R61" i="1" s="1"/>
  <c r="M61" i="1"/>
  <c r="N61" i="1" s="1"/>
  <c r="O61" i="1" s="1"/>
  <c r="J77" i="13"/>
  <c r="K77" i="13" s="1"/>
  <c r="L77" i="13" s="1"/>
  <c r="P77" i="13"/>
  <c r="Q77" i="13" s="1"/>
  <c r="R77" i="13" s="1"/>
  <c r="M77" i="13"/>
  <c r="N77" i="13" s="1"/>
  <c r="O77" i="13" s="1"/>
  <c r="P22" i="7"/>
  <c r="Q22" i="7" s="1"/>
  <c r="R22" i="7" s="1"/>
  <c r="J22" i="7"/>
  <c r="K22" i="7" s="1"/>
  <c r="L22" i="7" s="1"/>
  <c r="C131" i="7"/>
  <c r="J47" i="1"/>
  <c r="K47" i="1" s="1"/>
  <c r="L47" i="1" s="1"/>
  <c r="P47" i="1"/>
  <c r="M47" i="1"/>
  <c r="N47" i="1" s="1"/>
  <c r="O47" i="1" s="1"/>
  <c r="P127" i="24"/>
  <c r="Q127" i="24" s="1"/>
  <c r="R127" i="24" s="1"/>
  <c r="M127" i="24"/>
  <c r="N127" i="24" s="1"/>
  <c r="O127" i="24" s="1"/>
  <c r="J127" i="24"/>
  <c r="I68" i="20"/>
  <c r="I73" i="17"/>
  <c r="C101" i="27"/>
  <c r="C118" i="27" s="1"/>
  <c r="I97" i="27"/>
  <c r="C149" i="24"/>
  <c r="C242" i="24" s="1"/>
  <c r="C249" i="24" s="1"/>
  <c r="M99" i="1"/>
  <c r="J99" i="1"/>
  <c r="K99" i="1" s="1"/>
  <c r="L99" i="1" s="1"/>
  <c r="P99" i="1"/>
  <c r="Q99" i="1" s="1"/>
  <c r="R99" i="1" s="1"/>
  <c r="I55" i="20"/>
  <c r="I94" i="20" s="1"/>
  <c r="J53" i="20"/>
  <c r="P53" i="20"/>
  <c r="M53" i="20"/>
  <c r="N53" i="20" s="1"/>
  <c r="J87" i="13"/>
  <c r="K87" i="13" s="1"/>
  <c r="L87" i="13" s="1"/>
  <c r="P87" i="13"/>
  <c r="Q87" i="13" s="1"/>
  <c r="R87" i="13" s="1"/>
  <c r="M87" i="13"/>
  <c r="N87" i="13" s="1"/>
  <c r="O87" i="13" s="1"/>
  <c r="P121" i="24"/>
  <c r="Q121" i="24" s="1"/>
  <c r="R121" i="24" s="1"/>
  <c r="M121" i="24"/>
  <c r="N121" i="24" s="1"/>
  <c r="O121" i="24" s="1"/>
  <c r="J121" i="24"/>
  <c r="K121" i="24" s="1"/>
  <c r="L121" i="24" s="1"/>
  <c r="J70" i="24"/>
  <c r="K70" i="24" s="1"/>
  <c r="L70" i="24" s="1"/>
  <c r="P70" i="24"/>
  <c r="Q70" i="24" s="1"/>
  <c r="R70" i="24" s="1"/>
  <c r="M70" i="24"/>
  <c r="N70" i="24" s="1"/>
  <c r="O70" i="24" s="1"/>
  <c r="N59" i="16"/>
  <c r="O59" i="16" s="1"/>
  <c r="K59" i="16"/>
  <c r="Q59" i="16"/>
  <c r="J65" i="16"/>
  <c r="J112" i="16" s="1"/>
  <c r="C119" i="16"/>
  <c r="J87" i="7"/>
  <c r="K87" i="7" s="1"/>
  <c r="L87" i="7" s="1"/>
  <c r="P87" i="7"/>
  <c r="Q87" i="7" s="1"/>
  <c r="R87" i="7" s="1"/>
  <c r="M87" i="7"/>
  <c r="N87" i="7" s="1"/>
  <c r="O87" i="7" s="1"/>
  <c r="J66" i="11"/>
  <c r="K66" i="11" s="1"/>
  <c r="L66" i="11" s="1"/>
  <c r="P66" i="11"/>
  <c r="Q66" i="11" s="1"/>
  <c r="R66" i="11" s="1"/>
  <c r="M66" i="11"/>
  <c r="N66" i="11" s="1"/>
  <c r="O66" i="11" s="1"/>
  <c r="C68" i="13"/>
  <c r="C115" i="13" s="1"/>
  <c r="S25" i="11"/>
  <c r="R29" i="11"/>
  <c r="R106" i="11" s="1"/>
  <c r="N99" i="11"/>
  <c r="N116" i="11" s="1"/>
  <c r="O99" i="11"/>
  <c r="O116" i="11" s="1"/>
  <c r="S122" i="15"/>
  <c r="S94" i="7"/>
  <c r="S75" i="1"/>
  <c r="S24" i="1"/>
  <c r="N28" i="1"/>
  <c r="N107" i="1" s="1"/>
  <c r="S122" i="24"/>
  <c r="S190" i="24"/>
  <c r="S223" i="24"/>
  <c r="R146" i="24"/>
  <c r="S146" i="24" s="1"/>
  <c r="Q56" i="24"/>
  <c r="R56" i="24" s="1"/>
  <c r="N52" i="7"/>
  <c r="O52" i="7" s="1"/>
  <c r="D28" i="24"/>
  <c r="J27" i="24"/>
  <c r="K27" i="24" s="1"/>
  <c r="L27" i="24" s="1"/>
  <c r="M27" i="24"/>
  <c r="P27" i="24"/>
  <c r="K49" i="15"/>
  <c r="L49" i="15" s="1"/>
  <c r="T49" i="15" s="1"/>
  <c r="P22" i="11"/>
  <c r="M22" i="11"/>
  <c r="J22" i="11"/>
  <c r="T10" i="16"/>
  <c r="I130" i="7"/>
  <c r="N42" i="7"/>
  <c r="O42" i="7" s="1"/>
  <c r="I71" i="7"/>
  <c r="Q42" i="7"/>
  <c r="R42" i="7" s="1"/>
  <c r="I57" i="7"/>
  <c r="S221" i="24"/>
  <c r="S62" i="9"/>
  <c r="S65" i="24"/>
  <c r="S71" i="24" s="1"/>
  <c r="S237" i="24" s="1"/>
  <c r="M22" i="21" s="1"/>
  <c r="S90" i="24"/>
  <c r="Q99" i="11"/>
  <c r="Q116" i="11" s="1"/>
  <c r="S95" i="11"/>
  <c r="Q29" i="11"/>
  <c r="Q106" i="11" s="1"/>
  <c r="O89" i="11"/>
  <c r="O114" i="11" s="1"/>
  <c r="N115" i="7"/>
  <c r="S10" i="1"/>
  <c r="K15" i="10"/>
  <c r="K105" i="10" s="1"/>
  <c r="S10" i="10"/>
  <c r="R56" i="10"/>
  <c r="Q113" i="10"/>
  <c r="S58" i="10"/>
  <c r="K28" i="10"/>
  <c r="K107" i="10" s="1"/>
  <c r="L28" i="9"/>
  <c r="L107" i="9" s="1"/>
  <c r="J105" i="24"/>
  <c r="J239" i="24" s="1"/>
  <c r="S63" i="24"/>
  <c r="N110" i="14"/>
  <c r="S144" i="24"/>
  <c r="K105" i="24"/>
  <c r="K239" i="24" s="1"/>
  <c r="N58" i="17"/>
  <c r="N116" i="17" s="1"/>
  <c r="S212" i="24"/>
  <c r="S46" i="24"/>
  <c r="S76" i="15"/>
  <c r="S58" i="9"/>
  <c r="S124" i="15"/>
  <c r="T82" i="24"/>
  <c r="T81" i="24"/>
  <c r="S81" i="11"/>
  <c r="M105" i="24"/>
  <c r="M239" i="24" s="1"/>
  <c r="O50" i="9"/>
  <c r="O111" i="9" s="1"/>
  <c r="T80" i="24"/>
  <c r="S78" i="10"/>
  <c r="M164" i="15"/>
  <c r="S80" i="10"/>
  <c r="O58" i="17"/>
  <c r="O116" i="17" s="1"/>
  <c r="N89" i="11"/>
  <c r="N114" i="11" s="1"/>
  <c r="S46" i="10"/>
  <c r="K50" i="10"/>
  <c r="K111" i="10" s="1"/>
  <c r="N113" i="24"/>
  <c r="L61" i="11"/>
  <c r="K112" i="11"/>
  <c r="T78" i="16"/>
  <c r="S40" i="24"/>
  <c r="U20" i="20"/>
  <c r="U22" i="20" s="1"/>
  <c r="U90" i="20" s="1"/>
  <c r="K44" i="21" s="1"/>
  <c r="L58" i="1"/>
  <c r="S58" i="1" s="1"/>
  <c r="N114" i="13"/>
  <c r="T78" i="24"/>
  <c r="S53" i="14"/>
  <c r="P105" i="24"/>
  <c r="P239" i="24" s="1"/>
  <c r="S72" i="15"/>
  <c r="O61" i="11"/>
  <c r="N69" i="11"/>
  <c r="N112" i="11" s="1"/>
  <c r="L113" i="24"/>
  <c r="K113" i="10"/>
  <c r="Q113" i="24"/>
  <c r="P148" i="24"/>
  <c r="O99" i="15"/>
  <c r="N164" i="15"/>
  <c r="T79" i="24"/>
  <c r="G75" i="17"/>
  <c r="G119" i="17" s="1"/>
  <c r="N74" i="17"/>
  <c r="N118" i="17" s="1"/>
  <c r="K74" i="17"/>
  <c r="K118" i="17" s="1"/>
  <c r="R64" i="17"/>
  <c r="Q74" i="17"/>
  <c r="Q118" i="17" s="1"/>
  <c r="S56" i="17"/>
  <c r="R58" i="17"/>
  <c r="R116" i="17" s="1"/>
  <c r="Q58" i="17"/>
  <c r="Q116" i="17" s="1"/>
  <c r="L110" i="17"/>
  <c r="F59" i="17"/>
  <c r="F117" i="17" s="1"/>
  <c r="S10" i="17"/>
  <c r="S13" i="17"/>
  <c r="I14" i="17"/>
  <c r="I86" i="17"/>
  <c r="G29" i="17"/>
  <c r="G113" i="17" s="1"/>
  <c r="G16" i="17"/>
  <c r="G111" i="17" s="1"/>
  <c r="H126" i="17"/>
  <c r="D126" i="17"/>
  <c r="I43" i="17"/>
  <c r="J77" i="16"/>
  <c r="T83" i="16"/>
  <c r="G89" i="16"/>
  <c r="G114" i="16" s="1"/>
  <c r="E118" i="14"/>
  <c r="I22" i="14"/>
  <c r="I36" i="14"/>
  <c r="I107" i="14" s="1"/>
  <c r="G111" i="14"/>
  <c r="I46" i="14"/>
  <c r="I48" i="14" s="1"/>
  <c r="I109" i="14" s="1"/>
  <c r="I24" i="14"/>
  <c r="L25" i="13"/>
  <c r="E122" i="13"/>
  <c r="I58" i="13"/>
  <c r="I62" i="13"/>
  <c r="S79" i="13"/>
  <c r="C122" i="13"/>
  <c r="O39" i="11"/>
  <c r="N41" i="11"/>
  <c r="N108" i="11" s="1"/>
  <c r="K41" i="11"/>
  <c r="K108" i="11" s="1"/>
  <c r="G90" i="11"/>
  <c r="G115" i="11" s="1"/>
  <c r="I14" i="11"/>
  <c r="I88" i="11"/>
  <c r="I52" i="11"/>
  <c r="O67" i="11"/>
  <c r="D120" i="11"/>
  <c r="I98" i="11"/>
  <c r="L67" i="11"/>
  <c r="R67" i="11"/>
  <c r="R69" i="11" s="1"/>
  <c r="R112" i="11" s="1"/>
  <c r="Q89" i="11"/>
  <c r="Q114" i="11" s="1"/>
  <c r="N105" i="24"/>
  <c r="N239" i="24" s="1"/>
  <c r="G201" i="24"/>
  <c r="G244" i="24" s="1"/>
  <c r="G228" i="24"/>
  <c r="G246" i="24" s="1"/>
  <c r="I180" i="24"/>
  <c r="I134" i="24"/>
  <c r="I116" i="24"/>
  <c r="I132" i="24"/>
  <c r="S101" i="24"/>
  <c r="I96" i="24"/>
  <c r="L227" i="24"/>
  <c r="L245" i="24" s="1"/>
  <c r="I199" i="24"/>
  <c r="J199" i="24" s="1"/>
  <c r="K199" i="24" s="1"/>
  <c r="L199" i="24" s="1"/>
  <c r="I196" i="24"/>
  <c r="J196" i="24" s="1"/>
  <c r="K196" i="24" s="1"/>
  <c r="L196" i="24" s="1"/>
  <c r="C172" i="15"/>
  <c r="I144" i="15"/>
  <c r="Q150" i="15"/>
  <c r="Q168" i="15" s="1"/>
  <c r="N78" i="15"/>
  <c r="N162" i="15" s="1"/>
  <c r="H62" i="15"/>
  <c r="H161" i="15" s="1"/>
  <c r="I86" i="15"/>
  <c r="Q78" i="15"/>
  <c r="Q162" i="15" s="1"/>
  <c r="F44" i="15"/>
  <c r="F159" i="15" s="1"/>
  <c r="G44" i="15"/>
  <c r="G159" i="15" s="1"/>
  <c r="I92" i="15"/>
  <c r="G151" i="15"/>
  <c r="G169" i="15" s="1"/>
  <c r="N43" i="15"/>
  <c r="N158" i="15" s="1"/>
  <c r="S140" i="15"/>
  <c r="N150" i="15"/>
  <c r="N168" i="15" s="1"/>
  <c r="I147" i="15"/>
  <c r="I40" i="15"/>
  <c r="S129" i="15"/>
  <c r="I23" i="15"/>
  <c r="D172" i="15"/>
  <c r="I56" i="15"/>
  <c r="G79" i="15"/>
  <c r="G163" i="15" s="1"/>
  <c r="F101" i="7"/>
  <c r="F126" i="7" s="1"/>
  <c r="G59" i="7"/>
  <c r="G122" i="7" s="1"/>
  <c r="I69" i="7"/>
  <c r="G111" i="7"/>
  <c r="G128" i="7" s="1"/>
  <c r="I99" i="7"/>
  <c r="R23" i="7"/>
  <c r="R115" i="7" s="1"/>
  <c r="Q115" i="7"/>
  <c r="K42" i="7"/>
  <c r="L42" i="7" s="1"/>
  <c r="K73" i="7"/>
  <c r="G75" i="7"/>
  <c r="G124" i="7" s="1"/>
  <c r="D131" i="7"/>
  <c r="I91" i="7"/>
  <c r="H75" i="7"/>
  <c r="H124" i="7" s="1"/>
  <c r="C121" i="1"/>
  <c r="L15" i="1"/>
  <c r="L105" i="1" s="1"/>
  <c r="S73" i="1"/>
  <c r="I120" i="1"/>
  <c r="N38" i="1"/>
  <c r="N109" i="1" s="1"/>
  <c r="I49" i="1"/>
  <c r="I14" i="1"/>
  <c r="G114" i="1"/>
  <c r="I79" i="1"/>
  <c r="K15" i="1"/>
  <c r="K105" i="1" s="1"/>
  <c r="E121" i="1"/>
  <c r="I39" i="10"/>
  <c r="I110" i="10" s="1"/>
  <c r="H91" i="10"/>
  <c r="H116" i="10" s="1"/>
  <c r="E121" i="10"/>
  <c r="G101" i="10"/>
  <c r="G118" i="10" s="1"/>
  <c r="I79" i="10"/>
  <c r="F101" i="10"/>
  <c r="F118" i="10" s="1"/>
  <c r="R113" i="10"/>
  <c r="I14" i="10"/>
  <c r="I89" i="10"/>
  <c r="K100" i="10"/>
  <c r="K117" i="10" s="1"/>
  <c r="C121" i="10"/>
  <c r="D121" i="10"/>
  <c r="I83" i="10"/>
  <c r="N100" i="10"/>
  <c r="N117" i="10" s="1"/>
  <c r="F91" i="10"/>
  <c r="F116" i="10" s="1"/>
  <c r="I97" i="10"/>
  <c r="C121" i="9"/>
  <c r="E121" i="9"/>
  <c r="G29" i="9"/>
  <c r="G108" i="9" s="1"/>
  <c r="I25" i="9"/>
  <c r="I14" i="9"/>
  <c r="I16" i="9" s="1"/>
  <c r="I106" i="9" s="1"/>
  <c r="K28" i="9"/>
  <c r="K107" i="9" s="1"/>
  <c r="S75" i="9"/>
  <c r="G16" i="9"/>
  <c r="G106" i="9" s="1"/>
  <c r="I79" i="9"/>
  <c r="S88" i="9"/>
  <c r="F51" i="9"/>
  <c r="F112" i="9" s="1"/>
  <c r="I89" i="9"/>
  <c r="S10" i="9"/>
  <c r="I61" i="9"/>
  <c r="D121" i="9"/>
  <c r="K105" i="9"/>
  <c r="S73" i="9"/>
  <c r="I86" i="9"/>
  <c r="I83" i="9"/>
  <c r="P111" i="24"/>
  <c r="M111" i="24"/>
  <c r="G99" i="16"/>
  <c r="G116" i="16" s="1"/>
  <c r="R74" i="15"/>
  <c r="R78" i="15" s="1"/>
  <c r="R162" i="15" s="1"/>
  <c r="R24" i="10"/>
  <c r="R28" i="10" s="1"/>
  <c r="R107" i="10" s="1"/>
  <c r="I241" i="24"/>
  <c r="I248" i="24" s="1"/>
  <c r="I40" i="13"/>
  <c r="I111" i="13" s="1"/>
  <c r="L111" i="16"/>
  <c r="I33" i="7"/>
  <c r="S208" i="24"/>
  <c r="G135" i="15"/>
  <c r="G167" i="15" s="1"/>
  <c r="G88" i="14"/>
  <c r="G113" i="14" s="1"/>
  <c r="G242" i="24"/>
  <c r="I99" i="10"/>
  <c r="S88" i="7"/>
  <c r="J111" i="24"/>
  <c r="K111" i="24" s="1"/>
  <c r="G16" i="1"/>
  <c r="G106" i="1" s="1"/>
  <c r="G48" i="14"/>
  <c r="G109" i="14" s="1"/>
  <c r="G29" i="1"/>
  <c r="G108" i="1" s="1"/>
  <c r="G106" i="17"/>
  <c r="G123" i="17" s="1"/>
  <c r="I54" i="14"/>
  <c r="P200" i="24"/>
  <c r="P243" i="24" s="1"/>
  <c r="D122" i="13"/>
  <c r="I120" i="10"/>
  <c r="G51" i="10"/>
  <c r="G112" i="10" s="1"/>
  <c r="G114" i="9"/>
  <c r="G98" i="14"/>
  <c r="G115" i="14" s="1"/>
  <c r="I39" i="1"/>
  <c r="I110" i="1" s="1"/>
  <c r="G52" i="13"/>
  <c r="G113" i="13" s="1"/>
  <c r="I125" i="15"/>
  <c r="I61" i="10"/>
  <c r="G114" i="10"/>
  <c r="Q200" i="24"/>
  <c r="Q243" i="24" s="1"/>
  <c r="G59" i="17"/>
  <c r="G117" i="17" s="1"/>
  <c r="H101" i="7"/>
  <c r="H126" i="7" s="1"/>
  <c r="K227" i="24"/>
  <c r="K245" i="24" s="1"/>
  <c r="G51" i="1"/>
  <c r="G112" i="1" s="1"/>
  <c r="G91" i="10"/>
  <c r="G116" i="10" s="1"/>
  <c r="G51" i="9"/>
  <c r="G112" i="9" s="1"/>
  <c r="P164" i="15"/>
  <c r="I184" i="24"/>
  <c r="R200" i="24"/>
  <c r="R243" i="24" s="1"/>
  <c r="H90" i="11"/>
  <c r="H115" i="11" s="1"/>
  <c r="I75" i="15"/>
  <c r="I175" i="24"/>
  <c r="G92" i="13"/>
  <c r="G117" i="13" s="1"/>
  <c r="T73" i="16"/>
  <c r="I26" i="13"/>
  <c r="I86" i="1"/>
  <c r="I49" i="10"/>
  <c r="I166" i="24"/>
  <c r="I47" i="24"/>
  <c r="G62" i="15"/>
  <c r="G161" i="15" s="1"/>
  <c r="G115" i="13"/>
  <c r="I11" i="17"/>
  <c r="I28" i="11"/>
  <c r="I86" i="10"/>
  <c r="G91" i="9"/>
  <c r="G116" i="9" s="1"/>
  <c r="I74" i="9"/>
  <c r="G54" i="11"/>
  <c r="G111" i="11" s="1"/>
  <c r="G96" i="17"/>
  <c r="G121" i="17" s="1"/>
  <c r="I48" i="13"/>
  <c r="L95" i="17"/>
  <c r="L120" i="17" s="1"/>
  <c r="I49" i="24"/>
  <c r="G33" i="16"/>
  <c r="G106" i="16" s="1"/>
  <c r="G101" i="7"/>
  <c r="G126" i="7" s="1"/>
  <c r="I104" i="20"/>
  <c r="G165" i="15"/>
  <c r="G91" i="1"/>
  <c r="G116" i="1" s="1"/>
  <c r="G106" i="24"/>
  <c r="G240" i="24" s="1"/>
  <c r="G37" i="7"/>
  <c r="G118" i="7" s="1"/>
  <c r="S80" i="9"/>
  <c r="F242" i="24"/>
  <c r="I45" i="7"/>
  <c r="G101" i="9"/>
  <c r="G118" i="9" s="1"/>
  <c r="G51" i="24"/>
  <c r="G236" i="24" s="1"/>
  <c r="G72" i="24"/>
  <c r="G238" i="24" s="1"/>
  <c r="G30" i="13"/>
  <c r="G109" i="13" s="1"/>
  <c r="N33" i="15"/>
  <c r="O33" i="15" s="1"/>
  <c r="I97" i="9"/>
  <c r="I101" i="9" s="1"/>
  <c r="I118" i="9" s="1"/>
  <c r="I121" i="15"/>
  <c r="I76" i="10"/>
  <c r="I27" i="10"/>
  <c r="S52" i="17"/>
  <c r="U21" i="25"/>
  <c r="D115" i="25"/>
  <c r="D92" i="25"/>
  <c r="D117" i="25" s="1"/>
  <c r="G16" i="25"/>
  <c r="G107" i="25" s="1"/>
  <c r="H228" i="24"/>
  <c r="H246" i="24" s="1"/>
  <c r="I82" i="7"/>
  <c r="I89" i="7"/>
  <c r="U22" i="25"/>
  <c r="S41" i="15"/>
  <c r="H51" i="10"/>
  <c r="H112" i="10" s="1"/>
  <c r="I107" i="7"/>
  <c r="I85" i="11"/>
  <c r="I143" i="24"/>
  <c r="T35" i="25"/>
  <c r="T40" i="25" s="1"/>
  <c r="T111" i="25" s="1"/>
  <c r="U23" i="25"/>
  <c r="I171" i="15"/>
  <c r="H91" i="1"/>
  <c r="H116" i="1" s="1"/>
  <c r="I37" i="15"/>
  <c r="I130" i="15"/>
  <c r="I76" i="1"/>
  <c r="I125" i="24"/>
  <c r="T45" i="25"/>
  <c r="T52" i="25" s="1"/>
  <c r="T113" i="25" s="1"/>
  <c r="S21" i="20"/>
  <c r="S89" i="20" s="1"/>
  <c r="H44" i="21" s="1"/>
  <c r="S195" i="24"/>
  <c r="R24" i="15"/>
  <c r="R156" i="15" s="1"/>
  <c r="Q156" i="15"/>
  <c r="S75" i="10"/>
  <c r="R90" i="10"/>
  <c r="R115" i="10" s="1"/>
  <c r="S82" i="10"/>
  <c r="L90" i="10"/>
  <c r="L115" i="10" s="1"/>
  <c r="S62" i="10"/>
  <c r="N36" i="7"/>
  <c r="N117" i="7" s="1"/>
  <c r="K64" i="7"/>
  <c r="L64" i="7" s="1"/>
  <c r="K52" i="7"/>
  <c r="L52" i="7" s="1"/>
  <c r="S46" i="1"/>
  <c r="T50" i="15"/>
  <c r="Q20" i="22"/>
  <c r="Q22" i="22" s="1"/>
  <c r="Q52" i="22" s="1"/>
  <c r="Q63" i="22" s="1"/>
  <c r="Q25" i="24"/>
  <c r="R25" i="24" s="1"/>
  <c r="Q22" i="11"/>
  <c r="R22" i="11" s="1"/>
  <c r="Q19" i="14"/>
  <c r="R19" i="14" s="1"/>
  <c r="O52" i="16"/>
  <c r="O109" i="16" s="1"/>
  <c r="S34" i="7"/>
  <c r="O87" i="14"/>
  <c r="O112" i="14" s="1"/>
  <c r="O90" i="1"/>
  <c r="O115" i="1" s="1"/>
  <c r="S85" i="1"/>
  <c r="S87" i="17"/>
  <c r="L43" i="15"/>
  <c r="L158" i="15" s="1"/>
  <c r="S44" i="24"/>
  <c r="S42" i="24"/>
  <c r="K113" i="9"/>
  <c r="S82" i="1"/>
  <c r="O105" i="24"/>
  <c r="O239" i="24" s="1"/>
  <c r="U32" i="24"/>
  <c r="U155" i="24"/>
  <c r="N200" i="24"/>
  <c r="N243" i="24" s="1"/>
  <c r="Q21" i="10"/>
  <c r="R21" i="10" s="1"/>
  <c r="S36" i="1"/>
  <c r="S38" i="1" s="1"/>
  <c r="S109" i="1" s="1"/>
  <c r="M10" i="21" s="1"/>
  <c r="L87" i="14"/>
  <c r="L112" i="14" s="1"/>
  <c r="S120" i="15"/>
  <c r="O95" i="17"/>
  <c r="S22" i="20"/>
  <c r="S90" i="20" s="1"/>
  <c r="I44" i="21" s="1"/>
  <c r="S170" i="24"/>
  <c r="S61" i="24"/>
  <c r="T40" i="16"/>
  <c r="T42" i="16" s="1"/>
  <c r="T107" i="16" s="1"/>
  <c r="Q30" i="15"/>
  <c r="R30" i="15" s="1"/>
  <c r="S93" i="17"/>
  <c r="O90" i="9"/>
  <c r="O115" i="9" s="1"/>
  <c r="S79" i="11"/>
  <c r="K121" i="13"/>
  <c r="L90" i="1"/>
  <c r="O36" i="7"/>
  <c r="O117" i="7" s="1"/>
  <c r="P88" i="16"/>
  <c r="P113" i="16" s="1"/>
  <c r="K200" i="24"/>
  <c r="K243" i="24" s="1"/>
  <c r="O200" i="24"/>
  <c r="O243" i="24" s="1"/>
  <c r="S79" i="14"/>
  <c r="L19" i="24"/>
  <c r="L233" i="24" s="1"/>
  <c r="S17" i="24"/>
  <c r="S99" i="11"/>
  <c r="S116" i="11" s="1"/>
  <c r="C38" i="21" s="1"/>
  <c r="S83" i="17"/>
  <c r="K19" i="24"/>
  <c r="K233" i="24" s="1"/>
  <c r="S161" i="24"/>
  <c r="S88" i="10"/>
  <c r="S97" i="11"/>
  <c r="S83" i="13"/>
  <c r="I59" i="17"/>
  <c r="I117" i="17" s="1"/>
  <c r="K37" i="20"/>
  <c r="L37" i="20" s="1"/>
  <c r="U37" i="20" s="1"/>
  <c r="K36" i="20"/>
  <c r="L36" i="20" s="1"/>
  <c r="U36" i="20" s="1"/>
  <c r="Q21" i="17"/>
  <c r="R21" i="17" s="1"/>
  <c r="O100" i="10"/>
  <c r="O117" i="10" s="1"/>
  <c r="S14" i="13"/>
  <c r="D52" i="25"/>
  <c r="D113" i="25" s="1"/>
  <c r="H115" i="25"/>
  <c r="H16" i="25"/>
  <c r="H107" i="25" s="1"/>
  <c r="I104" i="11"/>
  <c r="I119" i="11" s="1"/>
  <c r="N15" i="11"/>
  <c r="Q15" i="11"/>
  <c r="H201" i="24"/>
  <c r="H244" i="24" s="1"/>
  <c r="H135" i="15"/>
  <c r="H167" i="15" s="1"/>
  <c r="H106" i="24"/>
  <c r="H240" i="24" s="1"/>
  <c r="H72" i="24"/>
  <c r="H238" i="24" s="1"/>
  <c r="H91" i="9"/>
  <c r="H116" i="9" s="1"/>
  <c r="H79" i="15"/>
  <c r="H163" i="15" s="1"/>
  <c r="H114" i="9"/>
  <c r="I97" i="1"/>
  <c r="F17" i="13"/>
  <c r="F107" i="13" s="1"/>
  <c r="F88" i="14"/>
  <c r="F113" i="14" s="1"/>
  <c r="I71" i="14"/>
  <c r="F201" i="24"/>
  <c r="F244" i="24" s="1"/>
  <c r="F79" i="15"/>
  <c r="F163" i="15" s="1"/>
  <c r="I71" i="15"/>
  <c r="I54" i="15"/>
  <c r="F62" i="15"/>
  <c r="F161" i="15" s="1"/>
  <c r="F20" i="24"/>
  <c r="F234" i="24" s="1"/>
  <c r="F13" i="14"/>
  <c r="F103" i="14" s="1"/>
  <c r="I11" i="14"/>
  <c r="F89" i="16"/>
  <c r="F114" i="16" s="1"/>
  <c r="I96" i="11"/>
  <c r="F113" i="11"/>
  <c r="I57" i="1"/>
  <c r="F114" i="1"/>
  <c r="L13" i="11"/>
  <c r="K15" i="11"/>
  <c r="K104" i="11" s="1"/>
  <c r="I26" i="11"/>
  <c r="K38" i="20"/>
  <c r="L38" i="20" s="1"/>
  <c r="U38" i="20" s="1"/>
  <c r="G115" i="25"/>
  <c r="O64" i="17"/>
  <c r="O37" i="24"/>
  <c r="O50" i="24" s="1"/>
  <c r="O235" i="24" s="1"/>
  <c r="N50" i="24"/>
  <c r="N235" i="24" s="1"/>
  <c r="H54" i="11"/>
  <c r="H111" i="11" s="1"/>
  <c r="I50" i="11"/>
  <c r="H242" i="24"/>
  <c r="I39" i="9"/>
  <c r="I110" i="9" s="1"/>
  <c r="I84" i="17"/>
  <c r="F96" i="17"/>
  <c r="F121" i="17" s="1"/>
  <c r="I117" i="15"/>
  <c r="F135" i="15"/>
  <c r="F167" i="15" s="1"/>
  <c r="F106" i="24"/>
  <c r="F240" i="24" s="1"/>
  <c r="I85" i="24"/>
  <c r="F91" i="1"/>
  <c r="F116" i="1" s="1"/>
  <c r="I74" i="1"/>
  <c r="I47" i="10"/>
  <c r="F51" i="10"/>
  <c r="F112" i="10" s="1"/>
  <c r="F24" i="7"/>
  <c r="F116" i="7" s="1"/>
  <c r="F98" i="20"/>
  <c r="F105" i="20" s="1"/>
  <c r="I66" i="20"/>
  <c r="I57" i="10"/>
  <c r="F51" i="24"/>
  <c r="F236" i="24" s="1"/>
  <c r="F29" i="10"/>
  <c r="F108" i="10" s="1"/>
  <c r="F16" i="17"/>
  <c r="F111" i="17" s="1"/>
  <c r="I50" i="13"/>
  <c r="N50" i="9"/>
  <c r="N111" i="9" s="1"/>
  <c r="O56" i="10"/>
  <c r="N113" i="10"/>
  <c r="I27" i="17"/>
  <c r="K39" i="20"/>
  <c r="L39" i="20" s="1"/>
  <c r="U39" i="20" s="1"/>
  <c r="L64" i="17"/>
  <c r="O33" i="14"/>
  <c r="O35" i="14" s="1"/>
  <c r="O106" i="14" s="1"/>
  <c r="N35" i="14"/>
  <c r="N106" i="14" s="1"/>
  <c r="I41" i="24"/>
  <c r="H51" i="24"/>
  <c r="H236" i="24" s="1"/>
  <c r="H114" i="1"/>
  <c r="I114" i="24"/>
  <c r="I67" i="7"/>
  <c r="I80" i="11"/>
  <c r="F165" i="15"/>
  <c r="I100" i="15"/>
  <c r="F90" i="11"/>
  <c r="F115" i="11" s="1"/>
  <c r="I77" i="11"/>
  <c r="I55" i="7"/>
  <c r="F59" i="7"/>
  <c r="F122" i="7" s="1"/>
  <c r="I35" i="7"/>
  <c r="F37" i="7"/>
  <c r="F118" i="7" s="1"/>
  <c r="F16" i="1"/>
  <c r="F106" i="1" s="1"/>
  <c r="F119" i="17"/>
  <c r="F228" i="24"/>
  <c r="F246" i="24" s="1"/>
  <c r="F91" i="9"/>
  <c r="F116" i="9" s="1"/>
  <c r="F114" i="9"/>
  <c r="I57" i="9"/>
  <c r="I76" i="9"/>
  <c r="L56" i="10"/>
  <c r="J11" i="16"/>
  <c r="I160" i="24"/>
  <c r="J99" i="16"/>
  <c r="J116" i="16" s="1"/>
  <c r="I112" i="24"/>
  <c r="I65" i="17"/>
  <c r="S57" i="13"/>
  <c r="E102" i="25"/>
  <c r="E119" i="25" s="1"/>
  <c r="H52" i="25"/>
  <c r="H113" i="25" s="1"/>
  <c r="F102" i="25"/>
  <c r="F119" i="25" s="1"/>
  <c r="M200" i="24"/>
  <c r="M243" i="24" s="1"/>
  <c r="R51" i="11"/>
  <c r="R53" i="11" s="1"/>
  <c r="R110" i="11" s="1"/>
  <c r="Q53" i="11"/>
  <c r="Q110" i="11" s="1"/>
  <c r="L33" i="14"/>
  <c r="K35" i="14"/>
  <c r="K106" i="14" s="1"/>
  <c r="H113" i="11"/>
  <c r="I60" i="11"/>
  <c r="H114" i="10"/>
  <c r="I89" i="24"/>
  <c r="I98" i="15"/>
  <c r="F48" i="14"/>
  <c r="F109" i="14" s="1"/>
  <c r="I74" i="10"/>
  <c r="I65" i="7"/>
  <c r="F75" i="7"/>
  <c r="F124" i="7" s="1"/>
  <c r="F72" i="24"/>
  <c r="F238" i="24" s="1"/>
  <c r="I62" i="24"/>
  <c r="I94" i="14"/>
  <c r="F98" i="14"/>
  <c r="F115" i="14" s="1"/>
  <c r="F106" i="17"/>
  <c r="F123" i="17" s="1"/>
  <c r="I102" i="17"/>
  <c r="F16" i="9"/>
  <c r="F106" i="9" s="1"/>
  <c r="F111" i="14"/>
  <c r="I75" i="13"/>
  <c r="F92" i="13"/>
  <c r="F117" i="13" s="1"/>
  <c r="I141" i="15"/>
  <c r="F151" i="15"/>
  <c r="F169" i="15" s="1"/>
  <c r="I47" i="9"/>
  <c r="I43" i="24"/>
  <c r="I12" i="13"/>
  <c r="Q50" i="9"/>
  <c r="Q111" i="9" s="1"/>
  <c r="I207" i="24"/>
  <c r="J51" i="16"/>
  <c r="S163" i="24"/>
  <c r="S58" i="16"/>
  <c r="S111" i="16" s="1"/>
  <c r="R111" i="16"/>
  <c r="D102" i="25"/>
  <c r="D119" i="25" s="1"/>
  <c r="E16" i="25"/>
  <c r="E107" i="25" s="1"/>
  <c r="O111" i="16"/>
  <c r="O59" i="11"/>
  <c r="C16" i="25"/>
  <c r="C107" i="25" s="1"/>
  <c r="I11" i="25"/>
  <c r="I87" i="25"/>
  <c r="I62" i="25"/>
  <c r="I48" i="25"/>
  <c r="C52" i="25"/>
  <c r="C113" i="25" s="1"/>
  <c r="I100" i="25"/>
  <c r="F30" i="25"/>
  <c r="F109" i="25" s="1"/>
  <c r="F115" i="25"/>
  <c r="F16" i="25"/>
  <c r="F107" i="25" s="1"/>
  <c r="Q38" i="9"/>
  <c r="Q109" i="9" s="1"/>
  <c r="R36" i="9"/>
  <c r="R38" i="9" s="1"/>
  <c r="R109" i="9" s="1"/>
  <c r="R56" i="1"/>
  <c r="N28" i="9"/>
  <c r="N107" i="9" s="1"/>
  <c r="O24" i="9"/>
  <c r="O28" i="9" s="1"/>
  <c r="O107" i="9" s="1"/>
  <c r="O60" i="9"/>
  <c r="N113" i="9"/>
  <c r="N56" i="24"/>
  <c r="O56" i="24" s="1"/>
  <c r="S50" i="16"/>
  <c r="S52" i="16" s="1"/>
  <c r="S109" i="16" s="1"/>
  <c r="R52" i="16"/>
  <c r="R109" i="16" s="1"/>
  <c r="K54" i="20"/>
  <c r="K93" i="20" s="1"/>
  <c r="L52" i="20"/>
  <c r="G92" i="25"/>
  <c r="G117" i="25" s="1"/>
  <c r="G52" i="25"/>
  <c r="G113" i="25" s="1"/>
  <c r="E92" i="25"/>
  <c r="E117" i="25" s="1"/>
  <c r="H92" i="25"/>
  <c r="H117" i="25" s="1"/>
  <c r="L59" i="11"/>
  <c r="I26" i="25"/>
  <c r="I38" i="25"/>
  <c r="C102" i="25"/>
  <c r="C119" i="25" s="1"/>
  <c r="I98" i="25"/>
  <c r="C92" i="25"/>
  <c r="C117" i="25" s="1"/>
  <c r="I75" i="25"/>
  <c r="I58" i="25"/>
  <c r="C115" i="25"/>
  <c r="R24" i="9"/>
  <c r="R28" i="9" s="1"/>
  <c r="R107" i="9" s="1"/>
  <c r="Q28" i="9"/>
  <c r="Q107" i="9" s="1"/>
  <c r="O15" i="1"/>
  <c r="O105" i="1" s="1"/>
  <c r="N105" i="1"/>
  <c r="Q61" i="15"/>
  <c r="Q160" i="15" s="1"/>
  <c r="K56" i="24"/>
  <c r="M111" i="16"/>
  <c r="L85" i="9"/>
  <c r="S85" i="9" s="1"/>
  <c r="L90" i="9"/>
  <c r="L115" i="9" s="1"/>
  <c r="O55" i="14"/>
  <c r="L93" i="14"/>
  <c r="K97" i="14"/>
  <c r="K114" i="14" s="1"/>
  <c r="R56" i="9"/>
  <c r="Q113" i="9"/>
  <c r="I60" i="25"/>
  <c r="I64" i="25"/>
  <c r="I50" i="25"/>
  <c r="I84" i="25"/>
  <c r="I80" i="25"/>
  <c r="F92" i="25"/>
  <c r="F117" i="25" s="1"/>
  <c r="F52" i="25"/>
  <c r="F113" i="25" s="1"/>
  <c r="N61" i="15"/>
  <c r="N160" i="15" s="1"/>
  <c r="O53" i="15"/>
  <c r="L50" i="9"/>
  <c r="L111" i="9" s="1"/>
  <c r="S46" i="9"/>
  <c r="S11" i="13"/>
  <c r="T12" i="16"/>
  <c r="T103" i="16" s="1"/>
  <c r="K97" i="20"/>
  <c r="L65" i="20"/>
  <c r="M50" i="16"/>
  <c r="L52" i="16"/>
  <c r="L109" i="16" s="1"/>
  <c r="L55" i="14"/>
  <c r="K110" i="14"/>
  <c r="S75" i="14"/>
  <c r="D16" i="25"/>
  <c r="D107" i="25" s="1"/>
  <c r="G102" i="25"/>
  <c r="G119" i="25" s="1"/>
  <c r="G30" i="25"/>
  <c r="G109" i="25" s="1"/>
  <c r="E52" i="25"/>
  <c r="E113" i="25" s="1"/>
  <c r="E30" i="25"/>
  <c r="E109" i="25" s="1"/>
  <c r="H102" i="25"/>
  <c r="H119" i="25" s="1"/>
  <c r="Q97" i="14"/>
  <c r="Q114" i="14" s="1"/>
  <c r="I82" i="25"/>
  <c r="I77" i="25"/>
  <c r="C30" i="25"/>
  <c r="C109" i="25" s="1"/>
  <c r="I28" i="25"/>
  <c r="I14" i="25"/>
  <c r="I90" i="25"/>
  <c r="O36" i="9"/>
  <c r="N38" i="9"/>
  <c r="N109" i="9" s="1"/>
  <c r="R15" i="10"/>
  <c r="Q105" i="10"/>
  <c r="R15" i="1"/>
  <c r="R105" i="1" s="1"/>
  <c r="Q105" i="1"/>
  <c r="S48" i="9"/>
  <c r="R50" i="9"/>
  <c r="O48" i="10"/>
  <c r="O50" i="10" s="1"/>
  <c r="O111" i="10" s="1"/>
  <c r="N50" i="10"/>
  <c r="N111" i="10" s="1"/>
  <c r="N15" i="17"/>
  <c r="I110" i="17"/>
  <c r="I125" i="17" s="1"/>
  <c r="Q15" i="17"/>
  <c r="U31" i="20"/>
  <c r="U34" i="20"/>
  <c r="T44" i="10"/>
  <c r="T51" i="10" s="1"/>
  <c r="T112" i="10" s="1"/>
  <c r="J11" i="21" s="1"/>
  <c r="U23" i="11"/>
  <c r="R41" i="20"/>
  <c r="R92" i="20" s="1"/>
  <c r="K43" i="15"/>
  <c r="K158" i="15" s="1"/>
  <c r="S96" i="16"/>
  <c r="S98" i="16" s="1"/>
  <c r="S115" i="16" s="1"/>
  <c r="R98" i="16"/>
  <c r="R115" i="16" s="1"/>
  <c r="O51" i="11"/>
  <c r="N53" i="11"/>
  <c r="N110" i="11" s="1"/>
  <c r="O48" i="1"/>
  <c r="N50" i="1"/>
  <c r="N111" i="1" s="1"/>
  <c r="P96" i="16"/>
  <c r="P98" i="16" s="1"/>
  <c r="P115" i="16" s="1"/>
  <c r="O98" i="16"/>
  <c r="O115" i="16" s="1"/>
  <c r="R98" i="1"/>
  <c r="R100" i="1" s="1"/>
  <c r="R117" i="1" s="1"/>
  <c r="Q100" i="1"/>
  <c r="Q117" i="1" s="1"/>
  <c r="Q35" i="24"/>
  <c r="R35" i="24" s="1"/>
  <c r="K35" i="24"/>
  <c r="L35" i="24" s="1"/>
  <c r="L26" i="1"/>
  <c r="L28" i="1" s="1"/>
  <c r="L107" i="1" s="1"/>
  <c r="K28" i="1"/>
  <c r="K107" i="1" s="1"/>
  <c r="N35" i="24"/>
  <c r="O35" i="24" s="1"/>
  <c r="N25" i="24"/>
  <c r="O25" i="24" s="1"/>
  <c r="U32" i="20"/>
  <c r="T68" i="15"/>
  <c r="U34" i="24"/>
  <c r="K19" i="14"/>
  <c r="L19" i="14" s="1"/>
  <c r="V21" i="16"/>
  <c r="T36" i="17"/>
  <c r="U37" i="11"/>
  <c r="U42" i="11" s="1"/>
  <c r="U109" i="11" s="1"/>
  <c r="F34" i="21" s="1"/>
  <c r="T47" i="20"/>
  <c r="U29" i="20"/>
  <c r="V22" i="16"/>
  <c r="T112" i="15"/>
  <c r="T47" i="11"/>
  <c r="T54" i="11" s="1"/>
  <c r="T111" i="11" s="1"/>
  <c r="E35" i="21" s="1"/>
  <c r="U38" i="16"/>
  <c r="U43" i="16" s="1"/>
  <c r="U108" i="16" s="1"/>
  <c r="T35" i="17"/>
  <c r="U48" i="16"/>
  <c r="U53" i="16" s="1"/>
  <c r="U110" i="16" s="1"/>
  <c r="F8" i="23" s="1"/>
  <c r="U78" i="20"/>
  <c r="U33" i="20"/>
  <c r="U28" i="20"/>
  <c r="U39" i="17"/>
  <c r="U77" i="20"/>
  <c r="U58" i="24"/>
  <c r="V20" i="16"/>
  <c r="U40" i="17"/>
  <c r="U156" i="24"/>
  <c r="Q41" i="20"/>
  <c r="Q92" i="20" s="1"/>
  <c r="T113" i="15"/>
  <c r="U51" i="15"/>
  <c r="U62" i="15" s="1"/>
  <c r="K22" i="21" s="1"/>
  <c r="Q22" i="13"/>
  <c r="R22" i="13" s="1"/>
  <c r="N21" i="1"/>
  <c r="O21" i="1" s="1"/>
  <c r="N22" i="1"/>
  <c r="O22" i="1" s="1"/>
  <c r="Q22" i="1"/>
  <c r="R22" i="1" s="1"/>
  <c r="Q21" i="1"/>
  <c r="R21" i="1" s="1"/>
  <c r="L37" i="24"/>
  <c r="L50" i="24" s="1"/>
  <c r="L235" i="24" s="1"/>
  <c r="K50" i="24"/>
  <c r="K235" i="24" s="1"/>
  <c r="R36" i="15"/>
  <c r="S36" i="15" s="1"/>
  <c r="Q43" i="15"/>
  <c r="Q158" i="15" s="1"/>
  <c r="T67" i="15"/>
  <c r="L101" i="13"/>
  <c r="L118" i="13" s="1"/>
  <c r="S99" i="13"/>
  <c r="M28" i="16"/>
  <c r="L32" i="16"/>
  <c r="L105" i="16" s="1"/>
  <c r="T37" i="17"/>
  <c r="N59" i="1"/>
  <c r="E126" i="17"/>
  <c r="S89" i="13"/>
  <c r="O27" i="20"/>
  <c r="O41" i="20" s="1"/>
  <c r="O92" i="20" s="1"/>
  <c r="N41" i="20"/>
  <c r="N92" i="20" s="1"/>
  <c r="R98" i="9"/>
  <c r="R100" i="9" s="1"/>
  <c r="R117" i="9" s="1"/>
  <c r="Q100" i="9"/>
  <c r="Q117" i="9" s="1"/>
  <c r="R26" i="17"/>
  <c r="R28" i="17" s="1"/>
  <c r="R112" i="17" s="1"/>
  <c r="Q28" i="17"/>
  <c r="Q112" i="17" s="1"/>
  <c r="L105" i="17"/>
  <c r="L122" i="17" s="1"/>
  <c r="S103" i="17"/>
  <c r="S105" i="16"/>
  <c r="V23" i="16"/>
  <c r="L24" i="17"/>
  <c r="K28" i="17"/>
  <c r="K112" i="17" s="1"/>
  <c r="R97" i="13"/>
  <c r="R101" i="13" s="1"/>
  <c r="R118" i="13" s="1"/>
  <c r="Q101" i="13"/>
  <c r="Q118" i="13" s="1"/>
  <c r="O59" i="13"/>
  <c r="O67" i="13" s="1"/>
  <c r="R49" i="13"/>
  <c r="R51" i="13" s="1"/>
  <c r="R112" i="13" s="1"/>
  <c r="Q51" i="13"/>
  <c r="Q112" i="13" s="1"/>
  <c r="O37" i="13"/>
  <c r="O39" i="13" s="1"/>
  <c r="O110" i="13" s="1"/>
  <c r="N39" i="13"/>
  <c r="N110" i="13" s="1"/>
  <c r="R27" i="13"/>
  <c r="R29" i="13" s="1"/>
  <c r="R108" i="13" s="1"/>
  <c r="Q29" i="13"/>
  <c r="Q108" i="13" s="1"/>
  <c r="O27" i="13"/>
  <c r="N29" i="13"/>
  <c r="N108" i="13" s="1"/>
  <c r="N16" i="13"/>
  <c r="I106" i="13"/>
  <c r="I121" i="13" s="1"/>
  <c r="Q16" i="13"/>
  <c r="L106" i="13"/>
  <c r="N29" i="24"/>
  <c r="O29" i="24" s="1"/>
  <c r="L29" i="13"/>
  <c r="S25" i="13"/>
  <c r="N45" i="13"/>
  <c r="U18" i="14"/>
  <c r="R23" i="14"/>
  <c r="R25" i="14" s="1"/>
  <c r="R104" i="14" s="1"/>
  <c r="Q25" i="14"/>
  <c r="Q104" i="14" s="1"/>
  <c r="S26" i="9"/>
  <c r="O27" i="11"/>
  <c r="N29" i="11"/>
  <c r="N106" i="11" s="1"/>
  <c r="O26" i="17"/>
  <c r="N28" i="17"/>
  <c r="N112" i="17" s="1"/>
  <c r="R101" i="17"/>
  <c r="R105" i="17" s="1"/>
  <c r="R122" i="17" s="1"/>
  <c r="Q105" i="17"/>
  <c r="Q122" i="17" s="1"/>
  <c r="O23" i="14"/>
  <c r="O25" i="14" s="1"/>
  <c r="O104" i="14" s="1"/>
  <c r="N25" i="14"/>
  <c r="N104" i="14" s="1"/>
  <c r="R37" i="24"/>
  <c r="Q50" i="24"/>
  <c r="Q235" i="24" s="1"/>
  <c r="R206" i="24"/>
  <c r="R227" i="24" s="1"/>
  <c r="R245" i="24" s="1"/>
  <c r="Q227" i="24"/>
  <c r="Q245" i="24" s="1"/>
  <c r="Q134" i="15"/>
  <c r="Q166" i="15" s="1"/>
  <c r="R116" i="15"/>
  <c r="R134" i="15" s="1"/>
  <c r="R166" i="15" s="1"/>
  <c r="R14" i="24"/>
  <c r="Q19" i="24"/>
  <c r="O85" i="10"/>
  <c r="S85" i="10" s="1"/>
  <c r="O90" i="10"/>
  <c r="O118" i="15"/>
  <c r="N134" i="15"/>
  <c r="N166" i="15" s="1"/>
  <c r="O98" i="1"/>
  <c r="N100" i="1"/>
  <c r="N117" i="1" s="1"/>
  <c r="R59" i="14"/>
  <c r="Q110" i="14"/>
  <c r="O49" i="13"/>
  <c r="O51" i="13" s="1"/>
  <c r="O112" i="13" s="1"/>
  <c r="N51" i="13"/>
  <c r="N112" i="13" s="1"/>
  <c r="O74" i="13"/>
  <c r="S74" i="13" s="1"/>
  <c r="O91" i="13"/>
  <c r="H16" i="1"/>
  <c r="H106" i="1" s="1"/>
  <c r="I11" i="1"/>
  <c r="H24" i="7"/>
  <c r="H116" i="7" s="1"/>
  <c r="H131" i="7" s="1"/>
  <c r="I19" i="7"/>
  <c r="H20" i="24"/>
  <c r="H234" i="24" s="1"/>
  <c r="I15" i="24"/>
  <c r="H29" i="9"/>
  <c r="H108" i="9" s="1"/>
  <c r="I27" i="9"/>
  <c r="R96" i="10"/>
  <c r="Q100" i="10"/>
  <c r="Q117" i="10" s="1"/>
  <c r="I102" i="13"/>
  <c r="I119" i="13" s="1"/>
  <c r="R15" i="9"/>
  <c r="R105" i="9" s="1"/>
  <c r="Q105" i="9"/>
  <c r="N24" i="15"/>
  <c r="R91" i="13"/>
  <c r="R116" i="13" s="1"/>
  <c r="R90" i="1"/>
  <c r="R115" i="1" s="1"/>
  <c r="N28" i="10"/>
  <c r="N107" i="10" s="1"/>
  <c r="R26" i="1"/>
  <c r="Q28" i="1"/>
  <c r="Q107" i="1" s="1"/>
  <c r="O101" i="17"/>
  <c r="N105" i="17"/>
  <c r="N122" i="17" s="1"/>
  <c r="R92" i="24"/>
  <c r="Q105" i="24"/>
  <c r="Q239" i="24" s="1"/>
  <c r="O206" i="24"/>
  <c r="N227" i="24"/>
  <c r="N245" i="24" s="1"/>
  <c r="J85" i="15"/>
  <c r="K85" i="15" s="1"/>
  <c r="L85" i="15" s="1"/>
  <c r="S85" i="15" s="1"/>
  <c r="J93" i="15"/>
  <c r="J74" i="15"/>
  <c r="K74" i="15" s="1"/>
  <c r="L74" i="15" s="1"/>
  <c r="J70" i="15"/>
  <c r="K70" i="15" s="1"/>
  <c r="J89" i="15"/>
  <c r="K89" i="15" s="1"/>
  <c r="L89" i="15" s="1"/>
  <c r="S89" i="15" s="1"/>
  <c r="R97" i="15"/>
  <c r="Q164" i="15"/>
  <c r="K81" i="7"/>
  <c r="L81" i="7" s="1"/>
  <c r="K66" i="7"/>
  <c r="K54" i="7"/>
  <c r="K108" i="7"/>
  <c r="L108" i="7" s="1"/>
  <c r="K86" i="7"/>
  <c r="L86" i="7" s="1"/>
  <c r="K68" i="7"/>
  <c r="L68" i="7" s="1"/>
  <c r="K70" i="7"/>
  <c r="L70" i="7" s="1"/>
  <c r="K56" i="7"/>
  <c r="L56" i="7" s="1"/>
  <c r="K44" i="7"/>
  <c r="K90" i="7"/>
  <c r="L90" i="7" s="1"/>
  <c r="K83" i="7"/>
  <c r="L83" i="7" s="1"/>
  <c r="N19" i="24"/>
  <c r="O14" i="24"/>
  <c r="O98" i="9"/>
  <c r="N100" i="9"/>
  <c r="N117" i="9" s="1"/>
  <c r="R68" i="17"/>
  <c r="O45" i="14"/>
  <c r="O47" i="14" s="1"/>
  <c r="O108" i="14" s="1"/>
  <c r="N47" i="14"/>
  <c r="N108" i="14" s="1"/>
  <c r="R37" i="13"/>
  <c r="Q39" i="13"/>
  <c r="Q110" i="13" s="1"/>
  <c r="R63" i="13"/>
  <c r="Q114" i="13"/>
  <c r="O97" i="13"/>
  <c r="N101" i="13"/>
  <c r="N118" i="13" s="1"/>
  <c r="H16" i="10"/>
  <c r="H106" i="10" s="1"/>
  <c r="I11" i="10"/>
  <c r="H16" i="11"/>
  <c r="H105" i="11" s="1"/>
  <c r="I11" i="11"/>
  <c r="H25" i="15"/>
  <c r="H157" i="15" s="1"/>
  <c r="I20" i="15"/>
  <c r="O56" i="1"/>
  <c r="N113" i="1"/>
  <c r="N105" i="9"/>
  <c r="O15" i="9"/>
  <c r="O105" i="9" s="1"/>
  <c r="K106" i="7"/>
  <c r="J59" i="15"/>
  <c r="K59" i="15" s="1"/>
  <c r="J116" i="15"/>
  <c r="K116" i="15" s="1"/>
  <c r="S88" i="16"/>
  <c r="S113" i="16" s="1"/>
  <c r="I120" i="9"/>
  <c r="J69" i="24"/>
  <c r="K69" i="24" s="1"/>
  <c r="M69" i="24"/>
  <c r="N69" i="24" s="1"/>
  <c r="P69" i="24"/>
  <c r="Q69" i="24" s="1"/>
  <c r="S89" i="11"/>
  <c r="S114" i="11" s="1"/>
  <c r="C37" i="21" s="1"/>
  <c r="T36" i="11"/>
  <c r="R45" i="14"/>
  <c r="R47" i="14" s="1"/>
  <c r="R108" i="14" s="1"/>
  <c r="Q47" i="14"/>
  <c r="Q108" i="14" s="1"/>
  <c r="L47" i="14"/>
  <c r="R90" i="9"/>
  <c r="R115" i="9" s="1"/>
  <c r="R95" i="17"/>
  <c r="R120" i="17" s="1"/>
  <c r="R48" i="10"/>
  <c r="Q50" i="10"/>
  <c r="Q111" i="10" s="1"/>
  <c r="S85" i="14"/>
  <c r="R87" i="14"/>
  <c r="L24" i="15"/>
  <c r="S22" i="15"/>
  <c r="L28" i="10"/>
  <c r="L107" i="10" s="1"/>
  <c r="S26" i="10"/>
  <c r="M98" i="16"/>
  <c r="L25" i="14"/>
  <c r="L51" i="13"/>
  <c r="N73" i="14"/>
  <c r="R32" i="7"/>
  <c r="R36" i="7" s="1"/>
  <c r="R117" i="7" s="1"/>
  <c r="Q36" i="7"/>
  <c r="Q117" i="7" s="1"/>
  <c r="Q44" i="7"/>
  <c r="Q54" i="7"/>
  <c r="Q66" i="7"/>
  <c r="R66" i="7" s="1"/>
  <c r="Q68" i="7"/>
  <c r="R68" i="7" s="1"/>
  <c r="Q70" i="7"/>
  <c r="R70" i="7" s="1"/>
  <c r="Q83" i="7"/>
  <c r="R83" i="7" s="1"/>
  <c r="Q86" i="7"/>
  <c r="R86" i="7" s="1"/>
  <c r="Q90" i="7"/>
  <c r="R90" i="7" s="1"/>
  <c r="Q81" i="7"/>
  <c r="R81" i="7" s="1"/>
  <c r="Q52" i="7"/>
  <c r="R52" i="7" s="1"/>
  <c r="Q56" i="7"/>
  <c r="R56" i="7" s="1"/>
  <c r="Q106" i="7"/>
  <c r="Q108" i="7"/>
  <c r="R108" i="7" s="1"/>
  <c r="Q64" i="7"/>
  <c r="N64" i="7"/>
  <c r="N106" i="7"/>
  <c r="N81" i="7"/>
  <c r="O81" i="7" s="1"/>
  <c r="N70" i="7"/>
  <c r="O70" i="7" s="1"/>
  <c r="N66" i="7"/>
  <c r="O66" i="7" s="1"/>
  <c r="N56" i="7"/>
  <c r="O56" i="7" s="1"/>
  <c r="N54" i="7"/>
  <c r="N44" i="7"/>
  <c r="N108" i="7"/>
  <c r="O108" i="7" s="1"/>
  <c r="N90" i="7"/>
  <c r="O90" i="7" s="1"/>
  <c r="N86" i="7"/>
  <c r="O86" i="7" s="1"/>
  <c r="N83" i="7"/>
  <c r="O83" i="7" s="1"/>
  <c r="N68" i="7"/>
  <c r="O68" i="7" s="1"/>
  <c r="L32" i="7"/>
  <c r="K36" i="7"/>
  <c r="K117" i="7" s="1"/>
  <c r="O107" i="10"/>
  <c r="L117" i="10"/>
  <c r="L105" i="9"/>
  <c r="Q30" i="7"/>
  <c r="R30" i="7" s="1"/>
  <c r="U31" i="24"/>
  <c r="Q21" i="9"/>
  <c r="R21" i="9" s="1"/>
  <c r="Q32" i="15"/>
  <c r="R32" i="15" s="1"/>
  <c r="O34" i="10"/>
  <c r="T81" i="17"/>
  <c r="T96" i="17" s="1"/>
  <c r="T121" i="17" s="1"/>
  <c r="U59" i="24"/>
  <c r="N19" i="14"/>
  <c r="O19" i="14" s="1"/>
  <c r="N31" i="14"/>
  <c r="Q26" i="24"/>
  <c r="R26" i="24" s="1"/>
  <c r="O41" i="14"/>
  <c r="T41" i="14" s="1"/>
  <c r="T48" i="14" s="1"/>
  <c r="T109" i="14" s="1"/>
  <c r="L117" i="9"/>
  <c r="S120" i="24"/>
  <c r="L105" i="24"/>
  <c r="L110" i="11"/>
  <c r="O78" i="15"/>
  <c r="S165" i="24"/>
  <c r="L200" i="24"/>
  <c r="L168" i="15"/>
  <c r="S150" i="15"/>
  <c r="S168" i="15" s="1"/>
  <c r="H26" i="21" s="1"/>
  <c r="T60" i="16"/>
  <c r="K21" i="1"/>
  <c r="L21" i="1" s="1"/>
  <c r="K22" i="1"/>
  <c r="L22" i="1" s="1"/>
  <c r="K34" i="15"/>
  <c r="L34" i="15" s="1"/>
  <c r="N34" i="15"/>
  <c r="O34" i="15" s="1"/>
  <c r="Q34" i="15"/>
  <c r="R34" i="15" s="1"/>
  <c r="K21" i="17"/>
  <c r="L21" i="17" s="1"/>
  <c r="K22" i="17"/>
  <c r="L22" i="17" s="1"/>
  <c r="M18" i="16"/>
  <c r="M24" i="16" s="1"/>
  <c r="L24" i="16"/>
  <c r="K22" i="10"/>
  <c r="L22" i="10" s="1"/>
  <c r="K21" i="10"/>
  <c r="L21" i="10" s="1"/>
  <c r="K31" i="15"/>
  <c r="L31" i="15" s="1"/>
  <c r="K30" i="15"/>
  <c r="L30" i="15" s="1"/>
  <c r="K20" i="22"/>
  <c r="J22" i="22"/>
  <c r="J52" i="22" s="1"/>
  <c r="J63" i="22" s="1"/>
  <c r="K76" i="20"/>
  <c r="J80" i="20"/>
  <c r="J100" i="20" s="1"/>
  <c r="K46" i="20"/>
  <c r="J48" i="20"/>
  <c r="K21" i="9"/>
  <c r="L21" i="9" s="1"/>
  <c r="K22" i="9"/>
  <c r="L22" i="9" s="1"/>
  <c r="K29" i="7"/>
  <c r="L29" i="7" s="1"/>
  <c r="K30" i="7"/>
  <c r="L30" i="7" s="1"/>
  <c r="K32" i="15"/>
  <c r="L32" i="15" s="1"/>
  <c r="K33" i="15"/>
  <c r="L33" i="15" s="1"/>
  <c r="K22" i="13"/>
  <c r="L22" i="13" s="1"/>
  <c r="K23" i="13"/>
  <c r="L23" i="13" s="1"/>
  <c r="L74" i="16"/>
  <c r="M74" i="16" s="1"/>
  <c r="K62" i="11"/>
  <c r="L62" i="11" s="1"/>
  <c r="K80" i="13"/>
  <c r="L80" i="13" s="1"/>
  <c r="K82" i="13"/>
  <c r="L82" i="13" s="1"/>
  <c r="K133" i="15"/>
  <c r="L133" i="15" s="1"/>
  <c r="K95" i="7"/>
  <c r="K82" i="11"/>
  <c r="L82" i="11" s="1"/>
  <c r="K81" i="1"/>
  <c r="L81" i="1" s="1"/>
  <c r="K81" i="10"/>
  <c r="L81" i="10" s="1"/>
  <c r="K96" i="15"/>
  <c r="L96" i="15" s="1"/>
  <c r="K104" i="24"/>
  <c r="L104" i="24" s="1"/>
  <c r="K102" i="24"/>
  <c r="L102" i="24" s="1"/>
  <c r="K42" i="15"/>
  <c r="L42" i="15" s="1"/>
  <c r="K25" i="10"/>
  <c r="L25" i="10" s="1"/>
  <c r="K90" i="13"/>
  <c r="L90" i="13" s="1"/>
  <c r="K56" i="14"/>
  <c r="L56" i="14" s="1"/>
  <c r="K69" i="17"/>
  <c r="L69" i="17" s="1"/>
  <c r="K91" i="17"/>
  <c r="L91" i="17" s="1"/>
  <c r="K71" i="17"/>
  <c r="L71" i="17" s="1"/>
  <c r="K73" i="15"/>
  <c r="L73" i="15" s="1"/>
  <c r="K44" i="14"/>
  <c r="L44" i="14" s="1"/>
  <c r="K21" i="11"/>
  <c r="L21" i="11" s="1"/>
  <c r="K22" i="11"/>
  <c r="L22" i="11" s="1"/>
  <c r="O43" i="15"/>
  <c r="S39" i="15"/>
  <c r="N35" i="13"/>
  <c r="N44" i="1"/>
  <c r="N34" i="1"/>
  <c r="N21" i="10"/>
  <c r="O21" i="10" s="1"/>
  <c r="N22" i="10"/>
  <c r="O22" i="10" s="1"/>
  <c r="P19" i="16"/>
  <c r="O24" i="16"/>
  <c r="N44" i="9"/>
  <c r="N33" i="24"/>
  <c r="N34" i="9"/>
  <c r="N29" i="7"/>
  <c r="O29" i="7" s="1"/>
  <c r="N30" i="7"/>
  <c r="O30" i="7" s="1"/>
  <c r="Q211" i="24"/>
  <c r="R211" i="24" s="1"/>
  <c r="Q86" i="14"/>
  <c r="R86" i="14" s="1"/>
  <c r="R74" i="16"/>
  <c r="S74" i="16" s="1"/>
  <c r="Q81" i="1"/>
  <c r="R81" i="1" s="1"/>
  <c r="Q62" i="11"/>
  <c r="R62" i="11" s="1"/>
  <c r="Q59" i="9"/>
  <c r="R59" i="9" s="1"/>
  <c r="Q66" i="24"/>
  <c r="R66" i="24" s="1"/>
  <c r="Q63" i="10"/>
  <c r="R63" i="10" s="1"/>
  <c r="Q73" i="14"/>
  <c r="R73" i="14" s="1"/>
  <c r="Q91" i="17"/>
  <c r="R91" i="17" s="1"/>
  <c r="Q209" i="24"/>
  <c r="R209" i="24" s="1"/>
  <c r="Q73" i="15"/>
  <c r="R73" i="15" s="1"/>
  <c r="Q71" i="17"/>
  <c r="R71" i="17" s="1"/>
  <c r="Q53" i="17"/>
  <c r="R53" i="17" s="1"/>
  <c r="P48" i="20"/>
  <c r="Q46" i="20"/>
  <c r="S18" i="16"/>
  <c r="R24" i="16"/>
  <c r="Q76" i="20"/>
  <c r="P80" i="20"/>
  <c r="P100" i="20" s="1"/>
  <c r="Q57" i="24"/>
  <c r="O120" i="17"/>
  <c r="N30" i="15"/>
  <c r="N31" i="15"/>
  <c r="O31" i="15" s="1"/>
  <c r="N22" i="13"/>
  <c r="O22" i="13" s="1"/>
  <c r="N23" i="13"/>
  <c r="O23" i="13" s="1"/>
  <c r="N34" i="17"/>
  <c r="N21" i="9"/>
  <c r="O21" i="9" s="1"/>
  <c r="N22" i="9"/>
  <c r="O22" i="9" s="1"/>
  <c r="N21" i="17"/>
  <c r="O21" i="17" s="1"/>
  <c r="N22" i="17"/>
  <c r="O22" i="17" s="1"/>
  <c r="N46" i="20"/>
  <c r="M48" i="20"/>
  <c r="N20" i="22"/>
  <c r="M22" i="22"/>
  <c r="M52" i="22" s="1"/>
  <c r="M63" i="22" s="1"/>
  <c r="N21" i="11"/>
  <c r="O21" i="11" s="1"/>
  <c r="N22" i="11"/>
  <c r="O22" i="11" s="1"/>
  <c r="M80" i="20"/>
  <c r="M100" i="20" s="1"/>
  <c r="N76" i="20"/>
  <c r="O35" i="11"/>
  <c r="O49" i="20"/>
  <c r="N54" i="20"/>
  <c r="N93" i="20" s="1"/>
  <c r="N104" i="20" s="1"/>
  <c r="Q30" i="24"/>
  <c r="R30" i="24" s="1"/>
  <c r="U30" i="24" s="1"/>
  <c r="Q29" i="24"/>
  <c r="R29" i="24" s="1"/>
  <c r="O113" i="10" l="1"/>
  <c r="L66" i="7"/>
  <c r="Q29" i="16"/>
  <c r="R29" i="16" s="1"/>
  <c r="S29" i="16" s="1"/>
  <c r="K29" i="16"/>
  <c r="L29" i="16" s="1"/>
  <c r="M29" i="16" s="1"/>
  <c r="J33" i="16"/>
  <c r="J106" i="16" s="1"/>
  <c r="S73" i="7"/>
  <c r="M36" i="14"/>
  <c r="M107" i="14" s="1"/>
  <c r="N64" i="13"/>
  <c r="O64" i="13" s="1"/>
  <c r="Q64" i="13" s="1"/>
  <c r="R64" i="13" s="1"/>
  <c r="F56" i="21"/>
  <c r="F5" i="23" s="1"/>
  <c r="N43" i="16"/>
  <c r="N108" i="16" s="1"/>
  <c r="P83" i="27"/>
  <c r="Q83" i="27" s="1"/>
  <c r="R83" i="27" s="1"/>
  <c r="S83" i="27" s="1"/>
  <c r="P88" i="15"/>
  <c r="Q88" i="15" s="1"/>
  <c r="R88" i="15" s="1"/>
  <c r="J118" i="24"/>
  <c r="K118" i="24" s="1"/>
  <c r="L118" i="24" s="1"/>
  <c r="S118" i="24" s="1"/>
  <c r="M88" i="15"/>
  <c r="N88" i="15" s="1"/>
  <c r="O88" i="15" s="1"/>
  <c r="M118" i="24"/>
  <c r="N118" i="24" s="1"/>
  <c r="O118" i="24" s="1"/>
  <c r="Q81" i="16"/>
  <c r="R81" i="16" s="1"/>
  <c r="S81" i="16" s="1"/>
  <c r="K81" i="16"/>
  <c r="L81" i="16" s="1"/>
  <c r="M81" i="16" s="1"/>
  <c r="M189" i="24"/>
  <c r="N189" i="24" s="1"/>
  <c r="O189" i="24" s="1"/>
  <c r="P171" i="24"/>
  <c r="Q171" i="24" s="1"/>
  <c r="R171" i="24" s="1"/>
  <c r="M91" i="24"/>
  <c r="N91" i="24" s="1"/>
  <c r="O91" i="24" s="1"/>
  <c r="J189" i="24"/>
  <c r="K189" i="24" s="1"/>
  <c r="L189" i="24" s="1"/>
  <c r="J91" i="24"/>
  <c r="K91" i="24" s="1"/>
  <c r="L91" i="24" s="1"/>
  <c r="H121" i="27"/>
  <c r="J226" i="24"/>
  <c r="K226" i="24" s="1"/>
  <c r="L226" i="24" s="1"/>
  <c r="P226" i="24"/>
  <c r="Q226" i="24" s="1"/>
  <c r="R226" i="24" s="1"/>
  <c r="I42" i="11"/>
  <c r="I109" i="11" s="1"/>
  <c r="P60" i="14"/>
  <c r="Q60" i="14" s="1"/>
  <c r="R60" i="14" s="1"/>
  <c r="M123" i="24"/>
  <c r="N123" i="24" s="1"/>
  <c r="O123" i="24" s="1"/>
  <c r="P37" i="27"/>
  <c r="Q37" i="27" s="1"/>
  <c r="M27" i="1"/>
  <c r="P123" i="24"/>
  <c r="Q123" i="24" s="1"/>
  <c r="R123" i="24" s="1"/>
  <c r="M37" i="27"/>
  <c r="P220" i="24"/>
  <c r="Q220" i="24" s="1"/>
  <c r="R220" i="24" s="1"/>
  <c r="J37" i="27"/>
  <c r="K37" i="27" s="1"/>
  <c r="M40" i="11"/>
  <c r="N40" i="11" s="1"/>
  <c r="O40" i="11" s="1"/>
  <c r="P14" i="27"/>
  <c r="Q14" i="27" s="1"/>
  <c r="R14" i="27" s="1"/>
  <c r="J80" i="14"/>
  <c r="K80" i="14" s="1"/>
  <c r="L80" i="14" s="1"/>
  <c r="P80" i="14"/>
  <c r="Q80" i="14" s="1"/>
  <c r="R80" i="14" s="1"/>
  <c r="M14" i="27"/>
  <c r="N14" i="27" s="1"/>
  <c r="O14" i="27" s="1"/>
  <c r="G121" i="27"/>
  <c r="I29" i="1"/>
  <c r="I108" i="1" s="1"/>
  <c r="G120" i="11"/>
  <c r="I51" i="27"/>
  <c r="I112" i="27" s="1"/>
  <c r="P45" i="24"/>
  <c r="Q45" i="24" s="1"/>
  <c r="R45" i="24" s="1"/>
  <c r="J45" i="24"/>
  <c r="K45" i="24" s="1"/>
  <c r="L45" i="24" s="1"/>
  <c r="P27" i="1"/>
  <c r="N27" i="16"/>
  <c r="O27" i="16" s="1"/>
  <c r="P27" i="16" s="1"/>
  <c r="P104" i="17"/>
  <c r="Q104" i="17" s="1"/>
  <c r="R104" i="17" s="1"/>
  <c r="P86" i="27"/>
  <c r="Q86" i="27" s="1"/>
  <c r="R86" i="27" s="1"/>
  <c r="M86" i="27"/>
  <c r="N86" i="27" s="1"/>
  <c r="O86" i="27" s="1"/>
  <c r="J104" i="17"/>
  <c r="K104" i="17" s="1"/>
  <c r="L104" i="17" s="1"/>
  <c r="P99" i="27"/>
  <c r="Q99" i="27" s="1"/>
  <c r="R99" i="27" s="1"/>
  <c r="P61" i="27"/>
  <c r="Q61" i="27" s="1"/>
  <c r="R61" i="27" s="1"/>
  <c r="M99" i="27"/>
  <c r="N99" i="27" s="1"/>
  <c r="O99" i="27" s="1"/>
  <c r="M61" i="27"/>
  <c r="N61" i="27" s="1"/>
  <c r="O61" i="27" s="1"/>
  <c r="P59" i="27"/>
  <c r="Q59" i="27" s="1"/>
  <c r="R59" i="27" s="1"/>
  <c r="M59" i="27"/>
  <c r="N59" i="27" s="1"/>
  <c r="O59" i="27" s="1"/>
  <c r="S25" i="27"/>
  <c r="N60" i="13"/>
  <c r="P89" i="27"/>
  <c r="Q89" i="27" s="1"/>
  <c r="R89" i="27" s="1"/>
  <c r="M89" i="27"/>
  <c r="N89" i="27" s="1"/>
  <c r="O89" i="27" s="1"/>
  <c r="S89" i="27" s="1"/>
  <c r="S63" i="27"/>
  <c r="S79" i="27"/>
  <c r="M39" i="1"/>
  <c r="M110" i="1" s="1"/>
  <c r="S81" i="27"/>
  <c r="J14" i="25"/>
  <c r="K14" i="25" s="1"/>
  <c r="L14" i="25" s="1"/>
  <c r="P14" i="25"/>
  <c r="Q14" i="25" s="1"/>
  <c r="R14" i="25" s="1"/>
  <c r="M14" i="25"/>
  <c r="N14" i="25" s="1"/>
  <c r="O14" i="25" s="1"/>
  <c r="M64" i="25"/>
  <c r="N64" i="25" s="1"/>
  <c r="O64" i="25" s="1"/>
  <c r="J64" i="25"/>
  <c r="K64" i="25" s="1"/>
  <c r="L64" i="25" s="1"/>
  <c r="P64" i="25"/>
  <c r="Q64" i="25" s="1"/>
  <c r="R64" i="25" s="1"/>
  <c r="P50" i="11"/>
  <c r="Q50" i="11" s="1"/>
  <c r="R50" i="11" s="1"/>
  <c r="M50" i="11"/>
  <c r="J50" i="11"/>
  <c r="K50" i="11" s="1"/>
  <c r="L50" i="11" s="1"/>
  <c r="P56" i="15"/>
  <c r="Q56" i="15" s="1"/>
  <c r="R56" i="15" s="1"/>
  <c r="M56" i="15"/>
  <c r="J56" i="15"/>
  <c r="K56" i="15" s="1"/>
  <c r="L56" i="15" s="1"/>
  <c r="P20" i="15"/>
  <c r="M20" i="15"/>
  <c r="J20" i="15"/>
  <c r="P60" i="25"/>
  <c r="M60" i="25"/>
  <c r="N60" i="25" s="1"/>
  <c r="O60" i="25" s="1"/>
  <c r="J60" i="25"/>
  <c r="K60" i="25" s="1"/>
  <c r="L60" i="25" s="1"/>
  <c r="Q51" i="16"/>
  <c r="Q53" i="16" s="1"/>
  <c r="Q110" i="16" s="1"/>
  <c r="N51" i="16"/>
  <c r="K51" i="16"/>
  <c r="K53" i="16" s="1"/>
  <c r="K110" i="16" s="1"/>
  <c r="P62" i="24"/>
  <c r="Q62" i="24" s="1"/>
  <c r="R62" i="24" s="1"/>
  <c r="M62" i="24"/>
  <c r="N62" i="24" s="1"/>
  <c r="J62" i="24"/>
  <c r="J89" i="7"/>
  <c r="K89" i="7" s="1"/>
  <c r="L89" i="7" s="1"/>
  <c r="P89" i="7"/>
  <c r="Q89" i="7" s="1"/>
  <c r="R89" i="7" s="1"/>
  <c r="M89" i="7"/>
  <c r="P175" i="24"/>
  <c r="Q175" i="24" s="1"/>
  <c r="R175" i="24" s="1"/>
  <c r="M175" i="24"/>
  <c r="N175" i="24" s="1"/>
  <c r="O175" i="24" s="1"/>
  <c r="J175" i="24"/>
  <c r="K175" i="24" s="1"/>
  <c r="L175" i="24" s="1"/>
  <c r="P14" i="9"/>
  <c r="Q14" i="9" s="1"/>
  <c r="R14" i="9" s="1"/>
  <c r="M14" i="9"/>
  <c r="N14" i="9" s="1"/>
  <c r="O14" i="9" s="1"/>
  <c r="J14" i="9"/>
  <c r="K14" i="9" s="1"/>
  <c r="L14" i="9" s="1"/>
  <c r="J79" i="10"/>
  <c r="K79" i="10" s="1"/>
  <c r="L79" i="10" s="1"/>
  <c r="P79" i="10"/>
  <c r="Q79" i="10" s="1"/>
  <c r="R79" i="10" s="1"/>
  <c r="M79" i="10"/>
  <c r="N79" i="10" s="1"/>
  <c r="O79" i="10" s="1"/>
  <c r="P57" i="7"/>
  <c r="Q57" i="7" s="1"/>
  <c r="M57" i="7"/>
  <c r="N57" i="7" s="1"/>
  <c r="O57" i="7" s="1"/>
  <c r="J57" i="7"/>
  <c r="I29" i="27"/>
  <c r="I108" i="27" s="1"/>
  <c r="J27" i="27"/>
  <c r="M27" i="27"/>
  <c r="P27" i="27"/>
  <c r="M77" i="25"/>
  <c r="N77" i="25" s="1"/>
  <c r="O77" i="25" s="1"/>
  <c r="P77" i="25"/>
  <c r="Q77" i="25" s="1"/>
  <c r="R77" i="25" s="1"/>
  <c r="J77" i="25"/>
  <c r="K77" i="25" s="1"/>
  <c r="L77" i="25" s="1"/>
  <c r="P58" i="25"/>
  <c r="M58" i="25"/>
  <c r="I68" i="25"/>
  <c r="M48" i="25"/>
  <c r="N48" i="25" s="1"/>
  <c r="O48" i="25" s="1"/>
  <c r="J48" i="25"/>
  <c r="K48" i="25" s="1"/>
  <c r="L48" i="25" s="1"/>
  <c r="P48" i="25"/>
  <c r="Q48" i="25" s="1"/>
  <c r="R48" i="25" s="1"/>
  <c r="P207" i="24"/>
  <c r="Q207" i="24" s="1"/>
  <c r="J207" i="24"/>
  <c r="K207" i="24" s="1"/>
  <c r="L207" i="24" s="1"/>
  <c r="M207" i="24"/>
  <c r="N207" i="24" s="1"/>
  <c r="P47" i="10"/>
  <c r="Q47" i="10" s="1"/>
  <c r="R47" i="10" s="1"/>
  <c r="J47" i="10"/>
  <c r="K47" i="10" s="1"/>
  <c r="L47" i="10" s="1"/>
  <c r="M47" i="10"/>
  <c r="J82" i="7"/>
  <c r="K82" i="7" s="1"/>
  <c r="L82" i="7" s="1"/>
  <c r="P82" i="7"/>
  <c r="Q82" i="7" s="1"/>
  <c r="R82" i="7" s="1"/>
  <c r="M82" i="7"/>
  <c r="N82" i="7" s="1"/>
  <c r="O82" i="7" s="1"/>
  <c r="I47" i="7"/>
  <c r="I120" i="7" s="1"/>
  <c r="P45" i="7"/>
  <c r="P47" i="7" s="1"/>
  <c r="P120" i="7" s="1"/>
  <c r="M45" i="7"/>
  <c r="M47" i="7" s="1"/>
  <c r="M120" i="7" s="1"/>
  <c r="J45" i="7"/>
  <c r="J47" i="7" s="1"/>
  <c r="J120" i="7" s="1"/>
  <c r="J74" i="9"/>
  <c r="K74" i="9" s="1"/>
  <c r="L74" i="9" s="1"/>
  <c r="P74" i="9"/>
  <c r="Q74" i="9" s="1"/>
  <c r="R74" i="9" s="1"/>
  <c r="M74" i="9"/>
  <c r="N74" i="9" s="1"/>
  <c r="O74" i="9" s="1"/>
  <c r="P75" i="15"/>
  <c r="Q75" i="15" s="1"/>
  <c r="M75" i="15"/>
  <c r="N75" i="15" s="1"/>
  <c r="O75" i="15" s="1"/>
  <c r="J75" i="15"/>
  <c r="P25" i="9"/>
  <c r="Q25" i="9" s="1"/>
  <c r="R25" i="9" s="1"/>
  <c r="M25" i="9"/>
  <c r="N25" i="9" s="1"/>
  <c r="O25" i="9" s="1"/>
  <c r="J25" i="9"/>
  <c r="K25" i="9" s="1"/>
  <c r="L25" i="9" s="1"/>
  <c r="P23" i="15"/>
  <c r="Q23" i="15" s="1"/>
  <c r="R23" i="15" s="1"/>
  <c r="M23" i="15"/>
  <c r="N23" i="15" s="1"/>
  <c r="O23" i="15" s="1"/>
  <c r="J23" i="15"/>
  <c r="K23" i="15" s="1"/>
  <c r="L23" i="15" s="1"/>
  <c r="P144" i="15"/>
  <c r="Q144" i="15" s="1"/>
  <c r="R144" i="15" s="1"/>
  <c r="M144" i="15"/>
  <c r="N144" i="15" s="1"/>
  <c r="O144" i="15" s="1"/>
  <c r="J144" i="15"/>
  <c r="K144" i="15" s="1"/>
  <c r="L144" i="15" s="1"/>
  <c r="J47" i="27"/>
  <c r="K47" i="27" s="1"/>
  <c r="L47" i="27" s="1"/>
  <c r="M47" i="27"/>
  <c r="N47" i="27" s="1"/>
  <c r="O47" i="27" s="1"/>
  <c r="P47" i="27"/>
  <c r="Q47" i="27" s="1"/>
  <c r="R47" i="27" s="1"/>
  <c r="K49" i="27"/>
  <c r="P125" i="15"/>
  <c r="Q125" i="15" s="1"/>
  <c r="R125" i="15" s="1"/>
  <c r="J125" i="15"/>
  <c r="M125" i="15"/>
  <c r="N125" i="15" s="1"/>
  <c r="O125" i="15" s="1"/>
  <c r="M11" i="11"/>
  <c r="P11" i="11"/>
  <c r="Q11" i="11" s="1"/>
  <c r="R11" i="11" s="1"/>
  <c r="J11" i="11"/>
  <c r="K11" i="11" s="1"/>
  <c r="M82" i="25"/>
  <c r="N82" i="25" s="1"/>
  <c r="O82" i="25" s="1"/>
  <c r="J82" i="25"/>
  <c r="K82" i="25" s="1"/>
  <c r="L82" i="25" s="1"/>
  <c r="P82" i="25"/>
  <c r="Q82" i="25" s="1"/>
  <c r="R82" i="25" s="1"/>
  <c r="M75" i="25"/>
  <c r="P75" i="25"/>
  <c r="J75" i="25"/>
  <c r="P62" i="25"/>
  <c r="Q62" i="25" s="1"/>
  <c r="R62" i="25" s="1"/>
  <c r="M62" i="25"/>
  <c r="N62" i="25" s="1"/>
  <c r="O62" i="25" s="1"/>
  <c r="J62" i="25"/>
  <c r="K62" i="25" s="1"/>
  <c r="L62" i="25" s="1"/>
  <c r="J35" i="7"/>
  <c r="K35" i="7" s="1"/>
  <c r="L35" i="7" s="1"/>
  <c r="P35" i="7"/>
  <c r="Q35" i="7" s="1"/>
  <c r="R35" i="7" s="1"/>
  <c r="M35" i="7"/>
  <c r="P74" i="1"/>
  <c r="Q74" i="1" s="1"/>
  <c r="R74" i="1" s="1"/>
  <c r="M74" i="1"/>
  <c r="J74" i="1"/>
  <c r="K74" i="1" s="1"/>
  <c r="L74" i="1" s="1"/>
  <c r="P54" i="15"/>
  <c r="M54" i="15"/>
  <c r="N54" i="15" s="1"/>
  <c r="O54" i="15" s="1"/>
  <c r="J54" i="15"/>
  <c r="K54" i="15" s="1"/>
  <c r="J125" i="24"/>
  <c r="K125" i="24" s="1"/>
  <c r="L125" i="24" s="1"/>
  <c r="P125" i="24"/>
  <c r="Q125" i="24" s="1"/>
  <c r="R125" i="24" s="1"/>
  <c r="M125" i="24"/>
  <c r="N125" i="24" s="1"/>
  <c r="O125" i="24" s="1"/>
  <c r="M83" i="9"/>
  <c r="N83" i="9" s="1"/>
  <c r="O83" i="9" s="1"/>
  <c r="J83" i="9"/>
  <c r="K83" i="9" s="1"/>
  <c r="L83" i="9" s="1"/>
  <c r="P83" i="9"/>
  <c r="Q83" i="9" s="1"/>
  <c r="R83" i="9" s="1"/>
  <c r="J91" i="7"/>
  <c r="P91" i="7"/>
  <c r="Q91" i="7" s="1"/>
  <c r="R91" i="7" s="1"/>
  <c r="M91" i="7"/>
  <c r="N91" i="7" s="1"/>
  <c r="O91" i="7" s="1"/>
  <c r="J62" i="13"/>
  <c r="K62" i="13" s="1"/>
  <c r="L62" i="13" s="1"/>
  <c r="P62" i="13"/>
  <c r="Q62" i="13" s="1"/>
  <c r="R62" i="13" s="1"/>
  <c r="M62" i="13"/>
  <c r="N62" i="13" s="1"/>
  <c r="O62" i="13" s="1"/>
  <c r="J71" i="7"/>
  <c r="K71" i="7" s="1"/>
  <c r="L71" i="7" s="1"/>
  <c r="P71" i="7"/>
  <c r="Q71" i="7" s="1"/>
  <c r="R71" i="7" s="1"/>
  <c r="M71" i="7"/>
  <c r="N71" i="7" s="1"/>
  <c r="O71" i="7" s="1"/>
  <c r="S76" i="27"/>
  <c r="N49" i="27"/>
  <c r="M87" i="25"/>
  <c r="J87" i="25"/>
  <c r="K87" i="25" s="1"/>
  <c r="L87" i="25" s="1"/>
  <c r="P87" i="25"/>
  <c r="Q87" i="25" s="1"/>
  <c r="R87" i="25" s="1"/>
  <c r="M28" i="13"/>
  <c r="N28" i="13" s="1"/>
  <c r="O28" i="13" s="1"/>
  <c r="J28" i="13"/>
  <c r="K28" i="13" s="1"/>
  <c r="L28" i="13" s="1"/>
  <c r="P26" i="13"/>
  <c r="Q26" i="13" s="1"/>
  <c r="R26" i="13" s="1"/>
  <c r="P15" i="13"/>
  <c r="Q15" i="13" s="1"/>
  <c r="R15" i="13" s="1"/>
  <c r="M26" i="13"/>
  <c r="M58" i="13"/>
  <c r="J26" i="13"/>
  <c r="M50" i="13"/>
  <c r="J58" i="13"/>
  <c r="J15" i="13"/>
  <c r="K15" i="13" s="1"/>
  <c r="L15" i="13" s="1"/>
  <c r="P50" i="13"/>
  <c r="M15" i="13"/>
  <c r="N15" i="13" s="1"/>
  <c r="O15" i="13" s="1"/>
  <c r="J50" i="13"/>
  <c r="K50" i="13" s="1"/>
  <c r="P12" i="13"/>
  <c r="P48" i="13"/>
  <c r="M12" i="13"/>
  <c r="M48" i="13"/>
  <c r="N48" i="13" s="1"/>
  <c r="O48" i="13" s="1"/>
  <c r="J12" i="13"/>
  <c r="K12" i="13" s="1"/>
  <c r="J48" i="13"/>
  <c r="K48" i="13" s="1"/>
  <c r="L48" i="13" s="1"/>
  <c r="P28" i="13"/>
  <c r="Q28" i="13" s="1"/>
  <c r="R28" i="13" s="1"/>
  <c r="P38" i="13"/>
  <c r="M38" i="13"/>
  <c r="J38" i="13"/>
  <c r="K38" i="13" s="1"/>
  <c r="I75" i="7"/>
  <c r="I124" i="7" s="1"/>
  <c r="M65" i="7"/>
  <c r="J65" i="7"/>
  <c r="K65" i="7" s="1"/>
  <c r="P65" i="7"/>
  <c r="Q65" i="7" s="1"/>
  <c r="J27" i="17"/>
  <c r="J29" i="17" s="1"/>
  <c r="J113" i="17" s="1"/>
  <c r="P27" i="17"/>
  <c r="Q27" i="17" s="1"/>
  <c r="R27" i="17" s="1"/>
  <c r="M27" i="17"/>
  <c r="J71" i="15"/>
  <c r="K71" i="15" s="1"/>
  <c r="L71" i="15" s="1"/>
  <c r="P71" i="15"/>
  <c r="Q71" i="15" s="1"/>
  <c r="R71" i="15" s="1"/>
  <c r="M71" i="15"/>
  <c r="M76" i="1"/>
  <c r="N76" i="1" s="1"/>
  <c r="O76" i="1" s="1"/>
  <c r="P76" i="1"/>
  <c r="Q76" i="1" s="1"/>
  <c r="R76" i="1" s="1"/>
  <c r="J76" i="1"/>
  <c r="K76" i="1" s="1"/>
  <c r="L76" i="1" s="1"/>
  <c r="M86" i="10"/>
  <c r="N86" i="10" s="1"/>
  <c r="O86" i="10" s="1"/>
  <c r="P86" i="10"/>
  <c r="Q86" i="10" s="1"/>
  <c r="R86" i="10" s="1"/>
  <c r="J86" i="10"/>
  <c r="K86" i="10" s="1"/>
  <c r="L86" i="10" s="1"/>
  <c r="P86" i="9"/>
  <c r="Q86" i="9" s="1"/>
  <c r="R86" i="9" s="1"/>
  <c r="J86" i="9"/>
  <c r="K86" i="9" s="1"/>
  <c r="L86" i="9" s="1"/>
  <c r="M86" i="9"/>
  <c r="N86" i="9" s="1"/>
  <c r="O86" i="9" s="1"/>
  <c r="J40" i="15"/>
  <c r="K40" i="15" s="1"/>
  <c r="L40" i="15" s="1"/>
  <c r="P40" i="15"/>
  <c r="Q40" i="15" s="1"/>
  <c r="R40" i="15" s="1"/>
  <c r="M40" i="15"/>
  <c r="N40" i="15" s="1"/>
  <c r="O40" i="15" s="1"/>
  <c r="P196" i="24"/>
  <c r="Q196" i="24" s="1"/>
  <c r="R196" i="24" s="1"/>
  <c r="M196" i="24"/>
  <c r="N196" i="24" s="1"/>
  <c r="O196" i="24" s="1"/>
  <c r="P98" i="11"/>
  <c r="Q98" i="11" s="1"/>
  <c r="R98" i="11" s="1"/>
  <c r="M98" i="11"/>
  <c r="N98" i="11" s="1"/>
  <c r="O98" i="11" s="1"/>
  <c r="J98" i="11"/>
  <c r="K98" i="11" s="1"/>
  <c r="L98" i="11" s="1"/>
  <c r="P58" i="13"/>
  <c r="I68" i="13"/>
  <c r="I115" i="13" s="1"/>
  <c r="M97" i="27"/>
  <c r="P97" i="27"/>
  <c r="J97" i="27"/>
  <c r="I101" i="27"/>
  <c r="I118" i="27" s="1"/>
  <c r="I91" i="27"/>
  <c r="I116" i="27" s="1"/>
  <c r="M74" i="27"/>
  <c r="P74" i="27"/>
  <c r="J74" i="27"/>
  <c r="P65" i="9"/>
  <c r="Q65" i="9" s="1"/>
  <c r="R65" i="9" s="1"/>
  <c r="M65" i="9"/>
  <c r="N65" i="9" s="1"/>
  <c r="O65" i="9" s="1"/>
  <c r="J65" i="9"/>
  <c r="K65" i="9" s="1"/>
  <c r="L65" i="9" s="1"/>
  <c r="M41" i="24"/>
  <c r="N41" i="24" s="1"/>
  <c r="O41" i="24" s="1"/>
  <c r="J41" i="24"/>
  <c r="K41" i="24" s="1"/>
  <c r="L41" i="24" s="1"/>
  <c r="P41" i="24"/>
  <c r="Q41" i="24" s="1"/>
  <c r="R41" i="24" s="1"/>
  <c r="M61" i="10"/>
  <c r="N61" i="10" s="1"/>
  <c r="O61" i="10" s="1"/>
  <c r="P61" i="10"/>
  <c r="Q61" i="10" s="1"/>
  <c r="R61" i="10" s="1"/>
  <c r="J61" i="10"/>
  <c r="K61" i="10" s="1"/>
  <c r="L61" i="10" s="1"/>
  <c r="P11" i="10"/>
  <c r="Q11" i="10" s="1"/>
  <c r="R11" i="10" s="1"/>
  <c r="M11" i="10"/>
  <c r="J11" i="10"/>
  <c r="K11" i="10" s="1"/>
  <c r="P98" i="25"/>
  <c r="M98" i="25"/>
  <c r="J98" i="25"/>
  <c r="J11" i="25"/>
  <c r="P11" i="25"/>
  <c r="M11" i="25"/>
  <c r="M43" i="24"/>
  <c r="N43" i="24" s="1"/>
  <c r="O43" i="24" s="1"/>
  <c r="J43" i="24"/>
  <c r="K43" i="24" s="1"/>
  <c r="L43" i="24" s="1"/>
  <c r="P43" i="24"/>
  <c r="Q43" i="24" s="1"/>
  <c r="R43" i="24" s="1"/>
  <c r="J74" i="10"/>
  <c r="K74" i="10" s="1"/>
  <c r="P74" i="10"/>
  <c r="Q74" i="10" s="1"/>
  <c r="R74" i="10" s="1"/>
  <c r="M74" i="10"/>
  <c r="M65" i="17"/>
  <c r="J65" i="17"/>
  <c r="P65" i="17"/>
  <c r="P55" i="7"/>
  <c r="Q55" i="7" s="1"/>
  <c r="R55" i="7" s="1"/>
  <c r="M55" i="7"/>
  <c r="J55" i="7"/>
  <c r="P85" i="24"/>
  <c r="J85" i="24"/>
  <c r="K85" i="24" s="1"/>
  <c r="M85" i="24"/>
  <c r="N85" i="24" s="1"/>
  <c r="O85" i="24" s="1"/>
  <c r="P130" i="15"/>
  <c r="J130" i="15"/>
  <c r="M130" i="15"/>
  <c r="N130" i="15" s="1"/>
  <c r="O130" i="15" s="1"/>
  <c r="M28" i="11"/>
  <c r="N28" i="11" s="1"/>
  <c r="O28" i="11" s="1"/>
  <c r="J28" i="11"/>
  <c r="P28" i="11"/>
  <c r="Q28" i="11" s="1"/>
  <c r="R28" i="11" s="1"/>
  <c r="M184" i="24"/>
  <c r="N184" i="24" s="1"/>
  <c r="O184" i="24" s="1"/>
  <c r="P184" i="24"/>
  <c r="Q184" i="24" s="1"/>
  <c r="R184" i="24" s="1"/>
  <c r="J184" i="24"/>
  <c r="K184" i="24" s="1"/>
  <c r="L184" i="24" s="1"/>
  <c r="P33" i="7"/>
  <c r="Q33" i="7" s="1"/>
  <c r="R33" i="7" s="1"/>
  <c r="M33" i="7"/>
  <c r="N33" i="7" s="1"/>
  <c r="O33" i="7" s="1"/>
  <c r="J33" i="7"/>
  <c r="K33" i="7" s="1"/>
  <c r="L33" i="7" s="1"/>
  <c r="P147" i="15"/>
  <c r="Q147" i="15" s="1"/>
  <c r="R147" i="15" s="1"/>
  <c r="M147" i="15"/>
  <c r="N147" i="15" s="1"/>
  <c r="O147" i="15" s="1"/>
  <c r="J147" i="15"/>
  <c r="K147" i="15" s="1"/>
  <c r="L147" i="15" s="1"/>
  <c r="P199" i="24"/>
  <c r="Q199" i="24" s="1"/>
  <c r="R199" i="24" s="1"/>
  <c r="M199" i="24"/>
  <c r="N199" i="24" s="1"/>
  <c r="O199" i="24" s="1"/>
  <c r="M86" i="17"/>
  <c r="N86" i="17" s="1"/>
  <c r="O86" i="17" s="1"/>
  <c r="J86" i="17"/>
  <c r="K86" i="17" s="1"/>
  <c r="L86" i="17" s="1"/>
  <c r="P86" i="17"/>
  <c r="Q86" i="17" s="1"/>
  <c r="R86" i="17" s="1"/>
  <c r="P65" i="10"/>
  <c r="Q65" i="10" s="1"/>
  <c r="R65" i="10" s="1"/>
  <c r="M65" i="10"/>
  <c r="N65" i="10" s="1"/>
  <c r="O65" i="10" s="1"/>
  <c r="J65" i="10"/>
  <c r="K65" i="10" s="1"/>
  <c r="L65" i="10" s="1"/>
  <c r="P100" i="25"/>
  <c r="Q100" i="25" s="1"/>
  <c r="R100" i="25" s="1"/>
  <c r="J100" i="25"/>
  <c r="M100" i="25"/>
  <c r="P47" i="9"/>
  <c r="Q47" i="9" s="1"/>
  <c r="R47" i="9" s="1"/>
  <c r="J47" i="9"/>
  <c r="K47" i="9" s="1"/>
  <c r="L47" i="9" s="1"/>
  <c r="M47" i="9"/>
  <c r="P112" i="24"/>
  <c r="Q112" i="24" s="1"/>
  <c r="M112" i="24"/>
  <c r="J112" i="24"/>
  <c r="K112" i="24" s="1"/>
  <c r="I149" i="24"/>
  <c r="M77" i="11"/>
  <c r="N77" i="11" s="1"/>
  <c r="O77" i="11" s="1"/>
  <c r="J77" i="11"/>
  <c r="K77" i="11" s="1"/>
  <c r="P77" i="11"/>
  <c r="Q77" i="11" s="1"/>
  <c r="M37" i="15"/>
  <c r="N37" i="15" s="1"/>
  <c r="O37" i="15" s="1"/>
  <c r="J37" i="15"/>
  <c r="K37" i="15" s="1"/>
  <c r="P37" i="15"/>
  <c r="Q37" i="15" s="1"/>
  <c r="R37" i="15" s="1"/>
  <c r="P11" i="17"/>
  <c r="Q11" i="17" s="1"/>
  <c r="R11" i="17" s="1"/>
  <c r="M11" i="17"/>
  <c r="N11" i="17" s="1"/>
  <c r="O11" i="17" s="1"/>
  <c r="J11" i="17"/>
  <c r="P97" i="10"/>
  <c r="M97" i="10"/>
  <c r="N97" i="10" s="1"/>
  <c r="O97" i="10" s="1"/>
  <c r="J97" i="10"/>
  <c r="K97" i="10" s="1"/>
  <c r="P14" i="17"/>
  <c r="Q14" i="17" s="1"/>
  <c r="R14" i="17" s="1"/>
  <c r="M14" i="17"/>
  <c r="N14" i="17" s="1"/>
  <c r="J14" i="17"/>
  <c r="K14" i="17" s="1"/>
  <c r="L14" i="17" s="1"/>
  <c r="J73" i="17"/>
  <c r="K73" i="17" s="1"/>
  <c r="L73" i="17" s="1"/>
  <c r="P73" i="17"/>
  <c r="M73" i="17"/>
  <c r="N73" i="17" s="1"/>
  <c r="O73" i="17" s="1"/>
  <c r="P147" i="24"/>
  <c r="Q147" i="24" s="1"/>
  <c r="R147" i="24" s="1"/>
  <c r="M147" i="24"/>
  <c r="N147" i="24" s="1"/>
  <c r="O147" i="24" s="1"/>
  <c r="J147" i="24"/>
  <c r="K147" i="24" s="1"/>
  <c r="L147" i="24" s="1"/>
  <c r="N77" i="16"/>
  <c r="O77" i="16" s="1"/>
  <c r="K77" i="16"/>
  <c r="L77" i="16" s="1"/>
  <c r="M77" i="16" s="1"/>
  <c r="Q77" i="16"/>
  <c r="R77" i="16" s="1"/>
  <c r="S77" i="16" s="1"/>
  <c r="J27" i="9"/>
  <c r="K27" i="9" s="1"/>
  <c r="L27" i="9" s="1"/>
  <c r="P27" i="9"/>
  <c r="M27" i="9"/>
  <c r="P38" i="25"/>
  <c r="M38" i="25"/>
  <c r="J38" i="25"/>
  <c r="M98" i="15"/>
  <c r="N98" i="15" s="1"/>
  <c r="O98" i="15" s="1"/>
  <c r="P98" i="15"/>
  <c r="Q98" i="15" s="1"/>
  <c r="R98" i="15" s="1"/>
  <c r="J98" i="15"/>
  <c r="K98" i="15" s="1"/>
  <c r="L98" i="15" s="1"/>
  <c r="M26" i="11"/>
  <c r="J26" i="11"/>
  <c r="K26" i="11" s="1"/>
  <c r="L26" i="11" s="1"/>
  <c r="P26" i="11"/>
  <c r="Q26" i="11" s="1"/>
  <c r="R26" i="11" s="1"/>
  <c r="J71" i="14"/>
  <c r="K71" i="14" s="1"/>
  <c r="L71" i="14" s="1"/>
  <c r="P71" i="14"/>
  <c r="M71" i="14"/>
  <c r="P96" i="24"/>
  <c r="Q96" i="24" s="1"/>
  <c r="R96" i="24" s="1"/>
  <c r="J96" i="24"/>
  <c r="K96" i="24" s="1"/>
  <c r="L96" i="24" s="1"/>
  <c r="M96" i="24"/>
  <c r="N96" i="24" s="1"/>
  <c r="O96" i="24" s="1"/>
  <c r="M52" i="11"/>
  <c r="N52" i="11" s="1"/>
  <c r="O52" i="11" s="1"/>
  <c r="P52" i="11"/>
  <c r="Q52" i="11" s="1"/>
  <c r="J52" i="11"/>
  <c r="K52" i="11" s="1"/>
  <c r="J24" i="14"/>
  <c r="K24" i="14" s="1"/>
  <c r="L24" i="14" s="1"/>
  <c r="P24" i="14"/>
  <c r="M24" i="14"/>
  <c r="N24" i="14" s="1"/>
  <c r="O24" i="14" s="1"/>
  <c r="J68" i="20"/>
  <c r="K68" i="20" s="1"/>
  <c r="L68" i="20" s="1"/>
  <c r="P68" i="20"/>
  <c r="Q68" i="20" s="1"/>
  <c r="R68" i="20" s="1"/>
  <c r="M68" i="20"/>
  <c r="N68" i="20" s="1"/>
  <c r="O68" i="20" s="1"/>
  <c r="J65" i="27"/>
  <c r="K65" i="27" s="1"/>
  <c r="L65" i="27" s="1"/>
  <c r="M65" i="27"/>
  <c r="N65" i="27" s="1"/>
  <c r="O65" i="27" s="1"/>
  <c r="P65" i="27"/>
  <c r="Q65" i="27" s="1"/>
  <c r="R65" i="27" s="1"/>
  <c r="P65" i="1"/>
  <c r="Q65" i="1" s="1"/>
  <c r="M65" i="1"/>
  <c r="N65" i="1" s="1"/>
  <c r="O65" i="1" s="1"/>
  <c r="J65" i="1"/>
  <c r="K65" i="1" s="1"/>
  <c r="P11" i="14"/>
  <c r="M11" i="14"/>
  <c r="J11" i="14"/>
  <c r="K11" i="14" s="1"/>
  <c r="P26" i="25"/>
  <c r="Q26" i="25" s="1"/>
  <c r="M26" i="25"/>
  <c r="N26" i="25" s="1"/>
  <c r="J26" i="25"/>
  <c r="K26" i="25" s="1"/>
  <c r="P141" i="15"/>
  <c r="Q141" i="15" s="1"/>
  <c r="M141" i="15"/>
  <c r="N141" i="15" s="1"/>
  <c r="J141" i="15"/>
  <c r="K141" i="15" s="1"/>
  <c r="L141" i="15" s="1"/>
  <c r="P89" i="24"/>
  <c r="Q89" i="24" s="1"/>
  <c r="R89" i="24" s="1"/>
  <c r="J89" i="24"/>
  <c r="K89" i="24" s="1"/>
  <c r="L89" i="24" s="1"/>
  <c r="M89" i="24"/>
  <c r="N89" i="24" s="1"/>
  <c r="O89" i="24" s="1"/>
  <c r="P160" i="24"/>
  <c r="M160" i="24"/>
  <c r="J160" i="24"/>
  <c r="K160" i="24" s="1"/>
  <c r="M100" i="15"/>
  <c r="P100" i="15"/>
  <c r="J100" i="15"/>
  <c r="I106" i="15"/>
  <c r="I165" i="15" s="1"/>
  <c r="P117" i="15"/>
  <c r="Q117" i="15" s="1"/>
  <c r="J117" i="15"/>
  <c r="K117" i="15" s="1"/>
  <c r="M117" i="15"/>
  <c r="J61" i="9"/>
  <c r="K61" i="9" s="1"/>
  <c r="L61" i="9" s="1"/>
  <c r="P61" i="9"/>
  <c r="Q61" i="9" s="1"/>
  <c r="R61" i="9" s="1"/>
  <c r="M61" i="9"/>
  <c r="N61" i="9" s="1"/>
  <c r="O61" i="9" s="1"/>
  <c r="J88" i="11"/>
  <c r="K88" i="11" s="1"/>
  <c r="L88" i="11" s="1"/>
  <c r="P88" i="11"/>
  <c r="Q88" i="11" s="1"/>
  <c r="R88" i="11" s="1"/>
  <c r="M88" i="11"/>
  <c r="N88" i="11" s="1"/>
  <c r="O88" i="11" s="1"/>
  <c r="P46" i="14"/>
  <c r="Q46" i="14" s="1"/>
  <c r="M46" i="14"/>
  <c r="N46" i="14" s="1"/>
  <c r="J46" i="14"/>
  <c r="J48" i="14" s="1"/>
  <c r="J109" i="14" s="1"/>
  <c r="M66" i="25"/>
  <c r="N66" i="25" s="1"/>
  <c r="O66" i="25" s="1"/>
  <c r="J66" i="25"/>
  <c r="K66" i="25" s="1"/>
  <c r="L66" i="25" s="1"/>
  <c r="P66" i="25"/>
  <c r="J50" i="25"/>
  <c r="M50" i="25"/>
  <c r="P50" i="25"/>
  <c r="M15" i="24"/>
  <c r="J15" i="24"/>
  <c r="P15" i="24"/>
  <c r="P20" i="24" s="1"/>
  <c r="P234" i="24" s="1"/>
  <c r="K11" i="16"/>
  <c r="L11" i="16" s="1"/>
  <c r="Q11" i="16"/>
  <c r="Q13" i="16" s="1"/>
  <c r="Q104" i="16" s="1"/>
  <c r="N11" i="16"/>
  <c r="P27" i="10"/>
  <c r="P29" i="10" s="1"/>
  <c r="P108" i="10" s="1"/>
  <c r="J27" i="10"/>
  <c r="M27" i="10"/>
  <c r="N27" i="10" s="1"/>
  <c r="O27" i="10" s="1"/>
  <c r="M47" i="24"/>
  <c r="N47" i="24" s="1"/>
  <c r="O47" i="24" s="1"/>
  <c r="J47" i="24"/>
  <c r="K47" i="24" s="1"/>
  <c r="L47" i="24" s="1"/>
  <c r="P47" i="24"/>
  <c r="Q47" i="24" s="1"/>
  <c r="R47" i="24" s="1"/>
  <c r="P54" i="14"/>
  <c r="Q54" i="14" s="1"/>
  <c r="M54" i="14"/>
  <c r="J54" i="14"/>
  <c r="K54" i="14" s="1"/>
  <c r="I64" i="14"/>
  <c r="I111" i="14" s="1"/>
  <c r="J83" i="10"/>
  <c r="K83" i="10" s="1"/>
  <c r="L83" i="10" s="1"/>
  <c r="P83" i="10"/>
  <c r="Q83" i="10" s="1"/>
  <c r="R83" i="10" s="1"/>
  <c r="M83" i="10"/>
  <c r="N83" i="10" s="1"/>
  <c r="O83" i="10" s="1"/>
  <c r="M79" i="1"/>
  <c r="N79" i="1" s="1"/>
  <c r="O79" i="1" s="1"/>
  <c r="P79" i="1"/>
  <c r="Q79" i="1" s="1"/>
  <c r="R79" i="1" s="1"/>
  <c r="J79" i="1"/>
  <c r="K79" i="1" s="1"/>
  <c r="L79" i="1" s="1"/>
  <c r="P132" i="24"/>
  <c r="Q132" i="24" s="1"/>
  <c r="R132" i="24" s="1"/>
  <c r="M132" i="24"/>
  <c r="N132" i="24" s="1"/>
  <c r="O132" i="24" s="1"/>
  <c r="J132" i="24"/>
  <c r="K132" i="24" s="1"/>
  <c r="L132" i="24" s="1"/>
  <c r="P14" i="11"/>
  <c r="Q14" i="11" s="1"/>
  <c r="R14" i="11" s="1"/>
  <c r="M14" i="11"/>
  <c r="N14" i="11" s="1"/>
  <c r="O14" i="11" s="1"/>
  <c r="J14" i="11"/>
  <c r="K14" i="11" s="1"/>
  <c r="L14" i="11" s="1"/>
  <c r="P62" i="14"/>
  <c r="Q62" i="14" s="1"/>
  <c r="R62" i="14" s="1"/>
  <c r="M62" i="14"/>
  <c r="N62" i="14" s="1"/>
  <c r="O62" i="14" s="1"/>
  <c r="J62" i="14"/>
  <c r="K62" i="14" s="1"/>
  <c r="L62" i="14" s="1"/>
  <c r="K63" i="16"/>
  <c r="L63" i="16" s="1"/>
  <c r="M63" i="16" s="1"/>
  <c r="Q63" i="16"/>
  <c r="R63" i="16" s="1"/>
  <c r="S63" i="16" s="1"/>
  <c r="N63" i="16"/>
  <c r="O63" i="16" s="1"/>
  <c r="P63" i="16" s="1"/>
  <c r="P94" i="14"/>
  <c r="P98" i="14" s="1"/>
  <c r="P115" i="14" s="1"/>
  <c r="M94" i="14"/>
  <c r="J94" i="14"/>
  <c r="J98" i="14" s="1"/>
  <c r="J115" i="14" s="1"/>
  <c r="Q49" i="27"/>
  <c r="I62" i="15"/>
  <c r="I161" i="15" s="1"/>
  <c r="J75" i="13"/>
  <c r="J92" i="13" s="1"/>
  <c r="J117" i="13" s="1"/>
  <c r="P75" i="13"/>
  <c r="M75" i="13"/>
  <c r="M60" i="11"/>
  <c r="N60" i="11" s="1"/>
  <c r="J60" i="11"/>
  <c r="P60" i="11"/>
  <c r="I70" i="11"/>
  <c r="I113" i="11" s="1"/>
  <c r="M80" i="11"/>
  <c r="N80" i="11" s="1"/>
  <c r="O80" i="11" s="1"/>
  <c r="J80" i="11"/>
  <c r="K80" i="11" s="1"/>
  <c r="L80" i="11" s="1"/>
  <c r="P80" i="11"/>
  <c r="Q80" i="11" s="1"/>
  <c r="R80" i="11" s="1"/>
  <c r="M84" i="17"/>
  <c r="J84" i="17"/>
  <c r="K84" i="17" s="1"/>
  <c r="P84" i="17"/>
  <c r="J97" i="1"/>
  <c r="K97" i="1" s="1"/>
  <c r="P97" i="1"/>
  <c r="P101" i="1" s="1"/>
  <c r="P118" i="1" s="1"/>
  <c r="M97" i="1"/>
  <c r="N97" i="1" s="1"/>
  <c r="O97" i="1" s="1"/>
  <c r="J76" i="10"/>
  <c r="K76" i="10" s="1"/>
  <c r="L76" i="10" s="1"/>
  <c r="P76" i="10"/>
  <c r="Q76" i="10" s="1"/>
  <c r="R76" i="10" s="1"/>
  <c r="M76" i="10"/>
  <c r="N76" i="10" s="1"/>
  <c r="O76" i="10" s="1"/>
  <c r="M166" i="24"/>
  <c r="N166" i="24" s="1"/>
  <c r="O166" i="24" s="1"/>
  <c r="J166" i="24"/>
  <c r="K166" i="24" s="1"/>
  <c r="L166" i="24" s="1"/>
  <c r="P166" i="24"/>
  <c r="Q166" i="24" s="1"/>
  <c r="R166" i="24" s="1"/>
  <c r="M89" i="9"/>
  <c r="N89" i="9" s="1"/>
  <c r="O89" i="9" s="1"/>
  <c r="J89" i="9"/>
  <c r="K89" i="9" s="1"/>
  <c r="L89" i="9" s="1"/>
  <c r="P89" i="9"/>
  <c r="Q89" i="9" s="1"/>
  <c r="R89" i="9" s="1"/>
  <c r="J99" i="7"/>
  <c r="K99" i="7" s="1"/>
  <c r="L99" i="7" s="1"/>
  <c r="P99" i="7"/>
  <c r="Q99" i="7" s="1"/>
  <c r="R99" i="7" s="1"/>
  <c r="M99" i="7"/>
  <c r="N99" i="7" s="1"/>
  <c r="O99" i="7" s="1"/>
  <c r="M92" i="15"/>
  <c r="N92" i="15" s="1"/>
  <c r="O92" i="15" s="1"/>
  <c r="P92" i="15"/>
  <c r="Q92" i="15" s="1"/>
  <c r="R92" i="15" s="1"/>
  <c r="J92" i="15"/>
  <c r="K92" i="15" s="1"/>
  <c r="L92" i="15" s="1"/>
  <c r="P116" i="24"/>
  <c r="Q116" i="24" s="1"/>
  <c r="R116" i="24" s="1"/>
  <c r="M116" i="24"/>
  <c r="N116" i="24" s="1"/>
  <c r="O116" i="24" s="1"/>
  <c r="J116" i="24"/>
  <c r="K116" i="24" s="1"/>
  <c r="L116" i="24" s="1"/>
  <c r="P104" i="15"/>
  <c r="Q104" i="15" s="1"/>
  <c r="R104" i="15" s="1"/>
  <c r="J104" i="15"/>
  <c r="K104" i="15" s="1"/>
  <c r="L104" i="15" s="1"/>
  <c r="M104" i="15"/>
  <c r="N104" i="15" s="1"/>
  <c r="O104" i="15" s="1"/>
  <c r="M57" i="27"/>
  <c r="P57" i="27"/>
  <c r="J57" i="27"/>
  <c r="I67" i="27"/>
  <c r="I114" i="27" s="1"/>
  <c r="P43" i="17"/>
  <c r="P45" i="17" s="1"/>
  <c r="P115" i="17" s="1"/>
  <c r="M43" i="17"/>
  <c r="N43" i="17" s="1"/>
  <c r="O43" i="17" s="1"/>
  <c r="J43" i="17"/>
  <c r="K43" i="17" s="1"/>
  <c r="P19" i="7"/>
  <c r="P24" i="7" s="1"/>
  <c r="M19" i="7"/>
  <c r="J19" i="7"/>
  <c r="K19" i="7" s="1"/>
  <c r="J76" i="9"/>
  <c r="K76" i="9" s="1"/>
  <c r="L76" i="9" s="1"/>
  <c r="P76" i="9"/>
  <c r="Q76" i="9" s="1"/>
  <c r="R76" i="9" s="1"/>
  <c r="M76" i="9"/>
  <c r="J67" i="7"/>
  <c r="K67" i="7" s="1"/>
  <c r="L67" i="7" s="1"/>
  <c r="P67" i="7"/>
  <c r="Q67" i="7" s="1"/>
  <c r="R67" i="7" s="1"/>
  <c r="M67" i="7"/>
  <c r="N67" i="7" s="1"/>
  <c r="O67" i="7" s="1"/>
  <c r="J57" i="1"/>
  <c r="K57" i="1" s="1"/>
  <c r="P57" i="1"/>
  <c r="P114" i="1" s="1"/>
  <c r="M57" i="1"/>
  <c r="I67" i="1"/>
  <c r="J143" i="24"/>
  <c r="K143" i="24" s="1"/>
  <c r="L143" i="24" s="1"/>
  <c r="P143" i="24"/>
  <c r="Q143" i="24" s="1"/>
  <c r="R143" i="24" s="1"/>
  <c r="M143" i="24"/>
  <c r="N143" i="24" s="1"/>
  <c r="O143" i="24" s="1"/>
  <c r="P121" i="15"/>
  <c r="Q121" i="15" s="1"/>
  <c r="R121" i="15" s="1"/>
  <c r="J121" i="15"/>
  <c r="K121" i="15" s="1"/>
  <c r="L121" i="15" s="1"/>
  <c r="M121" i="15"/>
  <c r="N121" i="15" s="1"/>
  <c r="O121" i="15" s="1"/>
  <c r="P49" i="10"/>
  <c r="Q49" i="10" s="1"/>
  <c r="M49" i="10"/>
  <c r="N49" i="10" s="1"/>
  <c r="O49" i="10" s="1"/>
  <c r="J49" i="10"/>
  <c r="K49" i="10" s="1"/>
  <c r="M14" i="1"/>
  <c r="N14" i="1" s="1"/>
  <c r="O14" i="1" s="1"/>
  <c r="J14" i="1"/>
  <c r="K14" i="1" s="1"/>
  <c r="L14" i="1" s="1"/>
  <c r="P14" i="1"/>
  <c r="Q14" i="1" s="1"/>
  <c r="R14" i="1" s="1"/>
  <c r="M134" i="24"/>
  <c r="N134" i="24" s="1"/>
  <c r="O134" i="24" s="1"/>
  <c r="J134" i="24"/>
  <c r="K134" i="24" s="1"/>
  <c r="L134" i="24" s="1"/>
  <c r="P134" i="24"/>
  <c r="Q134" i="24" s="1"/>
  <c r="R134" i="24" s="1"/>
  <c r="J22" i="14"/>
  <c r="K22" i="14" s="1"/>
  <c r="L22" i="14" s="1"/>
  <c r="P22" i="14"/>
  <c r="Q22" i="14" s="1"/>
  <c r="R22" i="14" s="1"/>
  <c r="M22" i="14"/>
  <c r="M26" i="14" s="1"/>
  <c r="M105" i="14" s="1"/>
  <c r="P11" i="27"/>
  <c r="M11" i="27"/>
  <c r="I16" i="27"/>
  <c r="I106" i="27" s="1"/>
  <c r="J11" i="27"/>
  <c r="P68" i="11"/>
  <c r="Q68" i="11" s="1"/>
  <c r="R68" i="11" s="1"/>
  <c r="M68" i="11"/>
  <c r="N68" i="11" s="1"/>
  <c r="O68" i="11" s="1"/>
  <c r="J68" i="11"/>
  <c r="K68" i="11" s="1"/>
  <c r="L68" i="11" s="1"/>
  <c r="P63" i="9"/>
  <c r="Q63" i="9" s="1"/>
  <c r="R63" i="9" s="1"/>
  <c r="M63" i="9"/>
  <c r="N63" i="9" s="1"/>
  <c r="O63" i="9" s="1"/>
  <c r="J63" i="9"/>
  <c r="K63" i="9" s="1"/>
  <c r="L63" i="9" s="1"/>
  <c r="P66" i="13"/>
  <c r="M66" i="13"/>
  <c r="J66" i="13"/>
  <c r="K66" i="13" s="1"/>
  <c r="L66" i="13" s="1"/>
  <c r="J57" i="9"/>
  <c r="K57" i="9" s="1"/>
  <c r="P57" i="9"/>
  <c r="Q57" i="9" s="1"/>
  <c r="M57" i="9"/>
  <c r="N57" i="9" s="1"/>
  <c r="I67" i="9"/>
  <c r="I114" i="9" s="1"/>
  <c r="P114" i="24"/>
  <c r="Q114" i="24" s="1"/>
  <c r="R114" i="24" s="1"/>
  <c r="M114" i="24"/>
  <c r="N114" i="24" s="1"/>
  <c r="O114" i="24" s="1"/>
  <c r="J114" i="24"/>
  <c r="K114" i="24" s="1"/>
  <c r="L114" i="24" s="1"/>
  <c r="J57" i="10"/>
  <c r="K57" i="10" s="1"/>
  <c r="P57" i="10"/>
  <c r="M57" i="10"/>
  <c r="N57" i="10" s="1"/>
  <c r="I67" i="10"/>
  <c r="I114" i="10" s="1"/>
  <c r="J85" i="11"/>
  <c r="K85" i="11" s="1"/>
  <c r="L85" i="11" s="1"/>
  <c r="P85" i="11"/>
  <c r="Q85" i="11" s="1"/>
  <c r="R85" i="11" s="1"/>
  <c r="M85" i="11"/>
  <c r="N85" i="11" s="1"/>
  <c r="O85" i="11" s="1"/>
  <c r="P97" i="9"/>
  <c r="Q97" i="9" s="1"/>
  <c r="M97" i="9"/>
  <c r="N97" i="9" s="1"/>
  <c r="J97" i="9"/>
  <c r="J101" i="9" s="1"/>
  <c r="J118" i="9" s="1"/>
  <c r="M86" i="1"/>
  <c r="N86" i="1" s="1"/>
  <c r="O86" i="1" s="1"/>
  <c r="J86" i="1"/>
  <c r="K86" i="1" s="1"/>
  <c r="L86" i="1" s="1"/>
  <c r="P86" i="1"/>
  <c r="Q86" i="1" s="1"/>
  <c r="R86" i="1" s="1"/>
  <c r="I51" i="1"/>
  <c r="I112" i="1" s="1"/>
  <c r="M49" i="1"/>
  <c r="N49" i="1" s="1"/>
  <c r="O49" i="1" s="1"/>
  <c r="P49" i="1"/>
  <c r="P51" i="1" s="1"/>
  <c r="P112" i="1" s="1"/>
  <c r="J49" i="1"/>
  <c r="K49" i="1" s="1"/>
  <c r="J69" i="7"/>
  <c r="K69" i="7" s="1"/>
  <c r="L69" i="7" s="1"/>
  <c r="P69" i="7"/>
  <c r="Q69" i="7" s="1"/>
  <c r="R69" i="7" s="1"/>
  <c r="M69" i="7"/>
  <c r="N69" i="7" s="1"/>
  <c r="O69" i="7" s="1"/>
  <c r="P180" i="24"/>
  <c r="Q180" i="24" s="1"/>
  <c r="R180" i="24" s="1"/>
  <c r="J180" i="24"/>
  <c r="K180" i="24" s="1"/>
  <c r="L180" i="24" s="1"/>
  <c r="M180" i="24"/>
  <c r="N180" i="24" s="1"/>
  <c r="O180" i="24" s="1"/>
  <c r="N112" i="16"/>
  <c r="C121" i="27"/>
  <c r="M102" i="15"/>
  <c r="N102" i="15" s="1"/>
  <c r="O102" i="15" s="1"/>
  <c r="P102" i="15"/>
  <c r="Q102" i="15" s="1"/>
  <c r="R102" i="15" s="1"/>
  <c r="J102" i="15"/>
  <c r="K102" i="15" s="1"/>
  <c r="L102" i="15" s="1"/>
  <c r="P99" i="10"/>
  <c r="Q99" i="10" s="1"/>
  <c r="R99" i="10" s="1"/>
  <c r="M99" i="10"/>
  <c r="N99" i="10" s="1"/>
  <c r="J99" i="10"/>
  <c r="K99" i="10" s="1"/>
  <c r="L99" i="10" s="1"/>
  <c r="L27" i="16"/>
  <c r="M27" i="16" s="1"/>
  <c r="T27" i="16" s="1"/>
  <c r="M11" i="1"/>
  <c r="N11" i="1" s="1"/>
  <c r="J11" i="1"/>
  <c r="P11" i="1"/>
  <c r="Q11" i="1" s="1"/>
  <c r="R11" i="1" s="1"/>
  <c r="M80" i="25"/>
  <c r="N80" i="25" s="1"/>
  <c r="O80" i="25" s="1"/>
  <c r="P80" i="25"/>
  <c r="Q80" i="25" s="1"/>
  <c r="R80" i="25" s="1"/>
  <c r="J80" i="25"/>
  <c r="K80" i="25" s="1"/>
  <c r="L80" i="25" s="1"/>
  <c r="M102" i="17"/>
  <c r="M106" i="17" s="1"/>
  <c r="M123" i="17" s="1"/>
  <c r="P102" i="17"/>
  <c r="P106" i="17" s="1"/>
  <c r="P123" i="17" s="1"/>
  <c r="J102" i="17"/>
  <c r="K102" i="17" s="1"/>
  <c r="J96" i="11"/>
  <c r="K96" i="11" s="1"/>
  <c r="P96" i="11"/>
  <c r="M96" i="11"/>
  <c r="I111" i="7"/>
  <c r="I128" i="7" s="1"/>
  <c r="M107" i="7"/>
  <c r="M111" i="7" s="1"/>
  <c r="M128" i="7" s="1"/>
  <c r="P107" i="7"/>
  <c r="Q107" i="7" s="1"/>
  <c r="J107" i="7"/>
  <c r="J111" i="7" s="1"/>
  <c r="J128" i="7" s="1"/>
  <c r="J49" i="24"/>
  <c r="K49" i="24" s="1"/>
  <c r="L49" i="24" s="1"/>
  <c r="P49" i="24"/>
  <c r="Q49" i="24" s="1"/>
  <c r="R49" i="24" s="1"/>
  <c r="M49" i="24"/>
  <c r="N49" i="24" s="1"/>
  <c r="O49" i="24" s="1"/>
  <c r="P79" i="9"/>
  <c r="Q79" i="9" s="1"/>
  <c r="R79" i="9" s="1"/>
  <c r="M79" i="9"/>
  <c r="N79" i="9" s="1"/>
  <c r="O79" i="9" s="1"/>
  <c r="J79" i="9"/>
  <c r="K79" i="9" s="1"/>
  <c r="L79" i="9" s="1"/>
  <c r="P89" i="10"/>
  <c r="Q89" i="10" s="1"/>
  <c r="R89" i="10" s="1"/>
  <c r="J89" i="10"/>
  <c r="K89" i="10" s="1"/>
  <c r="L89" i="10" s="1"/>
  <c r="M89" i="10"/>
  <c r="N89" i="10" s="1"/>
  <c r="O89" i="10" s="1"/>
  <c r="N37" i="27"/>
  <c r="M39" i="27"/>
  <c r="M110" i="27" s="1"/>
  <c r="P28" i="25"/>
  <c r="M28" i="25"/>
  <c r="J28" i="25"/>
  <c r="H121" i="1"/>
  <c r="M90" i="25"/>
  <c r="N90" i="25" s="1"/>
  <c r="O90" i="25" s="1"/>
  <c r="J90" i="25"/>
  <c r="K90" i="25" s="1"/>
  <c r="L90" i="25" s="1"/>
  <c r="P90" i="25"/>
  <c r="Q90" i="25" s="1"/>
  <c r="R90" i="25" s="1"/>
  <c r="M84" i="25"/>
  <c r="N84" i="25" s="1"/>
  <c r="O84" i="25" s="1"/>
  <c r="J84" i="25"/>
  <c r="K84" i="25" s="1"/>
  <c r="L84" i="25" s="1"/>
  <c r="P84" i="25"/>
  <c r="Q84" i="25" s="1"/>
  <c r="R84" i="25" s="1"/>
  <c r="P66" i="20"/>
  <c r="M66" i="20"/>
  <c r="J66" i="20"/>
  <c r="I70" i="20"/>
  <c r="I98" i="20" s="1"/>
  <c r="I105" i="20" s="1"/>
  <c r="F119" i="16"/>
  <c r="G122" i="13"/>
  <c r="P14" i="10"/>
  <c r="Q14" i="10" s="1"/>
  <c r="R14" i="10" s="1"/>
  <c r="M14" i="10"/>
  <c r="N14" i="10" s="1"/>
  <c r="O14" i="10" s="1"/>
  <c r="J14" i="10"/>
  <c r="K14" i="10" s="1"/>
  <c r="L14" i="10" s="1"/>
  <c r="P86" i="15"/>
  <c r="Q86" i="15" s="1"/>
  <c r="R86" i="15" s="1"/>
  <c r="J86" i="15"/>
  <c r="K86" i="15" s="1"/>
  <c r="L86" i="15" s="1"/>
  <c r="M86" i="15"/>
  <c r="N86" i="15" s="1"/>
  <c r="O86" i="15" s="1"/>
  <c r="R95" i="7"/>
  <c r="L95" i="7"/>
  <c r="J28" i="24"/>
  <c r="K28" i="24" s="1"/>
  <c r="L28" i="24" s="1"/>
  <c r="M28" i="24"/>
  <c r="P28" i="24"/>
  <c r="I59" i="7"/>
  <c r="I122" i="7" s="1"/>
  <c r="S115" i="7"/>
  <c r="C20" i="21" s="1"/>
  <c r="S90" i="1"/>
  <c r="S115" i="1" s="1"/>
  <c r="M13" i="21" s="1"/>
  <c r="L115" i="1"/>
  <c r="S74" i="15"/>
  <c r="S24" i="10"/>
  <c r="K120" i="10"/>
  <c r="S78" i="14"/>
  <c r="K50" i="17"/>
  <c r="L50" i="17" s="1"/>
  <c r="U33" i="15"/>
  <c r="T106" i="24"/>
  <c r="T240" i="24" s="1"/>
  <c r="O23" i="21" s="1"/>
  <c r="M55" i="20"/>
  <c r="M94" i="20" s="1"/>
  <c r="L44" i="21"/>
  <c r="N39" i="10"/>
  <c r="N110" i="10" s="1"/>
  <c r="O39" i="10"/>
  <c r="O110" i="10" s="1"/>
  <c r="M39" i="10"/>
  <c r="M110" i="10" s="1"/>
  <c r="P59" i="16"/>
  <c r="P112" i="16" s="1"/>
  <c r="S61" i="11"/>
  <c r="R113" i="24"/>
  <c r="Q148" i="24"/>
  <c r="S67" i="13"/>
  <c r="L114" i="13"/>
  <c r="S63" i="14"/>
  <c r="O69" i="11"/>
  <c r="O112" i="11" s="1"/>
  <c r="K89" i="16"/>
  <c r="S145" i="24"/>
  <c r="O164" i="15"/>
  <c r="S99" i="15"/>
  <c r="O113" i="24"/>
  <c r="I75" i="17"/>
  <c r="I119" i="17" s="1"/>
  <c r="S58" i="17"/>
  <c r="S116" i="17" s="1"/>
  <c r="L72" i="17"/>
  <c r="O72" i="17"/>
  <c r="O74" i="17" s="1"/>
  <c r="K125" i="17"/>
  <c r="I45" i="17"/>
  <c r="I115" i="17" s="1"/>
  <c r="G126" i="17"/>
  <c r="I16" i="17"/>
  <c r="I111" i="17" s="1"/>
  <c r="I106" i="17"/>
  <c r="I123" i="17" s="1"/>
  <c r="G119" i="16"/>
  <c r="R118" i="16"/>
  <c r="J89" i="16"/>
  <c r="J114" i="16" s="1"/>
  <c r="I26" i="14"/>
  <c r="I105" i="14" s="1"/>
  <c r="M48" i="14"/>
  <c r="M109" i="14" s="1"/>
  <c r="S44" i="14"/>
  <c r="S67" i="11"/>
  <c r="O41" i="11"/>
  <c r="O108" i="11" s="1"/>
  <c r="S39" i="11"/>
  <c r="S41" i="11" s="1"/>
  <c r="S108" i="11" s="1"/>
  <c r="C34" i="21" s="1"/>
  <c r="K62" i="24"/>
  <c r="L62" i="24" s="1"/>
  <c r="J241" i="24"/>
  <c r="H249" i="24"/>
  <c r="Q130" i="15"/>
  <c r="R130" i="15" s="1"/>
  <c r="K130" i="15"/>
  <c r="L130" i="15" s="1"/>
  <c r="H172" i="15"/>
  <c r="K125" i="15"/>
  <c r="L125" i="15" s="1"/>
  <c r="R72" i="7"/>
  <c r="O72" i="7"/>
  <c r="K55" i="7"/>
  <c r="L55" i="7" s="1"/>
  <c r="N55" i="7"/>
  <c r="O55" i="7" s="1"/>
  <c r="I101" i="7"/>
  <c r="I126" i="7" s="1"/>
  <c r="G131" i="7"/>
  <c r="F121" i="1"/>
  <c r="I29" i="10"/>
  <c r="I108" i="10" s="1"/>
  <c r="K27" i="10"/>
  <c r="L27" i="10" s="1"/>
  <c r="L29" i="10" s="1"/>
  <c r="L108" i="10" s="1"/>
  <c r="N120" i="10"/>
  <c r="G121" i="9"/>
  <c r="K120" i="9"/>
  <c r="H121" i="9"/>
  <c r="Q111" i="24"/>
  <c r="P241" i="24"/>
  <c r="H122" i="25"/>
  <c r="N111" i="24"/>
  <c r="M241" i="24"/>
  <c r="S24" i="9"/>
  <c r="F121" i="9"/>
  <c r="F122" i="13"/>
  <c r="S28" i="9"/>
  <c r="S107" i="9" s="1"/>
  <c r="C9" i="21" s="1"/>
  <c r="I44" i="15"/>
  <c r="I159" i="15" s="1"/>
  <c r="G249" i="24"/>
  <c r="G172" i="15"/>
  <c r="S86" i="7"/>
  <c r="S118" i="16"/>
  <c r="H120" i="11"/>
  <c r="D122" i="25"/>
  <c r="I106" i="24"/>
  <c r="H121" i="10"/>
  <c r="I101" i="1"/>
  <c r="I118" i="1" s="1"/>
  <c r="G118" i="14"/>
  <c r="S14" i="24"/>
  <c r="I30" i="13"/>
  <c r="I109" i="13" s="1"/>
  <c r="S15" i="1"/>
  <c r="S105" i="1" s="1"/>
  <c r="M8" i="21" s="1"/>
  <c r="I101" i="10"/>
  <c r="I118" i="10" s="1"/>
  <c r="G121" i="1"/>
  <c r="K75" i="15"/>
  <c r="I90" i="11"/>
  <c r="I115" i="11" s="1"/>
  <c r="G121" i="10"/>
  <c r="Q120" i="10"/>
  <c r="S90" i="9"/>
  <c r="S115" i="9" s="1"/>
  <c r="C13" i="21" s="1"/>
  <c r="Q120" i="9"/>
  <c r="F121" i="10"/>
  <c r="T52" i="7"/>
  <c r="T59" i="7" s="1"/>
  <c r="T122" i="7" s="1"/>
  <c r="E23" i="21" s="1"/>
  <c r="F131" i="7"/>
  <c r="F120" i="11"/>
  <c r="T122" i="25"/>
  <c r="G122" i="25"/>
  <c r="I72" i="24"/>
  <c r="I238" i="24" s="1"/>
  <c r="U30" i="25"/>
  <c r="U109" i="25" s="1"/>
  <c r="U122" i="25" s="1"/>
  <c r="I228" i="24"/>
  <c r="I246" i="24" s="1"/>
  <c r="T88" i="16"/>
  <c r="T113" i="16" s="1"/>
  <c r="T58" i="16"/>
  <c r="S81" i="7"/>
  <c r="R20" i="22"/>
  <c r="R22" i="22" s="1"/>
  <c r="R52" i="22" s="1"/>
  <c r="R63" i="22" s="1"/>
  <c r="T62" i="15"/>
  <c r="T161" i="15" s="1"/>
  <c r="J22" i="21" s="1"/>
  <c r="U25" i="24"/>
  <c r="U201" i="24"/>
  <c r="U244" i="24" s="1"/>
  <c r="P25" i="21" s="1"/>
  <c r="S18" i="24"/>
  <c r="S63" i="1"/>
  <c r="S139" i="24"/>
  <c r="S61" i="1"/>
  <c r="S193" i="24"/>
  <c r="S191" i="24"/>
  <c r="S218" i="24"/>
  <c r="S96" i="15"/>
  <c r="S80" i="13"/>
  <c r="S164" i="24"/>
  <c r="S84" i="13"/>
  <c r="S100" i="24"/>
  <c r="S169" i="24"/>
  <c r="T61" i="16"/>
  <c r="S82" i="13"/>
  <c r="T97" i="16"/>
  <c r="S62" i="11"/>
  <c r="S81" i="1"/>
  <c r="T81" i="16"/>
  <c r="S69" i="17"/>
  <c r="S173" i="24"/>
  <c r="S87" i="13"/>
  <c r="S119" i="15"/>
  <c r="K41" i="20"/>
  <c r="K92" i="20" s="1"/>
  <c r="L41" i="20"/>
  <c r="L92" i="20" s="1"/>
  <c r="S66" i="24"/>
  <c r="S187" i="24"/>
  <c r="S83" i="1"/>
  <c r="M39" i="9"/>
  <c r="M110" i="9" s="1"/>
  <c r="U27" i="20"/>
  <c r="U41" i="20" s="1"/>
  <c r="U92" i="20" s="1"/>
  <c r="K45" i="21" s="1"/>
  <c r="S109" i="7"/>
  <c r="S88" i="17"/>
  <c r="S58" i="15"/>
  <c r="T29" i="16"/>
  <c r="S73" i="15"/>
  <c r="S84" i="7"/>
  <c r="S123" i="24"/>
  <c r="S98" i="24"/>
  <c r="S71" i="17"/>
  <c r="S53" i="17"/>
  <c r="T31" i="16"/>
  <c r="S213" i="24"/>
  <c r="S63" i="10"/>
  <c r="T74" i="16"/>
  <c r="S25" i="17"/>
  <c r="K119" i="11"/>
  <c r="S60" i="15"/>
  <c r="S171" i="24"/>
  <c r="S99" i="9"/>
  <c r="L118" i="16"/>
  <c r="S68" i="24"/>
  <c r="S88" i="15"/>
  <c r="S77" i="15"/>
  <c r="S64" i="24"/>
  <c r="S141" i="24"/>
  <c r="S222" i="24"/>
  <c r="S94" i="15"/>
  <c r="S209" i="24"/>
  <c r="S104" i="24"/>
  <c r="S64" i="11"/>
  <c r="S133" i="15"/>
  <c r="S22" i="7"/>
  <c r="S121" i="24"/>
  <c r="S77" i="13"/>
  <c r="K123" i="7"/>
  <c r="K117" i="14"/>
  <c r="S83" i="14"/>
  <c r="S224" i="24"/>
  <c r="S45" i="24"/>
  <c r="S81" i="9"/>
  <c r="S215" i="24"/>
  <c r="S94" i="17"/>
  <c r="S182" i="24"/>
  <c r="U119" i="16"/>
  <c r="T96" i="16"/>
  <c r="T79" i="15"/>
  <c r="T163" i="15" s="1"/>
  <c r="J23" i="21" s="1"/>
  <c r="S108" i="7"/>
  <c r="T135" i="15"/>
  <c r="K25" i="21" s="1"/>
  <c r="S76" i="14"/>
  <c r="S83" i="7"/>
  <c r="S70" i="7"/>
  <c r="N120" i="1"/>
  <c r="O118" i="16"/>
  <c r="T84" i="16"/>
  <c r="S93" i="24"/>
  <c r="S67" i="17"/>
  <c r="S220" i="24"/>
  <c r="S162" i="24"/>
  <c r="S56" i="14"/>
  <c r="S58" i="14"/>
  <c r="S60" i="14"/>
  <c r="S91" i="17"/>
  <c r="S81" i="10"/>
  <c r="S87" i="7"/>
  <c r="S66" i="11"/>
  <c r="S149" i="15"/>
  <c r="S90" i="15"/>
  <c r="T79" i="16"/>
  <c r="S70" i="24"/>
  <c r="S102" i="24"/>
  <c r="S130" i="24"/>
  <c r="S123" i="15"/>
  <c r="S178" i="24"/>
  <c r="S127" i="15"/>
  <c r="I51" i="9"/>
  <c r="I112" i="9" s="1"/>
  <c r="I91" i="10"/>
  <c r="I116" i="10" s="1"/>
  <c r="I201" i="24"/>
  <c r="I244" i="24" s="1"/>
  <c r="S56" i="10"/>
  <c r="I51" i="10"/>
  <c r="I112" i="10" s="1"/>
  <c r="L15" i="11"/>
  <c r="S13" i="11"/>
  <c r="I100" i="11"/>
  <c r="I117" i="11" s="1"/>
  <c r="F249" i="24"/>
  <c r="O15" i="11"/>
  <c r="O104" i="11" s="1"/>
  <c r="N104" i="11"/>
  <c r="N119" i="11" s="1"/>
  <c r="I92" i="13"/>
  <c r="I117" i="13" s="1"/>
  <c r="I242" i="24"/>
  <c r="I91" i="9"/>
  <c r="I116" i="9" s="1"/>
  <c r="I37" i="7"/>
  <c r="I118" i="7" s="1"/>
  <c r="I29" i="17"/>
  <c r="I113" i="17" s="1"/>
  <c r="I52" i="13"/>
  <c r="I113" i="13" s="1"/>
  <c r="I91" i="1"/>
  <c r="I116" i="1" s="1"/>
  <c r="P41" i="16"/>
  <c r="P43" i="16" s="1"/>
  <c r="P108" i="16" s="1"/>
  <c r="O43" i="16"/>
  <c r="O108" i="16" s="1"/>
  <c r="I54" i="11"/>
  <c r="I111" i="11" s="1"/>
  <c r="F172" i="15"/>
  <c r="I17" i="13"/>
  <c r="I107" i="13" s="1"/>
  <c r="I151" i="15"/>
  <c r="I169" i="15" s="1"/>
  <c r="L35" i="14"/>
  <c r="L106" i="14" s="1"/>
  <c r="S33" i="14"/>
  <c r="S35" i="14" s="1"/>
  <c r="S106" i="14" s="1"/>
  <c r="J13" i="16"/>
  <c r="J104" i="16" s="1"/>
  <c r="F126" i="17"/>
  <c r="I30" i="11"/>
  <c r="I107" i="11" s="1"/>
  <c r="I114" i="1"/>
  <c r="I13" i="14"/>
  <c r="I103" i="14" s="1"/>
  <c r="I88" i="14"/>
  <c r="I113" i="14" s="1"/>
  <c r="J53" i="16"/>
  <c r="J110" i="16" s="1"/>
  <c r="I98" i="14"/>
  <c r="I115" i="14" s="1"/>
  <c r="N99" i="16"/>
  <c r="N116" i="16" s="1"/>
  <c r="O95" i="16"/>
  <c r="I51" i="24"/>
  <c r="I236" i="24" s="1"/>
  <c r="L118" i="17"/>
  <c r="S64" i="17"/>
  <c r="I135" i="15"/>
  <c r="I167" i="15" s="1"/>
  <c r="I96" i="17"/>
  <c r="I121" i="17" s="1"/>
  <c r="F118" i="14"/>
  <c r="I79" i="15"/>
  <c r="I163" i="15" s="1"/>
  <c r="R15" i="11"/>
  <c r="R104" i="11" s="1"/>
  <c r="R119" i="11" s="1"/>
  <c r="Q104" i="11"/>
  <c r="Q119" i="11" s="1"/>
  <c r="S66" i="7"/>
  <c r="R43" i="15"/>
  <c r="R158" i="15" s="1"/>
  <c r="M52" i="16"/>
  <c r="T50" i="16"/>
  <c r="S93" i="14"/>
  <c r="L97" i="14"/>
  <c r="S59" i="11"/>
  <c r="N82" i="11"/>
  <c r="K100" i="25"/>
  <c r="L100" i="25" s="1"/>
  <c r="N100" i="25"/>
  <c r="O100" i="25" s="1"/>
  <c r="N87" i="25"/>
  <c r="O87" i="25" s="1"/>
  <c r="E122" i="25"/>
  <c r="I30" i="25"/>
  <c r="I109" i="25" s="1"/>
  <c r="S65" i="20"/>
  <c r="I52" i="25"/>
  <c r="I113" i="25" s="1"/>
  <c r="R113" i="9"/>
  <c r="S56" i="9"/>
  <c r="N99" i="1"/>
  <c r="I92" i="25"/>
  <c r="I117" i="25" s="1"/>
  <c r="I40" i="25"/>
  <c r="I111" i="25" s="1"/>
  <c r="L54" i="20"/>
  <c r="L93" i="20" s="1"/>
  <c r="S52" i="20"/>
  <c r="F122" i="25"/>
  <c r="I16" i="25"/>
  <c r="I107" i="25" s="1"/>
  <c r="R105" i="10"/>
  <c r="S15" i="10"/>
  <c r="S105" i="10" s="1"/>
  <c r="H8" i="21" s="1"/>
  <c r="O38" i="9"/>
  <c r="O109" i="9" s="1"/>
  <c r="S36" i="9"/>
  <c r="S38" i="9" s="1"/>
  <c r="S109" i="9" s="1"/>
  <c r="C10" i="21" s="1"/>
  <c r="N25" i="10"/>
  <c r="O25" i="10" s="1"/>
  <c r="S25" i="10" s="1"/>
  <c r="M29" i="10"/>
  <c r="M108" i="10" s="1"/>
  <c r="S55" i="14"/>
  <c r="L110" i="14"/>
  <c r="N59" i="10"/>
  <c r="K104" i="20"/>
  <c r="O211" i="24"/>
  <c r="C122" i="25"/>
  <c r="N87" i="24"/>
  <c r="S53" i="15"/>
  <c r="O61" i="15"/>
  <c r="O160" i="15" s="1"/>
  <c r="N56" i="15"/>
  <c r="Q60" i="25"/>
  <c r="R60" i="25" s="1"/>
  <c r="I102" i="25"/>
  <c r="I119" i="25" s="1"/>
  <c r="S60" i="9"/>
  <c r="N59" i="9"/>
  <c r="R15" i="17"/>
  <c r="Q110" i="17"/>
  <c r="O15" i="17"/>
  <c r="N110" i="17"/>
  <c r="N125" i="17" s="1"/>
  <c r="R111" i="9"/>
  <c r="S50" i="9"/>
  <c r="S111" i="9" s="1"/>
  <c r="C11" i="21" s="1"/>
  <c r="Q171" i="15"/>
  <c r="S56" i="7"/>
  <c r="S51" i="11"/>
  <c r="O53" i="11"/>
  <c r="N120" i="9"/>
  <c r="L100" i="7"/>
  <c r="L125" i="7" s="1"/>
  <c r="S48" i="1"/>
  <c r="O50" i="1"/>
  <c r="U35" i="24"/>
  <c r="K136" i="24"/>
  <c r="L136" i="24" s="1"/>
  <c r="Q136" i="24"/>
  <c r="R136" i="24" s="1"/>
  <c r="K127" i="24"/>
  <c r="L127" i="24" s="1"/>
  <c r="S127" i="24" s="1"/>
  <c r="N26" i="24"/>
  <c r="O26" i="24" s="1"/>
  <c r="U26" i="24" s="1"/>
  <c r="U32" i="15"/>
  <c r="U45" i="17"/>
  <c r="U115" i="17" s="1"/>
  <c r="P34" i="21" s="1"/>
  <c r="U29" i="24"/>
  <c r="Q25" i="1"/>
  <c r="R25" i="1" s="1"/>
  <c r="S25" i="1" s="1"/>
  <c r="Q47" i="1"/>
  <c r="R47" i="1" s="1"/>
  <c r="S47" i="1" s="1"/>
  <c r="S64" i="13"/>
  <c r="S49" i="13"/>
  <c r="M32" i="16"/>
  <c r="T28" i="16"/>
  <c r="S95" i="17"/>
  <c r="S120" i="17" s="1"/>
  <c r="O60" i="13"/>
  <c r="Q60" i="13" s="1"/>
  <c r="R60" i="13" s="1"/>
  <c r="O59" i="1"/>
  <c r="S59" i="1" s="1"/>
  <c r="S28" i="10"/>
  <c r="S107" i="10" s="1"/>
  <c r="H9" i="21" s="1"/>
  <c r="S45" i="14"/>
  <c r="S24" i="17"/>
  <c r="L28" i="17"/>
  <c r="L112" i="17" s="1"/>
  <c r="O114" i="13"/>
  <c r="S59" i="13"/>
  <c r="S27" i="13"/>
  <c r="O29" i="13"/>
  <c r="O108" i="13" s="1"/>
  <c r="R16" i="13"/>
  <c r="R106" i="13" s="1"/>
  <c r="Q106" i="13"/>
  <c r="Q121" i="13" s="1"/>
  <c r="N106" i="13"/>
  <c r="N121" i="13" s="1"/>
  <c r="O16" i="13"/>
  <c r="L108" i="13"/>
  <c r="U29" i="7"/>
  <c r="O45" i="13"/>
  <c r="U19" i="14"/>
  <c r="U26" i="14" s="1"/>
  <c r="U105" i="14" s="1"/>
  <c r="U118" i="14" s="1"/>
  <c r="S23" i="14"/>
  <c r="Q117" i="14"/>
  <c r="L59" i="15"/>
  <c r="K61" i="15"/>
  <c r="K160" i="15" s="1"/>
  <c r="L106" i="7"/>
  <c r="L110" i="7" s="1"/>
  <c r="L127" i="7" s="1"/>
  <c r="K110" i="7"/>
  <c r="K127" i="7" s="1"/>
  <c r="N11" i="9"/>
  <c r="M16" i="9"/>
  <c r="M106" i="9" s="1"/>
  <c r="I25" i="15"/>
  <c r="I157" i="15" s="1"/>
  <c r="I16" i="11"/>
  <c r="I105" i="11" s="1"/>
  <c r="I16" i="10"/>
  <c r="I106" i="10" s="1"/>
  <c r="K46" i="7"/>
  <c r="K119" i="7" s="1"/>
  <c r="L44" i="7"/>
  <c r="L46" i="7" s="1"/>
  <c r="L119" i="7" s="1"/>
  <c r="K58" i="7"/>
  <c r="K121" i="7" s="1"/>
  <c r="L54" i="7"/>
  <c r="L58" i="7" s="1"/>
  <c r="L121" i="7" s="1"/>
  <c r="S97" i="15"/>
  <c r="R164" i="15"/>
  <c r="L70" i="15"/>
  <c r="K78" i="15"/>
  <c r="K162" i="15" s="1"/>
  <c r="K93" i="15"/>
  <c r="J164" i="15"/>
  <c r="O53" i="20"/>
  <c r="O55" i="20" s="1"/>
  <c r="O94" i="20" s="1"/>
  <c r="N55" i="20"/>
  <c r="N94" i="20" s="1"/>
  <c r="N100" i="13"/>
  <c r="M102" i="13"/>
  <c r="M119" i="13" s="1"/>
  <c r="S96" i="10"/>
  <c r="R100" i="10"/>
  <c r="S59" i="14"/>
  <c r="O100" i="1"/>
  <c r="S98" i="1"/>
  <c r="O134" i="15"/>
  <c r="O166" i="15" s="1"/>
  <c r="S118" i="15"/>
  <c r="R50" i="24"/>
  <c r="S37" i="24"/>
  <c r="S26" i="17"/>
  <c r="O28" i="17"/>
  <c r="O29" i="11"/>
  <c r="S27" i="11"/>
  <c r="L116" i="15"/>
  <c r="K134" i="15"/>
  <c r="K166" i="15" s="1"/>
  <c r="L111" i="24"/>
  <c r="K241" i="24"/>
  <c r="S56" i="1"/>
  <c r="O101" i="13"/>
  <c r="S97" i="13"/>
  <c r="S63" i="13"/>
  <c r="R39" i="13"/>
  <c r="R110" i="13" s="1"/>
  <c r="S37" i="13"/>
  <c r="S39" i="13" s="1"/>
  <c r="S110" i="13" s="1"/>
  <c r="S68" i="17"/>
  <c r="S98" i="9"/>
  <c r="O100" i="9"/>
  <c r="N233" i="24"/>
  <c r="O19" i="24"/>
  <c r="S206" i="24"/>
  <c r="O227" i="24"/>
  <c r="R105" i="24"/>
  <c r="R239" i="24" s="1"/>
  <c r="S92" i="24"/>
  <c r="S101" i="17"/>
  <c r="O105" i="17"/>
  <c r="R28" i="1"/>
  <c r="S26" i="1"/>
  <c r="O24" i="15"/>
  <c r="O156" i="15" s="1"/>
  <c r="N156" i="15"/>
  <c r="N171" i="15" s="1"/>
  <c r="I29" i="9"/>
  <c r="I108" i="9" s="1"/>
  <c r="I20" i="24"/>
  <c r="I234" i="24" s="1"/>
  <c r="I24" i="7"/>
  <c r="I116" i="7" s="1"/>
  <c r="I16" i="1"/>
  <c r="I106" i="1" s="1"/>
  <c r="O116" i="13"/>
  <c r="S91" i="13"/>
  <c r="S116" i="13" s="1"/>
  <c r="O115" i="10"/>
  <c r="S90" i="10"/>
  <c r="S115" i="10" s="1"/>
  <c r="H13" i="21" s="1"/>
  <c r="Q233" i="24"/>
  <c r="R19" i="24"/>
  <c r="R233" i="24" s="1"/>
  <c r="N117" i="14"/>
  <c r="Q125" i="17"/>
  <c r="U21" i="11"/>
  <c r="N71" i="24"/>
  <c r="N237" i="24" s="1"/>
  <c r="O69" i="24"/>
  <c r="O71" i="24" s="1"/>
  <c r="O237" i="24" s="1"/>
  <c r="L69" i="24"/>
  <c r="K71" i="24"/>
  <c r="K237" i="24" s="1"/>
  <c r="M72" i="24"/>
  <c r="M238" i="24" s="1"/>
  <c r="R69" i="24"/>
  <c r="R71" i="24" s="1"/>
  <c r="R237" i="24" s="1"/>
  <c r="Q71" i="24"/>
  <c r="Q237" i="24" s="1"/>
  <c r="S51" i="13"/>
  <c r="S112" i="13" s="1"/>
  <c r="L112" i="13"/>
  <c r="S25" i="14"/>
  <c r="S104" i="14" s="1"/>
  <c r="L104" i="14"/>
  <c r="T98" i="16"/>
  <c r="T115" i="16" s="1"/>
  <c r="M115" i="16"/>
  <c r="R112" i="14"/>
  <c r="S87" i="14"/>
  <c r="S112" i="14" s="1"/>
  <c r="O96" i="14"/>
  <c r="O73" i="14"/>
  <c r="S73" i="14" s="1"/>
  <c r="L156" i="15"/>
  <c r="R50" i="10"/>
  <c r="S48" i="10"/>
  <c r="S47" i="14"/>
  <c r="S108" i="14" s="1"/>
  <c r="L108" i="14"/>
  <c r="R100" i="7"/>
  <c r="R125" i="7" s="1"/>
  <c r="S68" i="7"/>
  <c r="R44" i="7"/>
  <c r="R46" i="7" s="1"/>
  <c r="R119" i="7" s="1"/>
  <c r="Q46" i="7"/>
  <c r="Q119" i="7" s="1"/>
  <c r="R64" i="7"/>
  <c r="R123" i="7" s="1"/>
  <c r="Q123" i="7"/>
  <c r="R106" i="7"/>
  <c r="R110" i="7" s="1"/>
  <c r="R127" i="7" s="1"/>
  <c r="Q110" i="7"/>
  <c r="Q127" i="7" s="1"/>
  <c r="R54" i="7"/>
  <c r="R58" i="7" s="1"/>
  <c r="R121" i="7" s="1"/>
  <c r="Q58" i="7"/>
  <c r="Q121" i="7" s="1"/>
  <c r="S90" i="7"/>
  <c r="O100" i="7"/>
  <c r="O44" i="7"/>
  <c r="N46" i="7"/>
  <c r="N119" i="7" s="1"/>
  <c r="O106" i="7"/>
  <c r="N110" i="7"/>
  <c r="N127" i="7" s="1"/>
  <c r="O54" i="7"/>
  <c r="N58" i="7"/>
  <c r="N121" i="7" s="1"/>
  <c r="O64" i="7"/>
  <c r="O123" i="7" s="1"/>
  <c r="N123" i="7"/>
  <c r="S32" i="7"/>
  <c r="L36" i="7"/>
  <c r="L120" i="9"/>
  <c r="T42" i="7"/>
  <c r="T47" i="7" s="1"/>
  <c r="T120" i="7" s="1"/>
  <c r="E22" i="21" s="1"/>
  <c r="T34" i="10"/>
  <c r="T39" i="10" s="1"/>
  <c r="T110" i="10" s="1"/>
  <c r="U21" i="1"/>
  <c r="U21" i="17"/>
  <c r="U21" i="9"/>
  <c r="U22" i="13"/>
  <c r="U31" i="15"/>
  <c r="O31" i="14"/>
  <c r="N36" i="14"/>
  <c r="N107" i="14" s="1"/>
  <c r="Q27" i="24"/>
  <c r="R27" i="24" s="1"/>
  <c r="Q28" i="24"/>
  <c r="R28" i="24" s="1"/>
  <c r="U22" i="1"/>
  <c r="U21" i="10"/>
  <c r="L239" i="24"/>
  <c r="S200" i="24"/>
  <c r="S243" i="24" s="1"/>
  <c r="L243" i="24"/>
  <c r="O162" i="15"/>
  <c r="J29" i="1"/>
  <c r="J108" i="1" s="1"/>
  <c r="K27" i="1"/>
  <c r="L27" i="1" s="1"/>
  <c r="L29" i="1" s="1"/>
  <c r="L108" i="1" s="1"/>
  <c r="K11" i="9"/>
  <c r="K16" i="9" s="1"/>
  <c r="L72" i="16"/>
  <c r="K38" i="24"/>
  <c r="J42" i="11"/>
  <c r="J109" i="11" s="1"/>
  <c r="K40" i="11"/>
  <c r="J40" i="13"/>
  <c r="J111" i="13" s="1"/>
  <c r="K49" i="9"/>
  <c r="J51" i="9"/>
  <c r="J112" i="9" s="1"/>
  <c r="K43" i="16"/>
  <c r="K108" i="16" s="1"/>
  <c r="L41" i="16"/>
  <c r="P111" i="16"/>
  <c r="P118" i="16" s="1"/>
  <c r="T64" i="16"/>
  <c r="T111" i="16" s="1"/>
  <c r="U34" i="15"/>
  <c r="O158" i="15"/>
  <c r="K98" i="13"/>
  <c r="J102" i="13"/>
  <c r="J119" i="13" s="1"/>
  <c r="L59" i="16"/>
  <c r="K15" i="24"/>
  <c r="J20" i="24"/>
  <c r="J234" i="24" s="1"/>
  <c r="K11" i="1"/>
  <c r="L95" i="16"/>
  <c r="K99" i="16"/>
  <c r="K116" i="16" s="1"/>
  <c r="K34" i="14"/>
  <c r="J36" i="14"/>
  <c r="J107" i="14" s="1"/>
  <c r="J39" i="1"/>
  <c r="J110" i="1" s="1"/>
  <c r="K37" i="1"/>
  <c r="K53" i="20"/>
  <c r="J55" i="20"/>
  <c r="J94" i="20" s="1"/>
  <c r="K57" i="7"/>
  <c r="K97" i="9"/>
  <c r="K37" i="9"/>
  <c r="J39" i="9"/>
  <c r="J110" i="9" s="1"/>
  <c r="K57" i="17"/>
  <c r="N55" i="17"/>
  <c r="J39" i="10"/>
  <c r="J110" i="10" s="1"/>
  <c r="K37" i="10"/>
  <c r="L46" i="20"/>
  <c r="L48" i="20" s="1"/>
  <c r="K48" i="20"/>
  <c r="K80" i="20"/>
  <c r="K100" i="20" s="1"/>
  <c r="L76" i="20"/>
  <c r="L80" i="20" s="1"/>
  <c r="L100" i="20" s="1"/>
  <c r="L20" i="22"/>
  <c r="L22" i="22" s="1"/>
  <c r="L52" i="22" s="1"/>
  <c r="L63" i="22" s="1"/>
  <c r="K22" i="22"/>
  <c r="K52" i="22" s="1"/>
  <c r="K63" i="22" s="1"/>
  <c r="L56" i="24"/>
  <c r="N80" i="20"/>
  <c r="N100" i="20" s="1"/>
  <c r="O76" i="20"/>
  <c r="U22" i="11"/>
  <c r="U22" i="17"/>
  <c r="U22" i="9"/>
  <c r="U23" i="13"/>
  <c r="O30" i="15"/>
  <c r="R57" i="24"/>
  <c r="R76" i="20"/>
  <c r="R80" i="20" s="1"/>
  <c r="R100" i="20" s="1"/>
  <c r="U100" i="20" s="1"/>
  <c r="K49" i="21" s="1"/>
  <c r="L49" i="21" s="1"/>
  <c r="Q80" i="20"/>
  <c r="Q100" i="20" s="1"/>
  <c r="S24" i="16"/>
  <c r="S33" i="16" s="1"/>
  <c r="S106" i="16" s="1"/>
  <c r="V18" i="16"/>
  <c r="Q71" i="14"/>
  <c r="R71" i="14" s="1"/>
  <c r="Q85" i="24"/>
  <c r="R95" i="16"/>
  <c r="Q99" i="16"/>
  <c r="Q116" i="16" s="1"/>
  <c r="Q98" i="13"/>
  <c r="P102" i="13"/>
  <c r="P119" i="13" s="1"/>
  <c r="R141" i="15"/>
  <c r="Q11" i="9"/>
  <c r="R11" i="9" s="1"/>
  <c r="Q24" i="14"/>
  <c r="R24" i="14" s="1"/>
  <c r="Q11" i="14"/>
  <c r="P13" i="14"/>
  <c r="P103" i="14" s="1"/>
  <c r="P39" i="9"/>
  <c r="P110" i="9" s="1"/>
  <c r="Q37" i="9"/>
  <c r="Q27" i="9"/>
  <c r="R27" i="9" s="1"/>
  <c r="R72" i="16"/>
  <c r="S72" i="16" s="1"/>
  <c r="Q40" i="11"/>
  <c r="P42" i="11"/>
  <c r="P109" i="11" s="1"/>
  <c r="Q57" i="17"/>
  <c r="P36" i="14"/>
  <c r="P107" i="14" s="1"/>
  <c r="Q34" i="14"/>
  <c r="S42" i="15"/>
  <c r="T87" i="16"/>
  <c r="O34" i="9"/>
  <c r="N39" i="9"/>
  <c r="N110" i="9" s="1"/>
  <c r="O33" i="24"/>
  <c r="O44" i="9"/>
  <c r="P24" i="16"/>
  <c r="V19" i="16"/>
  <c r="O34" i="1"/>
  <c r="N39" i="1"/>
  <c r="N110" i="1" s="1"/>
  <c r="O44" i="1"/>
  <c r="O35" i="13"/>
  <c r="Q49" i="20"/>
  <c r="O54" i="20"/>
  <c r="O42" i="11"/>
  <c r="O109" i="11" s="1"/>
  <c r="T35" i="11"/>
  <c r="T42" i="11" s="1"/>
  <c r="T109" i="11" s="1"/>
  <c r="O20" i="22"/>
  <c r="N22" i="22"/>
  <c r="N52" i="22" s="1"/>
  <c r="N63" i="22" s="1"/>
  <c r="O46" i="20"/>
  <c r="N48" i="20"/>
  <c r="O34" i="17"/>
  <c r="R46" i="20"/>
  <c r="R48" i="20" s="1"/>
  <c r="Q48" i="20"/>
  <c r="R59" i="16"/>
  <c r="Q27" i="1"/>
  <c r="R27" i="1" s="1"/>
  <c r="P29" i="1"/>
  <c r="P108" i="1" s="1"/>
  <c r="P92" i="13"/>
  <c r="P117" i="13" s="1"/>
  <c r="Q75" i="13"/>
  <c r="R75" i="13" s="1"/>
  <c r="Q12" i="13"/>
  <c r="R12" i="13" s="1"/>
  <c r="Q38" i="24"/>
  <c r="Q49" i="9"/>
  <c r="R41" i="16"/>
  <c r="Q43" i="16"/>
  <c r="Q108" i="16" s="1"/>
  <c r="Q50" i="13"/>
  <c r="S90" i="13"/>
  <c r="P39" i="10"/>
  <c r="P110" i="10" s="1"/>
  <c r="Q37" i="10"/>
  <c r="P39" i="1"/>
  <c r="P110" i="1" s="1"/>
  <c r="Q37" i="1"/>
  <c r="Q53" i="20"/>
  <c r="P55" i="20"/>
  <c r="P94" i="20" s="1"/>
  <c r="S86" i="14"/>
  <c r="S89" i="1"/>
  <c r="U30" i="7"/>
  <c r="U22" i="10"/>
  <c r="K75" i="13" l="1"/>
  <c r="L75" i="13" s="1"/>
  <c r="P39" i="27"/>
  <c r="P110" i="27" s="1"/>
  <c r="O120" i="10"/>
  <c r="N89" i="16"/>
  <c r="N114" i="16" s="1"/>
  <c r="K91" i="7"/>
  <c r="L91" i="7" s="1"/>
  <c r="J39" i="27"/>
  <c r="J110" i="27" s="1"/>
  <c r="Q15" i="24"/>
  <c r="Q94" i="14"/>
  <c r="P51" i="9"/>
  <c r="P112" i="9" s="1"/>
  <c r="F61" i="21"/>
  <c r="K33" i="16"/>
  <c r="K106" i="16" s="1"/>
  <c r="S189" i="24"/>
  <c r="M45" i="17"/>
  <c r="M115" i="17" s="1"/>
  <c r="K13" i="16"/>
  <c r="K104" i="16" s="1"/>
  <c r="K45" i="7"/>
  <c r="P100" i="11"/>
  <c r="P117" i="11" s="1"/>
  <c r="S86" i="27"/>
  <c r="J98" i="20"/>
  <c r="R51" i="16"/>
  <c r="P70" i="20"/>
  <c r="P98" i="20" s="1"/>
  <c r="Q111" i="14"/>
  <c r="S91" i="24"/>
  <c r="P26" i="14"/>
  <c r="P105" i="14" s="1"/>
  <c r="M70" i="11"/>
  <c r="M113" i="11" s="1"/>
  <c r="J51" i="24"/>
  <c r="J236" i="24" s="1"/>
  <c r="S14" i="27"/>
  <c r="S67" i="7"/>
  <c r="P75" i="17"/>
  <c r="P119" i="17" s="1"/>
  <c r="S59" i="27"/>
  <c r="S226" i="24"/>
  <c r="R44" i="15"/>
  <c r="R159" i="15" s="1"/>
  <c r="Q49" i="1"/>
  <c r="Q51" i="1" s="1"/>
  <c r="Q112" i="1" s="1"/>
  <c r="S68" i="20"/>
  <c r="S65" i="9"/>
  <c r="S104" i="17"/>
  <c r="T63" i="16"/>
  <c r="L37" i="7"/>
  <c r="L118" i="7" s="1"/>
  <c r="J51" i="1"/>
  <c r="J112" i="1" s="1"/>
  <c r="P52" i="13"/>
  <c r="P113" i="13" s="1"/>
  <c r="S62" i="14"/>
  <c r="M101" i="1"/>
  <c r="M118" i="1" s="1"/>
  <c r="Q228" i="24"/>
  <c r="Q246" i="24" s="1"/>
  <c r="P59" i="7"/>
  <c r="P122" i="7" s="1"/>
  <c r="S147" i="24"/>
  <c r="J24" i="7"/>
  <c r="J116" i="7" s="1"/>
  <c r="M70" i="20"/>
  <c r="M98" i="20" s="1"/>
  <c r="M105" i="20" s="1"/>
  <c r="K111" i="14"/>
  <c r="M111" i="14"/>
  <c r="S95" i="7"/>
  <c r="P111" i="14"/>
  <c r="J113" i="11"/>
  <c r="Q112" i="16"/>
  <c r="S65" i="27"/>
  <c r="N51" i="1"/>
  <c r="N112" i="1" s="1"/>
  <c r="Q72" i="24"/>
  <c r="Q238" i="24" s="1"/>
  <c r="M51" i="1"/>
  <c r="M112" i="1" s="1"/>
  <c r="S80" i="14"/>
  <c r="J37" i="7"/>
  <c r="J118" i="7" s="1"/>
  <c r="P37" i="7"/>
  <c r="P118" i="7" s="1"/>
  <c r="R207" i="24"/>
  <c r="R228" i="24" s="1"/>
  <c r="J165" i="15"/>
  <c r="P17" i="13"/>
  <c r="P72" i="24"/>
  <c r="P238" i="24" s="1"/>
  <c r="J115" i="13"/>
  <c r="P51" i="27"/>
  <c r="P112" i="27" s="1"/>
  <c r="L228" i="24"/>
  <c r="L246" i="24" s="1"/>
  <c r="M16" i="17"/>
  <c r="M111" i="17" s="1"/>
  <c r="Q48" i="13"/>
  <c r="R48" i="13" s="1"/>
  <c r="S48" i="13" s="1"/>
  <c r="J16" i="17"/>
  <c r="J111" i="17" s="1"/>
  <c r="P54" i="11"/>
  <c r="P111" i="11" s="1"/>
  <c r="Q44" i="15"/>
  <c r="Q159" i="15" s="1"/>
  <c r="K100" i="15"/>
  <c r="K165" i="15" s="1"/>
  <c r="S61" i="27"/>
  <c r="P88" i="14"/>
  <c r="P113" i="14" s="1"/>
  <c r="K27" i="17"/>
  <c r="L27" i="17" s="1"/>
  <c r="L29" i="17" s="1"/>
  <c r="L113" i="17" s="1"/>
  <c r="P44" i="15"/>
  <c r="P159" i="15" s="1"/>
  <c r="J13" i="14"/>
  <c r="J103" i="14" s="1"/>
  <c r="P16" i="9"/>
  <c r="K151" i="15"/>
  <c r="K169" i="15" s="1"/>
  <c r="N102" i="17"/>
  <c r="O102" i="17" s="1"/>
  <c r="O106" i="17" s="1"/>
  <c r="O123" i="17" s="1"/>
  <c r="J30" i="13"/>
  <c r="J109" i="13" s="1"/>
  <c r="N27" i="1"/>
  <c r="O27" i="1" s="1"/>
  <c r="O29" i="1" s="1"/>
  <c r="O108" i="1" s="1"/>
  <c r="M29" i="1"/>
  <c r="M108" i="1" s="1"/>
  <c r="J52" i="13"/>
  <c r="J113" i="13" s="1"/>
  <c r="N42" i="11"/>
  <c r="N109" i="11" s="1"/>
  <c r="J111" i="14"/>
  <c r="P101" i="9"/>
  <c r="P118" i="9" s="1"/>
  <c r="M42" i="11"/>
  <c r="M109" i="11" s="1"/>
  <c r="S184" i="24"/>
  <c r="P29" i="9"/>
  <c r="P108" i="9" s="1"/>
  <c r="P30" i="13"/>
  <c r="P109" i="13" s="1"/>
  <c r="J30" i="11"/>
  <c r="J107" i="11" s="1"/>
  <c r="S86" i="17"/>
  <c r="K26" i="13"/>
  <c r="L26" i="13" s="1"/>
  <c r="L30" i="13" s="1"/>
  <c r="L109" i="13" s="1"/>
  <c r="S99" i="27"/>
  <c r="Q96" i="11"/>
  <c r="R96" i="11" s="1"/>
  <c r="S147" i="15"/>
  <c r="M51" i="27"/>
  <c r="M112" i="27" s="1"/>
  <c r="P62" i="15"/>
  <c r="P161" i="15" s="1"/>
  <c r="S25" i="9"/>
  <c r="Q19" i="7"/>
  <c r="R19" i="7" s="1"/>
  <c r="J16" i="11"/>
  <c r="J105" i="11" s="1"/>
  <c r="M44" i="15"/>
  <c r="M159" i="15" s="1"/>
  <c r="S89" i="9"/>
  <c r="L26" i="14"/>
  <c r="L105" i="14" s="1"/>
  <c r="S196" i="24"/>
  <c r="R11" i="16"/>
  <c r="S11" i="16" s="1"/>
  <c r="K66" i="20"/>
  <c r="K98" i="20" s="1"/>
  <c r="L29" i="9"/>
  <c r="L108" i="9" s="1"/>
  <c r="Q54" i="15"/>
  <c r="P16" i="11"/>
  <c r="P105" i="11" s="1"/>
  <c r="S23" i="15"/>
  <c r="P77" i="16"/>
  <c r="T77" i="16" s="1"/>
  <c r="P89" i="16"/>
  <c r="P114" i="16" s="1"/>
  <c r="O207" i="24"/>
  <c r="O228" i="24" s="1"/>
  <c r="O246" i="24" s="1"/>
  <c r="N228" i="24"/>
  <c r="N246" i="24" s="1"/>
  <c r="M124" i="7"/>
  <c r="S71" i="7"/>
  <c r="S14" i="9"/>
  <c r="K114" i="9"/>
  <c r="J54" i="11"/>
  <c r="J111" i="11" s="1"/>
  <c r="S166" i="24"/>
  <c r="J16" i="9"/>
  <c r="J106" i="9" s="1"/>
  <c r="S14" i="11"/>
  <c r="M242" i="24"/>
  <c r="S43" i="24"/>
  <c r="S199" i="24"/>
  <c r="J17" i="13"/>
  <c r="J107" i="13" s="1"/>
  <c r="P96" i="17"/>
  <c r="P121" i="17" s="1"/>
  <c r="J114" i="1"/>
  <c r="P101" i="10"/>
  <c r="P118" i="10" s="1"/>
  <c r="S86" i="1"/>
  <c r="P201" i="24"/>
  <c r="P244" i="24" s="1"/>
  <c r="P91" i="1"/>
  <c r="P116" i="1" s="1"/>
  <c r="P114" i="9"/>
  <c r="S132" i="24"/>
  <c r="S88" i="11"/>
  <c r="J201" i="24"/>
  <c r="J244" i="24" s="1"/>
  <c r="S79" i="9"/>
  <c r="N22" i="14"/>
  <c r="O22" i="14" s="1"/>
  <c r="S22" i="14" s="1"/>
  <c r="K46" i="14"/>
  <c r="L46" i="14" s="1"/>
  <c r="L48" i="14" s="1"/>
  <c r="L109" i="14" s="1"/>
  <c r="S76" i="1"/>
  <c r="S79" i="1"/>
  <c r="S61" i="9"/>
  <c r="S125" i="24"/>
  <c r="P16" i="10"/>
  <c r="Q16" i="10" s="1"/>
  <c r="J26" i="14"/>
  <c r="J105" i="14" s="1"/>
  <c r="S86" i="9"/>
  <c r="S79" i="10"/>
  <c r="S63" i="9"/>
  <c r="S14" i="1"/>
  <c r="S80" i="11"/>
  <c r="O62" i="24"/>
  <c r="O72" i="24" s="1"/>
  <c r="O238" i="24" s="1"/>
  <c r="N72" i="24"/>
  <c r="N238" i="24" s="1"/>
  <c r="Q57" i="1"/>
  <c r="Q114" i="1" s="1"/>
  <c r="M101" i="10"/>
  <c r="M118" i="10" s="1"/>
  <c r="S14" i="10"/>
  <c r="S62" i="13"/>
  <c r="P48" i="14"/>
  <c r="P109" i="14" s="1"/>
  <c r="N45" i="7"/>
  <c r="O45" i="7" s="1"/>
  <c r="O47" i="7" s="1"/>
  <c r="O120" i="7" s="1"/>
  <c r="S41" i="24"/>
  <c r="Q160" i="24"/>
  <c r="R160" i="24" s="1"/>
  <c r="J96" i="17"/>
  <c r="J121" i="17" s="1"/>
  <c r="J25" i="15"/>
  <c r="J157" i="15" s="1"/>
  <c r="M114" i="10"/>
  <c r="S83" i="10"/>
  <c r="Q89" i="16"/>
  <c r="Q114" i="16" s="1"/>
  <c r="J16" i="10"/>
  <c r="J106" i="10" s="1"/>
  <c r="P51" i="24"/>
  <c r="P236" i="24" s="1"/>
  <c r="S89" i="10"/>
  <c r="S33" i="7"/>
  <c r="S175" i="24"/>
  <c r="S69" i="7"/>
  <c r="Q114" i="9"/>
  <c r="J29" i="9"/>
  <c r="J108" i="9" s="1"/>
  <c r="P25" i="15"/>
  <c r="P157" i="15" s="1"/>
  <c r="P16" i="1"/>
  <c r="M114" i="9"/>
  <c r="J51" i="27"/>
  <c r="J112" i="27" s="1"/>
  <c r="M101" i="7"/>
  <c r="M126" i="7" s="1"/>
  <c r="M62" i="15"/>
  <c r="M161" i="15" s="1"/>
  <c r="S116" i="24"/>
  <c r="S98" i="15"/>
  <c r="Q45" i="7"/>
  <c r="Q47" i="7" s="1"/>
  <c r="Q120" i="7" s="1"/>
  <c r="L51" i="16"/>
  <c r="M51" i="16" s="1"/>
  <c r="M53" i="16" s="1"/>
  <c r="M110" i="16" s="1"/>
  <c r="K94" i="14"/>
  <c r="K98" i="14" s="1"/>
  <c r="K115" i="14" s="1"/>
  <c r="M33" i="16"/>
  <c r="M106" i="16" s="1"/>
  <c r="S47" i="27"/>
  <c r="S180" i="24"/>
  <c r="P165" i="15"/>
  <c r="Q97" i="10"/>
  <c r="Q101" i="10" s="1"/>
  <c r="Q118" i="10" s="1"/>
  <c r="J16" i="1"/>
  <c r="J106" i="1" s="1"/>
  <c r="J91" i="1"/>
  <c r="J116" i="1" s="1"/>
  <c r="S86" i="15"/>
  <c r="S47" i="24"/>
  <c r="Q151" i="15"/>
  <c r="Q169" i="15" s="1"/>
  <c r="S49" i="24"/>
  <c r="S134" i="24"/>
  <c r="S99" i="7"/>
  <c r="O97" i="9"/>
  <c r="O101" i="9" s="1"/>
  <c r="O118" i="9" s="1"/>
  <c r="N101" i="9"/>
  <c r="N118" i="9" s="1"/>
  <c r="S92" i="15"/>
  <c r="S144" i="15"/>
  <c r="O46" i="14"/>
  <c r="O48" i="14" s="1"/>
  <c r="O109" i="14" s="1"/>
  <c r="N48" i="14"/>
  <c r="N109" i="14" s="1"/>
  <c r="K58" i="13"/>
  <c r="K115" i="13" s="1"/>
  <c r="M90" i="11"/>
  <c r="M115" i="11" s="1"/>
  <c r="M101" i="9"/>
  <c r="M118" i="9" s="1"/>
  <c r="S96" i="24"/>
  <c r="N113" i="11"/>
  <c r="N66" i="13"/>
  <c r="O66" i="13" s="1"/>
  <c r="Q66" i="13" s="1"/>
  <c r="R66" i="13" s="1"/>
  <c r="S66" i="13" s="1"/>
  <c r="L65" i="1"/>
  <c r="K113" i="1"/>
  <c r="K120" i="1" s="1"/>
  <c r="K27" i="27"/>
  <c r="L27" i="27" s="1"/>
  <c r="J29" i="27"/>
  <c r="J108" i="27" s="1"/>
  <c r="L151" i="15"/>
  <c r="L169" i="15" s="1"/>
  <c r="O37" i="27"/>
  <c r="O39" i="27" s="1"/>
  <c r="O110" i="27" s="1"/>
  <c r="N39" i="27"/>
  <c r="N110" i="27" s="1"/>
  <c r="R65" i="1"/>
  <c r="R113" i="1" s="1"/>
  <c r="Q113" i="1"/>
  <c r="Q120" i="1" s="1"/>
  <c r="P124" i="7"/>
  <c r="M106" i="24"/>
  <c r="M240" i="24" s="1"/>
  <c r="J114" i="9"/>
  <c r="N89" i="7"/>
  <c r="O101" i="7" s="1"/>
  <c r="O126" i="7" s="1"/>
  <c r="P111" i="7"/>
  <c r="P128" i="7" s="1"/>
  <c r="J124" i="7"/>
  <c r="S114" i="24"/>
  <c r="L37" i="27"/>
  <c r="K39" i="27"/>
  <c r="K110" i="27" s="1"/>
  <c r="R37" i="27"/>
  <c r="R39" i="27" s="1"/>
  <c r="R110" i="27" s="1"/>
  <c r="Q39" i="27"/>
  <c r="Q110" i="27" s="1"/>
  <c r="M114" i="1"/>
  <c r="S102" i="15"/>
  <c r="J91" i="27"/>
  <c r="J116" i="27" s="1"/>
  <c r="K74" i="27"/>
  <c r="K112" i="16"/>
  <c r="J67" i="27"/>
  <c r="J114" i="27" s="1"/>
  <c r="K57" i="27"/>
  <c r="Q74" i="27"/>
  <c r="P91" i="27"/>
  <c r="P116" i="27" s="1"/>
  <c r="J16" i="27"/>
  <c r="J106" i="27" s="1"/>
  <c r="K11" i="27"/>
  <c r="P67" i="27"/>
  <c r="P114" i="27" s="1"/>
  <c r="Q57" i="27"/>
  <c r="L33" i="16"/>
  <c r="L106" i="16" s="1"/>
  <c r="N74" i="27"/>
  <c r="M91" i="27"/>
  <c r="M116" i="27" s="1"/>
  <c r="L112" i="16"/>
  <c r="I121" i="27"/>
  <c r="M67" i="27"/>
  <c r="M114" i="27" s="1"/>
  <c r="N57" i="27"/>
  <c r="R49" i="27"/>
  <c r="R51" i="27" s="1"/>
  <c r="R112" i="27" s="1"/>
  <c r="Q51" i="27"/>
  <c r="Q112" i="27" s="1"/>
  <c r="Q20" i="15"/>
  <c r="R20" i="15" s="1"/>
  <c r="N65" i="7"/>
  <c r="N124" i="7" s="1"/>
  <c r="M16" i="27"/>
  <c r="M106" i="27" s="1"/>
  <c r="N11" i="27"/>
  <c r="Q11" i="27"/>
  <c r="R11" i="27" s="1"/>
  <c r="P16" i="27"/>
  <c r="S104" i="15"/>
  <c r="K97" i="27"/>
  <c r="J101" i="27"/>
  <c r="J118" i="27" s="1"/>
  <c r="K51" i="27"/>
  <c r="K112" i="27" s="1"/>
  <c r="L49" i="27"/>
  <c r="P101" i="27"/>
  <c r="P118" i="27" s="1"/>
  <c r="Q97" i="27"/>
  <c r="O49" i="27"/>
  <c r="O51" i="27" s="1"/>
  <c r="O112" i="27" s="1"/>
  <c r="N51" i="27"/>
  <c r="N112" i="27" s="1"/>
  <c r="P29" i="27"/>
  <c r="P108" i="27" s="1"/>
  <c r="Q27" i="27"/>
  <c r="R27" i="27" s="1"/>
  <c r="R29" i="27" s="1"/>
  <c r="R108" i="27" s="1"/>
  <c r="S65" i="10"/>
  <c r="M101" i="27"/>
  <c r="M118" i="27" s="1"/>
  <c r="N97" i="27"/>
  <c r="N27" i="27"/>
  <c r="O27" i="27" s="1"/>
  <c r="O29" i="27" s="1"/>
  <c r="O108" i="27" s="1"/>
  <c r="M29" i="27"/>
  <c r="M108" i="27" s="1"/>
  <c r="O112" i="16"/>
  <c r="S43" i="15"/>
  <c r="S158" i="15" s="1"/>
  <c r="H21" i="21" s="1"/>
  <c r="R171" i="15"/>
  <c r="F10" i="23"/>
  <c r="Q101" i="7"/>
  <c r="Q126" i="7" s="1"/>
  <c r="S113" i="24"/>
  <c r="J29" i="10"/>
  <c r="J108" i="10" s="1"/>
  <c r="J59" i="17"/>
  <c r="J117" i="17" s="1"/>
  <c r="M34" i="21"/>
  <c r="Q66" i="20"/>
  <c r="Q98" i="20" s="1"/>
  <c r="K28" i="11"/>
  <c r="L28" i="11" s="1"/>
  <c r="L30" i="11" s="1"/>
  <c r="L107" i="11" s="1"/>
  <c r="J59" i="7"/>
  <c r="J122" i="7" s="1"/>
  <c r="N59" i="7"/>
  <c r="N122" i="7" s="1"/>
  <c r="P90" i="11"/>
  <c r="P115" i="11" s="1"/>
  <c r="N44" i="15"/>
  <c r="N159" i="15" s="1"/>
  <c r="O59" i="7"/>
  <c r="O122" i="7" s="1"/>
  <c r="M59" i="7"/>
  <c r="M122" i="7" s="1"/>
  <c r="S40" i="15"/>
  <c r="Q27" i="10"/>
  <c r="R27" i="10" s="1"/>
  <c r="S27" i="10" s="1"/>
  <c r="S29" i="10" s="1"/>
  <c r="S108" i="10" s="1"/>
  <c r="I9" i="21" s="1"/>
  <c r="P51" i="10"/>
  <c r="P112" i="10" s="1"/>
  <c r="K11" i="17"/>
  <c r="L11" i="17" s="1"/>
  <c r="L16" i="17" s="1"/>
  <c r="L111" i="17" s="1"/>
  <c r="K72" i="24"/>
  <c r="K238" i="24" s="1"/>
  <c r="P91" i="9"/>
  <c r="P116" i="9" s="1"/>
  <c r="Q84" i="17"/>
  <c r="Q96" i="17" s="1"/>
  <c r="Q121" i="17" s="1"/>
  <c r="J72" i="24"/>
  <c r="J238" i="24" s="1"/>
  <c r="K107" i="7"/>
  <c r="L107" i="7" s="1"/>
  <c r="L111" i="7" s="1"/>
  <c r="L128" i="7" s="1"/>
  <c r="Q43" i="17"/>
  <c r="Q45" i="17" s="1"/>
  <c r="Q115" i="17" s="1"/>
  <c r="K60" i="11"/>
  <c r="K113" i="11" s="1"/>
  <c r="J91" i="10"/>
  <c r="J116" i="10" s="1"/>
  <c r="J100" i="11"/>
  <c r="J117" i="11" s="1"/>
  <c r="P30" i="11"/>
  <c r="P107" i="11" s="1"/>
  <c r="S55" i="7"/>
  <c r="O60" i="11"/>
  <c r="O113" i="11" s="1"/>
  <c r="J106" i="17"/>
  <c r="J123" i="17" s="1"/>
  <c r="P16" i="17"/>
  <c r="Q16" i="17" s="1"/>
  <c r="K20" i="15"/>
  <c r="L20" i="15" s="1"/>
  <c r="L25" i="15" s="1"/>
  <c r="L157" i="15" s="1"/>
  <c r="Q97" i="1"/>
  <c r="R97" i="1" s="1"/>
  <c r="J44" i="15"/>
  <c r="J159" i="15" s="1"/>
  <c r="Q100" i="15"/>
  <c r="Q165" i="15" s="1"/>
  <c r="J101" i="7"/>
  <c r="J126" i="7" s="1"/>
  <c r="J88" i="14"/>
  <c r="J113" i="14" s="1"/>
  <c r="J62" i="15"/>
  <c r="J161" i="15" s="1"/>
  <c r="N107" i="7"/>
  <c r="N111" i="7" s="1"/>
  <c r="N128" i="7" s="1"/>
  <c r="S85" i="11"/>
  <c r="N45" i="17"/>
  <c r="N115" i="17" s="1"/>
  <c r="J45" i="17"/>
  <c r="J115" i="17" s="1"/>
  <c r="P242" i="24"/>
  <c r="S130" i="15"/>
  <c r="S83" i="9"/>
  <c r="S76" i="10"/>
  <c r="S61" i="10"/>
  <c r="Q242" i="24"/>
  <c r="K242" i="24"/>
  <c r="J91" i="9"/>
  <c r="J116" i="9" s="1"/>
  <c r="O110" i="14"/>
  <c r="O117" i="14" s="1"/>
  <c r="K114" i="10"/>
  <c r="S89" i="16"/>
  <c r="S114" i="16" s="1"/>
  <c r="J114" i="10"/>
  <c r="J51" i="10"/>
  <c r="J112" i="10" s="1"/>
  <c r="Q57" i="10"/>
  <c r="Q114" i="10" s="1"/>
  <c r="P114" i="10"/>
  <c r="S89" i="24"/>
  <c r="J242" i="24"/>
  <c r="M37" i="21"/>
  <c r="O57" i="10"/>
  <c r="N114" i="10"/>
  <c r="P101" i="7"/>
  <c r="P126" i="7" s="1"/>
  <c r="S143" i="24"/>
  <c r="S86" i="10"/>
  <c r="N114" i="9"/>
  <c r="O57" i="9"/>
  <c r="J115" i="25"/>
  <c r="M68" i="25"/>
  <c r="M115" i="25" s="1"/>
  <c r="S125" i="15"/>
  <c r="M35" i="21"/>
  <c r="P68" i="25"/>
  <c r="P115" i="25" s="1"/>
  <c r="P113" i="11"/>
  <c r="Q65" i="17"/>
  <c r="R65" i="17" s="1"/>
  <c r="O118" i="17"/>
  <c r="J119" i="17"/>
  <c r="N65" i="17"/>
  <c r="M75" i="17"/>
  <c r="M119" i="17" s="1"/>
  <c r="Q102" i="17"/>
  <c r="Q106" i="17" s="1"/>
  <c r="Q123" i="17" s="1"/>
  <c r="P29" i="17"/>
  <c r="P113" i="17" s="1"/>
  <c r="R110" i="17"/>
  <c r="K65" i="17"/>
  <c r="I115" i="25"/>
  <c r="I122" i="25" s="1"/>
  <c r="Q66" i="25"/>
  <c r="S68" i="11"/>
  <c r="J90" i="11"/>
  <c r="J115" i="11" s="1"/>
  <c r="Q60" i="11"/>
  <c r="K228" i="24"/>
  <c r="K246" i="24" s="1"/>
  <c r="J106" i="24"/>
  <c r="I240" i="24" s="1"/>
  <c r="I249" i="24" s="1"/>
  <c r="P106" i="24"/>
  <c r="P240" i="24" s="1"/>
  <c r="J135" i="15"/>
  <c r="J167" i="15" s="1"/>
  <c r="J79" i="15"/>
  <c r="J163" i="15" s="1"/>
  <c r="S121" i="15"/>
  <c r="P79" i="15"/>
  <c r="P163" i="15" s="1"/>
  <c r="S72" i="7"/>
  <c r="I131" i="7"/>
  <c r="J101" i="1"/>
  <c r="J118" i="1" s="1"/>
  <c r="I121" i="1"/>
  <c r="P91" i="10"/>
  <c r="P116" i="10" s="1"/>
  <c r="J101" i="10"/>
  <c r="J118" i="10" s="1"/>
  <c r="L125" i="17"/>
  <c r="R130" i="7"/>
  <c r="O111" i="24"/>
  <c r="N241" i="24"/>
  <c r="N248" i="24" s="1"/>
  <c r="N54" i="14"/>
  <c r="P135" i="15"/>
  <c r="P167" i="15" s="1"/>
  <c r="I122" i="13"/>
  <c r="N26" i="13"/>
  <c r="O26" i="13" s="1"/>
  <c r="M30" i="13"/>
  <c r="M109" i="13" s="1"/>
  <c r="R111" i="24"/>
  <c r="R148" i="24" s="1"/>
  <c r="Q241" i="24"/>
  <c r="Q248" i="24" s="1"/>
  <c r="I118" i="14"/>
  <c r="R120" i="9"/>
  <c r="K248" i="24"/>
  <c r="I172" i="15"/>
  <c r="J27" i="21"/>
  <c r="I121" i="9"/>
  <c r="I120" i="11"/>
  <c r="I121" i="10"/>
  <c r="T33" i="16"/>
  <c r="T106" i="16" s="1"/>
  <c r="S105" i="24"/>
  <c r="S239" i="24" s="1"/>
  <c r="M23" i="21" s="1"/>
  <c r="S74" i="9"/>
  <c r="O29" i="10"/>
  <c r="O108" i="10" s="1"/>
  <c r="U30" i="11"/>
  <c r="U107" i="11" s="1"/>
  <c r="U120" i="11" s="1"/>
  <c r="R88" i="14"/>
  <c r="R113" i="14" s="1"/>
  <c r="K130" i="7"/>
  <c r="L91" i="1"/>
  <c r="L116" i="1" s="1"/>
  <c r="S24" i="15"/>
  <c r="S156" i="15" s="1"/>
  <c r="H20" i="21" s="1"/>
  <c r="T167" i="15"/>
  <c r="T172" i="15" s="1"/>
  <c r="S60" i="13"/>
  <c r="S136" i="24"/>
  <c r="S60" i="25"/>
  <c r="S80" i="25"/>
  <c r="S77" i="25"/>
  <c r="S82" i="7"/>
  <c r="S100" i="25"/>
  <c r="S84" i="25"/>
  <c r="S62" i="25"/>
  <c r="N66" i="20"/>
  <c r="O99" i="16"/>
  <c r="O116" i="16" s="1"/>
  <c r="P95" i="16"/>
  <c r="P99" i="16" s="1"/>
  <c r="P116" i="16" s="1"/>
  <c r="N53" i="16"/>
  <c r="N110" i="16" s="1"/>
  <c r="O51" i="16"/>
  <c r="O14" i="17"/>
  <c r="N16" i="17"/>
  <c r="N111" i="17" s="1"/>
  <c r="M13" i="14"/>
  <c r="M103" i="14" s="1"/>
  <c r="N11" i="14"/>
  <c r="N26" i="11"/>
  <c r="O26" i="11" s="1"/>
  <c r="M30" i="11"/>
  <c r="M107" i="11" s="1"/>
  <c r="N50" i="13"/>
  <c r="M52" i="13"/>
  <c r="M113" i="13" s="1"/>
  <c r="N112" i="24"/>
  <c r="N149" i="24" s="1"/>
  <c r="N47" i="10"/>
  <c r="M51" i="10"/>
  <c r="M112" i="10" s="1"/>
  <c r="L113" i="10"/>
  <c r="L120" i="10" s="1"/>
  <c r="S66" i="10"/>
  <c r="S113" i="10" s="1"/>
  <c r="H12" i="21" s="1"/>
  <c r="N71" i="15"/>
  <c r="M79" i="15"/>
  <c r="M163" i="15" s="1"/>
  <c r="N84" i="17"/>
  <c r="M96" i="17"/>
  <c r="M121" i="17" s="1"/>
  <c r="N12" i="13"/>
  <c r="M17" i="13"/>
  <c r="M107" i="13" s="1"/>
  <c r="N50" i="11"/>
  <c r="M54" i="11"/>
  <c r="M111" i="11" s="1"/>
  <c r="N74" i="1"/>
  <c r="M91" i="1"/>
  <c r="M116" i="1" s="1"/>
  <c r="I126" i="17"/>
  <c r="L104" i="11"/>
  <c r="S15" i="11"/>
  <c r="S104" i="11" s="1"/>
  <c r="C32" i="21" s="1"/>
  <c r="C56" i="21" s="1"/>
  <c r="N74" i="10"/>
  <c r="M91" i="10"/>
  <c r="M116" i="10" s="1"/>
  <c r="S82" i="25"/>
  <c r="N71" i="14"/>
  <c r="M88" i="14"/>
  <c r="M113" i="14" s="1"/>
  <c r="N57" i="1"/>
  <c r="N13" i="16"/>
  <c r="N104" i="16" s="1"/>
  <c r="O11" i="16"/>
  <c r="N27" i="17"/>
  <c r="O27" i="17" s="1"/>
  <c r="O29" i="17" s="1"/>
  <c r="O113" i="17" s="1"/>
  <c r="M29" i="17"/>
  <c r="M113" i="17" s="1"/>
  <c r="M91" i="9"/>
  <c r="M116" i="9" s="1"/>
  <c r="N76" i="9"/>
  <c r="N75" i="13"/>
  <c r="M92" i="13"/>
  <c r="M117" i="13" s="1"/>
  <c r="M135" i="15"/>
  <c r="M167" i="15" s="1"/>
  <c r="N117" i="15"/>
  <c r="N94" i="14"/>
  <c r="M98" i="14"/>
  <c r="M115" i="14" s="1"/>
  <c r="J119" i="16"/>
  <c r="O141" i="15"/>
  <c r="O151" i="15" s="1"/>
  <c r="O169" i="15" s="1"/>
  <c r="N151" i="15"/>
  <c r="N169" i="15" s="1"/>
  <c r="N35" i="7"/>
  <c r="O35" i="7" s="1"/>
  <c r="O37" i="7" s="1"/>
  <c r="O118" i="7" s="1"/>
  <c r="M37" i="7"/>
  <c r="M118" i="7" s="1"/>
  <c r="N96" i="11"/>
  <c r="M100" i="11"/>
  <c r="M117" i="11" s="1"/>
  <c r="N100" i="15"/>
  <c r="M165" i="15"/>
  <c r="N160" i="24"/>
  <c r="M201" i="24"/>
  <c r="M244" i="24" s="1"/>
  <c r="N47" i="9"/>
  <c r="M51" i="9"/>
  <c r="M112" i="9" s="1"/>
  <c r="S29" i="13"/>
  <c r="S108" i="13" s="1"/>
  <c r="P102" i="25"/>
  <c r="P119" i="25" s="1"/>
  <c r="Q98" i="25"/>
  <c r="O99" i="10"/>
  <c r="N101" i="10"/>
  <c r="N118" i="10" s="1"/>
  <c r="O56" i="15"/>
  <c r="N62" i="15"/>
  <c r="N161" i="15" s="1"/>
  <c r="S90" i="25"/>
  <c r="O87" i="24"/>
  <c r="N106" i="24"/>
  <c r="N240" i="24" s="1"/>
  <c r="O59" i="10"/>
  <c r="S64" i="25"/>
  <c r="Q11" i="25"/>
  <c r="R11" i="25" s="1"/>
  <c r="P16" i="25"/>
  <c r="Q38" i="25"/>
  <c r="P40" i="25"/>
  <c r="P111" i="25" s="1"/>
  <c r="N101" i="1"/>
  <c r="N118" i="1" s="1"/>
  <c r="O99" i="1"/>
  <c r="K50" i="25"/>
  <c r="J52" i="25"/>
  <c r="J113" i="25" s="1"/>
  <c r="N28" i="25"/>
  <c r="O28" i="25" s="1"/>
  <c r="M30" i="25"/>
  <c r="M109" i="25" s="1"/>
  <c r="O82" i="11"/>
  <c r="N90" i="11"/>
  <c r="N115" i="11" s="1"/>
  <c r="L112" i="11"/>
  <c r="S69" i="11"/>
  <c r="S112" i="11" s="1"/>
  <c r="C36" i="21" s="1"/>
  <c r="Q58" i="25"/>
  <c r="O59" i="9"/>
  <c r="O113" i="9"/>
  <c r="S113" i="9"/>
  <c r="C12" i="21" s="1"/>
  <c r="M102" i="25"/>
  <c r="M119" i="25" s="1"/>
  <c r="N98" i="25"/>
  <c r="L26" i="25"/>
  <c r="S211" i="24"/>
  <c r="K38" i="25"/>
  <c r="J40" i="25"/>
  <c r="J111" i="25" s="1"/>
  <c r="J92" i="25"/>
  <c r="J117" i="25" s="1"/>
  <c r="K75" i="25"/>
  <c r="L75" i="25" s="1"/>
  <c r="N50" i="25"/>
  <c r="M52" i="25"/>
  <c r="M113" i="25" s="1"/>
  <c r="K28" i="25"/>
  <c r="L28" i="25" s="1"/>
  <c r="J30" i="25"/>
  <c r="J109" i="25" s="1"/>
  <c r="S97" i="14"/>
  <c r="S114" i="14" s="1"/>
  <c r="L114" i="14"/>
  <c r="L117" i="14" s="1"/>
  <c r="K98" i="25"/>
  <c r="J102" i="25"/>
  <c r="J119" i="25" s="1"/>
  <c r="O26" i="25"/>
  <c r="N11" i="25"/>
  <c r="M16" i="25"/>
  <c r="M107" i="25" s="1"/>
  <c r="M40" i="25"/>
  <c r="M111" i="25" s="1"/>
  <c r="N38" i="25"/>
  <c r="N75" i="25"/>
  <c r="O75" i="25" s="1"/>
  <c r="M92" i="25"/>
  <c r="M117" i="25" s="1"/>
  <c r="P52" i="25"/>
  <c r="P113" i="25" s="1"/>
  <c r="Q50" i="25"/>
  <c r="L97" i="20"/>
  <c r="L104" i="20" s="1"/>
  <c r="S69" i="20"/>
  <c r="S97" i="20" s="1"/>
  <c r="H48" i="21" s="1"/>
  <c r="Q28" i="25"/>
  <c r="R28" i="25" s="1"/>
  <c r="P30" i="25"/>
  <c r="P109" i="25" s="1"/>
  <c r="K58" i="25"/>
  <c r="S48" i="25"/>
  <c r="R26" i="25"/>
  <c r="J16" i="25"/>
  <c r="J107" i="25" s="1"/>
  <c r="K11" i="25"/>
  <c r="P92" i="25"/>
  <c r="P117" i="25" s="1"/>
  <c r="Q75" i="25"/>
  <c r="R75" i="25" s="1"/>
  <c r="S87" i="25"/>
  <c r="N58" i="25"/>
  <c r="M109" i="16"/>
  <c r="T52" i="16"/>
  <c r="T109" i="16" s="1"/>
  <c r="S14" i="25"/>
  <c r="O110" i="17"/>
  <c r="S15" i="17"/>
  <c r="S110" i="17" s="1"/>
  <c r="U37" i="7"/>
  <c r="U118" i="7" s="1"/>
  <c r="U29" i="17"/>
  <c r="U113" i="17" s="1"/>
  <c r="U126" i="17" s="1"/>
  <c r="O111" i="1"/>
  <c r="S50" i="1"/>
  <c r="S111" i="1" s="1"/>
  <c r="M11" i="21" s="1"/>
  <c r="O110" i="11"/>
  <c r="S53" i="11"/>
  <c r="S110" i="11" s="1"/>
  <c r="C35" i="21" s="1"/>
  <c r="N27" i="24"/>
  <c r="M51" i="24"/>
  <c r="M236" i="24" s="1"/>
  <c r="N28" i="24"/>
  <c r="O28" i="24" s="1"/>
  <c r="U28" i="24" s="1"/>
  <c r="Q16" i="1"/>
  <c r="O171" i="15"/>
  <c r="M105" i="16"/>
  <c r="T32" i="16"/>
  <c r="T105" i="16" s="1"/>
  <c r="L92" i="13"/>
  <c r="L117" i="13" s="1"/>
  <c r="O106" i="13"/>
  <c r="S16" i="13"/>
  <c r="S106" i="13" s="1"/>
  <c r="M32" i="21" s="1"/>
  <c r="U30" i="13"/>
  <c r="U109" i="13" s="1"/>
  <c r="S96" i="14"/>
  <c r="L88" i="14"/>
  <c r="L113" i="14" s="1"/>
  <c r="R92" i="13"/>
  <c r="R117" i="13" s="1"/>
  <c r="L121" i="13"/>
  <c r="T45" i="13"/>
  <c r="T52" i="13" s="1"/>
  <c r="T113" i="13" s="1"/>
  <c r="O36" i="14"/>
  <c r="O107" i="14" s="1"/>
  <c r="T31" i="14"/>
  <c r="T36" i="14" s="1"/>
  <c r="T107" i="14" s="1"/>
  <c r="T118" i="14" s="1"/>
  <c r="M16" i="1"/>
  <c r="M106" i="1" s="1"/>
  <c r="M20" i="24"/>
  <c r="M234" i="24" s="1"/>
  <c r="N15" i="24"/>
  <c r="R107" i="1"/>
  <c r="S28" i="1"/>
  <c r="S107" i="1" s="1"/>
  <c r="O118" i="13"/>
  <c r="S101" i="13"/>
  <c r="S118" i="13" s="1"/>
  <c r="O113" i="1"/>
  <c r="L241" i="24"/>
  <c r="L134" i="15"/>
  <c r="S116" i="15"/>
  <c r="O106" i="11"/>
  <c r="S29" i="11"/>
  <c r="S106" i="11" s="1"/>
  <c r="R235" i="24"/>
  <c r="S50" i="24"/>
  <c r="S235" i="24" s="1"/>
  <c r="M21" i="21" s="1"/>
  <c r="O117" i="1"/>
  <c r="S100" i="1"/>
  <c r="S117" i="1" s="1"/>
  <c r="M14" i="21" s="1"/>
  <c r="O100" i="13"/>
  <c r="N102" i="13"/>
  <c r="N119" i="13" s="1"/>
  <c r="L93" i="15"/>
  <c r="K164" i="15"/>
  <c r="K171" i="15" s="1"/>
  <c r="L78" i="15"/>
  <c r="S70" i="15"/>
  <c r="M16" i="10"/>
  <c r="M106" i="10" s="1"/>
  <c r="N11" i="10"/>
  <c r="M25" i="15"/>
  <c r="M157" i="15" s="1"/>
  <c r="N20" i="15"/>
  <c r="O11" i="9"/>
  <c r="O16" i="9" s="1"/>
  <c r="O106" i="9" s="1"/>
  <c r="N16" i="9"/>
  <c r="N106" i="9" s="1"/>
  <c r="S59" i="15"/>
  <c r="L61" i="15"/>
  <c r="L160" i="15" s="1"/>
  <c r="S15" i="13"/>
  <c r="N19" i="7"/>
  <c r="M24" i="7"/>
  <c r="M116" i="7" s="1"/>
  <c r="N27" i="9"/>
  <c r="O27" i="9" s="1"/>
  <c r="O29" i="9" s="1"/>
  <c r="O108" i="9" s="1"/>
  <c r="M29" i="9"/>
  <c r="M108" i="9" s="1"/>
  <c r="O122" i="17"/>
  <c r="S105" i="17"/>
  <c r="S122" i="17" s="1"/>
  <c r="O245" i="24"/>
  <c r="S227" i="24"/>
  <c r="S245" i="24" s="1"/>
  <c r="M26" i="21" s="1"/>
  <c r="O233" i="24"/>
  <c r="S19" i="24"/>
  <c r="S233" i="24" s="1"/>
  <c r="M20" i="21" s="1"/>
  <c r="O117" i="9"/>
  <c r="S100" i="9"/>
  <c r="S117" i="9" s="1"/>
  <c r="R114" i="13"/>
  <c r="R121" i="13" s="1"/>
  <c r="S114" i="13"/>
  <c r="O112" i="17"/>
  <c r="S28" i="17"/>
  <c r="S112" i="17" s="1"/>
  <c r="R110" i="14"/>
  <c r="R117" i="14" s="1"/>
  <c r="S110" i="14"/>
  <c r="R117" i="10"/>
  <c r="S100" i="10"/>
  <c r="S117" i="10" s="1"/>
  <c r="H14" i="21" s="1"/>
  <c r="M16" i="11"/>
  <c r="M105" i="11" s="1"/>
  <c r="N11" i="11"/>
  <c r="L71" i="24"/>
  <c r="L237" i="24" s="1"/>
  <c r="S69" i="24"/>
  <c r="R111" i="10"/>
  <c r="S50" i="10"/>
  <c r="S111" i="10" s="1"/>
  <c r="S98" i="11"/>
  <c r="Q130" i="7"/>
  <c r="R101" i="7"/>
  <c r="R126" i="7" s="1"/>
  <c r="S106" i="7"/>
  <c r="O110" i="7"/>
  <c r="O46" i="7"/>
  <c r="O119" i="7" s="1"/>
  <c r="S44" i="7"/>
  <c r="S46" i="7" s="1"/>
  <c r="S119" i="7" s="1"/>
  <c r="C22" i="21" s="1"/>
  <c r="S64" i="7"/>
  <c r="S54" i="7"/>
  <c r="O58" i="7"/>
  <c r="O125" i="7"/>
  <c r="S100" i="7"/>
  <c r="S125" i="7" s="1"/>
  <c r="C25" i="21" s="1"/>
  <c r="N130" i="7"/>
  <c r="L123" i="7"/>
  <c r="S74" i="7"/>
  <c r="S123" i="7" s="1"/>
  <c r="C24" i="21" s="1"/>
  <c r="L117" i="7"/>
  <c r="S36" i="7"/>
  <c r="S117" i="7" s="1"/>
  <c r="R91" i="10"/>
  <c r="R116" i="10" s="1"/>
  <c r="T131" i="7"/>
  <c r="E27" i="21"/>
  <c r="U29" i="9"/>
  <c r="U108" i="9" s="1"/>
  <c r="F9" i="21" s="1"/>
  <c r="J10" i="21"/>
  <c r="J15" i="21" s="1"/>
  <c r="T121" i="10"/>
  <c r="U29" i="1"/>
  <c r="U108" i="1" s="1"/>
  <c r="P9" i="21" s="1"/>
  <c r="P15" i="21" s="1"/>
  <c r="U29" i="10"/>
  <c r="U108" i="10" s="1"/>
  <c r="U121" i="10" s="1"/>
  <c r="M25" i="21"/>
  <c r="K39" i="10"/>
  <c r="K110" i="10" s="1"/>
  <c r="L37" i="10"/>
  <c r="L39" i="10" s="1"/>
  <c r="L110" i="10" s="1"/>
  <c r="L97" i="9"/>
  <c r="L101" i="9" s="1"/>
  <c r="L118" i="9" s="1"/>
  <c r="K101" i="9"/>
  <c r="K118" i="9" s="1"/>
  <c r="L37" i="1"/>
  <c r="L39" i="1" s="1"/>
  <c r="L110" i="1" s="1"/>
  <c r="K39" i="1"/>
  <c r="K110" i="1" s="1"/>
  <c r="L91" i="10"/>
  <c r="L116" i="10" s="1"/>
  <c r="L74" i="10"/>
  <c r="L57" i="1"/>
  <c r="K114" i="1"/>
  <c r="M59" i="16"/>
  <c r="L96" i="11"/>
  <c r="L100" i="11" s="1"/>
  <c r="L117" i="11" s="1"/>
  <c r="K100" i="11"/>
  <c r="K117" i="11" s="1"/>
  <c r="L75" i="15"/>
  <c r="L79" i="15" s="1"/>
  <c r="L163" i="15" s="1"/>
  <c r="K79" i="15"/>
  <c r="K163" i="15" s="1"/>
  <c r="K51" i="10"/>
  <c r="K112" i="10" s="1"/>
  <c r="L49" i="10"/>
  <c r="L51" i="10" s="1"/>
  <c r="L112" i="10" s="1"/>
  <c r="L49" i="9"/>
  <c r="L51" i="9" s="1"/>
  <c r="L112" i="9" s="1"/>
  <c r="K51" i="9"/>
  <c r="K112" i="9" s="1"/>
  <c r="L49" i="1"/>
  <c r="L51" i="1" s="1"/>
  <c r="L112" i="1" s="1"/>
  <c r="K51" i="1"/>
  <c r="K112" i="1" s="1"/>
  <c r="L38" i="24"/>
  <c r="L51" i="24" s="1"/>
  <c r="L236" i="24" s="1"/>
  <c r="K51" i="24"/>
  <c r="K236" i="24" s="1"/>
  <c r="L97" i="10"/>
  <c r="L101" i="10" s="1"/>
  <c r="L118" i="10" s="1"/>
  <c r="K101" i="10"/>
  <c r="K118" i="10" s="1"/>
  <c r="L54" i="15"/>
  <c r="L62" i="15" s="1"/>
  <c r="L161" i="15" s="1"/>
  <c r="K62" i="15"/>
  <c r="K161" i="15" s="1"/>
  <c r="K106" i="9"/>
  <c r="L11" i="9"/>
  <c r="L16" i="9" s="1"/>
  <c r="L106" i="9" s="1"/>
  <c r="L13" i="16"/>
  <c r="L104" i="16" s="1"/>
  <c r="M11" i="16"/>
  <c r="M13" i="16" s="1"/>
  <c r="M104" i="16" s="1"/>
  <c r="L85" i="24"/>
  <c r="L106" i="24" s="1"/>
  <c r="L240" i="24" s="1"/>
  <c r="K106" i="24"/>
  <c r="K240" i="24" s="1"/>
  <c r="K201" i="24"/>
  <c r="K244" i="24" s="1"/>
  <c r="L160" i="24"/>
  <c r="L201" i="24" s="1"/>
  <c r="L244" i="24" s="1"/>
  <c r="K13" i="14"/>
  <c r="K103" i="14" s="1"/>
  <c r="L11" i="14"/>
  <c r="L13" i="14" s="1"/>
  <c r="L103" i="14" s="1"/>
  <c r="L57" i="10"/>
  <c r="K16" i="11"/>
  <c r="K105" i="11" s="1"/>
  <c r="L11" i="11"/>
  <c r="L16" i="11" s="1"/>
  <c r="L105" i="11" s="1"/>
  <c r="L57" i="9"/>
  <c r="L65" i="7"/>
  <c r="L124" i="7" s="1"/>
  <c r="K124" i="7"/>
  <c r="K101" i="1"/>
  <c r="K118" i="1" s="1"/>
  <c r="L97" i="1"/>
  <c r="L101" i="1" s="1"/>
  <c r="L118" i="1" s="1"/>
  <c r="R91" i="1"/>
  <c r="R116" i="1" s="1"/>
  <c r="R91" i="9"/>
  <c r="R116" i="9" s="1"/>
  <c r="P105" i="20"/>
  <c r="T56" i="24"/>
  <c r="T72" i="24" s="1"/>
  <c r="T238" i="24" s="1"/>
  <c r="L72" i="24"/>
  <c r="L238" i="24" s="1"/>
  <c r="K52" i="13"/>
  <c r="K113" i="13" s="1"/>
  <c r="L50" i="13"/>
  <c r="L52" i="13" s="1"/>
  <c r="L113" i="13" s="1"/>
  <c r="O55" i="17"/>
  <c r="K59" i="17"/>
  <c r="K117" i="17" s="1"/>
  <c r="L57" i="17"/>
  <c r="L59" i="17" s="1"/>
  <c r="L117" i="17" s="1"/>
  <c r="L52" i="11"/>
  <c r="L54" i="11" s="1"/>
  <c r="L111" i="11" s="1"/>
  <c r="K54" i="11"/>
  <c r="K111" i="11" s="1"/>
  <c r="L37" i="9"/>
  <c r="L39" i="9" s="1"/>
  <c r="L110" i="9" s="1"/>
  <c r="K39" i="9"/>
  <c r="K110" i="9" s="1"/>
  <c r="L54" i="14"/>
  <c r="K59" i="7"/>
  <c r="K122" i="7" s="1"/>
  <c r="L57" i="7"/>
  <c r="L59" i="7" s="1"/>
  <c r="L122" i="7" s="1"/>
  <c r="L53" i="20"/>
  <c r="L55" i="20" s="1"/>
  <c r="L94" i="20" s="1"/>
  <c r="K55" i="20"/>
  <c r="K94" i="20" s="1"/>
  <c r="L34" i="14"/>
  <c r="L36" i="14" s="1"/>
  <c r="K36" i="14"/>
  <c r="K107" i="14" s="1"/>
  <c r="L37" i="15"/>
  <c r="L44" i="15" s="1"/>
  <c r="L159" i="15" s="1"/>
  <c r="K44" i="15"/>
  <c r="K159" i="15" s="1"/>
  <c r="L11" i="10"/>
  <c r="L16" i="10" s="1"/>
  <c r="L106" i="10" s="1"/>
  <c r="K16" i="10"/>
  <c r="K106" i="10" s="1"/>
  <c r="L99" i="16"/>
  <c r="L116" i="16" s="1"/>
  <c r="M95" i="16"/>
  <c r="M99" i="16" s="1"/>
  <c r="M116" i="16" s="1"/>
  <c r="L11" i="1"/>
  <c r="L16" i="1" s="1"/>
  <c r="L106" i="1" s="1"/>
  <c r="K16" i="1"/>
  <c r="K106" i="1" s="1"/>
  <c r="L19" i="7"/>
  <c r="L24" i="7" s="1"/>
  <c r="L116" i="7" s="1"/>
  <c r="K24" i="7"/>
  <c r="K116" i="7" s="1"/>
  <c r="L15" i="24"/>
  <c r="L20" i="24" s="1"/>
  <c r="L234" i="24" s="1"/>
  <c r="K20" i="24"/>
  <c r="K234" i="24" s="1"/>
  <c r="L112" i="24"/>
  <c r="K102" i="13"/>
  <c r="K119" i="13" s="1"/>
  <c r="L98" i="13"/>
  <c r="L102" i="13" s="1"/>
  <c r="L119" i="13" s="1"/>
  <c r="L45" i="7"/>
  <c r="L47" i="7" s="1"/>
  <c r="L120" i="7" s="1"/>
  <c r="K47" i="7"/>
  <c r="K120" i="7" s="1"/>
  <c r="L43" i="16"/>
  <c r="L108" i="16" s="1"/>
  <c r="M41" i="16"/>
  <c r="M43" i="16" s="1"/>
  <c r="M108" i="16" s="1"/>
  <c r="L43" i="17"/>
  <c r="L45" i="17" s="1"/>
  <c r="L115" i="17" s="1"/>
  <c r="K45" i="17"/>
  <c r="K115" i="17" s="1"/>
  <c r="L12" i="13"/>
  <c r="L17" i="13" s="1"/>
  <c r="L107" i="13" s="1"/>
  <c r="K17" i="13"/>
  <c r="K107" i="13" s="1"/>
  <c r="K90" i="11"/>
  <c r="K115" i="11" s="1"/>
  <c r="L77" i="11"/>
  <c r="L90" i="11" s="1"/>
  <c r="L115" i="11" s="1"/>
  <c r="L38" i="13"/>
  <c r="K40" i="13"/>
  <c r="K111" i="13" s="1"/>
  <c r="K42" i="11"/>
  <c r="K109" i="11" s="1"/>
  <c r="L40" i="11"/>
  <c r="L42" i="11" s="1"/>
  <c r="L109" i="11" s="1"/>
  <c r="M89" i="16"/>
  <c r="M114" i="16" s="1"/>
  <c r="M72" i="16"/>
  <c r="T72" i="16" s="1"/>
  <c r="L84" i="17"/>
  <c r="L96" i="17" s="1"/>
  <c r="L121" i="17" s="1"/>
  <c r="K96" i="17"/>
  <c r="K121" i="17" s="1"/>
  <c r="L102" i="17"/>
  <c r="L106" i="17" s="1"/>
  <c r="L123" i="17" s="1"/>
  <c r="K106" i="17"/>
  <c r="K123" i="17" s="1"/>
  <c r="L117" i="15"/>
  <c r="L135" i="15" s="1"/>
  <c r="L167" i="15" s="1"/>
  <c r="K135" i="15"/>
  <c r="K167" i="15" s="1"/>
  <c r="L91" i="9"/>
  <c r="L116" i="9" s="1"/>
  <c r="J105" i="20"/>
  <c r="Q55" i="20"/>
  <c r="Q94" i="20" s="1"/>
  <c r="R53" i="20"/>
  <c r="R43" i="16"/>
  <c r="R108" i="16" s="1"/>
  <c r="S41" i="16"/>
  <c r="Q51" i="10"/>
  <c r="Q112" i="10" s="1"/>
  <c r="R49" i="10"/>
  <c r="R54" i="14"/>
  <c r="Q54" i="11"/>
  <c r="Q111" i="11" s="1"/>
  <c r="R52" i="11"/>
  <c r="R49" i="9"/>
  <c r="Q51" i="9"/>
  <c r="Q112" i="9" s="1"/>
  <c r="Q51" i="24"/>
  <c r="Q236" i="24" s="1"/>
  <c r="R38" i="24"/>
  <c r="Q101" i="9"/>
  <c r="Q118" i="9" s="1"/>
  <c r="R97" i="9"/>
  <c r="R29" i="1"/>
  <c r="R108" i="1" s="1"/>
  <c r="R117" i="15"/>
  <c r="Q135" i="15"/>
  <c r="Q167" i="15" s="1"/>
  <c r="R29" i="17"/>
  <c r="R113" i="17" s="1"/>
  <c r="R37" i="7"/>
  <c r="R118" i="7" s="1"/>
  <c r="T34" i="17"/>
  <c r="T45" i="17" s="1"/>
  <c r="T115" i="17" s="1"/>
  <c r="O45" i="17"/>
  <c r="O115" i="17" s="1"/>
  <c r="T46" i="20"/>
  <c r="T48" i="20" s="1"/>
  <c r="T94" i="20" s="1"/>
  <c r="O48" i="20"/>
  <c r="O22" i="22"/>
  <c r="O52" i="22" s="1"/>
  <c r="O63" i="22" s="1"/>
  <c r="U20" i="22"/>
  <c r="U22" i="22" s="1"/>
  <c r="U52" i="22" s="1"/>
  <c r="O93" i="20"/>
  <c r="O104" i="20" s="1"/>
  <c r="T35" i="13"/>
  <c r="T40" i="13" s="1"/>
  <c r="T111" i="13" s="1"/>
  <c r="T44" i="1"/>
  <c r="T51" i="1" s="1"/>
  <c r="T112" i="1" s="1"/>
  <c r="O11" i="21" s="1"/>
  <c r="O51" i="1"/>
  <c r="O112" i="1" s="1"/>
  <c r="O39" i="1"/>
  <c r="T34" i="1"/>
  <c r="T39" i="1" s="1"/>
  <c r="T110" i="1" s="1"/>
  <c r="P33" i="16"/>
  <c r="P106" i="16" s="1"/>
  <c r="V24" i="16"/>
  <c r="V33" i="16" s="1"/>
  <c r="V106" i="16" s="1"/>
  <c r="V119" i="16" s="1"/>
  <c r="T44" i="9"/>
  <c r="T51" i="9" s="1"/>
  <c r="T112" i="9" s="1"/>
  <c r="E11" i="21" s="1"/>
  <c r="U33" i="24"/>
  <c r="O39" i="9"/>
  <c r="T34" i="9"/>
  <c r="T39" i="9" s="1"/>
  <c r="T110" i="9" s="1"/>
  <c r="R46" i="14"/>
  <c r="Q48" i="14"/>
  <c r="Q109" i="14" s="1"/>
  <c r="R49" i="1"/>
  <c r="R57" i="7"/>
  <c r="Q59" i="7"/>
  <c r="Q122" i="7" s="1"/>
  <c r="R57" i="17"/>
  <c r="R75" i="15"/>
  <c r="Q79" i="15"/>
  <c r="Q163" i="15" s="1"/>
  <c r="Q42" i="11"/>
  <c r="Q109" i="11" s="1"/>
  <c r="R40" i="11"/>
  <c r="Q90" i="11"/>
  <c r="Q115" i="11" s="1"/>
  <c r="R77" i="11"/>
  <c r="R29" i="9"/>
  <c r="R108" i="9" s="1"/>
  <c r="R30" i="11"/>
  <c r="R107" i="11" s="1"/>
  <c r="Q13" i="14"/>
  <c r="Q103" i="14" s="1"/>
  <c r="R11" i="14"/>
  <c r="R26" i="14"/>
  <c r="R105" i="14" s="1"/>
  <c r="S24" i="14"/>
  <c r="R57" i="9"/>
  <c r="R30" i="13"/>
  <c r="R109" i="13" s="1"/>
  <c r="S28" i="13"/>
  <c r="R112" i="24"/>
  <c r="Q102" i="13"/>
  <c r="Q119" i="13" s="1"/>
  <c r="R98" i="13"/>
  <c r="R99" i="16"/>
  <c r="R116" i="16" s="1"/>
  <c r="S95" i="16"/>
  <c r="U57" i="24"/>
  <c r="U72" i="24" s="1"/>
  <c r="U238" i="24" s="1"/>
  <c r="P22" i="21" s="1"/>
  <c r="R72" i="24"/>
  <c r="R238" i="24" s="1"/>
  <c r="U30" i="15"/>
  <c r="U44" i="15" s="1"/>
  <c r="U159" i="15" s="1"/>
  <c r="O44" i="15"/>
  <c r="O159" i="15" s="1"/>
  <c r="Q39" i="1"/>
  <c r="Q110" i="1" s="1"/>
  <c r="R37" i="1"/>
  <c r="Q39" i="10"/>
  <c r="Q110" i="10" s="1"/>
  <c r="R37" i="10"/>
  <c r="R50" i="13"/>
  <c r="R54" i="15"/>
  <c r="Q62" i="15"/>
  <c r="Q161" i="15" s="1"/>
  <c r="S51" i="16"/>
  <c r="R53" i="16"/>
  <c r="R110" i="16" s="1"/>
  <c r="Q24" i="7"/>
  <c r="P116" i="7"/>
  <c r="P107" i="13"/>
  <c r="Q17" i="13"/>
  <c r="S59" i="16"/>
  <c r="R112" i="16"/>
  <c r="R65" i="7"/>
  <c r="Q124" i="7"/>
  <c r="Q20" i="24"/>
  <c r="Q234" i="24" s="1"/>
  <c r="R15" i="24"/>
  <c r="Q111" i="7"/>
  <c r="Q128" i="7" s="1"/>
  <c r="R107" i="7"/>
  <c r="E34" i="21"/>
  <c r="E39" i="21" s="1"/>
  <c r="T120" i="11"/>
  <c r="R49" i="20"/>
  <c r="Q54" i="20"/>
  <c r="Q93" i="20" s="1"/>
  <c r="Q104" i="20" s="1"/>
  <c r="Q36" i="14"/>
  <c r="Q107" i="14" s="1"/>
  <c r="R34" i="14"/>
  <c r="P106" i="1"/>
  <c r="R37" i="9"/>
  <c r="Q39" i="9"/>
  <c r="Q110" i="9" s="1"/>
  <c r="R97" i="10"/>
  <c r="Q98" i="14"/>
  <c r="Q115" i="14" s="1"/>
  <c r="R94" i="14"/>
  <c r="P106" i="9"/>
  <c r="Q16" i="9"/>
  <c r="R151" i="15"/>
  <c r="Q106" i="24"/>
  <c r="Q240" i="24" s="1"/>
  <c r="R85" i="24"/>
  <c r="L45" i="21"/>
  <c r="K51" i="21"/>
  <c r="O80" i="20"/>
  <c r="O100" i="20" s="1"/>
  <c r="U76" i="20"/>
  <c r="U80" i="20" s="1"/>
  <c r="U105" i="20" s="1"/>
  <c r="K101" i="7" l="1"/>
  <c r="K126" i="7" s="1"/>
  <c r="S91" i="7"/>
  <c r="L101" i="7"/>
  <c r="L126" i="7" s="1"/>
  <c r="S66" i="1"/>
  <c r="S113" i="1" s="1"/>
  <c r="M12" i="21" s="1"/>
  <c r="Q16" i="11"/>
  <c r="O65" i="7"/>
  <c r="O124" i="7" s="1"/>
  <c r="Q119" i="16"/>
  <c r="Q201" i="24"/>
  <c r="Q244" i="24" s="1"/>
  <c r="P106" i="10"/>
  <c r="P121" i="10" s="1"/>
  <c r="S27" i="1"/>
  <c r="S29" i="1" s="1"/>
  <c r="S108" i="1" s="1"/>
  <c r="N9" i="21" s="1"/>
  <c r="Q9" i="21" s="1"/>
  <c r="Q100" i="11"/>
  <c r="Q117" i="11" s="1"/>
  <c r="L53" i="16"/>
  <c r="L110" i="16" s="1"/>
  <c r="L119" i="16" s="1"/>
  <c r="N106" i="17"/>
  <c r="N123" i="17" s="1"/>
  <c r="R43" i="17"/>
  <c r="R45" i="17" s="1"/>
  <c r="R115" i="17" s="1"/>
  <c r="R45" i="7"/>
  <c r="R47" i="7" s="1"/>
  <c r="R120" i="7" s="1"/>
  <c r="R120" i="1"/>
  <c r="J121" i="1"/>
  <c r="O26" i="14"/>
  <c r="O105" i="14" s="1"/>
  <c r="S207" i="24"/>
  <c r="L66" i="20"/>
  <c r="L98" i="20" s="1"/>
  <c r="L105" i="20" s="1"/>
  <c r="S26" i="14"/>
  <c r="S105" i="14" s="1"/>
  <c r="L100" i="15"/>
  <c r="L165" i="15" s="1"/>
  <c r="L172" i="15" s="1"/>
  <c r="P118" i="14"/>
  <c r="Q52" i="13"/>
  <c r="Q113" i="13" s="1"/>
  <c r="J122" i="13"/>
  <c r="P121" i="1"/>
  <c r="R57" i="1"/>
  <c r="J118" i="14"/>
  <c r="J121" i="9"/>
  <c r="N47" i="7"/>
  <c r="N120" i="7" s="1"/>
  <c r="R13" i="16"/>
  <c r="R104" i="16" s="1"/>
  <c r="R119" i="16" s="1"/>
  <c r="S62" i="24"/>
  <c r="S72" i="24" s="1"/>
  <c r="S238" i="24" s="1"/>
  <c r="N22" i="21" s="1"/>
  <c r="Q25" i="15"/>
  <c r="Q157" i="15" s="1"/>
  <c r="Q172" i="15" s="1"/>
  <c r="L94" i="14"/>
  <c r="L98" i="14" s="1"/>
  <c r="L115" i="14" s="1"/>
  <c r="K48" i="14"/>
  <c r="K109" i="14" s="1"/>
  <c r="K118" i="14" s="1"/>
  <c r="L58" i="13"/>
  <c r="R57" i="27"/>
  <c r="R67" i="27" s="1"/>
  <c r="R114" i="27" s="1"/>
  <c r="Q67" i="27"/>
  <c r="Q114" i="27" s="1"/>
  <c r="L39" i="27"/>
  <c r="S37" i="27"/>
  <c r="S65" i="1"/>
  <c r="P106" i="27"/>
  <c r="P121" i="27" s="1"/>
  <c r="Q16" i="27"/>
  <c r="L11" i="27"/>
  <c r="K16" i="27"/>
  <c r="K106" i="27" s="1"/>
  <c r="N101" i="27"/>
  <c r="N118" i="27" s="1"/>
  <c r="O97" i="27"/>
  <c r="O101" i="27" s="1"/>
  <c r="O118" i="27" s="1"/>
  <c r="O11" i="27"/>
  <c r="O16" i="27" s="1"/>
  <c r="O106" i="27" s="1"/>
  <c r="N16" i="27"/>
  <c r="N106" i="27" s="1"/>
  <c r="J121" i="27"/>
  <c r="M121" i="27"/>
  <c r="O89" i="7"/>
  <c r="S89" i="7" s="1"/>
  <c r="N101" i="7"/>
  <c r="N126" i="7" s="1"/>
  <c r="R74" i="27"/>
  <c r="R91" i="27"/>
  <c r="R116" i="27" s="1"/>
  <c r="L97" i="27"/>
  <c r="K101" i="27"/>
  <c r="K118" i="27" s="1"/>
  <c r="K67" i="27"/>
  <c r="K114" i="27" s="1"/>
  <c r="L57" i="27"/>
  <c r="O74" i="27"/>
  <c r="O91" i="27"/>
  <c r="O116" i="27" s="1"/>
  <c r="L29" i="27"/>
  <c r="L108" i="27" s="1"/>
  <c r="S27" i="27"/>
  <c r="S29" i="27" s="1"/>
  <c r="N67" i="27"/>
  <c r="N114" i="27" s="1"/>
  <c r="O57" i="27"/>
  <c r="O67" i="27" s="1"/>
  <c r="O114" i="27" s="1"/>
  <c r="L74" i="27"/>
  <c r="L91" i="27"/>
  <c r="Q101" i="27"/>
  <c r="Q118" i="27" s="1"/>
  <c r="R97" i="27"/>
  <c r="R101" i="27" s="1"/>
  <c r="R118" i="27" s="1"/>
  <c r="S49" i="27"/>
  <c r="S51" i="27" s="1"/>
  <c r="L51" i="27"/>
  <c r="L112" i="27" s="1"/>
  <c r="K111" i="7"/>
  <c r="K128" i="7" s="1"/>
  <c r="K131" i="7" s="1"/>
  <c r="R241" i="24"/>
  <c r="R248" i="24" s="1"/>
  <c r="U131" i="7"/>
  <c r="F21" i="21"/>
  <c r="F27" i="21" s="1"/>
  <c r="N58" i="13"/>
  <c r="M115" i="13"/>
  <c r="L40" i="13"/>
  <c r="L111" i="13" s="1"/>
  <c r="S28" i="11"/>
  <c r="R29" i="10"/>
  <c r="R108" i="10" s="1"/>
  <c r="K16" i="17"/>
  <c r="K111" i="17" s="1"/>
  <c r="R66" i="20"/>
  <c r="Q101" i="1"/>
  <c r="Q118" i="1" s="1"/>
  <c r="J131" i="7"/>
  <c r="R84" i="17"/>
  <c r="R96" i="17" s="1"/>
  <c r="P131" i="7"/>
  <c r="R102" i="17"/>
  <c r="R106" i="17" s="1"/>
  <c r="K25" i="15"/>
  <c r="K157" i="15" s="1"/>
  <c r="K172" i="15" s="1"/>
  <c r="P111" i="17"/>
  <c r="P121" i="9"/>
  <c r="J120" i="11"/>
  <c r="N50" i="17"/>
  <c r="M59" i="17"/>
  <c r="M117" i="17" s="1"/>
  <c r="M126" i="17" s="1"/>
  <c r="L60" i="11"/>
  <c r="L113" i="11" s="1"/>
  <c r="L120" i="11" s="1"/>
  <c r="Q50" i="17"/>
  <c r="P59" i="17"/>
  <c r="P117" i="17" s="1"/>
  <c r="R100" i="15"/>
  <c r="O107" i="7"/>
  <c r="O111" i="7" s="1"/>
  <c r="O128" i="7" s="1"/>
  <c r="J126" i="17"/>
  <c r="J121" i="10"/>
  <c r="R57" i="10"/>
  <c r="O114" i="9"/>
  <c r="L114" i="9"/>
  <c r="L121" i="9" s="1"/>
  <c r="O241" i="24"/>
  <c r="O248" i="24" s="1"/>
  <c r="L242" i="24"/>
  <c r="L249" i="24" s="1"/>
  <c r="S27" i="17"/>
  <c r="S29" i="17" s="1"/>
  <c r="S113" i="17" s="1"/>
  <c r="Q113" i="11"/>
  <c r="M112" i="16"/>
  <c r="M119" i="16" s="1"/>
  <c r="L114" i="10"/>
  <c r="L121" i="10" s="1"/>
  <c r="O114" i="10"/>
  <c r="L114" i="1"/>
  <c r="L121" i="1" s="1"/>
  <c r="M33" i="21"/>
  <c r="U122" i="13"/>
  <c r="P33" i="21"/>
  <c r="P39" i="21" s="1"/>
  <c r="L111" i="14"/>
  <c r="M38" i="21"/>
  <c r="P120" i="11"/>
  <c r="K75" i="17"/>
  <c r="K119" i="17" s="1"/>
  <c r="O65" i="17"/>
  <c r="N75" i="17"/>
  <c r="N119" i="17" s="1"/>
  <c r="Q73" i="17"/>
  <c r="R73" i="17" s="1"/>
  <c r="S73" i="17" s="1"/>
  <c r="R72" i="17"/>
  <c r="L65" i="17"/>
  <c r="R66" i="25"/>
  <c r="Q115" i="25"/>
  <c r="R60" i="11"/>
  <c r="O119" i="11"/>
  <c r="O54" i="14"/>
  <c r="N111" i="14"/>
  <c r="S117" i="14"/>
  <c r="S111" i="24"/>
  <c r="S148" i="24" s="1"/>
  <c r="S241" i="24" s="1"/>
  <c r="M24" i="21" s="1"/>
  <c r="O30" i="13"/>
  <c r="O109" i="13" s="1"/>
  <c r="S26" i="13"/>
  <c r="S30" i="13" s="1"/>
  <c r="S109" i="13" s="1"/>
  <c r="F33" i="21"/>
  <c r="F39" i="21" s="1"/>
  <c r="M121" i="9"/>
  <c r="M131" i="7"/>
  <c r="T89" i="16"/>
  <c r="T114" i="16" s="1"/>
  <c r="K9" i="21"/>
  <c r="K15" i="21" s="1"/>
  <c r="S35" i="7"/>
  <c r="S37" i="7" s="1"/>
  <c r="S118" i="7" s="1"/>
  <c r="D21" i="21" s="1"/>
  <c r="L248" i="24"/>
  <c r="Q30" i="25"/>
  <c r="Q109" i="25" s="1"/>
  <c r="O120" i="9"/>
  <c r="M118" i="16"/>
  <c r="J122" i="25"/>
  <c r="U121" i="9"/>
  <c r="S11" i="9"/>
  <c r="T118" i="16"/>
  <c r="S141" i="15"/>
  <c r="C5" i="23"/>
  <c r="M121" i="10"/>
  <c r="N30" i="25"/>
  <c r="N109" i="25" s="1"/>
  <c r="O125" i="17"/>
  <c r="L119" i="11"/>
  <c r="O47" i="9"/>
  <c r="N51" i="9"/>
  <c r="N112" i="9" s="1"/>
  <c r="N121" i="9" s="1"/>
  <c r="O100" i="15"/>
  <c r="O165" i="15" s="1"/>
  <c r="N165" i="15"/>
  <c r="N135" i="15"/>
  <c r="N167" i="15" s="1"/>
  <c r="O117" i="15"/>
  <c r="O135" i="15" s="1"/>
  <c r="O167" i="15" s="1"/>
  <c r="O75" i="13"/>
  <c r="S75" i="13" s="1"/>
  <c r="O92" i="13"/>
  <c r="O57" i="1"/>
  <c r="N114" i="1"/>
  <c r="O50" i="11"/>
  <c r="N54" i="11"/>
  <c r="N111" i="11" s="1"/>
  <c r="O84" i="17"/>
  <c r="O96" i="17" s="1"/>
  <c r="O121" i="17" s="1"/>
  <c r="N96" i="17"/>
  <c r="N121" i="17" s="1"/>
  <c r="N13" i="14"/>
  <c r="N103" i="14" s="1"/>
  <c r="O11" i="14"/>
  <c r="O13" i="14" s="1"/>
  <c r="O103" i="14" s="1"/>
  <c r="S26" i="11"/>
  <c r="O30" i="11"/>
  <c r="O107" i="11" s="1"/>
  <c r="O121" i="13"/>
  <c r="O94" i="14"/>
  <c r="O98" i="14" s="1"/>
  <c r="O115" i="14" s="1"/>
  <c r="N98" i="14"/>
  <c r="N115" i="14" s="1"/>
  <c r="O76" i="9"/>
  <c r="S76" i="9" s="1"/>
  <c r="O91" i="9"/>
  <c r="O116" i="9" s="1"/>
  <c r="P11" i="16"/>
  <c r="P13" i="16" s="1"/>
  <c r="P104" i="16" s="1"/>
  <c r="O13" i="16"/>
  <c r="O104" i="16" s="1"/>
  <c r="O74" i="10"/>
  <c r="S74" i="10" s="1"/>
  <c r="O91" i="10"/>
  <c r="O47" i="10"/>
  <c r="N51" i="10"/>
  <c r="N112" i="10" s="1"/>
  <c r="O50" i="13"/>
  <c r="O52" i="13" s="1"/>
  <c r="O113" i="13" s="1"/>
  <c r="N52" i="13"/>
  <c r="N113" i="13" s="1"/>
  <c r="M118" i="14"/>
  <c r="O16" i="17"/>
  <c r="O111" i="17" s="1"/>
  <c r="S14" i="17"/>
  <c r="O66" i="20"/>
  <c r="N98" i="20"/>
  <c r="N105" i="20" s="1"/>
  <c r="R120" i="10"/>
  <c r="M120" i="11"/>
  <c r="M121" i="1"/>
  <c r="N201" i="24"/>
  <c r="N244" i="24" s="1"/>
  <c r="O160" i="24"/>
  <c r="O201" i="24" s="1"/>
  <c r="O244" i="24" s="1"/>
  <c r="O96" i="11"/>
  <c r="O100" i="11" s="1"/>
  <c r="O117" i="11" s="1"/>
  <c r="N100" i="11"/>
  <c r="N117" i="11" s="1"/>
  <c r="N119" i="16"/>
  <c r="O71" i="14"/>
  <c r="S71" i="14" s="1"/>
  <c r="O88" i="14"/>
  <c r="O74" i="1"/>
  <c r="S74" i="1" s="1"/>
  <c r="O91" i="1"/>
  <c r="O12" i="13"/>
  <c r="O17" i="13" s="1"/>
  <c r="O107" i="13" s="1"/>
  <c r="N17" i="13"/>
  <c r="N107" i="13" s="1"/>
  <c r="O71" i="15"/>
  <c r="N79" i="15"/>
  <c r="N163" i="15" s="1"/>
  <c r="O112" i="24"/>
  <c r="N242" i="24"/>
  <c r="O53" i="16"/>
  <c r="O110" i="16" s="1"/>
  <c r="P51" i="16"/>
  <c r="P53" i="16" s="1"/>
  <c r="P110" i="16" s="1"/>
  <c r="O58" i="25"/>
  <c r="N115" i="25"/>
  <c r="S75" i="25"/>
  <c r="L92" i="25"/>
  <c r="R58" i="25"/>
  <c r="O101" i="1"/>
  <c r="O118" i="1" s="1"/>
  <c r="S99" i="1"/>
  <c r="P107" i="25"/>
  <c r="P122" i="25" s="1"/>
  <c r="Q16" i="25"/>
  <c r="O106" i="24"/>
  <c r="O240" i="24" s="1"/>
  <c r="S87" i="24"/>
  <c r="S56" i="15"/>
  <c r="O62" i="15"/>
  <c r="O161" i="15" s="1"/>
  <c r="L11" i="25"/>
  <c r="K16" i="25"/>
  <c r="K107" i="25" s="1"/>
  <c r="M122" i="25"/>
  <c r="L98" i="25"/>
  <c r="K102" i="25"/>
  <c r="K119" i="25" s="1"/>
  <c r="L30" i="25"/>
  <c r="L109" i="25" s="1"/>
  <c r="S28" i="25"/>
  <c r="O98" i="25"/>
  <c r="O102" i="25" s="1"/>
  <c r="O119" i="25" s="1"/>
  <c r="N102" i="25"/>
  <c r="N119" i="25" s="1"/>
  <c r="O90" i="11"/>
  <c r="O115" i="11" s="1"/>
  <c r="S82" i="11"/>
  <c r="R92" i="25"/>
  <c r="R117" i="25" s="1"/>
  <c r="R50" i="25"/>
  <c r="R52" i="25" s="1"/>
  <c r="R113" i="25" s="1"/>
  <c r="Q52" i="25"/>
  <c r="Q113" i="25" s="1"/>
  <c r="O38" i="25"/>
  <c r="O40" i="25" s="1"/>
  <c r="O111" i="25" s="1"/>
  <c r="N40" i="25"/>
  <c r="N111" i="25" s="1"/>
  <c r="O11" i="25"/>
  <c r="O16" i="25" s="1"/>
  <c r="O107" i="25" s="1"/>
  <c r="N16" i="25"/>
  <c r="N107" i="25" s="1"/>
  <c r="S26" i="25"/>
  <c r="S59" i="9"/>
  <c r="S59" i="10"/>
  <c r="O101" i="10"/>
  <c r="O118" i="10" s="1"/>
  <c r="S99" i="10"/>
  <c r="L130" i="7"/>
  <c r="K115" i="25"/>
  <c r="L58" i="25"/>
  <c r="R30" i="25"/>
  <c r="R109" i="25" s="1"/>
  <c r="O92" i="25"/>
  <c r="O117" i="25" s="1"/>
  <c r="O50" i="25"/>
  <c r="O52" i="25" s="1"/>
  <c r="O113" i="25" s="1"/>
  <c r="N52" i="25"/>
  <c r="N113" i="25" s="1"/>
  <c r="L38" i="25"/>
  <c r="K40" i="25"/>
  <c r="K111" i="25" s="1"/>
  <c r="K30" i="25"/>
  <c r="K109" i="25" s="1"/>
  <c r="O30" i="25"/>
  <c r="O109" i="25" s="1"/>
  <c r="K52" i="25"/>
  <c r="K113" i="25" s="1"/>
  <c r="L50" i="25"/>
  <c r="R38" i="25"/>
  <c r="R40" i="25" s="1"/>
  <c r="R111" i="25" s="1"/>
  <c r="Q40" i="25"/>
  <c r="Q111" i="25" s="1"/>
  <c r="R98" i="25"/>
  <c r="R102" i="25" s="1"/>
  <c r="R119" i="25" s="1"/>
  <c r="Q102" i="25"/>
  <c r="Q119" i="25" s="1"/>
  <c r="O27" i="24"/>
  <c r="N51" i="24"/>
  <c r="N236" i="24" s="1"/>
  <c r="K105" i="20"/>
  <c r="U121" i="1"/>
  <c r="S27" i="9"/>
  <c r="S29" i="9" s="1"/>
  <c r="S108" i="9" s="1"/>
  <c r="D9" i="21" s="1"/>
  <c r="G9" i="21" s="1"/>
  <c r="S121" i="13"/>
  <c r="T122" i="13"/>
  <c r="O11" i="11"/>
  <c r="N16" i="11"/>
  <c r="N105" i="11" s="1"/>
  <c r="C14" i="21"/>
  <c r="C15" i="21" s="1"/>
  <c r="S120" i="9"/>
  <c r="N25" i="15"/>
  <c r="N157" i="15" s="1"/>
  <c r="O20" i="15"/>
  <c r="O25" i="15" s="1"/>
  <c r="O157" i="15" s="1"/>
  <c r="O11" i="10"/>
  <c r="N16" i="10"/>
  <c r="N106" i="10" s="1"/>
  <c r="C33" i="21"/>
  <c r="C39" i="21" s="1"/>
  <c r="S119" i="11"/>
  <c r="M9" i="21"/>
  <c r="N20" i="24"/>
  <c r="N234" i="24" s="1"/>
  <c r="O15" i="24"/>
  <c r="O20" i="24" s="1"/>
  <c r="O234" i="24" s="1"/>
  <c r="O11" i="1"/>
  <c r="O16" i="1" s="1"/>
  <c r="O106" i="1" s="1"/>
  <c r="N16" i="1"/>
  <c r="N106" i="1" s="1"/>
  <c r="O19" i="7"/>
  <c r="O24" i="7" s="1"/>
  <c r="O116" i="7" s="1"/>
  <c r="N24" i="7"/>
  <c r="N116" i="7" s="1"/>
  <c r="L162" i="15"/>
  <c r="S78" i="15"/>
  <c r="S162" i="15" s="1"/>
  <c r="S93" i="15"/>
  <c r="O102" i="13"/>
  <c r="O119" i="13" s="1"/>
  <c r="S100" i="13"/>
  <c r="L166" i="15"/>
  <c r="S134" i="15"/>
  <c r="S166" i="15" s="1"/>
  <c r="H25" i="21" s="1"/>
  <c r="C61" i="21" s="1"/>
  <c r="O120" i="1"/>
  <c r="H11" i="21"/>
  <c r="S120" i="10"/>
  <c r="O121" i="7"/>
  <c r="S58" i="7"/>
  <c r="S121" i="7" s="1"/>
  <c r="C23" i="21" s="1"/>
  <c r="O127" i="7"/>
  <c r="S110" i="7"/>
  <c r="S127" i="7" s="1"/>
  <c r="C26" i="21" s="1"/>
  <c r="C21" i="21"/>
  <c r="S101" i="7"/>
  <c r="S126" i="7" s="1"/>
  <c r="D25" i="21" s="1"/>
  <c r="G25" i="21" s="1"/>
  <c r="K121" i="1"/>
  <c r="K121" i="10"/>
  <c r="K122" i="13"/>
  <c r="K249" i="24"/>
  <c r="K120" i="11"/>
  <c r="S11" i="17"/>
  <c r="L107" i="14"/>
  <c r="S55" i="17"/>
  <c r="O22" i="21"/>
  <c r="T249" i="24"/>
  <c r="L131" i="7"/>
  <c r="S37" i="15"/>
  <c r="S44" i="15" s="1"/>
  <c r="S159" i="15" s="1"/>
  <c r="I21" i="21" s="1"/>
  <c r="K121" i="9"/>
  <c r="R106" i="24"/>
  <c r="R240" i="24" s="1"/>
  <c r="S85" i="24"/>
  <c r="R16" i="9"/>
  <c r="Q106" i="9"/>
  <c r="Q121" i="9" s="1"/>
  <c r="R98" i="14"/>
  <c r="Q106" i="1"/>
  <c r="R16" i="1"/>
  <c r="R36" i="14"/>
  <c r="R107" i="14" s="1"/>
  <c r="S34" i="14"/>
  <c r="S45" i="7"/>
  <c r="S47" i="7" s="1"/>
  <c r="S120" i="7" s="1"/>
  <c r="D22" i="21" s="1"/>
  <c r="G22" i="21" s="1"/>
  <c r="S13" i="16"/>
  <c r="R111" i="7"/>
  <c r="R20" i="24"/>
  <c r="R16" i="11"/>
  <c r="Q105" i="11"/>
  <c r="Q107" i="13"/>
  <c r="R17" i="13"/>
  <c r="R52" i="13"/>
  <c r="R113" i="13" s="1"/>
  <c r="R39" i="10"/>
  <c r="S37" i="10"/>
  <c r="R39" i="1"/>
  <c r="R110" i="1" s="1"/>
  <c r="S37" i="1"/>
  <c r="K21" i="21"/>
  <c r="K27" i="21" s="1"/>
  <c r="U172" i="15"/>
  <c r="S57" i="9"/>
  <c r="S75" i="15"/>
  <c r="R79" i="15"/>
  <c r="R163" i="15" s="1"/>
  <c r="R59" i="7"/>
  <c r="R122" i="7" s="1"/>
  <c r="S57" i="7"/>
  <c r="S59" i="7" s="1"/>
  <c r="S122" i="7" s="1"/>
  <c r="D23" i="21" s="1"/>
  <c r="G23" i="21" s="1"/>
  <c r="S49" i="1"/>
  <c r="S51" i="1" s="1"/>
  <c r="S112" i="1" s="1"/>
  <c r="N11" i="21" s="1"/>
  <c r="Q11" i="21" s="1"/>
  <c r="R51" i="1"/>
  <c r="R112" i="1" s="1"/>
  <c r="R48" i="14"/>
  <c r="R109" i="14" s="1"/>
  <c r="S46" i="14"/>
  <c r="S48" i="14" s="1"/>
  <c r="S109" i="14" s="1"/>
  <c r="O110" i="9"/>
  <c r="O110" i="1"/>
  <c r="J46" i="21"/>
  <c r="J51" i="21" s="1"/>
  <c r="T105" i="20"/>
  <c r="R135" i="15"/>
  <c r="R51" i="9"/>
  <c r="R112" i="9" s="1"/>
  <c r="S49" i="9"/>
  <c r="Q118" i="14"/>
  <c r="Q105" i="20"/>
  <c r="R201" i="24"/>
  <c r="R244" i="24" s="1"/>
  <c r="R169" i="15"/>
  <c r="S151" i="15"/>
  <c r="S169" i="15" s="1"/>
  <c r="I26" i="21" s="1"/>
  <c r="L26" i="21" s="1"/>
  <c r="Q111" i="17"/>
  <c r="R16" i="17"/>
  <c r="R25" i="15"/>
  <c r="R101" i="10"/>
  <c r="S97" i="10"/>
  <c r="R39" i="9"/>
  <c r="R110" i="9" s="1"/>
  <c r="S37" i="9"/>
  <c r="R246" i="24"/>
  <c r="S228" i="24"/>
  <c r="S246" i="24" s="1"/>
  <c r="N26" i="21" s="1"/>
  <c r="R54" i="20"/>
  <c r="S49" i="20"/>
  <c r="R101" i="1"/>
  <c r="S97" i="1"/>
  <c r="R100" i="11"/>
  <c r="T59" i="16"/>
  <c r="Q116" i="7"/>
  <c r="Q131" i="7" s="1"/>
  <c r="R24" i="7"/>
  <c r="Q106" i="10"/>
  <c r="Q121" i="10" s="1"/>
  <c r="R16" i="10"/>
  <c r="S53" i="16"/>
  <c r="S110" i="16" s="1"/>
  <c r="R62" i="15"/>
  <c r="R161" i="15" s="1"/>
  <c r="S54" i="15"/>
  <c r="S99" i="16"/>
  <c r="T95" i="16"/>
  <c r="S98" i="13"/>
  <c r="R102" i="13"/>
  <c r="R242" i="24"/>
  <c r="R13" i="14"/>
  <c r="R90" i="11"/>
  <c r="S77" i="11"/>
  <c r="R42" i="11"/>
  <c r="R109" i="11" s="1"/>
  <c r="S40" i="11"/>
  <c r="S42" i="11" s="1"/>
  <c r="S109" i="11" s="1"/>
  <c r="D34" i="21" s="1"/>
  <c r="G34" i="21" s="1"/>
  <c r="S57" i="17"/>
  <c r="T121" i="9"/>
  <c r="E10" i="21"/>
  <c r="O10" i="21"/>
  <c r="O15" i="21" s="1"/>
  <c r="T121" i="1"/>
  <c r="U63" i="22"/>
  <c r="K34" i="21"/>
  <c r="F58" i="21" s="1"/>
  <c r="R101" i="9"/>
  <c r="S97" i="9"/>
  <c r="R51" i="24"/>
  <c r="R236" i="24" s="1"/>
  <c r="S38" i="24"/>
  <c r="S51" i="24" s="1"/>
  <c r="S236" i="24" s="1"/>
  <c r="N21" i="21" s="1"/>
  <c r="R54" i="11"/>
  <c r="R111" i="11" s="1"/>
  <c r="S52" i="11"/>
  <c r="R51" i="10"/>
  <c r="R112" i="10" s="1"/>
  <c r="S49" i="10"/>
  <c r="S43" i="16"/>
  <c r="T41" i="16"/>
  <c r="R55" i="20"/>
  <c r="S53" i="20"/>
  <c r="F15" i="21"/>
  <c r="Q249" i="24"/>
  <c r="S65" i="7" l="1"/>
  <c r="S43" i="17"/>
  <c r="S45" i="17" s="1"/>
  <c r="S115" i="17" s="1"/>
  <c r="N131" i="7"/>
  <c r="S74" i="27"/>
  <c r="N121" i="27"/>
  <c r="L116" i="27"/>
  <c r="S91" i="27"/>
  <c r="O121" i="27"/>
  <c r="S108" i="27"/>
  <c r="D45" i="21"/>
  <c r="G45" i="21" s="1"/>
  <c r="K121" i="27"/>
  <c r="S11" i="27"/>
  <c r="L16" i="27"/>
  <c r="L67" i="27"/>
  <c r="S57" i="27"/>
  <c r="R16" i="27"/>
  <c r="R106" i="27" s="1"/>
  <c r="R121" i="27" s="1"/>
  <c r="Q106" i="27"/>
  <c r="Q121" i="27" s="1"/>
  <c r="L113" i="1"/>
  <c r="L120" i="1" s="1"/>
  <c r="L101" i="27"/>
  <c r="S97" i="27"/>
  <c r="S112" i="27"/>
  <c r="D47" i="21"/>
  <c r="G47" i="21" s="1"/>
  <c r="S39" i="27"/>
  <c r="L110" i="27"/>
  <c r="C10" i="23"/>
  <c r="C57" i="21"/>
  <c r="C62" i="21"/>
  <c r="C11" i="23" s="1"/>
  <c r="O27" i="21"/>
  <c r="M27" i="21"/>
  <c r="Q26" i="21"/>
  <c r="S248" i="24"/>
  <c r="H15" i="21"/>
  <c r="O58" i="13"/>
  <c r="N115" i="13"/>
  <c r="N38" i="13"/>
  <c r="M40" i="13"/>
  <c r="M111" i="13" s="1"/>
  <c r="M122" i="13" s="1"/>
  <c r="Q121" i="1"/>
  <c r="S30" i="11"/>
  <c r="S107" i="11" s="1"/>
  <c r="D33" i="21" s="1"/>
  <c r="G33" i="21" s="1"/>
  <c r="K126" i="17"/>
  <c r="S102" i="17"/>
  <c r="P126" i="17"/>
  <c r="S57" i="10"/>
  <c r="R50" i="17"/>
  <c r="R59" i="17" s="1"/>
  <c r="R117" i="17" s="1"/>
  <c r="Q59" i="17"/>
  <c r="Q117" i="17" s="1"/>
  <c r="O50" i="17"/>
  <c r="N59" i="17"/>
  <c r="N117" i="17" s="1"/>
  <c r="N126" i="17" s="1"/>
  <c r="S107" i="7"/>
  <c r="O131" i="7"/>
  <c r="L115" i="13"/>
  <c r="L122" i="13" s="1"/>
  <c r="Q120" i="11"/>
  <c r="L118" i="14"/>
  <c r="S60" i="11"/>
  <c r="S96" i="11"/>
  <c r="S64" i="14"/>
  <c r="S111" i="14" s="1"/>
  <c r="O37" i="21"/>
  <c r="O68" i="25"/>
  <c r="O115" i="25" s="1"/>
  <c r="O122" i="25" s="1"/>
  <c r="O114" i="1"/>
  <c r="S72" i="17"/>
  <c r="R74" i="17"/>
  <c r="Q75" i="17"/>
  <c r="Q119" i="17" s="1"/>
  <c r="S54" i="14"/>
  <c r="R75" i="17"/>
  <c r="R119" i="17" s="1"/>
  <c r="O242" i="24"/>
  <c r="O98" i="20"/>
  <c r="O105" i="20" s="1"/>
  <c r="L119" i="17"/>
  <c r="L126" i="17" s="1"/>
  <c r="O75" i="17"/>
  <c r="O119" i="17" s="1"/>
  <c r="S65" i="17"/>
  <c r="S12" i="13"/>
  <c r="S66" i="25"/>
  <c r="R68" i="25"/>
  <c r="R115" i="25" s="1"/>
  <c r="S66" i="20"/>
  <c r="S106" i="24"/>
  <c r="S240" i="24" s="1"/>
  <c r="N23" i="21" s="1"/>
  <c r="S11" i="14"/>
  <c r="S112" i="24"/>
  <c r="S149" i="24" s="1"/>
  <c r="S242" i="24" s="1"/>
  <c r="N24" i="21" s="1"/>
  <c r="S62" i="15"/>
  <c r="S161" i="15" s="1"/>
  <c r="I22" i="21" s="1"/>
  <c r="L22" i="21" s="1"/>
  <c r="L9" i="21"/>
  <c r="G21" i="21"/>
  <c r="S100" i="15"/>
  <c r="T51" i="16"/>
  <c r="T53" i="16" s="1"/>
  <c r="T110" i="16" s="1"/>
  <c r="S20" i="15"/>
  <c r="S117" i="15"/>
  <c r="S15" i="24"/>
  <c r="N121" i="1"/>
  <c r="S84" i="17"/>
  <c r="S57" i="1"/>
  <c r="S91" i="9"/>
  <c r="S116" i="9" s="1"/>
  <c r="D13" i="21" s="1"/>
  <c r="G13" i="21" s="1"/>
  <c r="N249" i="24"/>
  <c r="N121" i="10"/>
  <c r="O119" i="16"/>
  <c r="N118" i="14"/>
  <c r="S160" i="24"/>
  <c r="S201" i="24" s="1"/>
  <c r="S244" i="24" s="1"/>
  <c r="N25" i="21" s="1"/>
  <c r="S50" i="13"/>
  <c r="S52" i="13" s="1"/>
  <c r="S113" i="13" s="1"/>
  <c r="P119" i="16"/>
  <c r="O51" i="10"/>
  <c r="O112" i="10" s="1"/>
  <c r="S47" i="10"/>
  <c r="S51" i="10" s="1"/>
  <c r="S112" i="10" s="1"/>
  <c r="I11" i="21" s="1"/>
  <c r="L11" i="21" s="1"/>
  <c r="O117" i="13"/>
  <c r="S92" i="13"/>
  <c r="S117" i="13" s="1"/>
  <c r="O113" i="14"/>
  <c r="S88" i="14"/>
  <c r="S113" i="14" s="1"/>
  <c r="O116" i="10"/>
  <c r="S91" i="10"/>
  <c r="S116" i="10" s="1"/>
  <c r="I13" i="21" s="1"/>
  <c r="L13" i="21" s="1"/>
  <c r="O54" i="11"/>
  <c r="O111" i="11" s="1"/>
  <c r="S50" i="11"/>
  <c r="S54" i="11" s="1"/>
  <c r="S111" i="11" s="1"/>
  <c r="D35" i="21" s="1"/>
  <c r="G35" i="21" s="1"/>
  <c r="O79" i="15"/>
  <c r="O163" i="15" s="1"/>
  <c r="O172" i="15" s="1"/>
  <c r="S71" i="15"/>
  <c r="S79" i="15" s="1"/>
  <c r="S163" i="15" s="1"/>
  <c r="I23" i="21" s="1"/>
  <c r="L23" i="21" s="1"/>
  <c r="N172" i="15"/>
  <c r="S59" i="17"/>
  <c r="S117" i="17" s="1"/>
  <c r="T11" i="16"/>
  <c r="S94" i="14"/>
  <c r="N120" i="11"/>
  <c r="O116" i="1"/>
  <c r="S91" i="1"/>
  <c r="S116" i="1" s="1"/>
  <c r="N13" i="21" s="1"/>
  <c r="Q13" i="21" s="1"/>
  <c r="S47" i="9"/>
  <c r="S51" i="9" s="1"/>
  <c r="S112" i="9" s="1"/>
  <c r="D11" i="21" s="1"/>
  <c r="G11" i="21" s="1"/>
  <c r="O51" i="9"/>
  <c r="O112" i="9" s="1"/>
  <c r="O121" i="9" s="1"/>
  <c r="S58" i="25"/>
  <c r="S98" i="25"/>
  <c r="L102" i="25"/>
  <c r="K122" i="25"/>
  <c r="S92" i="25"/>
  <c r="S117" i="25" s="1"/>
  <c r="L117" i="25"/>
  <c r="S30" i="25"/>
  <c r="S109" i="25" s="1"/>
  <c r="L16" i="25"/>
  <c r="S11" i="25"/>
  <c r="L52" i="25"/>
  <c r="L113" i="25" s="1"/>
  <c r="S50" i="25"/>
  <c r="S52" i="25" s="1"/>
  <c r="S113" i="25" s="1"/>
  <c r="N122" i="25"/>
  <c r="R16" i="25"/>
  <c r="R107" i="25" s="1"/>
  <c r="Q107" i="25"/>
  <c r="Q122" i="25" s="1"/>
  <c r="L40" i="25"/>
  <c r="S38" i="25"/>
  <c r="U27" i="24"/>
  <c r="U51" i="24" s="1"/>
  <c r="U236" i="24" s="1"/>
  <c r="O51" i="24"/>
  <c r="O236" i="24" s="1"/>
  <c r="S11" i="1"/>
  <c r="S19" i="7"/>
  <c r="L21" i="21"/>
  <c r="S36" i="14"/>
  <c r="S107" i="14" s="1"/>
  <c r="O16" i="10"/>
  <c r="O106" i="10" s="1"/>
  <c r="S11" i="10"/>
  <c r="O16" i="11"/>
  <c r="O105" i="11" s="1"/>
  <c r="S11" i="11"/>
  <c r="L164" i="15"/>
  <c r="L171" i="15" s="1"/>
  <c r="S105" i="15"/>
  <c r="S164" i="15" s="1"/>
  <c r="H24" i="21" s="1"/>
  <c r="H23" i="21"/>
  <c r="C59" i="21" s="1"/>
  <c r="S130" i="7"/>
  <c r="O130" i="7"/>
  <c r="C27" i="21"/>
  <c r="S39" i="1"/>
  <c r="S110" i="1" s="1"/>
  <c r="N10" i="21" s="1"/>
  <c r="Q10" i="21" s="1"/>
  <c r="Q22" i="21"/>
  <c r="L34" i="21"/>
  <c r="L39" i="21" s="1"/>
  <c r="K39" i="21"/>
  <c r="F7" i="23"/>
  <c r="E15" i="21"/>
  <c r="R119" i="13"/>
  <c r="S102" i="13"/>
  <c r="S119" i="13" s="1"/>
  <c r="R106" i="10"/>
  <c r="R116" i="7"/>
  <c r="S24" i="7"/>
  <c r="S116" i="7" s="1"/>
  <c r="D20" i="21" s="1"/>
  <c r="R98" i="20"/>
  <c r="R111" i="17"/>
  <c r="S16" i="17"/>
  <c r="S111" i="17" s="1"/>
  <c r="R114" i="9"/>
  <c r="S114" i="9"/>
  <c r="D12" i="21" s="1"/>
  <c r="R114" i="1"/>
  <c r="R110" i="10"/>
  <c r="S39" i="10"/>
  <c r="S110" i="10" s="1"/>
  <c r="I10" i="21" s="1"/>
  <c r="L10" i="21" s="1"/>
  <c r="R121" i="17"/>
  <c r="S96" i="17"/>
  <c r="S121" i="17" s="1"/>
  <c r="R105" i="11"/>
  <c r="R234" i="24"/>
  <c r="R249" i="24" s="1"/>
  <c r="S20" i="24"/>
  <c r="S234" i="24" s="1"/>
  <c r="R128" i="7"/>
  <c r="S111" i="7"/>
  <c r="S128" i="7" s="1"/>
  <c r="D26" i="21" s="1"/>
  <c r="G26" i="21" s="1"/>
  <c r="S104" i="16"/>
  <c r="T13" i="16"/>
  <c r="T104" i="16" s="1"/>
  <c r="R115" i="14"/>
  <c r="S98" i="14"/>
  <c r="S115" i="14" s="1"/>
  <c r="R106" i="9"/>
  <c r="S16" i="9"/>
  <c r="S106" i="9" s="1"/>
  <c r="R94" i="20"/>
  <c r="S55" i="20"/>
  <c r="S94" i="20" s="1"/>
  <c r="S108" i="16"/>
  <c r="T43" i="16"/>
  <c r="T108" i="16" s="1"/>
  <c r="O34" i="21" s="1"/>
  <c r="E58" i="21" s="1"/>
  <c r="R111" i="14"/>
  <c r="R114" i="10"/>
  <c r="S67" i="10"/>
  <c r="S114" i="10" s="1"/>
  <c r="I12" i="21" s="1"/>
  <c r="L12" i="21" s="1"/>
  <c r="R118" i="9"/>
  <c r="S101" i="9"/>
  <c r="S118" i="9" s="1"/>
  <c r="D14" i="21" s="1"/>
  <c r="R115" i="11"/>
  <c r="S90" i="11"/>
  <c r="S115" i="11" s="1"/>
  <c r="D37" i="21" s="1"/>
  <c r="R165" i="15"/>
  <c r="S106" i="15"/>
  <c r="S165" i="15" s="1"/>
  <c r="I24" i="21" s="1"/>
  <c r="L24" i="21" s="1"/>
  <c r="R103" i="14"/>
  <c r="S13" i="14"/>
  <c r="S103" i="14" s="1"/>
  <c r="R113" i="11"/>
  <c r="S70" i="11"/>
  <c r="S113" i="11" s="1"/>
  <c r="D36" i="21" s="1"/>
  <c r="G36" i="21" s="1"/>
  <c r="S116" i="16"/>
  <c r="T99" i="16"/>
  <c r="T116" i="16" s="1"/>
  <c r="R123" i="17"/>
  <c r="S106" i="17"/>
  <c r="S123" i="17" s="1"/>
  <c r="S112" i="16"/>
  <c r="T65" i="16"/>
  <c r="T112" i="16" s="1"/>
  <c r="R124" i="7"/>
  <c r="S75" i="7"/>
  <c r="S124" i="7" s="1"/>
  <c r="D24" i="21" s="1"/>
  <c r="G24" i="21" s="1"/>
  <c r="R117" i="11"/>
  <c r="S100" i="11"/>
  <c r="S117" i="11" s="1"/>
  <c r="D38" i="21" s="1"/>
  <c r="G38" i="21" s="1"/>
  <c r="R118" i="1"/>
  <c r="S101" i="1"/>
  <c r="S118" i="1" s="1"/>
  <c r="N14" i="21" s="1"/>
  <c r="Q14" i="21" s="1"/>
  <c r="R93" i="20"/>
  <c r="R104" i="20" s="1"/>
  <c r="S54" i="20"/>
  <c r="S93" i="20" s="1"/>
  <c r="R118" i="10"/>
  <c r="S101" i="10"/>
  <c r="S118" i="10" s="1"/>
  <c r="I14" i="21" s="1"/>
  <c r="L14" i="21" s="1"/>
  <c r="R157" i="15"/>
  <c r="S25" i="15"/>
  <c r="S157" i="15" s="1"/>
  <c r="R167" i="15"/>
  <c r="S135" i="15"/>
  <c r="S167" i="15" s="1"/>
  <c r="I25" i="21" s="1"/>
  <c r="L25" i="21" s="1"/>
  <c r="R107" i="13"/>
  <c r="S17" i="13"/>
  <c r="S107" i="13" s="1"/>
  <c r="R106" i="1"/>
  <c r="S16" i="1"/>
  <c r="S106" i="1" s="1"/>
  <c r="S39" i="9"/>
  <c r="S110" i="9" s="1"/>
  <c r="D10" i="21" s="1"/>
  <c r="L118" i="27" l="1"/>
  <c r="S101" i="27"/>
  <c r="S67" i="27"/>
  <c r="L114" i="27"/>
  <c r="L106" i="27"/>
  <c r="S16" i="27"/>
  <c r="E61" i="21"/>
  <c r="E10" i="23" s="1"/>
  <c r="M15" i="21"/>
  <c r="S120" i="1"/>
  <c r="S110" i="27"/>
  <c r="D46" i="21"/>
  <c r="G46" i="21" s="1"/>
  <c r="S116" i="27"/>
  <c r="D49" i="21"/>
  <c r="G49" i="21" s="1"/>
  <c r="Q24" i="21"/>
  <c r="Q23" i="21"/>
  <c r="Q25" i="21"/>
  <c r="C8" i="23"/>
  <c r="O38" i="13"/>
  <c r="N40" i="13"/>
  <c r="N111" i="13" s="1"/>
  <c r="N122" i="13" s="1"/>
  <c r="Q126" i="17"/>
  <c r="T50" i="17"/>
  <c r="T59" i="17" s="1"/>
  <c r="T117" i="17" s="1"/>
  <c r="T126" i="17" s="1"/>
  <c r="O59" i="17"/>
  <c r="O117" i="17" s="1"/>
  <c r="O126" i="17" s="1"/>
  <c r="S67" i="1"/>
  <c r="S114" i="1" s="1"/>
  <c r="N12" i="21" s="1"/>
  <c r="Q12" i="21" s="1"/>
  <c r="S70" i="20"/>
  <c r="S98" i="20" s="1"/>
  <c r="I48" i="21" s="1"/>
  <c r="L48" i="21" s="1"/>
  <c r="O111" i="14"/>
  <c r="O118" i="14" s="1"/>
  <c r="N33" i="21"/>
  <c r="Q33" i="21" s="1"/>
  <c r="O249" i="24"/>
  <c r="S74" i="17"/>
  <c r="S118" i="17" s="1"/>
  <c r="R118" i="17"/>
  <c r="R125" i="17" s="1"/>
  <c r="N37" i="21"/>
  <c r="Q37" i="21" s="1"/>
  <c r="O121" i="1"/>
  <c r="N35" i="21"/>
  <c r="D59" i="21" s="1"/>
  <c r="S75" i="17"/>
  <c r="S119" i="17" s="1"/>
  <c r="R118" i="14"/>
  <c r="R122" i="25"/>
  <c r="R105" i="20"/>
  <c r="S16" i="10"/>
  <c r="S106" i="10" s="1"/>
  <c r="S121" i="10" s="1"/>
  <c r="S16" i="11"/>
  <c r="S105" i="11" s="1"/>
  <c r="S120" i="11" s="1"/>
  <c r="O121" i="10"/>
  <c r="O120" i="11"/>
  <c r="S40" i="25"/>
  <c r="S111" i="25" s="1"/>
  <c r="L111" i="25"/>
  <c r="L119" i="25"/>
  <c r="S102" i="25"/>
  <c r="S119" i="25" s="1"/>
  <c r="N38" i="21" s="1"/>
  <c r="L115" i="25"/>
  <c r="S68" i="25"/>
  <c r="S115" i="25" s="1"/>
  <c r="L107" i="25"/>
  <c r="S16" i="25"/>
  <c r="S107" i="25" s="1"/>
  <c r="N32" i="21" s="1"/>
  <c r="S171" i="15"/>
  <c r="U249" i="24"/>
  <c r="P21" i="21"/>
  <c r="F57" i="21" s="1"/>
  <c r="R121" i="1"/>
  <c r="E7" i="23"/>
  <c r="S118" i="14"/>
  <c r="H27" i="21"/>
  <c r="C6" i="23"/>
  <c r="N8" i="21"/>
  <c r="I20" i="21"/>
  <c r="S172" i="15"/>
  <c r="H46" i="21"/>
  <c r="C58" i="21" s="1"/>
  <c r="S104" i="20"/>
  <c r="G37" i="21"/>
  <c r="G14" i="21"/>
  <c r="I46" i="21"/>
  <c r="D8" i="21"/>
  <c r="S121" i="9"/>
  <c r="N20" i="21"/>
  <c r="S249" i="24"/>
  <c r="G12" i="21"/>
  <c r="S131" i="7"/>
  <c r="T119" i="16"/>
  <c r="G10" i="21"/>
  <c r="R172" i="15"/>
  <c r="R121" i="9"/>
  <c r="S119" i="16"/>
  <c r="R120" i="11"/>
  <c r="R126" i="17"/>
  <c r="R131" i="7"/>
  <c r="R121" i="10"/>
  <c r="D57" i="21" l="1"/>
  <c r="D6" i="23" s="1"/>
  <c r="I6" i="23" s="1"/>
  <c r="D61" i="21"/>
  <c r="D10" i="23" s="1"/>
  <c r="S106" i="27"/>
  <c r="D44" i="21"/>
  <c r="L121" i="27"/>
  <c r="S114" i="27"/>
  <c r="D48" i="21"/>
  <c r="G48" i="21" s="1"/>
  <c r="S118" i="27"/>
  <c r="D50" i="21"/>
  <c r="G50" i="21" s="1"/>
  <c r="O115" i="13"/>
  <c r="Q58" i="13"/>
  <c r="P115" i="13"/>
  <c r="O40" i="13"/>
  <c r="O35" i="21"/>
  <c r="S121" i="1"/>
  <c r="S105" i="20"/>
  <c r="M36" i="21"/>
  <c r="C60" i="21" s="1"/>
  <c r="S125" i="17"/>
  <c r="S126" i="17"/>
  <c r="I8" i="21"/>
  <c r="L8" i="21" s="1"/>
  <c r="L15" i="21" s="1"/>
  <c r="D8" i="23"/>
  <c r="D32" i="21"/>
  <c r="D39" i="21" s="1"/>
  <c r="S122" i="25"/>
  <c r="L122" i="25"/>
  <c r="Q38" i="21"/>
  <c r="Q32" i="21"/>
  <c r="P27" i="21"/>
  <c r="Q21" i="21"/>
  <c r="G20" i="21"/>
  <c r="G27" i="21" s="1"/>
  <c r="D27" i="21"/>
  <c r="Q20" i="21"/>
  <c r="N27" i="21"/>
  <c r="G8" i="21"/>
  <c r="G15" i="21" s="1"/>
  <c r="D15" i="21"/>
  <c r="L46" i="21"/>
  <c r="L51" i="21" s="1"/>
  <c r="I51" i="21"/>
  <c r="H51" i="21"/>
  <c r="L20" i="21"/>
  <c r="L27" i="21" s="1"/>
  <c r="I27" i="21"/>
  <c r="Q8" i="21"/>
  <c r="Q15" i="21" s="1"/>
  <c r="N15" i="21"/>
  <c r="D56" i="21" l="1"/>
  <c r="D5" i="23" s="1"/>
  <c r="I5" i="23" s="1"/>
  <c r="S121" i="27"/>
  <c r="G44" i="21"/>
  <c r="G51" i="21" s="1"/>
  <c r="D51" i="21"/>
  <c r="O39" i="21"/>
  <c r="E59" i="21"/>
  <c r="E8" i="23" s="1"/>
  <c r="E12" i="23" s="1"/>
  <c r="D62" i="21"/>
  <c r="D11" i="23" s="1"/>
  <c r="G11" i="23" s="1"/>
  <c r="Q115" i="13"/>
  <c r="R58" i="13"/>
  <c r="O111" i="13"/>
  <c r="O122" i="13" s="1"/>
  <c r="P40" i="13"/>
  <c r="P111" i="13" s="1"/>
  <c r="P122" i="13" s="1"/>
  <c r="Q38" i="13"/>
  <c r="Q35" i="21"/>
  <c r="M39" i="21"/>
  <c r="C9" i="23"/>
  <c r="I15" i="21"/>
  <c r="G32" i="21"/>
  <c r="G39" i="21" s="1"/>
  <c r="G10" i="23"/>
  <c r="I10" i="23"/>
  <c r="G61" i="21"/>
  <c r="Q27" i="21"/>
  <c r="F6" i="23"/>
  <c r="G57" i="21"/>
  <c r="F63" i="21"/>
  <c r="C7" i="23"/>
  <c r="G62" i="21" l="1"/>
  <c r="I11" i="23"/>
  <c r="S58" i="13"/>
  <c r="R38" i="13"/>
  <c r="Q40" i="13"/>
  <c r="Q111" i="13" s="1"/>
  <c r="Q122" i="13" s="1"/>
  <c r="E63" i="21"/>
  <c r="G59" i="21"/>
  <c r="G8" i="23"/>
  <c r="C12" i="23"/>
  <c r="C63" i="21"/>
  <c r="G56" i="21"/>
  <c r="F12" i="23"/>
  <c r="G6" i="23"/>
  <c r="G5" i="23"/>
  <c r="R115" i="13" l="1"/>
  <c r="S68" i="13"/>
  <c r="S115" i="13" s="1"/>
  <c r="R40" i="13"/>
  <c r="S38" i="13"/>
  <c r="K114" i="16"/>
  <c r="K119" i="16" s="1"/>
  <c r="R111" i="13" l="1"/>
  <c r="R122" i="13" s="1"/>
  <c r="S40" i="13"/>
  <c r="S111" i="13" s="1"/>
  <c r="N34" i="21" s="1"/>
  <c r="D58" i="21" s="1"/>
  <c r="N36" i="21"/>
  <c r="D60" i="21" s="1"/>
  <c r="N39" i="21" l="1"/>
  <c r="Q39" i="21" s="1"/>
  <c r="S122" i="13"/>
  <c r="Q34" i="21"/>
  <c r="Q36" i="21"/>
  <c r="D63" i="21" l="1"/>
  <c r="G58" i="21"/>
  <c r="D7" i="23"/>
  <c r="G60" i="21"/>
  <c r="D9" i="23"/>
  <c r="G63" i="21" l="1"/>
  <c r="D12" i="23"/>
  <c r="I12" i="23" s="1"/>
  <c r="I7" i="23"/>
  <c r="G7" i="23"/>
  <c r="G9" i="23"/>
  <c r="I9" i="23"/>
  <c r="G12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eer</author>
  </authors>
  <commentList>
    <comment ref="B58" authorId="0" shapeId="0" xr:uid="{00000000-0006-0000-0800-000001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Why 1119 sites with microbalances but only 114 clean rooms?</t>
        </r>
      </text>
    </comment>
    <comment ref="B65" authorId="0" shapeId="0" xr:uid="{00000000-0006-0000-0800-000002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Are there 538 or 577 continuous samplers? We're installing 538, but visiting 577 of them.</t>
        </r>
      </text>
    </comment>
    <comment ref="B113" authorId="0" shapeId="0" xr:uid="{00000000-0006-0000-0800-000003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22" authorId="0" shapeId="0" xr:uid="{00000000-0006-0000-0800-000004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31" authorId="0" shapeId="0" xr:uid="{00000000-0006-0000-0800-000005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40" authorId="0" shapeId="0" xr:uid="{00000000-0006-0000-0800-000006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56" authorId="0" shapeId="0" xr:uid="{00000000-0006-0000-0800-000007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Question on number of continuous analyzers.</t>
        </r>
      </text>
    </comment>
    <comment ref="B161" authorId="0" shapeId="0" xr:uid="{00000000-0006-0000-0800-000008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70" authorId="0" shapeId="0" xr:uid="{00000000-0006-0000-0800-000009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79" authorId="0" shapeId="0" xr:uid="{00000000-0006-0000-0800-00000A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88" authorId="0" shapeId="0" xr:uid="{00000000-0006-0000-0800-00000B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eer</author>
  </authors>
  <commentList>
    <comment ref="B76" authorId="0" shapeId="0" xr:uid="{00000000-0006-0000-0900-000001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Where is the capital cost for Audit/Calibration kits (in report, not in ss)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eer</author>
  </authors>
  <commentList>
    <comment ref="B31" authorId="0" shapeId="0" xr:uid="{00000000-0006-0000-0F00-000001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handling of analysis hours</t>
        </r>
      </text>
    </comment>
  </commentList>
</comments>
</file>

<file path=xl/sharedStrings.xml><?xml version="1.0" encoding="utf-8"?>
<sst xmlns="http://schemas.openxmlformats.org/spreadsheetml/2006/main" count="9355" uniqueCount="398">
  <si>
    <t>Data Entry for</t>
  </si>
  <si>
    <t>NO2</t>
  </si>
  <si>
    <t>Overall Comment</t>
  </si>
  <si>
    <t>Element 1 - Network Design</t>
  </si>
  <si>
    <t>Hours per site</t>
  </si>
  <si>
    <t>Year 1</t>
  </si>
  <si>
    <t>Comment</t>
  </si>
  <si>
    <t>b) Site Selection (Reporting Organization)</t>
  </si>
  <si>
    <t>Cost per site</t>
  </si>
  <si>
    <t>Inflation Adjustment for</t>
  </si>
  <si>
    <t>Year 2</t>
  </si>
  <si>
    <t>Year 3</t>
  </si>
  <si>
    <t>NA</t>
  </si>
  <si>
    <t>Total</t>
  </si>
  <si>
    <t>Analyzers</t>
  </si>
  <si>
    <t>Spare Analyzers</t>
  </si>
  <si>
    <t>Element 2 - Site Installation</t>
  </si>
  <si>
    <t>Labor</t>
  </si>
  <si>
    <t>Supplies</t>
  </si>
  <si>
    <t>Spare parts/supplies</t>
  </si>
  <si>
    <t>Coordination/implementation</t>
  </si>
  <si>
    <t>Planning/coordination</t>
  </si>
  <si>
    <t>Element 3 - Supplies and Site Visits</t>
  </si>
  <si>
    <t>Routine visits</t>
  </si>
  <si>
    <t>Element 4 - Maintenance</t>
  </si>
  <si>
    <t>Remedial Repairs</t>
  </si>
  <si>
    <t>Element 5 - Data Management</t>
  </si>
  <si>
    <t>Data aquisition/processing</t>
  </si>
  <si>
    <t>Element 6 - Quality Assurance</t>
  </si>
  <si>
    <t>QA Plan review (annual)</t>
  </si>
  <si>
    <t>Element 7 - Supervision</t>
  </si>
  <si>
    <t>Updated on</t>
  </si>
  <si>
    <t>Professional/Technical Level</t>
  </si>
  <si>
    <t>Overhead Multiplier</t>
  </si>
  <si>
    <t>Labor Rate ($/hr)</t>
  </si>
  <si>
    <t>Loaded Labor Rate ($/hr)</t>
  </si>
  <si>
    <t>Labor rates based on year</t>
  </si>
  <si>
    <t>Junior Technician (TEC1)</t>
  </si>
  <si>
    <t>Senior Technician (TEC2)</t>
  </si>
  <si>
    <t>Junior Professional (PRO1)</t>
  </si>
  <si>
    <t>Mid-level Professional (PRO2)</t>
  </si>
  <si>
    <t>Staff Professional (PRO3)</t>
  </si>
  <si>
    <t>Senior Professional (PRO4)</t>
  </si>
  <si>
    <t>Labor Rates</t>
  </si>
  <si>
    <t>a) Network Design (by Reporting Organization)</t>
  </si>
  <si>
    <t>TEC1</t>
  </si>
  <si>
    <t>TEC2</t>
  </si>
  <si>
    <t>PRO1</t>
  </si>
  <si>
    <t>PRO2</t>
  </si>
  <si>
    <t>PRO3</t>
  </si>
  <si>
    <t>PRO4</t>
  </si>
  <si>
    <t>Hours per RO</t>
  </si>
  <si>
    <t>Costs per RO</t>
  </si>
  <si>
    <t>Labor Category</t>
  </si>
  <si>
    <t>Years Amoritized</t>
  </si>
  <si>
    <t>Per RO</t>
  </si>
  <si>
    <t>Adjusted</t>
  </si>
  <si>
    <t>Entire Network</t>
  </si>
  <si>
    <t>Materials</t>
  </si>
  <si>
    <t>Spare Factor</t>
  </si>
  <si>
    <t>Unit cost</t>
  </si>
  <si>
    <t>Per Site</t>
  </si>
  <si>
    <t>Year</t>
  </si>
  <si>
    <t>Hours per reporting organization</t>
  </si>
  <si>
    <t>Cost per reporting organization</t>
  </si>
  <si>
    <t>QA Plan preparation</t>
  </si>
  <si>
    <t>Sub Total - Hours</t>
  </si>
  <si>
    <t>Sub Total - Costs</t>
  </si>
  <si>
    <t>Yearly Cost</t>
  </si>
  <si>
    <t>Sites</t>
  </si>
  <si>
    <t>Spares</t>
  </si>
  <si>
    <t>Report Org</t>
  </si>
  <si>
    <t xml:space="preserve"> Sites</t>
  </si>
  <si>
    <t>General Costs</t>
  </si>
  <si>
    <t>Per Site Total</t>
  </si>
  <si>
    <t>Hours</t>
  </si>
  <si>
    <t>Costs</t>
  </si>
  <si>
    <t>Average Yearly Costs</t>
  </si>
  <si>
    <t>Non Labor O &amp; M</t>
  </si>
  <si>
    <t>Equipment</t>
  </si>
  <si>
    <t>O3</t>
  </si>
  <si>
    <t>4 month</t>
  </si>
  <si>
    <t>7 month</t>
  </si>
  <si>
    <t>5 month</t>
  </si>
  <si>
    <t>6 month</t>
  </si>
  <si>
    <t>8 month</t>
  </si>
  <si>
    <t>9 month</t>
  </si>
  <si>
    <t>12 month</t>
  </si>
  <si>
    <t xml:space="preserve"> Total Sites</t>
  </si>
  <si>
    <t>Total Sites</t>
  </si>
  <si>
    <t>Pollutant</t>
  </si>
  <si>
    <t>Analyzer</t>
  </si>
  <si>
    <t>SO2</t>
  </si>
  <si>
    <t>CO</t>
  </si>
  <si>
    <t>Maintenance</t>
  </si>
  <si>
    <t>Routine Visits</t>
  </si>
  <si>
    <r>
      <t xml:space="preserve">3 - Supplies &amp; site visits         </t>
    </r>
    <r>
      <rPr>
        <sz val="10"/>
        <rFont val="Arial"/>
        <family val="2"/>
      </rPr>
      <t>Hours</t>
    </r>
  </si>
  <si>
    <r>
      <t xml:space="preserve">1 - Network Design               </t>
    </r>
    <r>
      <rPr>
        <sz val="10"/>
        <rFont val="Arial"/>
        <family val="2"/>
      </rPr>
      <t>Hours</t>
    </r>
  </si>
  <si>
    <r>
      <t xml:space="preserve">2 - Site Installation               </t>
    </r>
    <r>
      <rPr>
        <sz val="10"/>
        <rFont val="Arial"/>
        <family val="2"/>
      </rPr>
      <t>Hours</t>
    </r>
  </si>
  <si>
    <r>
      <t xml:space="preserve">4 - Maintenance                    </t>
    </r>
    <r>
      <rPr>
        <sz val="10"/>
        <rFont val="Arial"/>
        <family val="2"/>
      </rPr>
      <t>Hours</t>
    </r>
  </si>
  <si>
    <r>
      <t xml:space="preserve">5 - Data Managment              </t>
    </r>
    <r>
      <rPr>
        <sz val="10"/>
        <rFont val="Arial"/>
        <family val="2"/>
      </rPr>
      <t>Hours</t>
    </r>
  </si>
  <si>
    <r>
      <t xml:space="preserve">6 - Quality Assurance            </t>
    </r>
    <r>
      <rPr>
        <sz val="10"/>
        <rFont val="Arial"/>
        <family val="2"/>
      </rPr>
      <t>Hours</t>
    </r>
  </si>
  <si>
    <r>
      <t xml:space="preserve">7 - Supervision                     </t>
    </r>
    <r>
      <rPr>
        <sz val="10"/>
        <rFont val="Arial"/>
        <family val="2"/>
      </rPr>
      <t>Hours</t>
    </r>
  </si>
  <si>
    <t>Non Labor
 O &amp; M</t>
  </si>
  <si>
    <r>
      <t xml:space="preserve">Supervision/review   </t>
    </r>
    <r>
      <rPr>
        <sz val="10"/>
        <rFont val="Arial"/>
        <family val="2"/>
      </rPr>
      <t>Hours per site</t>
    </r>
  </si>
  <si>
    <t>Cost per RO</t>
  </si>
  <si>
    <t xml:space="preserve">QA Plan preparation </t>
  </si>
  <si>
    <t>Cost</t>
  </si>
  <si>
    <r>
      <t xml:space="preserve">Reporting </t>
    </r>
    <r>
      <rPr>
        <sz val="10"/>
        <rFont val="Arial"/>
        <family val="2"/>
      </rPr>
      <t xml:space="preserve">                 Hours per site</t>
    </r>
  </si>
  <si>
    <r>
      <t>Training</t>
    </r>
    <r>
      <rPr>
        <sz val="10"/>
        <rFont val="Arial"/>
        <family val="2"/>
      </rPr>
      <t xml:space="preserve">                    Hours per site</t>
    </r>
  </si>
  <si>
    <r>
      <t xml:space="preserve">Routine Calibrations </t>
    </r>
    <r>
      <rPr>
        <sz val="10"/>
        <rFont val="Arial"/>
        <family val="2"/>
      </rPr>
      <t>Hours per site</t>
    </r>
  </si>
  <si>
    <r>
      <t>Audits</t>
    </r>
    <r>
      <rPr>
        <sz val="10"/>
        <rFont val="Arial"/>
        <family val="2"/>
      </rPr>
      <t xml:space="preserve">                        Hours per site</t>
    </r>
  </si>
  <si>
    <t>Labor per RO</t>
  </si>
  <si>
    <t>Adjusted per RO</t>
  </si>
  <si>
    <r>
      <t xml:space="preserve">Data reporting </t>
    </r>
    <r>
      <rPr>
        <sz val="10"/>
        <rFont val="Arial"/>
        <family val="2"/>
      </rPr>
      <t xml:space="preserve">          Hours per site</t>
    </r>
  </si>
  <si>
    <r>
      <t xml:space="preserve">Data validation         </t>
    </r>
    <r>
      <rPr>
        <sz val="10"/>
        <rFont val="Arial"/>
        <family val="2"/>
      </rPr>
      <t xml:space="preserve"> Hours per site</t>
    </r>
  </si>
  <si>
    <r>
      <t xml:space="preserve">Data distribution </t>
    </r>
    <r>
      <rPr>
        <sz val="10"/>
        <rFont val="Arial"/>
        <family val="2"/>
      </rPr>
      <t xml:space="preserve">       Hours per site</t>
    </r>
  </si>
  <si>
    <r>
      <t xml:space="preserve">Routine Maint.          </t>
    </r>
    <r>
      <rPr>
        <sz val="10"/>
        <rFont val="Arial"/>
        <family val="2"/>
      </rPr>
      <t>Hours per site</t>
    </r>
  </si>
  <si>
    <r>
      <t>Installation</t>
    </r>
    <r>
      <rPr>
        <sz val="10"/>
        <rFont val="Arial"/>
        <family val="2"/>
      </rPr>
      <t xml:space="preserve">                Hours per site</t>
    </r>
  </si>
  <si>
    <r>
      <t xml:space="preserve">Procurement </t>
    </r>
    <r>
      <rPr>
        <sz val="10"/>
        <rFont val="Arial"/>
        <family val="2"/>
      </rPr>
      <t xml:space="preserve">           Hours per site</t>
    </r>
  </si>
  <si>
    <t>SpareParts/
Supplies</t>
  </si>
  <si>
    <t>Summary by Element</t>
  </si>
  <si>
    <t>Element 1 - Network design</t>
  </si>
  <si>
    <r>
      <t>2 - Site Installation</t>
    </r>
    <r>
      <rPr>
        <sz val="10"/>
        <rFont val="Arial"/>
        <family val="2"/>
      </rPr>
      <t xml:space="preserve">              Hours</t>
    </r>
  </si>
  <si>
    <r>
      <t>4 - Maintenance</t>
    </r>
    <r>
      <rPr>
        <sz val="10"/>
        <rFont val="Arial"/>
        <family val="2"/>
      </rPr>
      <t xml:space="preserve">                   Hours</t>
    </r>
  </si>
  <si>
    <r>
      <t>3 - Supplies and Site Visits</t>
    </r>
    <r>
      <rPr>
        <sz val="10"/>
        <rFont val="Arial"/>
        <family val="2"/>
      </rPr>
      <t xml:space="preserve">  Hours</t>
    </r>
  </si>
  <si>
    <r>
      <t>5 - Data Management</t>
    </r>
    <r>
      <rPr>
        <sz val="10"/>
        <rFont val="Arial"/>
        <family val="2"/>
      </rPr>
      <t xml:space="preserve">          Hours</t>
    </r>
  </si>
  <si>
    <r>
      <t>6 - Quality Assurance</t>
    </r>
    <r>
      <rPr>
        <sz val="10"/>
        <rFont val="Arial"/>
        <family val="2"/>
      </rPr>
      <t xml:space="preserve">           Hours</t>
    </r>
  </si>
  <si>
    <r>
      <t>7 - Supervision</t>
    </r>
    <r>
      <rPr>
        <sz val="10"/>
        <rFont val="Arial"/>
        <family val="2"/>
      </rPr>
      <t xml:space="preserve">                    Hours</t>
    </r>
  </si>
  <si>
    <r>
      <t>1 - Network Design</t>
    </r>
    <r>
      <rPr>
        <sz val="10"/>
        <rFont val="Arial"/>
        <family val="2"/>
      </rPr>
      <t xml:space="preserve">                    Hours</t>
    </r>
  </si>
  <si>
    <r>
      <t>Planning/coordination</t>
    </r>
    <r>
      <rPr>
        <sz val="10"/>
        <rFont val="Arial"/>
        <family val="2"/>
      </rPr>
      <t xml:space="preserve">  Hours per site</t>
    </r>
  </si>
  <si>
    <r>
      <t xml:space="preserve">Supervision/review      </t>
    </r>
    <r>
      <rPr>
        <sz val="10"/>
        <rFont val="Arial"/>
        <family val="2"/>
      </rPr>
      <t xml:space="preserve"> Hours per site</t>
    </r>
  </si>
  <si>
    <r>
      <t>Audits</t>
    </r>
    <r>
      <rPr>
        <sz val="10"/>
        <rFont val="Arial"/>
        <family val="2"/>
      </rPr>
      <t xml:space="preserve">                            Hours per site</t>
    </r>
  </si>
  <si>
    <r>
      <t>Routine Calibrations</t>
    </r>
    <r>
      <rPr>
        <sz val="10"/>
        <rFont val="Arial"/>
        <family val="2"/>
      </rPr>
      <t xml:space="preserve">      Hours per site</t>
    </r>
  </si>
  <si>
    <r>
      <t>Training</t>
    </r>
    <r>
      <rPr>
        <sz val="10"/>
        <rFont val="Arial"/>
        <family val="2"/>
      </rPr>
      <t xml:space="preserve">                         Hours per site</t>
    </r>
  </si>
  <si>
    <r>
      <t>Reporting</t>
    </r>
    <r>
      <rPr>
        <sz val="10"/>
        <rFont val="Arial"/>
        <family val="2"/>
      </rPr>
      <t xml:space="preserve">                       Hours per site</t>
    </r>
  </si>
  <si>
    <r>
      <t>Data distribution</t>
    </r>
    <r>
      <rPr>
        <sz val="10"/>
        <rFont val="Arial"/>
        <family val="2"/>
      </rPr>
      <t xml:space="preserve">            Hours per site</t>
    </r>
  </si>
  <si>
    <r>
      <t>Data validation</t>
    </r>
    <r>
      <rPr>
        <sz val="10"/>
        <rFont val="Arial"/>
        <family val="2"/>
      </rPr>
      <t xml:space="preserve">              Hours per site</t>
    </r>
  </si>
  <si>
    <r>
      <t>Data reporting</t>
    </r>
    <r>
      <rPr>
        <sz val="10"/>
        <rFont val="Arial"/>
        <family val="2"/>
      </rPr>
      <t xml:space="preserve">               Hours per site</t>
    </r>
  </si>
  <si>
    <r>
      <t>Routine Maintenance</t>
    </r>
    <r>
      <rPr>
        <sz val="10"/>
        <rFont val="Arial"/>
        <family val="2"/>
      </rPr>
      <t xml:space="preserve">    Hours per site</t>
    </r>
  </si>
  <si>
    <r>
      <t>Remedial Repairs</t>
    </r>
    <r>
      <rPr>
        <sz val="10"/>
        <rFont val="Arial"/>
        <family val="2"/>
      </rPr>
      <t xml:space="preserve">         Hours per site</t>
    </r>
  </si>
  <si>
    <r>
      <t>Routine visits</t>
    </r>
    <r>
      <rPr>
        <sz val="10"/>
        <rFont val="Arial"/>
        <family val="2"/>
      </rPr>
      <t xml:space="preserve">                Hours per site</t>
    </r>
  </si>
  <si>
    <r>
      <t>Procurement</t>
    </r>
    <r>
      <rPr>
        <sz val="10"/>
        <rFont val="Arial"/>
        <family val="2"/>
      </rPr>
      <t xml:space="preserve">                 Hours per site</t>
    </r>
  </si>
  <si>
    <r>
      <t>Installation</t>
    </r>
    <r>
      <rPr>
        <sz val="10"/>
        <rFont val="Arial"/>
        <family val="2"/>
      </rPr>
      <t xml:space="preserve">                    Hours per site</t>
    </r>
  </si>
  <si>
    <t>Avg Percent Sampled</t>
  </si>
  <si>
    <t>1) Per site operating costs are weighted by the average percent sampling. For example, the operating expenses for a site operated for 6 months per year are assummed to be half that of a site operated for 12 months per year.</t>
  </si>
  <si>
    <t>Element 3 - Supplies and Site Visits (1)</t>
  </si>
  <si>
    <t>Element 4 - Maintenance (1)</t>
  </si>
  <si>
    <t>Element 5 - Data Management (1)</t>
  </si>
  <si>
    <t>Element 6 - Quality Assurance (1)</t>
  </si>
  <si>
    <t>Element 7 - Supervision (1)</t>
  </si>
  <si>
    <t>Pb</t>
  </si>
  <si>
    <t>Other</t>
  </si>
  <si>
    <t>Special Items</t>
  </si>
  <si>
    <t>Filters</t>
  </si>
  <si>
    <t>Element 3 - Sampling and Analysis</t>
  </si>
  <si>
    <r>
      <t xml:space="preserve">3 - Sampling and Analysis    </t>
    </r>
    <r>
      <rPr>
        <sz val="10"/>
        <rFont val="Arial"/>
        <family val="2"/>
      </rPr>
      <t>Hours</t>
    </r>
  </si>
  <si>
    <t>PAMSNOx</t>
  </si>
  <si>
    <t>Element 1 - Network Design (1)</t>
  </si>
  <si>
    <t>1) includes costs for Precursor NOy analyzers only, NO2 analyzers are covered in NO2 network costs (see seperate spreadsheet)</t>
  </si>
  <si>
    <t>Element 2 - Site Installation (1)</t>
  </si>
  <si>
    <t>Precursor NOy</t>
  </si>
  <si>
    <t>Network Design and Site Selection</t>
  </si>
  <si>
    <t>PAMSSurfMet</t>
  </si>
  <si>
    <t>PM10</t>
  </si>
  <si>
    <t>Lab Services</t>
  </si>
  <si>
    <t>Samplers</t>
  </si>
  <si>
    <t xml:space="preserve"> Cont Samplers</t>
  </si>
  <si>
    <t>Continuous Analyzers</t>
  </si>
  <si>
    <t>Continuous Spare Analyzers</t>
  </si>
  <si>
    <t>Item 1</t>
  </si>
  <si>
    <t>Audit Cal Kit</t>
  </si>
  <si>
    <t>Continuous Sampler</t>
  </si>
  <si>
    <t>Item 2</t>
  </si>
  <si>
    <t>Sampling Platform</t>
  </si>
  <si>
    <r>
      <t>b) Cont Sampler</t>
    </r>
    <r>
      <rPr>
        <sz val="10"/>
        <rFont val="Arial"/>
        <family val="2"/>
      </rPr>
      <t xml:space="preserve">       Hours per site</t>
    </r>
  </si>
  <si>
    <r>
      <t>a) Sampler</t>
    </r>
    <r>
      <rPr>
        <sz val="10"/>
        <rFont val="Arial"/>
        <family val="2"/>
      </rPr>
      <t xml:space="preserve">                Hours per site</t>
    </r>
  </si>
  <si>
    <t>Installation</t>
  </si>
  <si>
    <t>Sampling Platforms</t>
  </si>
  <si>
    <t>PAMSUpperAir</t>
  </si>
  <si>
    <t>Network Design and Site Selection (by Reporting Organization)</t>
  </si>
  <si>
    <t>Item 3</t>
  </si>
  <si>
    <t>Item 4</t>
  </si>
  <si>
    <t>Item 5</t>
  </si>
  <si>
    <t>Radar profiler</t>
  </si>
  <si>
    <t>Rawindsondes</t>
  </si>
  <si>
    <t>SODAR</t>
  </si>
  <si>
    <t>LAP/RASS +NEXRAD</t>
  </si>
  <si>
    <t>Computer hardware &amp; software</t>
  </si>
  <si>
    <r>
      <t>Acceptance Testing</t>
    </r>
    <r>
      <rPr>
        <sz val="10"/>
        <rFont val="Arial"/>
        <family val="2"/>
      </rPr>
      <t xml:space="preserve">  Hours per site</t>
    </r>
  </si>
  <si>
    <t>Contractor</t>
  </si>
  <si>
    <t>Routine field service checks</t>
  </si>
  <si>
    <t>Remedial Field Service</t>
  </si>
  <si>
    <t>Data aquisition/processing, etc.</t>
  </si>
  <si>
    <t>PAMSCarbE</t>
  </si>
  <si>
    <t>Element 1 - Network Design (see O3)</t>
  </si>
  <si>
    <t>Carbonyl sample cartridges</t>
  </si>
  <si>
    <t>HPLC/UV with autosampler</t>
  </si>
  <si>
    <t>Equipment (auxiliary)</t>
  </si>
  <si>
    <t>Supplies/reagents</t>
  </si>
  <si>
    <t>Supplies and Other Costs</t>
  </si>
  <si>
    <t>Sample analysis</t>
  </si>
  <si>
    <t>Amoritized</t>
  </si>
  <si>
    <t>Remedial Calibrations</t>
  </si>
  <si>
    <t>Repairs</t>
  </si>
  <si>
    <r>
      <t>Calibrations</t>
    </r>
    <r>
      <rPr>
        <sz val="10"/>
        <rFont val="Arial"/>
        <family val="2"/>
      </rPr>
      <t xml:space="preserve">               Hours per site</t>
    </r>
  </si>
  <si>
    <r>
      <t xml:space="preserve">Audits                        </t>
    </r>
    <r>
      <rPr>
        <sz val="10"/>
        <rFont val="Arial"/>
        <family val="2"/>
      </rPr>
      <t>Hours per site</t>
    </r>
  </si>
  <si>
    <t>Calibration Stds</t>
  </si>
  <si>
    <t>f</t>
  </si>
  <si>
    <t>PAMSCarbD</t>
  </si>
  <si>
    <t>PAMSHalfD</t>
  </si>
  <si>
    <t>Filter-Based</t>
  </si>
  <si>
    <t>1/1 (daily)</t>
  </si>
  <si>
    <t>1/2</t>
  </si>
  <si>
    <t>1/3</t>
  </si>
  <si>
    <t>1/6</t>
  </si>
  <si>
    <t>Analyzer Spare Factor</t>
  </si>
  <si>
    <t>Continuous Sites</t>
  </si>
  <si>
    <t>collocated</t>
  </si>
  <si>
    <t>Supervision/review</t>
  </si>
  <si>
    <r>
      <t xml:space="preserve">Continuous   </t>
    </r>
    <r>
      <rPr>
        <sz val="10"/>
        <rFont val="Arial"/>
        <family val="2"/>
      </rPr>
      <t>Hours per site</t>
    </r>
  </si>
  <si>
    <r>
      <t xml:space="preserve">Filter Based   </t>
    </r>
    <r>
      <rPr>
        <sz val="10"/>
        <rFont val="Arial"/>
        <family val="2"/>
      </rPr>
      <t>Hours per site</t>
    </r>
  </si>
  <si>
    <t>Filter Based   Hours per site</t>
  </si>
  <si>
    <t>Continuous   Hours per site</t>
  </si>
  <si>
    <t>Filter Tape</t>
  </si>
  <si>
    <t>Continuous sites Hours per site</t>
  </si>
  <si>
    <t>1/3 and 1/6 sites  Hours per site</t>
  </si>
  <si>
    <t>1/1 and 1/2 sites  Hours per site</t>
  </si>
  <si>
    <t>Laboratory Service</t>
  </si>
  <si>
    <r>
      <t>Laboratory</t>
    </r>
    <r>
      <rPr>
        <sz val="10"/>
        <rFont val="Arial"/>
        <family val="2"/>
      </rPr>
      <t xml:space="preserve">                Hours per site</t>
    </r>
  </si>
  <si>
    <t>Item 6</t>
  </si>
  <si>
    <t>Audit/Calibration Kits (Continuous)</t>
  </si>
  <si>
    <t>Audit/Calibration Kits (Filter Based)</t>
  </si>
  <si>
    <r>
      <t>Audits</t>
    </r>
    <r>
      <rPr>
        <sz val="10"/>
        <rFont val="Arial"/>
        <family val="2"/>
      </rPr>
      <t xml:space="preserve"> - Filter based    Hours per site</t>
    </r>
  </si>
  <si>
    <r>
      <t>Audits</t>
    </r>
    <r>
      <rPr>
        <sz val="10"/>
        <rFont val="Arial"/>
        <family val="2"/>
      </rPr>
      <t xml:space="preserve"> - Continuous     Hours per site</t>
    </r>
  </si>
  <si>
    <t>a) Network Design (see individual pollutants)</t>
  </si>
  <si>
    <t>b) Site Selection (see individual pollutants)</t>
  </si>
  <si>
    <t>c) Travel other than monitoring sites</t>
  </si>
  <si>
    <t xml:space="preserve">Hours </t>
  </si>
  <si>
    <t>Costs (not linked to hours)</t>
  </si>
  <si>
    <t>d) Saturation studies</t>
  </si>
  <si>
    <t>Base year</t>
  </si>
  <si>
    <t>Small Shelter Sites</t>
  </si>
  <si>
    <t>Large Shelter Sites</t>
  </si>
  <si>
    <t>Other Sites</t>
  </si>
  <si>
    <t>Total Shelter Sites</t>
  </si>
  <si>
    <t>Shelters</t>
  </si>
  <si>
    <t>Generic Network</t>
  </si>
  <si>
    <t>Multigas calibrator</t>
  </si>
  <si>
    <t>Zero air supply</t>
  </si>
  <si>
    <t>Ambient air intake manifold assembly</t>
  </si>
  <si>
    <t>Shelter (large, temp controlled)</t>
  </si>
  <si>
    <t>Shelter (small, temp controlled)</t>
  </si>
  <si>
    <t>Shelter delivery charges</t>
  </si>
  <si>
    <t>Other shelter equipment/accessories</t>
  </si>
  <si>
    <t>Item 7</t>
  </si>
  <si>
    <t>e) Additional indirect cost adj ($2/hour)</t>
  </si>
  <si>
    <t>Site preparation</t>
  </si>
  <si>
    <t>Power drop</t>
  </si>
  <si>
    <t>Item 8</t>
  </si>
  <si>
    <t>Item 9</t>
  </si>
  <si>
    <t>Item 10</t>
  </si>
  <si>
    <t>Land/Lease</t>
  </si>
  <si>
    <t>Rent</t>
  </si>
  <si>
    <t>Analysis and Trends (Rep. Org.)</t>
  </si>
  <si>
    <t>Element 4 - Maintenance - see individual pollutants</t>
  </si>
  <si>
    <t>Element 7 - Supervision - see individual pollutants</t>
  </si>
  <si>
    <t>Item 11</t>
  </si>
  <si>
    <t>Item 12</t>
  </si>
  <si>
    <t>Item 13</t>
  </si>
  <si>
    <t>Miscellaneous equipment</t>
  </si>
  <si>
    <t>QA Orgs</t>
  </si>
  <si>
    <t>Open Path Monitoring</t>
  </si>
  <si>
    <t>Utilities</t>
  </si>
  <si>
    <t>Vehicle</t>
  </si>
  <si>
    <t xml:space="preserve">Subtotal </t>
  </si>
  <si>
    <t>Cost Element</t>
  </si>
  <si>
    <t>Labor Hours</t>
  </si>
  <si>
    <t>Labor Costs</t>
  </si>
  <si>
    <t>Non-labor O &amp; M</t>
  </si>
  <si>
    <t>Equipment Contract</t>
  </si>
  <si>
    <t>Total Cost</t>
  </si>
  <si>
    <t>1. Network Design</t>
  </si>
  <si>
    <t>2. Site Installation</t>
  </si>
  <si>
    <t>3. Sampling &amp; Analysis</t>
  </si>
  <si>
    <t>4.  Maintenance</t>
  </si>
  <si>
    <t>5.  Data Management</t>
  </si>
  <si>
    <t>6. Quality Assurance</t>
  </si>
  <si>
    <t>7.  Supervision</t>
  </si>
  <si>
    <t>Totals</t>
  </si>
  <si>
    <t xml:space="preserve">          Costs included with other pollutants</t>
  </si>
  <si>
    <t>NATTS</t>
  </si>
  <si>
    <t>Analysis (grant to RO)</t>
  </si>
  <si>
    <r>
      <t xml:space="preserve">Reporting </t>
    </r>
    <r>
      <rPr>
        <sz val="10"/>
        <rFont val="Arial"/>
        <family val="2"/>
      </rPr>
      <t>- Filter         Hours per site</t>
    </r>
  </si>
  <si>
    <r>
      <t>Reporting</t>
    </r>
    <r>
      <rPr>
        <sz val="10"/>
        <rFont val="Arial"/>
        <family val="2"/>
      </rPr>
      <t xml:space="preserve"> - Cont         Hours per site</t>
    </r>
  </si>
  <si>
    <r>
      <t>Training</t>
    </r>
    <r>
      <rPr>
        <sz val="10"/>
        <rFont val="Arial"/>
        <family val="2"/>
      </rPr>
      <t xml:space="preserve"> - Filter          Hours per site</t>
    </r>
  </si>
  <si>
    <r>
      <t>Training</t>
    </r>
    <r>
      <rPr>
        <sz val="10"/>
        <rFont val="Arial"/>
        <family val="2"/>
      </rPr>
      <t xml:space="preserve"> - Continuous Hours per site</t>
    </r>
  </si>
  <si>
    <t>Continuous            Hours per site</t>
  </si>
  <si>
    <t>Filter - based          Hours per site</t>
  </si>
  <si>
    <r>
      <t xml:space="preserve">     </t>
    </r>
    <r>
      <rPr>
        <sz val="10"/>
        <rFont val="Arial"/>
        <family val="2"/>
      </rPr>
      <t xml:space="preserve">Continuous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      Hours per site</t>
    </r>
  </si>
  <si>
    <r>
      <t>Data reporting</t>
    </r>
    <r>
      <rPr>
        <sz val="10"/>
        <rFont val="Arial"/>
        <family val="2"/>
      </rPr>
      <t xml:space="preserve"> Filter   Hours per site</t>
    </r>
  </si>
  <si>
    <r>
      <t>Data validation</t>
    </r>
    <r>
      <rPr>
        <sz val="10"/>
        <rFont val="Arial"/>
        <family val="2"/>
      </rPr>
      <t xml:space="preserve"> Filter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 Hours per site</t>
    </r>
  </si>
  <si>
    <r>
      <t>Routine Maint.</t>
    </r>
    <r>
      <rPr>
        <sz val="10"/>
        <rFont val="Arial"/>
        <family val="2"/>
      </rPr>
      <t xml:space="preserve"> Filter</t>
    </r>
    <r>
      <rPr>
        <b/>
        <sz val="10"/>
        <rFont val="Arial"/>
        <family val="2"/>
      </rPr>
      <t xml:space="preserve">    </t>
    </r>
    <r>
      <rPr>
        <sz val="10"/>
        <rFont val="Arial"/>
        <family val="2"/>
      </rPr>
      <t>Hours per site</t>
    </r>
  </si>
  <si>
    <t>Filter                     Hours per site</t>
  </si>
  <si>
    <t xml:space="preserve">     Filter Based</t>
  </si>
  <si>
    <t>Spare Parts - Continuous</t>
  </si>
  <si>
    <t>PM25</t>
  </si>
  <si>
    <t>Sampling Schedule</t>
  </si>
  <si>
    <t>Sampler Type</t>
  </si>
  <si>
    <t>seasonal</t>
  </si>
  <si>
    <t>Filter-Based Total</t>
  </si>
  <si>
    <t>sequential</t>
  </si>
  <si>
    <t>single chanel</t>
  </si>
  <si>
    <t>single channel collocated</t>
  </si>
  <si>
    <t>continuous</t>
  </si>
  <si>
    <t>speciation</t>
  </si>
  <si>
    <t>Sequential Sampler</t>
  </si>
  <si>
    <t>Spare Single-channel analyzers</t>
  </si>
  <si>
    <t>Single-channel analyzers</t>
  </si>
  <si>
    <t>Collocated Single-channel analyzers</t>
  </si>
  <si>
    <t>Seasonal Single-channel analyzers</t>
  </si>
  <si>
    <t>Speciation Sampler</t>
  </si>
  <si>
    <t>Data acquisition (laptop/PDA)</t>
  </si>
  <si>
    <r>
      <t xml:space="preserve">a) Single Channel </t>
    </r>
    <r>
      <rPr>
        <sz val="10"/>
        <rFont val="Arial"/>
        <family val="2"/>
      </rPr>
      <t xml:space="preserve">      Hours per site</t>
    </r>
  </si>
  <si>
    <r>
      <t xml:space="preserve">b) Sequential            </t>
    </r>
    <r>
      <rPr>
        <sz val="10"/>
        <rFont val="Arial"/>
        <family val="2"/>
      </rPr>
      <t xml:space="preserve">  Hours per site</t>
    </r>
  </si>
  <si>
    <r>
      <t>c) Seasonal</t>
    </r>
    <r>
      <rPr>
        <sz val="10"/>
        <rFont val="Arial"/>
        <family val="2"/>
      </rPr>
      <t xml:space="preserve">                Hours per site</t>
    </r>
  </si>
  <si>
    <r>
      <t>d) Continuous</t>
    </r>
    <r>
      <rPr>
        <sz val="10"/>
        <rFont val="Arial"/>
        <family val="2"/>
      </rPr>
      <t xml:space="preserve">             Hours per site</t>
    </r>
  </si>
  <si>
    <r>
      <t xml:space="preserve">e) Speciation       </t>
    </r>
    <r>
      <rPr>
        <sz val="10"/>
        <rFont val="Arial"/>
        <family val="2"/>
      </rPr>
      <t xml:space="preserve">       Hours per site</t>
    </r>
  </si>
  <si>
    <t>Speciation sampling national contract</t>
  </si>
  <si>
    <t>1/1, 1/3, and 1/6 sites  Hours per site</t>
  </si>
  <si>
    <t>Speciation          Hours per site</t>
  </si>
  <si>
    <t>Seasonal sites    Hours per site</t>
  </si>
  <si>
    <t>Microbalance</t>
  </si>
  <si>
    <t>Clean Room for Weighing</t>
  </si>
  <si>
    <r>
      <t>Laboratory</t>
    </r>
    <r>
      <rPr>
        <sz val="10"/>
        <rFont val="Arial"/>
        <family val="2"/>
      </rPr>
      <t xml:space="preserve">                  Hours per site</t>
    </r>
  </si>
  <si>
    <t>Speciation             Hours per site</t>
  </si>
  <si>
    <t>Monitoring</t>
  </si>
  <si>
    <t>Platforms</t>
  </si>
  <si>
    <t>Single Channel   Hours per site</t>
  </si>
  <si>
    <t>Sequential         Hours per site</t>
  </si>
  <si>
    <t>Seasonal           Hours per site</t>
  </si>
  <si>
    <t>Speciation         Hours per site</t>
  </si>
  <si>
    <t>Continuous         Hours per site</t>
  </si>
  <si>
    <t>Sequential        Hours per site</t>
  </si>
  <si>
    <t>Single Channel  Hours per site</t>
  </si>
  <si>
    <t>Seasonal          Hours per site</t>
  </si>
  <si>
    <t>Continuous        Hours per site</t>
  </si>
  <si>
    <t>Filter-based calibration kit</t>
  </si>
  <si>
    <t>Continuous calibration kit</t>
  </si>
  <si>
    <t>Audits</t>
  </si>
  <si>
    <t xml:space="preserve">     Sequential              Hours per site</t>
  </si>
  <si>
    <t xml:space="preserve">     Single-channel         Hours per site</t>
  </si>
  <si>
    <t xml:space="preserve">     Continuous             Hours per site</t>
  </si>
  <si>
    <t xml:space="preserve">     Seasonal                Hours per site</t>
  </si>
  <si>
    <t>Reporting</t>
  </si>
  <si>
    <t>Implementation/coordination</t>
  </si>
  <si>
    <t>Training</t>
  </si>
  <si>
    <t>Data Reporting</t>
  </si>
  <si>
    <t>Data Validation</t>
  </si>
  <si>
    <t>Data Distribution</t>
  </si>
  <si>
    <t>Sequential</t>
  </si>
  <si>
    <t>Single channel</t>
  </si>
  <si>
    <t>Seasonal</t>
  </si>
  <si>
    <t>Continuous</t>
  </si>
  <si>
    <t>Speciation</t>
  </si>
  <si>
    <t>Sequential             Hours per site</t>
  </si>
  <si>
    <t>Single channel       Hours per site</t>
  </si>
  <si>
    <t>Seasonal              Hours per site</t>
  </si>
  <si>
    <t>PAMSNMOC</t>
  </si>
  <si>
    <t>PAMSVOC</t>
  </si>
  <si>
    <t>Gas cleaning system</t>
  </si>
  <si>
    <t xml:space="preserve"> Auto GC Sites</t>
  </si>
  <si>
    <t>Canister Sites</t>
  </si>
  <si>
    <t>Canister sampling system</t>
  </si>
  <si>
    <t>Routine Maintenance</t>
  </si>
  <si>
    <t>Cielometer</t>
  </si>
  <si>
    <r>
      <rPr>
        <b/>
        <sz val="10"/>
        <rFont val="Arial"/>
        <family val="2"/>
      </rPr>
      <t>Asset Management</t>
    </r>
    <r>
      <rPr>
        <sz val="10"/>
        <rFont val="Arial"/>
      </rPr>
      <t xml:space="preserve">   Hours per Site</t>
    </r>
  </si>
  <si>
    <r>
      <rPr>
        <b/>
        <sz val="10"/>
        <rFont val="Arial"/>
        <family val="2"/>
      </rPr>
      <t xml:space="preserve">Asset Management     </t>
    </r>
    <r>
      <rPr>
        <sz val="10"/>
        <rFont val="Arial"/>
      </rPr>
      <t xml:space="preserve">   Hours per Site</t>
    </r>
  </si>
  <si>
    <t>Average 2023-2025 SO2</t>
  </si>
  <si>
    <t>Average 2023-2025 CO</t>
  </si>
  <si>
    <t>Average 2023-2025 NO2</t>
  </si>
  <si>
    <t>Average2023-2025 PM 2.5</t>
  </si>
  <si>
    <t>Average 2023-2025 PM 10</t>
  </si>
  <si>
    <t>Average 2023-2025 O3</t>
  </si>
  <si>
    <t>Average 2023-2025 Pb</t>
  </si>
  <si>
    <t>Average 2023-2025 NATTS</t>
  </si>
  <si>
    <t>Average 2023-2025 PAMS</t>
  </si>
  <si>
    <t>Average 2023-2025 General Network</t>
  </si>
  <si>
    <t>Grand Total Average 2023-2025</t>
  </si>
  <si>
    <t>Notes:</t>
  </si>
  <si>
    <t>Assumes states use the National Contract for carbonyls at 90 samples per year.</t>
  </si>
  <si>
    <t>Annual CPI</t>
  </si>
  <si>
    <t>ESTIMATED</t>
  </si>
  <si>
    <t>Average 2023-2025 Sensors</t>
  </si>
  <si>
    <t>Sensors</t>
  </si>
  <si>
    <t>SENSORS</t>
  </si>
  <si>
    <t>CPI values from https://www.minneapolisfed.org/about-us/monetary-policy/inflation-calculator/consumer-price-index-1913-</t>
  </si>
  <si>
    <t>Table 1.  Grand Total Average 2023-2025 Renewal for Labor Hours &amp;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</si>
</sst>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2" formatCode="_(&quot;$&quot;* #,##0_);_(&quot;$&quot;* \(#,##0\);_(&quot;$&quot;* &quot;-&quot;_);_(@_)"/>
    <numFmt numFmtId="164" formatCode="&quot;$&quot;#,##0.00"/>
    <numFmt numFmtId="165" formatCode="&quot;$&quot;#,##0"/>
    <numFmt numFmtId="166" formatCode="[$$-409]#,##0"/>
    <numFmt numFmtId="167" formatCode="[$-409]mmmm\ d\,\ yyyy;@"/>
    <numFmt numFmtId="168" formatCode="0.0%"/>
    <numFmt numFmtId="169" formatCode="0.0"/>
    <numFmt numFmtId="170" formatCode="#,##0.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6"/>
      <name val="Arial"/>
      <family val="2"/>
    </font>
    <font>
      <b/>
      <sz val="11"/>
      <color theme="0"/>
      <name val="Calibri"/>
      <family val="2"/>
      <scheme val="minor"/>
    </font>
    <font>
      <b/>
      <i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A5A5A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2" fillId="10" borderId="148" applyNumberFormat="0" applyAlignment="0" applyProtection="0"/>
  </cellStyleXfs>
  <cellXfs count="1215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3" fillId="0" borderId="6" xfId="0" applyFont="1" applyBorder="1"/>
    <xf numFmtId="0" fontId="3" fillId="0" borderId="7" xfId="0" applyFont="1" applyBorder="1" applyAlignment="1">
      <alignment horizontal="center" wrapText="1"/>
    </xf>
    <xf numFmtId="0" fontId="0" fillId="0" borderId="8" xfId="0" applyBorder="1"/>
    <xf numFmtId="2" fontId="0" fillId="2" borderId="1" xfId="0" applyNumberFormat="1" applyFill="1" applyBorder="1" applyProtection="1">
      <protection locked="0"/>
    </xf>
    <xf numFmtId="164" fontId="0" fillId="0" borderId="9" xfId="0" applyNumberFormat="1" applyBorder="1"/>
    <xf numFmtId="0" fontId="3" fillId="0" borderId="10" xfId="0" applyFont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2" xfId="0" applyBorder="1"/>
    <xf numFmtId="0" fontId="3" fillId="0" borderId="1" xfId="0" applyFont="1" applyBorder="1"/>
    <xf numFmtId="165" fontId="0" fillId="0" borderId="1" xfId="0" applyNumberFormat="1" applyBorder="1"/>
    <xf numFmtId="0" fontId="0" fillId="2" borderId="13" xfId="0" applyFill="1" applyBorder="1"/>
    <xf numFmtId="0" fontId="4" fillId="0" borderId="0" xfId="0" applyFont="1" applyAlignment="1" applyProtection="1">
      <alignment horizontal="center"/>
      <protection locked="0"/>
    </xf>
    <xf numFmtId="165" fontId="0" fillId="2" borderId="1" xfId="0" applyNumberFormat="1" applyFill="1" applyBorder="1" applyProtection="1"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3" fontId="0" fillId="0" borderId="12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/>
    <xf numFmtId="0" fontId="3" fillId="0" borderId="11" xfId="0" applyFont="1" applyBorder="1" applyAlignment="1">
      <alignment horizontal="center"/>
    </xf>
    <xf numFmtId="165" fontId="5" fillId="0" borderId="17" xfId="0" applyNumberFormat="1" applyFont="1" applyBorder="1"/>
    <xf numFmtId="3" fontId="0" fillId="0" borderId="18" xfId="0" applyNumberFormat="1" applyBorder="1" applyAlignment="1">
      <alignment horizontal="center"/>
    </xf>
    <xf numFmtId="0" fontId="0" fillId="0" borderId="19" xfId="0" applyBorder="1"/>
    <xf numFmtId="1" fontId="0" fillId="0" borderId="12" xfId="0" applyNumberFormat="1" applyBorder="1" applyAlignment="1">
      <alignment horizontal="center"/>
    </xf>
    <xf numFmtId="0" fontId="0" fillId="0" borderId="20" xfId="0" applyBorder="1"/>
    <xf numFmtId="3" fontId="0" fillId="0" borderId="21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5" fillId="0" borderId="22" xfId="0" applyFont="1" applyBorder="1"/>
    <xf numFmtId="3" fontId="0" fillId="0" borderId="23" xfId="0" applyNumberFormat="1" applyBorder="1" applyAlignment="1">
      <alignment horizontal="center"/>
    </xf>
    <xf numFmtId="10" fontId="0" fillId="2" borderId="11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5" fillId="0" borderId="11" xfId="0" applyFont="1" applyBorder="1"/>
    <xf numFmtId="1" fontId="0" fillId="0" borderId="18" xfId="0" applyNumberFormat="1" applyBorder="1" applyAlignment="1">
      <alignment horizontal="center"/>
    </xf>
    <xf numFmtId="0" fontId="0" fillId="0" borderId="24" xfId="0" applyBorder="1"/>
    <xf numFmtId="0" fontId="4" fillId="0" borderId="25" xfId="0" applyFont="1" applyBorder="1"/>
    <xf numFmtId="0" fontId="0" fillId="0" borderId="26" xfId="0" applyBorder="1"/>
    <xf numFmtId="0" fontId="3" fillId="0" borderId="2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" fontId="0" fillId="0" borderId="11" xfId="0" applyNumberFormat="1" applyBorder="1"/>
    <xf numFmtId="0" fontId="5" fillId="0" borderId="21" xfId="0" applyFont="1" applyBorder="1" applyAlignment="1">
      <alignment horizontal="center"/>
    </xf>
    <xf numFmtId="1" fontId="0" fillId="0" borderId="18" xfId="0" applyNumberFormat="1" applyBorder="1"/>
    <xf numFmtId="165" fontId="5" fillId="0" borderId="15" xfId="0" applyNumberFormat="1" applyFont="1" applyBorder="1"/>
    <xf numFmtId="0" fontId="0" fillId="0" borderId="11" xfId="0" applyBorder="1"/>
    <xf numFmtId="3" fontId="0" fillId="0" borderId="11" xfId="0" applyNumberFormat="1" applyBorder="1"/>
    <xf numFmtId="3" fontId="0" fillId="0" borderId="1" xfId="0" applyNumberFormat="1" applyBorder="1"/>
    <xf numFmtId="0" fontId="0" fillId="2" borderId="12" xfId="0" applyFill="1" applyBorder="1"/>
    <xf numFmtId="0" fontId="0" fillId="0" borderId="26" xfId="0" applyBorder="1" applyAlignment="1">
      <alignment horizontal="center"/>
    </xf>
    <xf numFmtId="0" fontId="0" fillId="0" borderId="28" xfId="0" applyBorder="1"/>
    <xf numFmtId="0" fontId="0" fillId="0" borderId="23" xfId="0" applyBorder="1"/>
    <xf numFmtId="0" fontId="0" fillId="0" borderId="9" xfId="0" applyBorder="1"/>
    <xf numFmtId="0" fontId="0" fillId="0" borderId="27" xfId="0" applyBorder="1" applyAlignment="1">
      <alignment horizontal="center"/>
    </xf>
    <xf numFmtId="0" fontId="0" fillId="0" borderId="27" xfId="0" applyBorder="1"/>
    <xf numFmtId="0" fontId="3" fillId="0" borderId="14" xfId="0" applyFont="1" applyBorder="1" applyAlignment="1">
      <alignment horizontal="center"/>
    </xf>
    <xf numFmtId="0" fontId="4" fillId="0" borderId="2" xfId="0" applyFont="1" applyBorder="1"/>
    <xf numFmtId="0" fontId="4" fillId="0" borderId="29" xfId="0" applyFont="1" applyBorder="1"/>
    <xf numFmtId="3" fontId="5" fillId="0" borderId="12" xfId="0" applyNumberFormat="1" applyFont="1" applyBorder="1"/>
    <xf numFmtId="165" fontId="5" fillId="0" borderId="21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right"/>
    </xf>
    <xf numFmtId="0" fontId="4" fillId="0" borderId="6" xfId="0" applyFont="1" applyBorder="1"/>
    <xf numFmtId="3" fontId="0" fillId="0" borderId="1" xfId="0" applyNumberFormat="1" applyBorder="1" applyAlignment="1">
      <alignment horizontal="right"/>
    </xf>
    <xf numFmtId="3" fontId="5" fillId="0" borderId="18" xfId="0" applyNumberFormat="1" applyFont="1" applyBorder="1"/>
    <xf numFmtId="0" fontId="5" fillId="0" borderId="32" xfId="0" applyFont="1" applyBorder="1" applyAlignment="1">
      <alignment horizontal="center"/>
    </xf>
    <xf numFmtId="0" fontId="0" fillId="2" borderId="14" xfId="0" applyFill="1" applyBorder="1" applyAlignment="1">
      <alignment horizontal="center"/>
    </xf>
    <xf numFmtId="165" fontId="0" fillId="0" borderId="17" xfId="0" applyNumberFormat="1" applyBorder="1"/>
    <xf numFmtId="3" fontId="5" fillId="0" borderId="33" xfId="0" applyNumberFormat="1" applyFont="1" applyBorder="1"/>
    <xf numFmtId="3" fontId="0" fillId="0" borderId="18" xfId="0" applyNumberFormat="1" applyBorder="1" applyAlignment="1">
      <alignment horizontal="right"/>
    </xf>
    <xf numFmtId="165" fontId="0" fillId="0" borderId="34" xfId="0" applyNumberFormat="1" applyBorder="1"/>
    <xf numFmtId="3" fontId="0" fillId="0" borderId="33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3" fontId="0" fillId="0" borderId="14" xfId="0" applyNumberFormat="1" applyBorder="1" applyAlignment="1">
      <alignment horizontal="center"/>
    </xf>
    <xf numFmtId="165" fontId="0" fillId="0" borderId="15" xfId="0" applyNumberFormat="1" applyBorder="1"/>
    <xf numFmtId="0" fontId="0" fillId="0" borderId="11" xfId="0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165" fontId="0" fillId="0" borderId="30" xfId="0" applyNumberFormat="1" applyBorder="1"/>
    <xf numFmtId="0" fontId="3" fillId="0" borderId="35" xfId="0" applyFont="1" applyBorder="1" applyAlignment="1">
      <alignment horizontal="right"/>
    </xf>
    <xf numFmtId="0" fontId="0" fillId="0" borderId="22" xfId="0" applyBorder="1" applyAlignment="1">
      <alignment horizontal="right"/>
    </xf>
    <xf numFmtId="0" fontId="4" fillId="0" borderId="36" xfId="0" applyFont="1" applyBorder="1"/>
    <xf numFmtId="3" fontId="0" fillId="0" borderId="11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0" fillId="0" borderId="8" xfId="0" applyNumberFormat="1" applyBorder="1"/>
    <xf numFmtId="0" fontId="0" fillId="0" borderId="35" xfId="0" applyBorder="1"/>
    <xf numFmtId="0" fontId="3" fillId="0" borderId="37" xfId="0" applyFont="1" applyBorder="1" applyAlignment="1">
      <alignment horizontal="center"/>
    </xf>
    <xf numFmtId="0" fontId="0" fillId="0" borderId="38" xfId="0" applyBorder="1"/>
    <xf numFmtId="0" fontId="3" fillId="0" borderId="35" xfId="0" applyFont="1" applyBorder="1" applyAlignment="1">
      <alignment horizontal="center"/>
    </xf>
    <xf numFmtId="0" fontId="3" fillId="0" borderId="8" xfId="0" applyFont="1" applyBorder="1"/>
    <xf numFmtId="3" fontId="0" fillId="0" borderId="8" xfId="0" applyNumberFormat="1" applyBorder="1" applyAlignment="1">
      <alignment horizontal="center"/>
    </xf>
    <xf numFmtId="165" fontId="0" fillId="0" borderId="39" xfId="0" applyNumberFormat="1" applyBorder="1"/>
    <xf numFmtId="3" fontId="0" fillId="0" borderId="37" xfId="0" applyNumberFormat="1" applyBorder="1"/>
    <xf numFmtId="0" fontId="0" fillId="0" borderId="40" xfId="0" applyBorder="1"/>
    <xf numFmtId="0" fontId="3" fillId="0" borderId="35" xfId="0" applyFont="1" applyBorder="1"/>
    <xf numFmtId="165" fontId="0" fillId="3" borderId="39" xfId="0" applyNumberFormat="1" applyFill="1" applyBorder="1"/>
    <xf numFmtId="0" fontId="0" fillId="0" borderId="41" xfId="0" applyBorder="1"/>
    <xf numFmtId="3" fontId="0" fillId="0" borderId="37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42" xfId="0" applyBorder="1"/>
    <xf numFmtId="165" fontId="0" fillId="0" borderId="43" xfId="0" applyNumberFormat="1" applyBorder="1"/>
    <xf numFmtId="3" fontId="0" fillId="0" borderId="43" xfId="0" applyNumberFormat="1" applyBorder="1" applyAlignment="1">
      <alignment horizontal="center"/>
    </xf>
    <xf numFmtId="0" fontId="0" fillId="0" borderId="44" xfId="0" applyBorder="1"/>
    <xf numFmtId="3" fontId="0" fillId="0" borderId="45" xfId="0" applyNumberForma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46" xfId="0" applyBorder="1"/>
    <xf numFmtId="0" fontId="3" fillId="0" borderId="16" xfId="0" applyFont="1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32" xfId="0" applyNumberFormat="1" applyBorder="1"/>
    <xf numFmtId="3" fontId="0" fillId="3" borderId="8" xfId="0" applyNumberFormat="1" applyFill="1" applyBorder="1"/>
    <xf numFmtId="0" fontId="0" fillId="0" borderId="48" xfId="0" applyBorder="1"/>
    <xf numFmtId="5" fontId="0" fillId="0" borderId="11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0" fontId="3" fillId="0" borderId="16" xfId="0" applyFont="1" applyBorder="1" applyAlignment="1">
      <alignment vertical="top"/>
    </xf>
    <xf numFmtId="0" fontId="3" fillId="0" borderId="28" xfId="0" applyFont="1" applyBorder="1" applyAlignment="1">
      <alignment horizontal="center"/>
    </xf>
    <xf numFmtId="0" fontId="0" fillId="0" borderId="34" xfId="0" applyBorder="1" applyAlignment="1">
      <alignment horizontal="right"/>
    </xf>
    <xf numFmtId="0" fontId="0" fillId="0" borderId="33" xfId="0" applyBorder="1" applyAlignment="1">
      <alignment horizontal="right"/>
    </xf>
    <xf numFmtId="1" fontId="3" fillId="0" borderId="33" xfId="0" applyNumberFormat="1" applyFont="1" applyBorder="1"/>
    <xf numFmtId="0" fontId="0" fillId="0" borderId="23" xfId="0" applyBorder="1" applyAlignment="1">
      <alignment horizontal="right"/>
    </xf>
    <xf numFmtId="0" fontId="5" fillId="0" borderId="0" xfId="0" applyFont="1"/>
    <xf numFmtId="0" fontId="5" fillId="2" borderId="1" xfId="0" applyFont="1" applyFill="1" applyBorder="1" applyProtection="1">
      <protection locked="0"/>
    </xf>
    <xf numFmtId="165" fontId="5" fillId="2" borderId="1" xfId="0" applyNumberFormat="1" applyFont="1" applyFill="1" applyBorder="1" applyProtection="1">
      <protection locked="0"/>
    </xf>
    <xf numFmtId="1" fontId="3" fillId="0" borderId="11" xfId="0" applyNumberFormat="1" applyFont="1" applyBorder="1"/>
    <xf numFmtId="0" fontId="3" fillId="0" borderId="37" xfId="0" applyFont="1" applyBorder="1"/>
    <xf numFmtId="165" fontId="0" fillId="0" borderId="8" xfId="0" applyNumberFormat="1" applyBorder="1"/>
    <xf numFmtId="3" fontId="0" fillId="3" borderId="11" xfId="0" applyNumberFormat="1" applyFill="1" applyBorder="1"/>
    <xf numFmtId="3" fontId="0" fillId="3" borderId="37" xfId="0" applyNumberFormat="1" applyFill="1" applyBorder="1"/>
    <xf numFmtId="3" fontId="0" fillId="3" borderId="32" xfId="0" applyNumberFormat="1" applyFill="1" applyBorder="1"/>
    <xf numFmtId="0" fontId="0" fillId="0" borderId="49" xfId="0" applyBorder="1"/>
    <xf numFmtId="0" fontId="3" fillId="0" borderId="23" xfId="0" applyFont="1" applyBorder="1" applyAlignment="1">
      <alignment horizontal="center"/>
    </xf>
    <xf numFmtId="0" fontId="0" fillId="0" borderId="7" xfId="0" applyBorder="1" applyAlignment="1">
      <alignment horizontal="left"/>
    </xf>
    <xf numFmtId="3" fontId="0" fillId="0" borderId="12" xfId="0" applyNumberFormat="1" applyBorder="1"/>
    <xf numFmtId="3" fontId="0" fillId="0" borderId="18" xfId="0" applyNumberFormat="1" applyBorder="1"/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0" fillId="0" borderId="54" xfId="0" applyBorder="1"/>
    <xf numFmtId="3" fontId="0" fillId="0" borderId="14" xfId="0" applyNumberFormat="1" applyBorder="1"/>
    <xf numFmtId="3" fontId="0" fillId="0" borderId="21" xfId="0" applyNumberFormat="1" applyBorder="1"/>
    <xf numFmtId="0" fontId="0" fillId="0" borderId="21" xfId="0" applyBorder="1"/>
    <xf numFmtId="0" fontId="0" fillId="0" borderId="18" xfId="0" applyBorder="1"/>
    <xf numFmtId="0" fontId="0" fillId="0" borderId="21" xfId="0" applyBorder="1" applyAlignment="1">
      <alignment horizontal="center"/>
    </xf>
    <xf numFmtId="5" fontId="0" fillId="0" borderId="18" xfId="0" applyNumberFormat="1" applyBorder="1" applyAlignment="1">
      <alignment horizontal="center"/>
    </xf>
    <xf numFmtId="0" fontId="3" fillId="0" borderId="55" xfId="0" applyFont="1" applyBorder="1" applyAlignment="1">
      <alignment horizontal="center"/>
    </xf>
    <xf numFmtId="5" fontId="3" fillId="0" borderId="30" xfId="0" applyNumberFormat="1" applyFont="1" applyBorder="1"/>
    <xf numFmtId="5" fontId="3" fillId="0" borderId="15" xfId="0" applyNumberFormat="1" applyFont="1" applyBorder="1"/>
    <xf numFmtId="5" fontId="3" fillId="0" borderId="17" xfId="0" applyNumberFormat="1" applyFont="1" applyBorder="1"/>
    <xf numFmtId="5" fontId="3" fillId="0" borderId="17" xfId="0" applyNumberFormat="1" applyFont="1" applyBorder="1" applyAlignment="1">
      <alignment horizontal="center"/>
    </xf>
    <xf numFmtId="165" fontId="3" fillId="0" borderId="30" xfId="0" applyNumberFormat="1" applyFont="1" applyBorder="1"/>
    <xf numFmtId="165" fontId="3" fillId="0" borderId="15" xfId="0" applyNumberFormat="1" applyFont="1" applyBorder="1"/>
    <xf numFmtId="165" fontId="3" fillId="0" borderId="17" xfId="0" applyNumberFormat="1" applyFont="1" applyBorder="1"/>
    <xf numFmtId="165" fontId="3" fillId="0" borderId="17" xfId="0" applyNumberFormat="1" applyFont="1" applyBorder="1" applyAlignment="1">
      <alignment horizontal="center"/>
    </xf>
    <xf numFmtId="165" fontId="3" fillId="0" borderId="39" xfId="0" applyNumberFormat="1" applyFont="1" applyBorder="1"/>
    <xf numFmtId="165" fontId="0" fillId="0" borderId="18" xfId="0" applyNumberFormat="1" applyBorder="1" applyAlignment="1">
      <alignment horizontal="center"/>
    </xf>
    <xf numFmtId="1" fontId="0" fillId="0" borderId="21" xfId="0" applyNumberFormat="1" applyBorder="1"/>
    <xf numFmtId="1" fontId="0" fillId="0" borderId="12" xfId="0" applyNumberFormat="1" applyBorder="1"/>
    <xf numFmtId="1" fontId="0" fillId="0" borderId="21" xfId="0" applyNumberForma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165" fontId="3" fillId="0" borderId="15" xfId="0" applyNumberFormat="1" applyFont="1" applyBorder="1" applyAlignment="1">
      <alignment horizontal="center"/>
    </xf>
    <xf numFmtId="165" fontId="3" fillId="0" borderId="56" xfId="0" applyNumberFormat="1" applyFont="1" applyBorder="1"/>
    <xf numFmtId="165" fontId="3" fillId="0" borderId="57" xfId="0" applyNumberFormat="1" applyFont="1" applyBorder="1"/>
    <xf numFmtId="165" fontId="3" fillId="0" borderId="58" xfId="0" applyNumberFormat="1" applyFont="1" applyBorder="1"/>
    <xf numFmtId="165" fontId="3" fillId="0" borderId="59" xfId="0" applyNumberFormat="1" applyFont="1" applyBorder="1" applyAlignment="1">
      <alignment horizontal="center"/>
    </xf>
    <xf numFmtId="3" fontId="3" fillId="0" borderId="59" xfId="0" applyNumberFormat="1" applyFont="1" applyBorder="1" applyAlignment="1">
      <alignment horizontal="center"/>
    </xf>
    <xf numFmtId="0" fontId="0" fillId="0" borderId="60" xfId="0" applyBorder="1"/>
    <xf numFmtId="0" fontId="0" fillId="0" borderId="61" xfId="0" applyBorder="1"/>
    <xf numFmtId="3" fontId="3" fillId="0" borderId="62" xfId="0" applyNumberFormat="1" applyFont="1" applyBorder="1" applyAlignment="1">
      <alignment horizontal="center"/>
    </xf>
    <xf numFmtId="165" fontId="3" fillId="0" borderId="62" xfId="0" applyNumberFormat="1" applyFont="1" applyBorder="1"/>
    <xf numFmtId="3" fontId="0" fillId="0" borderId="63" xfId="0" applyNumberFormat="1" applyBorder="1" applyAlignment="1">
      <alignment horizontal="center"/>
    </xf>
    <xf numFmtId="3" fontId="3" fillId="0" borderId="64" xfId="0" applyNumberFormat="1" applyFont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7" fillId="0" borderId="0" xfId="0" applyFont="1"/>
    <xf numFmtId="0" fontId="0" fillId="0" borderId="67" xfId="0" applyBorder="1"/>
    <xf numFmtId="0" fontId="3" fillId="0" borderId="68" xfId="0" applyFont="1" applyBorder="1" applyAlignment="1">
      <alignment horizontal="right"/>
    </xf>
    <xf numFmtId="3" fontId="0" fillId="0" borderId="58" xfId="0" applyNumberFormat="1" applyBorder="1" applyAlignment="1">
      <alignment horizontal="right"/>
    </xf>
    <xf numFmtId="0" fontId="0" fillId="0" borderId="7" xfId="0" applyBorder="1"/>
    <xf numFmtId="165" fontId="3" fillId="0" borderId="57" xfId="0" applyNumberFormat="1" applyFont="1" applyBorder="1" applyAlignment="1">
      <alignment horizontal="center"/>
    </xf>
    <xf numFmtId="165" fontId="3" fillId="0" borderId="69" xfId="0" applyNumberFormat="1" applyFont="1" applyBorder="1" applyAlignment="1">
      <alignment horizontal="center"/>
    </xf>
    <xf numFmtId="165" fontId="3" fillId="0" borderId="56" xfId="0" applyNumberFormat="1" applyFont="1" applyBorder="1" applyAlignment="1">
      <alignment horizontal="center"/>
    </xf>
    <xf numFmtId="165" fontId="3" fillId="0" borderId="58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70" xfId="0" applyFont="1" applyBorder="1"/>
    <xf numFmtId="0" fontId="0" fillId="0" borderId="71" xfId="0" applyBorder="1"/>
    <xf numFmtId="165" fontId="3" fillId="0" borderId="72" xfId="0" applyNumberFormat="1" applyFont="1" applyBorder="1" applyAlignment="1">
      <alignment horizontal="center"/>
    </xf>
    <xf numFmtId="165" fontId="3" fillId="3" borderId="73" xfId="0" applyNumberFormat="1" applyFont="1" applyFill="1" applyBorder="1"/>
    <xf numFmtId="3" fontId="3" fillId="0" borderId="69" xfId="0" applyNumberFormat="1" applyFont="1" applyBorder="1" applyAlignment="1">
      <alignment horizontal="center"/>
    </xf>
    <xf numFmtId="165" fontId="3" fillId="0" borderId="59" xfId="0" applyNumberFormat="1" applyFont="1" applyBorder="1"/>
    <xf numFmtId="165" fontId="3" fillId="0" borderId="69" xfId="0" applyNumberFormat="1" applyFont="1" applyBorder="1"/>
    <xf numFmtId="165" fontId="3" fillId="0" borderId="73" xfId="0" applyNumberFormat="1" applyFont="1" applyBorder="1"/>
    <xf numFmtId="1" fontId="3" fillId="0" borderId="57" xfId="0" applyNumberFormat="1" applyFont="1" applyBorder="1" applyAlignment="1">
      <alignment horizontal="center"/>
    </xf>
    <xf numFmtId="3" fontId="3" fillId="0" borderId="58" xfId="0" applyNumberFormat="1" applyFont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" xfId="0" applyFont="1" applyFill="1" applyBorder="1"/>
    <xf numFmtId="1" fontId="5" fillId="4" borderId="11" xfId="0" applyNumberFormat="1" applyFont="1" applyFill="1" applyBorder="1"/>
    <xf numFmtId="0" fontId="5" fillId="4" borderId="0" xfId="0" applyFont="1" applyFill="1"/>
    <xf numFmtId="0" fontId="5" fillId="4" borderId="16" xfId="0" applyFont="1" applyFill="1" applyBorder="1"/>
    <xf numFmtId="165" fontId="5" fillId="4" borderId="30" xfId="0" applyNumberFormat="1" applyFont="1" applyFill="1" applyBorder="1"/>
    <xf numFmtId="165" fontId="5" fillId="4" borderId="15" xfId="0" applyNumberFormat="1" applyFont="1" applyFill="1" applyBorder="1"/>
    <xf numFmtId="165" fontId="5" fillId="4" borderId="17" xfId="0" applyNumberFormat="1" applyFont="1" applyFill="1" applyBorder="1"/>
    <xf numFmtId="3" fontId="5" fillId="4" borderId="21" xfId="0" applyNumberFormat="1" applyFont="1" applyFill="1" applyBorder="1" applyAlignment="1">
      <alignment horizontal="center"/>
    </xf>
    <xf numFmtId="3" fontId="5" fillId="4" borderId="12" xfId="0" applyNumberFormat="1" applyFont="1" applyFill="1" applyBorder="1" applyAlignment="1">
      <alignment horizontal="center"/>
    </xf>
    <xf numFmtId="3" fontId="5" fillId="4" borderId="18" xfId="0" applyNumberFormat="1" applyFont="1" applyFill="1" applyBorder="1" applyAlignment="1">
      <alignment horizontal="center"/>
    </xf>
    <xf numFmtId="165" fontId="3" fillId="4" borderId="56" xfId="0" applyNumberFormat="1" applyFont="1" applyFill="1" applyBorder="1" applyAlignment="1">
      <alignment horizontal="center"/>
    </xf>
    <xf numFmtId="165" fontId="3" fillId="4" borderId="57" xfId="0" applyNumberFormat="1" applyFont="1" applyFill="1" applyBorder="1" applyAlignment="1">
      <alignment horizontal="center"/>
    </xf>
    <xf numFmtId="165" fontId="3" fillId="4" borderId="58" xfId="0" applyNumberFormat="1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0" fillId="4" borderId="1" xfId="0" applyNumberFormat="1" applyFill="1" applyBorder="1"/>
    <xf numFmtId="165" fontId="0" fillId="4" borderId="11" xfId="0" applyNumberFormat="1" applyFill="1" applyBorder="1"/>
    <xf numFmtId="3" fontId="0" fillId="4" borderId="1" xfId="0" applyNumberFormat="1" applyFill="1" applyBorder="1"/>
    <xf numFmtId="1" fontId="0" fillId="4" borderId="11" xfId="0" applyNumberFormat="1" applyFill="1" applyBorder="1"/>
    <xf numFmtId="0" fontId="0" fillId="4" borderId="1" xfId="0" applyFill="1" applyBorder="1"/>
    <xf numFmtId="3" fontId="0" fillId="4" borderId="21" xfId="0" applyNumberFormat="1" applyFill="1" applyBorder="1" applyAlignment="1">
      <alignment horizontal="center"/>
    </xf>
    <xf numFmtId="3" fontId="0" fillId="4" borderId="12" xfId="0" applyNumberFormat="1" applyFill="1" applyBorder="1" applyAlignment="1">
      <alignment horizontal="center"/>
    </xf>
    <xf numFmtId="3" fontId="0" fillId="4" borderId="18" xfId="0" applyNumberFormat="1" applyFill="1" applyBorder="1" applyAlignment="1">
      <alignment horizontal="center"/>
    </xf>
    <xf numFmtId="165" fontId="3" fillId="4" borderId="72" xfId="0" applyNumberFormat="1" applyFont="1" applyFill="1" applyBorder="1" applyAlignment="1">
      <alignment horizontal="center"/>
    </xf>
    <xf numFmtId="0" fontId="0" fillId="0" borderId="74" xfId="0" applyBorder="1"/>
    <xf numFmtId="3" fontId="0" fillId="4" borderId="11" xfId="0" applyNumberFormat="1" applyFill="1" applyBorder="1"/>
    <xf numFmtId="0" fontId="0" fillId="4" borderId="20" xfId="0" applyFill="1" applyBorder="1"/>
    <xf numFmtId="1" fontId="0" fillId="4" borderId="1" xfId="0" applyNumberFormat="1" applyFill="1" applyBorder="1"/>
    <xf numFmtId="0" fontId="5" fillId="4" borderId="21" xfId="0" applyFont="1" applyFill="1" applyBorder="1" applyAlignment="1">
      <alignment horizontal="center"/>
    </xf>
    <xf numFmtId="1" fontId="0" fillId="4" borderId="18" xfId="0" applyNumberFormat="1" applyFill="1" applyBorder="1"/>
    <xf numFmtId="165" fontId="3" fillId="4" borderId="14" xfId="0" applyNumberFormat="1" applyFont="1" applyFill="1" applyBorder="1" applyAlignment="1">
      <alignment horizontal="center"/>
    </xf>
    <xf numFmtId="165" fontId="3" fillId="4" borderId="15" xfId="0" applyNumberFormat="1" applyFont="1" applyFill="1" applyBorder="1"/>
    <xf numFmtId="165" fontId="3" fillId="4" borderId="17" xfId="0" applyNumberFormat="1" applyFont="1" applyFill="1" applyBorder="1"/>
    <xf numFmtId="0" fontId="5" fillId="4" borderId="1" xfId="0" applyFont="1" applyFill="1" applyBorder="1" applyAlignment="1">
      <alignment horizontal="center"/>
    </xf>
    <xf numFmtId="165" fontId="0" fillId="4" borderId="34" xfId="0" applyNumberFormat="1" applyFill="1" applyBorder="1"/>
    <xf numFmtId="165" fontId="5" fillId="4" borderId="21" xfId="0" applyNumberFormat="1" applyFont="1" applyFill="1" applyBorder="1" applyAlignment="1">
      <alignment horizontal="center"/>
    </xf>
    <xf numFmtId="3" fontId="5" fillId="4" borderId="12" xfId="0" applyNumberFormat="1" applyFont="1" applyFill="1" applyBorder="1"/>
    <xf numFmtId="3" fontId="5" fillId="4" borderId="33" xfId="0" applyNumberFormat="1" applyFont="1" applyFill="1" applyBorder="1"/>
    <xf numFmtId="165" fontId="3" fillId="4" borderId="73" xfId="0" applyNumberFormat="1" applyFont="1" applyFill="1" applyBorder="1"/>
    <xf numFmtId="165" fontId="3" fillId="4" borderId="57" xfId="0" applyNumberFormat="1" applyFont="1" applyFill="1" applyBorder="1"/>
    <xf numFmtId="165" fontId="3" fillId="4" borderId="58" xfId="0" applyNumberFormat="1" applyFont="1" applyFill="1" applyBorder="1"/>
    <xf numFmtId="165" fontId="5" fillId="4" borderId="12" xfId="0" applyNumberFormat="1" applyFont="1" applyFill="1" applyBorder="1" applyAlignment="1">
      <alignment horizontal="center"/>
    </xf>
    <xf numFmtId="165" fontId="0" fillId="4" borderId="17" xfId="0" applyNumberFormat="1" applyFill="1" applyBorder="1"/>
    <xf numFmtId="3" fontId="0" fillId="4" borderId="12" xfId="0" applyNumberFormat="1" applyFill="1" applyBorder="1" applyAlignment="1">
      <alignment horizontal="right"/>
    </xf>
    <xf numFmtId="3" fontId="0" fillId="4" borderId="18" xfId="0" applyNumberFormat="1" applyFill="1" applyBorder="1" applyAlignment="1">
      <alignment horizontal="right"/>
    </xf>
    <xf numFmtId="165" fontId="3" fillId="4" borderId="56" xfId="0" applyNumberFormat="1" applyFont="1" applyFill="1" applyBorder="1"/>
    <xf numFmtId="3" fontId="0" fillId="4" borderId="33" xfId="0" applyNumberFormat="1" applyFill="1" applyBorder="1" applyAlignment="1">
      <alignment horizontal="center"/>
    </xf>
    <xf numFmtId="165" fontId="3" fillId="4" borderId="73" xfId="0" applyNumberFormat="1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right"/>
    </xf>
    <xf numFmtId="1" fontId="0" fillId="4" borderId="12" xfId="0" applyNumberFormat="1" applyFill="1" applyBorder="1" applyAlignment="1">
      <alignment horizontal="center"/>
    </xf>
    <xf numFmtId="3" fontId="5" fillId="4" borderId="18" xfId="0" applyNumberFormat="1" applyFont="1" applyFill="1" applyBorder="1"/>
    <xf numFmtId="1" fontId="3" fillId="4" borderId="57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3" fontId="0" fillId="4" borderId="33" xfId="0" applyNumberFormat="1" applyFill="1" applyBorder="1" applyAlignment="1">
      <alignment horizontal="right"/>
    </xf>
    <xf numFmtId="0" fontId="3" fillId="4" borderId="52" xfId="0" applyFont="1" applyFill="1" applyBorder="1" applyAlignment="1">
      <alignment horizontal="center"/>
    </xf>
    <xf numFmtId="0" fontId="3" fillId="4" borderId="50" xfId="0" applyFont="1" applyFill="1" applyBorder="1" applyAlignment="1">
      <alignment horizontal="center"/>
    </xf>
    <xf numFmtId="0" fontId="3" fillId="4" borderId="51" xfId="0" applyFont="1" applyFill="1" applyBorder="1" applyAlignment="1">
      <alignment horizontal="center"/>
    </xf>
    <xf numFmtId="3" fontId="0" fillId="4" borderId="12" xfId="0" applyNumberFormat="1" applyFill="1" applyBorder="1"/>
    <xf numFmtId="3" fontId="0" fillId="4" borderId="18" xfId="0" applyNumberFormat="1" applyFill="1" applyBorder="1"/>
    <xf numFmtId="5" fontId="3" fillId="4" borderId="30" xfId="0" applyNumberFormat="1" applyFont="1" applyFill="1" applyBorder="1"/>
    <xf numFmtId="5" fontId="3" fillId="4" borderId="15" xfId="0" applyNumberFormat="1" applyFont="1" applyFill="1" applyBorder="1"/>
    <xf numFmtId="5" fontId="3" fillId="4" borderId="17" xfId="0" applyNumberFormat="1" applyFont="1" applyFill="1" applyBorder="1"/>
    <xf numFmtId="165" fontId="3" fillId="4" borderId="30" xfId="0" applyNumberFormat="1" applyFont="1" applyFill="1" applyBorder="1"/>
    <xf numFmtId="0" fontId="0" fillId="4" borderId="21" xfId="0" applyFill="1" applyBorder="1" applyAlignment="1">
      <alignment horizontal="center"/>
    </xf>
    <xf numFmtId="0" fontId="0" fillId="4" borderId="12" xfId="0" applyFill="1" applyBorder="1"/>
    <xf numFmtId="0" fontId="0" fillId="4" borderId="18" xfId="0" applyFill="1" applyBorder="1"/>
    <xf numFmtId="1" fontId="0" fillId="4" borderId="21" xfId="0" applyNumberForma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165" fontId="3" fillId="4" borderId="39" xfId="0" applyNumberFormat="1" applyFont="1" applyFill="1" applyBorder="1"/>
    <xf numFmtId="3" fontId="0" fillId="4" borderId="14" xfId="0" applyNumberFormat="1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3" fillId="0" borderId="75" xfId="0" applyFont="1" applyBorder="1" applyAlignment="1">
      <alignment horizontal="right"/>
    </xf>
    <xf numFmtId="1" fontId="0" fillId="0" borderId="69" xfId="0" applyNumberFormat="1" applyBorder="1"/>
    <xf numFmtId="1" fontId="0" fillId="0" borderId="56" xfId="0" applyNumberFormat="1" applyBorder="1"/>
    <xf numFmtId="0" fontId="5" fillId="2" borderId="12" xfId="0" applyFont="1" applyFill="1" applyBorder="1" applyAlignment="1" applyProtection="1">
      <alignment horizontal="center"/>
      <protection locked="0"/>
    </xf>
    <xf numFmtId="0" fontId="5" fillId="0" borderId="18" xfId="0" applyFont="1" applyBorder="1"/>
    <xf numFmtId="0" fontId="3" fillId="4" borderId="2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0" fillId="0" borderId="76" xfId="0" applyBorder="1"/>
    <xf numFmtId="165" fontId="0" fillId="4" borderId="15" xfId="0" applyNumberFormat="1" applyFill="1" applyBorder="1"/>
    <xf numFmtId="0" fontId="3" fillId="4" borderId="18" xfId="0" applyFont="1" applyFill="1" applyBorder="1" applyAlignment="1">
      <alignment horizontal="center"/>
    </xf>
    <xf numFmtId="165" fontId="0" fillId="4" borderId="39" xfId="0" applyNumberFormat="1" applyFill="1" applyBorder="1"/>
    <xf numFmtId="3" fontId="0" fillId="0" borderId="39" xfId="0" applyNumberFormat="1" applyBorder="1" applyAlignment="1">
      <alignment horizontal="center"/>
    </xf>
    <xf numFmtId="165" fontId="0" fillId="0" borderId="24" xfId="0" applyNumberFormat="1" applyBorder="1"/>
    <xf numFmtId="0" fontId="0" fillId="0" borderId="77" xfId="0" applyBorder="1"/>
    <xf numFmtId="0" fontId="3" fillId="0" borderId="17" xfId="0" applyFont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0" borderId="23" xfId="0" applyFont="1" applyBorder="1"/>
    <xf numFmtId="1" fontId="0" fillId="4" borderId="33" xfId="0" applyNumberFormat="1" applyFill="1" applyBorder="1"/>
    <xf numFmtId="0" fontId="3" fillId="0" borderId="24" xfId="0" applyFont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165" fontId="0" fillId="0" borderId="40" xfId="0" applyNumberFormat="1" applyBorder="1"/>
    <xf numFmtId="0" fontId="0" fillId="4" borderId="2" xfId="0" applyFill="1" applyBorder="1"/>
    <xf numFmtId="165" fontId="0" fillId="0" borderId="45" xfId="0" applyNumberFormat="1" applyBorder="1"/>
    <xf numFmtId="0" fontId="3" fillId="0" borderId="15" xfId="0" applyFont="1" applyBorder="1" applyAlignment="1">
      <alignment horizontal="center"/>
    </xf>
    <xf numFmtId="165" fontId="3" fillId="0" borderId="24" xfId="0" applyNumberFormat="1" applyFont="1" applyBorder="1"/>
    <xf numFmtId="165" fontId="3" fillId="0" borderId="8" xfId="0" applyNumberFormat="1" applyFont="1" applyBorder="1"/>
    <xf numFmtId="3" fontId="3" fillId="0" borderId="22" xfId="0" applyNumberFormat="1" applyFont="1" applyBorder="1" applyAlignment="1">
      <alignment horizontal="center"/>
    </xf>
    <xf numFmtId="165" fontId="3" fillId="0" borderId="22" xfId="0" applyNumberFormat="1" applyFont="1" applyBorder="1"/>
    <xf numFmtId="165" fontId="3" fillId="4" borderId="1" xfId="0" applyNumberFormat="1" applyFont="1" applyFill="1" applyBorder="1"/>
    <xf numFmtId="165" fontId="3" fillId="4" borderId="11" xfId="0" applyNumberFormat="1" applyFont="1" applyFill="1" applyBorder="1"/>
    <xf numFmtId="165" fontId="3" fillId="0" borderId="1" xfId="0" applyNumberFormat="1" applyFont="1" applyBorder="1"/>
    <xf numFmtId="165" fontId="3" fillId="0" borderId="11" xfId="0" applyNumberFormat="1" applyFont="1" applyBorder="1"/>
    <xf numFmtId="0" fontId="3" fillId="0" borderId="30" xfId="0" applyFont="1" applyBorder="1" applyAlignment="1">
      <alignment horizontal="center"/>
    </xf>
    <xf numFmtId="165" fontId="3" fillId="4" borderId="34" xfId="0" applyNumberFormat="1" applyFont="1" applyFill="1" applyBorder="1"/>
    <xf numFmtId="165" fontId="3" fillId="3" borderId="39" xfId="0" applyNumberFormat="1" applyFont="1" applyFill="1" applyBorder="1"/>
    <xf numFmtId="3" fontId="3" fillId="0" borderId="45" xfId="0" applyNumberFormat="1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0" fontId="5" fillId="0" borderId="1" xfId="0" applyFont="1" applyBorder="1"/>
    <xf numFmtId="165" fontId="5" fillId="2" borderId="1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21" xfId="0" applyFont="1" applyBorder="1" applyAlignment="1">
      <alignment horizontal="right"/>
    </xf>
    <xf numFmtId="0" fontId="3" fillId="0" borderId="12" xfId="0" applyFont="1" applyBorder="1"/>
    <xf numFmtId="0" fontId="4" fillId="0" borderId="28" xfId="0" applyFont="1" applyBorder="1"/>
    <xf numFmtId="0" fontId="0" fillId="4" borderId="0" xfId="0" applyFill="1"/>
    <xf numFmtId="0" fontId="0" fillId="4" borderId="16" xfId="0" applyFill="1" applyBorder="1"/>
    <xf numFmtId="1" fontId="0" fillId="0" borderId="20" xfId="0" applyNumberFormat="1" applyBorder="1"/>
    <xf numFmtId="165" fontId="3" fillId="0" borderId="73" xfId="0" applyNumberFormat="1" applyFont="1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75" xfId="0" applyBorder="1"/>
    <xf numFmtId="0" fontId="0" fillId="0" borderId="75" xfId="0" applyBorder="1" applyAlignment="1">
      <alignment horizontal="center"/>
    </xf>
    <xf numFmtId="0" fontId="0" fillId="0" borderId="78" xfId="0" applyBorder="1"/>
    <xf numFmtId="0" fontId="4" fillId="0" borderId="16" xfId="0" applyFont="1" applyBorder="1"/>
    <xf numFmtId="0" fontId="3" fillId="0" borderId="79" xfId="0" applyFont="1" applyBorder="1" applyAlignment="1">
      <alignment horizontal="center"/>
    </xf>
    <xf numFmtId="0" fontId="3" fillId="0" borderId="80" xfId="0" applyFont="1" applyBorder="1" applyAlignment="1">
      <alignment horizontal="center"/>
    </xf>
    <xf numFmtId="0" fontId="0" fillId="0" borderId="81" xfId="0" applyBorder="1"/>
    <xf numFmtId="5" fontId="3" fillId="0" borderId="11" xfId="0" applyNumberFormat="1" applyFont="1" applyBorder="1"/>
    <xf numFmtId="5" fontId="3" fillId="0" borderId="11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5" fontId="3" fillId="4" borderId="11" xfId="0" applyNumberFormat="1" applyFont="1" applyFill="1" applyBorder="1"/>
    <xf numFmtId="0" fontId="0" fillId="4" borderId="11" xfId="0" applyFill="1" applyBorder="1"/>
    <xf numFmtId="165" fontId="0" fillId="4" borderId="30" xfId="0" applyNumberFormat="1" applyFill="1" applyBorder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top"/>
    </xf>
    <xf numFmtId="3" fontId="0" fillId="0" borderId="0" xfId="0" applyNumberFormat="1"/>
    <xf numFmtId="3" fontId="0" fillId="4" borderId="0" xfId="0" applyNumberFormat="1" applyFill="1"/>
    <xf numFmtId="0" fontId="3" fillId="4" borderId="53" xfId="0" applyFont="1" applyFill="1" applyBorder="1" applyAlignment="1">
      <alignment horizontal="center"/>
    </xf>
    <xf numFmtId="165" fontId="0" fillId="0" borderId="57" xfId="0" applyNumberFormat="1" applyBorder="1" applyAlignment="1">
      <alignment horizontal="center"/>
    </xf>
    <xf numFmtId="165" fontId="0" fillId="0" borderId="58" xfId="0" applyNumberFormat="1" applyBorder="1" applyAlignment="1">
      <alignment horizontal="center"/>
    </xf>
    <xf numFmtId="165" fontId="0" fillId="4" borderId="56" xfId="0" applyNumberFormat="1" applyFill="1" applyBorder="1" applyAlignment="1">
      <alignment horizontal="center"/>
    </xf>
    <xf numFmtId="165" fontId="0" fillId="4" borderId="57" xfId="0" applyNumberFormat="1" applyFill="1" applyBorder="1" applyAlignment="1">
      <alignment horizontal="center"/>
    </xf>
    <xf numFmtId="165" fontId="0" fillId="4" borderId="58" xfId="0" applyNumberFormat="1" applyFill="1" applyBorder="1" applyAlignment="1">
      <alignment horizontal="center"/>
    </xf>
    <xf numFmtId="165" fontId="0" fillId="0" borderId="56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165" fontId="5" fillId="4" borderId="58" xfId="0" applyNumberFormat="1" applyFont="1" applyFill="1" applyBorder="1"/>
    <xf numFmtId="165" fontId="5" fillId="0" borderId="58" xfId="0" applyNumberFormat="1" applyFont="1" applyBorder="1"/>
    <xf numFmtId="3" fontId="3" fillId="0" borderId="11" xfId="0" applyNumberFormat="1" applyFont="1" applyBorder="1" applyAlignment="1">
      <alignment horizontal="center"/>
    </xf>
    <xf numFmtId="0" fontId="3" fillId="0" borderId="49" xfId="0" applyFont="1" applyBorder="1" applyAlignment="1">
      <alignment horizontal="right"/>
    </xf>
    <xf numFmtId="165" fontId="3" fillId="0" borderId="34" xfId="0" applyNumberFormat="1" applyFont="1" applyBorder="1"/>
    <xf numFmtId="165" fontId="5" fillId="4" borderId="57" xfId="0" applyNumberFormat="1" applyFont="1" applyFill="1" applyBorder="1"/>
    <xf numFmtId="165" fontId="5" fillId="0" borderId="56" xfId="0" applyNumberFormat="1" applyFont="1" applyBorder="1"/>
    <xf numFmtId="165" fontId="5" fillId="0" borderId="57" xfId="0" applyNumberFormat="1" applyFont="1" applyBorder="1"/>
    <xf numFmtId="165" fontId="5" fillId="4" borderId="73" xfId="0" applyNumberFormat="1" applyFont="1" applyFill="1" applyBorder="1"/>
    <xf numFmtId="165" fontId="0" fillId="0" borderId="73" xfId="0" applyNumberFormat="1" applyBorder="1"/>
    <xf numFmtId="165" fontId="0" fillId="0" borderId="69" xfId="0" applyNumberFormat="1" applyBorder="1"/>
    <xf numFmtId="165" fontId="5" fillId="0" borderId="69" xfId="0" applyNumberFormat="1" applyFont="1" applyBorder="1"/>
    <xf numFmtId="0" fontId="3" fillId="0" borderId="9" xfId="0" applyFont="1" applyBorder="1"/>
    <xf numFmtId="0" fontId="3" fillId="0" borderId="27" xfId="0" applyFont="1" applyBorder="1"/>
    <xf numFmtId="0" fontId="3" fillId="0" borderId="22" xfId="0" applyFont="1" applyBorder="1"/>
    <xf numFmtId="3" fontId="3" fillId="0" borderId="8" xfId="0" applyNumberFormat="1" applyFont="1" applyBorder="1" applyAlignment="1">
      <alignment horizontal="center"/>
    </xf>
    <xf numFmtId="165" fontId="3" fillId="0" borderId="23" xfId="0" applyNumberFormat="1" applyFont="1" applyBorder="1"/>
    <xf numFmtId="0" fontId="3" fillId="0" borderId="4" xfId="0" applyFont="1" applyBorder="1"/>
    <xf numFmtId="0" fontId="3" fillId="0" borderId="16" xfId="0" applyFont="1" applyBorder="1"/>
    <xf numFmtId="165" fontId="3" fillId="0" borderId="14" xfId="0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center"/>
    </xf>
    <xf numFmtId="0" fontId="3" fillId="4" borderId="82" xfId="0" applyFont="1" applyFill="1" applyBorder="1"/>
    <xf numFmtId="3" fontId="3" fillId="0" borderId="39" xfId="0" applyNumberFormat="1" applyFont="1" applyBorder="1" applyAlignment="1">
      <alignment horizontal="center"/>
    </xf>
    <xf numFmtId="0" fontId="6" fillId="0" borderId="83" xfId="0" applyFont="1" applyBorder="1"/>
    <xf numFmtId="0" fontId="6" fillId="2" borderId="1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167" fontId="5" fillId="2" borderId="1" xfId="0" applyNumberFormat="1" applyFont="1" applyFill="1" applyBorder="1" applyProtection="1">
      <protection locked="0"/>
    </xf>
    <xf numFmtId="0" fontId="6" fillId="0" borderId="31" xfId="0" applyFont="1" applyBorder="1"/>
    <xf numFmtId="0" fontId="6" fillId="0" borderId="1" xfId="0" applyFont="1" applyBorder="1" applyAlignment="1" applyProtection="1">
      <alignment horizontal="center"/>
      <protection locked="0"/>
    </xf>
    <xf numFmtId="0" fontId="6" fillId="0" borderId="84" xfId="0" applyFont="1" applyBorder="1"/>
    <xf numFmtId="0" fontId="6" fillId="0" borderId="3" xfId="0" applyFont="1" applyBorder="1"/>
    <xf numFmtId="0" fontId="0" fillId="0" borderId="85" xfId="0" applyBorder="1"/>
    <xf numFmtId="0" fontId="3" fillId="0" borderId="85" xfId="0" applyFont="1" applyBorder="1" applyAlignment="1">
      <alignment vertical="top"/>
    </xf>
    <xf numFmtId="0" fontId="6" fillId="0" borderId="80" xfId="0" applyFont="1" applyBorder="1"/>
    <xf numFmtId="0" fontId="4" fillId="0" borderId="85" xfId="0" applyFont="1" applyBorder="1"/>
    <xf numFmtId="0" fontId="3" fillId="0" borderId="83" xfId="0" applyFont="1" applyBorder="1"/>
    <xf numFmtId="0" fontId="0" fillId="0" borderId="85" xfId="0" applyBorder="1" applyAlignment="1">
      <alignment horizontal="right"/>
    </xf>
    <xf numFmtId="0" fontId="0" fillId="0" borderId="86" xfId="0" applyBorder="1" applyAlignment="1">
      <alignment horizontal="right"/>
    </xf>
    <xf numFmtId="0" fontId="3" fillId="0" borderId="87" xfId="0" applyFont="1" applyBorder="1" applyAlignment="1">
      <alignment horizontal="right"/>
    </xf>
    <xf numFmtId="0" fontId="3" fillId="0" borderId="85" xfId="0" applyFont="1" applyBorder="1"/>
    <xf numFmtId="0" fontId="3" fillId="0" borderId="57" xfId="0" applyFont="1" applyBorder="1"/>
    <xf numFmtId="0" fontId="4" fillId="0" borderId="88" xfId="0" applyFont="1" applyBorder="1"/>
    <xf numFmtId="0" fontId="3" fillId="0" borderId="1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3" borderId="86" xfId="0" applyFont="1" applyFill="1" applyBorder="1"/>
    <xf numFmtId="0" fontId="3" fillId="0" borderId="89" xfId="0" applyFont="1" applyBorder="1" applyAlignment="1">
      <alignment horizontal="right"/>
    </xf>
    <xf numFmtId="0" fontId="3" fillId="0" borderId="86" xfId="0" applyFont="1" applyBorder="1"/>
    <xf numFmtId="0" fontId="3" fillId="0" borderId="13" xfId="0" applyFont="1" applyBorder="1"/>
    <xf numFmtId="0" fontId="0" fillId="0" borderId="13" xfId="0" applyBorder="1" applyAlignment="1">
      <alignment horizontal="right"/>
    </xf>
    <xf numFmtId="0" fontId="6" fillId="0" borderId="85" xfId="0" applyFont="1" applyBorder="1"/>
    <xf numFmtId="0" fontId="0" fillId="0" borderId="50" xfId="0" applyBorder="1"/>
    <xf numFmtId="0" fontId="4" fillId="0" borderId="90" xfId="0" applyFont="1" applyBorder="1" applyAlignment="1">
      <alignment horizontal="center"/>
    </xf>
    <xf numFmtId="0" fontId="0" fillId="0" borderId="91" xfId="0" applyBorder="1"/>
    <xf numFmtId="165" fontId="3" fillId="0" borderId="65" xfId="0" applyNumberFormat="1" applyFont="1" applyBorder="1"/>
    <xf numFmtId="165" fontId="3" fillId="0" borderId="64" xfId="0" applyNumberFormat="1" applyFont="1" applyBorder="1"/>
    <xf numFmtId="3" fontId="3" fillId="0" borderId="65" xfId="0" applyNumberFormat="1" applyFont="1" applyBorder="1" applyAlignment="1">
      <alignment horizontal="center"/>
    </xf>
    <xf numFmtId="3" fontId="0" fillId="0" borderId="64" xfId="0" applyNumberFormat="1" applyBorder="1" applyAlignment="1">
      <alignment horizontal="center"/>
    </xf>
    <xf numFmtId="3" fontId="0" fillId="0" borderId="90" xfId="0" applyNumberFormat="1" applyBorder="1" applyAlignment="1">
      <alignment horizontal="center"/>
    </xf>
    <xf numFmtId="0" fontId="0" fillId="0" borderId="92" xfId="0" applyBorder="1"/>
    <xf numFmtId="0" fontId="0" fillId="0" borderId="93" xfId="0" applyBorder="1"/>
    <xf numFmtId="3" fontId="3" fillId="0" borderId="63" xfId="0" applyNumberFormat="1" applyFont="1" applyBorder="1" applyAlignment="1">
      <alignment horizontal="center"/>
    </xf>
    <xf numFmtId="0" fontId="0" fillId="0" borderId="63" xfId="0" applyBorder="1"/>
    <xf numFmtId="165" fontId="0" fillId="0" borderId="65" xfId="0" applyNumberFormat="1" applyBorder="1" applyAlignment="1">
      <alignment horizontal="center"/>
    </xf>
    <xf numFmtId="3" fontId="0" fillId="0" borderId="62" xfId="0" applyNumberFormat="1" applyBorder="1" applyAlignment="1">
      <alignment horizontal="center"/>
    </xf>
    <xf numFmtId="165" fontId="4" fillId="0" borderId="57" xfId="0" applyNumberFormat="1" applyFont="1" applyBorder="1"/>
    <xf numFmtId="165" fontId="4" fillId="0" borderId="58" xfId="0" applyNumberFormat="1" applyFont="1" applyBorder="1"/>
    <xf numFmtId="165" fontId="4" fillId="4" borderId="56" xfId="0" applyNumberFormat="1" applyFont="1" applyFill="1" applyBorder="1"/>
    <xf numFmtId="3" fontId="4" fillId="4" borderId="57" xfId="0" applyNumberFormat="1" applyFont="1" applyFill="1" applyBorder="1"/>
    <xf numFmtId="165" fontId="4" fillId="4" borderId="58" xfId="0" applyNumberFormat="1" applyFont="1" applyFill="1" applyBorder="1"/>
    <xf numFmtId="165" fontId="4" fillId="0" borderId="56" xfId="0" applyNumberFormat="1" applyFont="1" applyBorder="1"/>
    <xf numFmtId="3" fontId="4" fillId="0" borderId="57" xfId="0" applyNumberFormat="1" applyFont="1" applyBorder="1"/>
    <xf numFmtId="165" fontId="4" fillId="0" borderId="64" xfId="0" applyNumberFormat="1" applyFont="1" applyBorder="1"/>
    <xf numFmtId="0" fontId="5" fillId="0" borderId="94" xfId="0" applyFont="1" applyBorder="1" applyAlignment="1">
      <alignment horizontal="right"/>
    </xf>
    <xf numFmtId="0" fontId="4" fillId="0" borderId="95" xfId="0" applyFont="1" applyBorder="1"/>
    <xf numFmtId="0" fontId="5" fillId="0" borderId="96" xfId="0" applyFont="1" applyBorder="1" applyAlignment="1">
      <alignment horizontal="right"/>
    </xf>
    <xf numFmtId="0" fontId="4" fillId="0" borderId="97" xfId="0" applyFont="1" applyBorder="1" applyAlignment="1">
      <alignment horizontal="right"/>
    </xf>
    <xf numFmtId="168" fontId="3" fillId="0" borderId="9" xfId="0" applyNumberFormat="1" applyFont="1" applyBorder="1"/>
    <xf numFmtId="165" fontId="3" fillId="3" borderId="15" xfId="0" applyNumberFormat="1" applyFont="1" applyFill="1" applyBorder="1"/>
    <xf numFmtId="0" fontId="3" fillId="0" borderId="71" xfId="0" applyFont="1" applyBorder="1"/>
    <xf numFmtId="0" fontId="3" fillId="0" borderId="92" xfId="0" applyFont="1" applyBorder="1"/>
    <xf numFmtId="0" fontId="3" fillId="0" borderId="61" xfId="0" applyFont="1" applyBorder="1" applyAlignment="1">
      <alignment horizontal="center"/>
    </xf>
    <xf numFmtId="0" fontId="4" fillId="0" borderId="98" xfId="0" applyFont="1" applyBorder="1"/>
    <xf numFmtId="165" fontId="4" fillId="3" borderId="58" xfId="0" applyNumberFormat="1" applyFont="1" applyFill="1" applyBorder="1"/>
    <xf numFmtId="0" fontId="3" fillId="4" borderId="5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0" fillId="0" borderId="99" xfId="0" applyBorder="1"/>
    <xf numFmtId="0" fontId="3" fillId="0" borderId="99" xfId="0" applyFont="1" applyBorder="1" applyAlignment="1">
      <alignment horizontal="center"/>
    </xf>
    <xf numFmtId="0" fontId="3" fillId="0" borderId="99" xfId="0" applyFont="1" applyBorder="1" applyAlignment="1">
      <alignment horizontal="center" wrapText="1"/>
    </xf>
    <xf numFmtId="0" fontId="0" fillId="0" borderId="100" xfId="0" applyBorder="1"/>
    <xf numFmtId="0" fontId="0" fillId="0" borderId="25" xfId="0" applyBorder="1"/>
    <xf numFmtId="0" fontId="6" fillId="0" borderId="25" xfId="0" applyFont="1" applyBorder="1"/>
    <xf numFmtId="0" fontId="6" fillId="0" borderId="101" xfId="0" applyFont="1" applyBorder="1"/>
    <xf numFmtId="0" fontId="0" fillId="0" borderId="36" xfId="0" applyBorder="1"/>
    <xf numFmtId="0" fontId="4" fillId="0" borderId="44" xfId="0" applyFont="1" applyBorder="1" applyAlignment="1">
      <alignment horizontal="center"/>
    </xf>
    <xf numFmtId="0" fontId="6" fillId="0" borderId="66" xfId="0" applyFont="1" applyBorder="1"/>
    <xf numFmtId="0" fontId="3" fillId="0" borderId="84" xfId="0" applyFont="1" applyBorder="1"/>
    <xf numFmtId="0" fontId="0" fillId="0" borderId="49" xfId="0" applyBorder="1" applyAlignment="1">
      <alignment horizontal="right"/>
    </xf>
    <xf numFmtId="0" fontId="3" fillId="0" borderId="49" xfId="0" applyFont="1" applyBorder="1"/>
    <xf numFmtId="0" fontId="3" fillId="0" borderId="73" xfId="0" applyFont="1" applyBorder="1"/>
    <xf numFmtId="0" fontId="4" fillId="0" borderId="49" xfId="0" applyFont="1" applyBorder="1"/>
    <xf numFmtId="0" fontId="3" fillId="0" borderId="102" xfId="0" applyFont="1" applyBorder="1"/>
    <xf numFmtId="0" fontId="4" fillId="0" borderId="91" xfId="0" applyFont="1" applyBorder="1"/>
    <xf numFmtId="0" fontId="0" fillId="0" borderId="35" xfId="0" applyBorder="1" applyAlignment="1">
      <alignment horizontal="right"/>
    </xf>
    <xf numFmtId="0" fontId="0" fillId="0" borderId="48" xfId="0" applyBorder="1" applyAlignment="1">
      <alignment horizontal="right"/>
    </xf>
    <xf numFmtId="0" fontId="0" fillId="0" borderId="103" xfId="0" applyBorder="1" applyAlignment="1">
      <alignment horizontal="right"/>
    </xf>
    <xf numFmtId="0" fontId="5" fillId="0" borderId="102" xfId="0" applyFont="1" applyBorder="1" applyAlignment="1">
      <alignment horizontal="right"/>
    </xf>
    <xf numFmtId="0" fontId="0" fillId="0" borderId="104" xfId="0" applyBorder="1"/>
    <xf numFmtId="0" fontId="0" fillId="0" borderId="105" xfId="0" applyBorder="1"/>
    <xf numFmtId="0" fontId="3" fillId="0" borderId="44" xfId="0" applyFont="1" applyBorder="1"/>
    <xf numFmtId="0" fontId="3" fillId="0" borderId="45" xfId="0" applyFont="1" applyBorder="1" applyAlignment="1">
      <alignment horizontal="right"/>
    </xf>
    <xf numFmtId="0" fontId="3" fillId="0" borderId="42" xfId="0" applyFont="1" applyBorder="1"/>
    <xf numFmtId="165" fontId="3" fillId="0" borderId="45" xfId="0" applyNumberFormat="1" applyFont="1" applyBorder="1"/>
    <xf numFmtId="3" fontId="3" fillId="0" borderId="104" xfId="0" applyNumberFormat="1" applyFont="1" applyBorder="1" applyAlignment="1">
      <alignment horizontal="center"/>
    </xf>
    <xf numFmtId="165" fontId="0" fillId="0" borderId="46" xfId="0" applyNumberFormat="1" applyBorder="1" applyAlignment="1">
      <alignment horizontal="center"/>
    </xf>
    <xf numFmtId="0" fontId="3" fillId="0" borderId="59" xfId="0" applyFont="1" applyBorder="1" applyAlignment="1">
      <alignment horizontal="right"/>
    </xf>
    <xf numFmtId="0" fontId="6" fillId="0" borderId="106" xfId="0" applyFont="1" applyBorder="1"/>
    <xf numFmtId="0" fontId="5" fillId="0" borderId="43" xfId="0" applyFont="1" applyBorder="1" applyAlignment="1">
      <alignment horizontal="right"/>
    </xf>
    <xf numFmtId="0" fontId="8" fillId="0" borderId="45" xfId="0" applyFont="1" applyBorder="1" applyAlignment="1">
      <alignment horizontal="right"/>
    </xf>
    <xf numFmtId="165" fontId="8" fillId="0" borderId="30" xfId="0" applyNumberFormat="1" applyFont="1" applyBorder="1"/>
    <xf numFmtId="165" fontId="8" fillId="0" borderId="15" xfId="0" applyNumberFormat="1" applyFont="1" applyBorder="1"/>
    <xf numFmtId="165" fontId="8" fillId="0" borderId="17" xfId="0" applyNumberFormat="1" applyFont="1" applyBorder="1"/>
    <xf numFmtId="165" fontId="8" fillId="4" borderId="39" xfId="0" applyNumberFormat="1" applyFont="1" applyFill="1" applyBorder="1"/>
    <xf numFmtId="3" fontId="8" fillId="4" borderId="15" xfId="0" applyNumberFormat="1" applyFont="1" applyFill="1" applyBorder="1"/>
    <xf numFmtId="165" fontId="8" fillId="4" borderId="17" xfId="0" applyNumberFormat="1" applyFont="1" applyFill="1" applyBorder="1"/>
    <xf numFmtId="3" fontId="8" fillId="0" borderId="15" xfId="0" applyNumberFormat="1" applyFont="1" applyBorder="1"/>
    <xf numFmtId="165" fontId="8" fillId="4" borderId="30" xfId="0" applyNumberFormat="1" applyFont="1" applyFill="1" applyBorder="1"/>
    <xf numFmtId="165" fontId="8" fillId="3" borderId="17" xfId="0" applyNumberFormat="1" applyFont="1" applyFill="1" applyBorder="1"/>
    <xf numFmtId="165" fontId="8" fillId="0" borderId="45" xfId="0" applyNumberFormat="1" applyFont="1" applyBorder="1"/>
    <xf numFmtId="0" fontId="6" fillId="0" borderId="49" xfId="0" applyFont="1" applyBorder="1"/>
    <xf numFmtId="0" fontId="6" fillId="2" borderId="12" xfId="0" applyFont="1" applyFill="1" applyBorder="1" applyAlignment="1" applyProtection="1">
      <alignment horizontal="center"/>
      <protection locked="0"/>
    </xf>
    <xf numFmtId="0" fontId="6" fillId="0" borderId="35" xfId="0" applyFont="1" applyBorder="1"/>
    <xf numFmtId="0" fontId="6" fillId="0" borderId="12" xfId="0" applyFont="1" applyBorder="1" applyAlignment="1" applyProtection="1">
      <alignment horizontal="center"/>
      <protection locked="0"/>
    </xf>
    <xf numFmtId="0" fontId="6" fillId="0" borderId="0" xfId="0" applyFont="1"/>
    <xf numFmtId="0" fontId="3" fillId="0" borderId="0" xfId="0" applyFont="1" applyAlignment="1">
      <alignment horizontal="right" vertical="top"/>
    </xf>
    <xf numFmtId="0" fontId="6" fillId="0" borderId="99" xfId="0" applyFont="1" applyBorder="1"/>
    <xf numFmtId="0" fontId="3" fillId="0" borderId="3" xfId="0" applyFont="1" applyBorder="1"/>
    <xf numFmtId="0" fontId="0" fillId="0" borderId="0" xfId="0" applyAlignment="1">
      <alignment horizontal="right"/>
    </xf>
    <xf numFmtId="0" fontId="0" fillId="0" borderId="31" xfId="0" applyBorder="1" applyAlignment="1">
      <alignment horizontal="right"/>
    </xf>
    <xf numFmtId="0" fontId="3" fillId="0" borderId="77" xfId="0" applyFont="1" applyBorder="1" applyAlignment="1">
      <alignment horizontal="right"/>
    </xf>
    <xf numFmtId="0" fontId="3" fillId="0" borderId="21" xfId="0" applyFont="1" applyBorder="1"/>
    <xf numFmtId="0" fontId="3" fillId="0" borderId="56" xfId="0" applyFont="1" applyBorder="1"/>
    <xf numFmtId="0" fontId="3" fillId="0" borderId="14" xfId="0" applyFont="1" applyBorder="1"/>
    <xf numFmtId="0" fontId="5" fillId="0" borderId="14" xfId="0" applyFont="1" applyBorder="1" applyAlignment="1">
      <alignment horizontal="right"/>
    </xf>
    <xf numFmtId="0" fontId="5" fillId="0" borderId="30" xfId="0" applyFont="1" applyBorder="1" applyAlignment="1">
      <alignment horizontal="right"/>
    </xf>
    <xf numFmtId="0" fontId="3" fillId="0" borderId="31" xfId="0" applyFont="1" applyBorder="1"/>
    <xf numFmtId="0" fontId="3" fillId="0" borderId="2" xfId="0" applyFont="1" applyBorder="1" applyAlignment="1">
      <alignment horizontal="right"/>
    </xf>
    <xf numFmtId="0" fontId="4" fillId="0" borderId="107" xfId="0" applyFont="1" applyBorder="1"/>
    <xf numFmtId="0" fontId="0" fillId="0" borderId="4" xfId="0" applyBorder="1" applyAlignment="1">
      <alignment horizontal="right"/>
    </xf>
    <xf numFmtId="0" fontId="0" fillId="0" borderId="108" xfId="0" applyBorder="1"/>
    <xf numFmtId="0" fontId="3" fillId="0" borderId="108" xfId="0" applyFont="1" applyBorder="1"/>
    <xf numFmtId="0" fontId="0" fillId="0" borderId="109" xfId="0" applyBorder="1"/>
    <xf numFmtId="0" fontId="0" fillId="0" borderId="110" xfId="0" applyBorder="1"/>
    <xf numFmtId="0" fontId="0" fillId="0" borderId="111" xfId="0" applyBorder="1"/>
    <xf numFmtId="0" fontId="0" fillId="0" borderId="112" xfId="0" applyBorder="1"/>
    <xf numFmtId="165" fontId="3" fillId="0" borderId="113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4" borderId="0" xfId="0" applyNumberFormat="1" applyFont="1" applyFill="1" applyAlignment="1">
      <alignment horizontal="center"/>
    </xf>
    <xf numFmtId="0" fontId="3" fillId="0" borderId="113" xfId="0" applyFont="1" applyBorder="1"/>
    <xf numFmtId="165" fontId="3" fillId="0" borderId="0" xfId="0" applyNumberFormat="1" applyFont="1"/>
    <xf numFmtId="3" fontId="3" fillId="0" borderId="0" xfId="0" applyNumberFormat="1" applyFont="1" applyAlignment="1">
      <alignment horizontal="center"/>
    </xf>
    <xf numFmtId="3" fontId="3" fillId="0" borderId="113" xfId="0" applyNumberFormat="1" applyFont="1" applyBorder="1" applyAlignment="1">
      <alignment horizontal="center"/>
    </xf>
    <xf numFmtId="165" fontId="3" fillId="0" borderId="43" xfId="0" applyNumberFormat="1" applyFont="1" applyBorder="1" applyAlignment="1">
      <alignment horizontal="center"/>
    </xf>
    <xf numFmtId="165" fontId="3" fillId="4" borderId="16" xfId="0" applyNumberFormat="1" applyFont="1" applyFill="1" applyBorder="1" applyAlignment="1">
      <alignment horizontal="center"/>
    </xf>
    <xf numFmtId="0" fontId="0" fillId="2" borderId="57" xfId="0" applyFill="1" applyBorder="1" applyAlignment="1" applyProtection="1">
      <alignment horizontal="center"/>
      <protection locked="0"/>
    </xf>
    <xf numFmtId="0" fontId="0" fillId="2" borderId="73" xfId="0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wrapText="1"/>
    </xf>
    <xf numFmtId="165" fontId="0" fillId="0" borderId="18" xfId="0" applyNumberFormat="1" applyBorder="1"/>
    <xf numFmtId="3" fontId="0" fillId="0" borderId="4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165" fontId="0" fillId="0" borderId="104" xfId="0" applyNumberFormat="1" applyBorder="1"/>
    <xf numFmtId="0" fontId="3" fillId="0" borderId="19" xfId="0" applyFont="1" applyBorder="1" applyAlignment="1">
      <alignment horizontal="center"/>
    </xf>
    <xf numFmtId="0" fontId="3" fillId="0" borderId="77" xfId="0" applyFont="1" applyBorder="1"/>
    <xf numFmtId="0" fontId="0" fillId="0" borderId="89" xfId="0" applyBorder="1"/>
    <xf numFmtId="165" fontId="0" fillId="0" borderId="87" xfId="0" applyNumberFormat="1" applyBorder="1"/>
    <xf numFmtId="0" fontId="0" fillId="0" borderId="87" xfId="0" applyBorder="1" applyAlignment="1">
      <alignment horizontal="center"/>
    </xf>
    <xf numFmtId="0" fontId="6" fillId="2" borderId="12" xfId="0" applyFont="1" applyFill="1" applyBorder="1" applyAlignment="1" applyProtection="1">
      <alignment horizontal="left"/>
      <protection locked="0"/>
    </xf>
    <xf numFmtId="0" fontId="3" fillId="0" borderId="5" xfId="0" applyFont="1" applyBorder="1" applyAlignment="1">
      <alignment horizontal="center" wrapText="1"/>
    </xf>
    <xf numFmtId="0" fontId="3" fillId="0" borderId="28" xfId="0" applyFont="1" applyBorder="1" applyAlignment="1">
      <alignment horizontal="right"/>
    </xf>
    <xf numFmtId="0" fontId="6" fillId="0" borderId="66" xfId="0" applyFont="1" applyBorder="1" applyAlignment="1">
      <alignment horizontal="left"/>
    </xf>
    <xf numFmtId="0" fontId="0" fillId="0" borderId="14" xfId="0" applyBorder="1"/>
    <xf numFmtId="0" fontId="4" fillId="5" borderId="49" xfId="0" applyFont="1" applyFill="1" applyBorder="1"/>
    <xf numFmtId="0" fontId="0" fillId="2" borderId="20" xfId="0" applyFill="1" applyBorder="1" applyProtection="1">
      <protection locked="0"/>
    </xf>
    <xf numFmtId="0" fontId="0" fillId="2" borderId="3" xfId="0" applyFill="1" applyBorder="1" applyProtection="1">
      <protection locked="0"/>
    </xf>
    <xf numFmtId="165" fontId="0" fillId="0" borderId="0" xfId="0" applyNumberFormat="1"/>
    <xf numFmtId="3" fontId="5" fillId="0" borderId="115" xfId="0" applyNumberFormat="1" applyFont="1" applyBorder="1"/>
    <xf numFmtId="165" fontId="5" fillId="0" borderId="14" xfId="0" applyNumberFormat="1" applyFont="1" applyBorder="1"/>
    <xf numFmtId="0" fontId="3" fillId="0" borderId="13" xfId="0" applyFont="1" applyBorder="1" applyAlignment="1">
      <alignment horizontal="center"/>
    </xf>
    <xf numFmtId="165" fontId="3" fillId="0" borderId="16" xfId="0" applyNumberFormat="1" applyFont="1" applyBorder="1"/>
    <xf numFmtId="165" fontId="3" fillId="4" borderId="4" xfId="0" applyNumberFormat="1" applyFont="1" applyFill="1" applyBorder="1"/>
    <xf numFmtId="165" fontId="3" fillId="4" borderId="13" xfId="0" applyNumberFormat="1" applyFont="1" applyFill="1" applyBorder="1"/>
    <xf numFmtId="165" fontId="3" fillId="4" borderId="41" xfId="0" applyNumberFormat="1" applyFont="1" applyFill="1" applyBorder="1"/>
    <xf numFmtId="165" fontId="3" fillId="0" borderId="4" xfId="0" applyNumberFormat="1" applyFont="1" applyBorder="1"/>
    <xf numFmtId="165" fontId="3" fillId="0" borderId="13" xfId="0" applyNumberFormat="1" applyFont="1" applyBorder="1"/>
    <xf numFmtId="165" fontId="3" fillId="0" borderId="41" xfId="0" applyNumberFormat="1" applyFont="1" applyBorder="1"/>
    <xf numFmtId="3" fontId="3" fillId="0" borderId="16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5" fontId="3" fillId="0" borderId="35" xfId="0" applyNumberFormat="1" applyFont="1" applyBorder="1"/>
    <xf numFmtId="0" fontId="3" fillId="0" borderId="14" xfId="0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65" fontId="3" fillId="0" borderId="40" xfId="0" applyNumberFormat="1" applyFont="1" applyBorder="1"/>
    <xf numFmtId="0" fontId="3" fillId="4" borderId="2" xfId="0" applyFont="1" applyFill="1" applyBorder="1"/>
    <xf numFmtId="0" fontId="3" fillId="0" borderId="116" xfId="0" applyFont="1" applyBorder="1" applyAlignment="1">
      <alignment horizontal="right"/>
    </xf>
    <xf numFmtId="166" fontId="1" fillId="6" borderId="0" xfId="0" applyNumberFormat="1" applyFont="1" applyFill="1"/>
    <xf numFmtId="0" fontId="3" fillId="0" borderId="5" xfId="0" applyFon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2" fontId="0" fillId="2" borderId="87" xfId="0" applyNumberFormat="1" applyFill="1" applyBorder="1" applyProtection="1">
      <protection locked="0"/>
    </xf>
    <xf numFmtId="164" fontId="0" fillId="0" borderId="87" xfId="0" applyNumberFormat="1" applyBorder="1"/>
    <xf numFmtId="0" fontId="0" fillId="2" borderId="40" xfId="0" applyFill="1" applyBorder="1" applyProtection="1">
      <protection locked="0"/>
    </xf>
    <xf numFmtId="164" fontId="0" fillId="0" borderId="1" xfId="0" applyNumberFormat="1" applyBorder="1"/>
    <xf numFmtId="164" fontId="0" fillId="2" borderId="1" xfId="0" applyNumberFormat="1" applyFill="1" applyBorder="1" applyProtection="1">
      <protection locked="0"/>
    </xf>
    <xf numFmtId="0" fontId="5" fillId="2" borderId="27" xfId="0" applyFont="1" applyFill="1" applyBorder="1" applyAlignment="1" applyProtection="1">
      <alignment horizontal="center"/>
      <protection locked="0"/>
    </xf>
    <xf numFmtId="3" fontId="0" fillId="0" borderId="5" xfId="0" applyNumberFormat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165" fontId="3" fillId="0" borderId="117" xfId="0" applyNumberFormat="1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3" fontId="0" fillId="0" borderId="5" xfId="0" applyNumberFormat="1" applyBorder="1"/>
    <xf numFmtId="5" fontId="3" fillId="0" borderId="76" xfId="0" applyNumberFormat="1" applyFont="1" applyBorder="1"/>
    <xf numFmtId="165" fontId="3" fillId="0" borderId="76" xfId="0" applyNumberFormat="1" applyFont="1" applyBorder="1"/>
    <xf numFmtId="1" fontId="0" fillId="0" borderId="5" xfId="0" applyNumberFormat="1" applyBorder="1"/>
    <xf numFmtId="165" fontId="3" fillId="0" borderId="72" xfId="0" applyNumberFormat="1" applyFont="1" applyBorder="1"/>
    <xf numFmtId="3" fontId="0" fillId="0" borderId="9" xfId="0" applyNumberFormat="1" applyBorder="1"/>
    <xf numFmtId="165" fontId="8" fillId="0" borderId="76" xfId="0" applyNumberFormat="1" applyFont="1" applyBorder="1"/>
    <xf numFmtId="0" fontId="0" fillId="0" borderId="85" xfId="0" applyBorder="1" applyAlignment="1">
      <alignment horizontal="center"/>
    </xf>
    <xf numFmtId="165" fontId="0" fillId="0" borderId="11" xfId="0" applyNumberFormat="1" applyBorder="1"/>
    <xf numFmtId="165" fontId="3" fillId="0" borderId="12" xfId="0" applyNumberFormat="1" applyFont="1" applyBorder="1" applyAlignment="1">
      <alignment horizontal="center"/>
    </xf>
    <xf numFmtId="165" fontId="3" fillId="0" borderId="76" xfId="0" applyNumberFormat="1" applyFont="1" applyBorder="1" applyAlignment="1">
      <alignment horizontal="center"/>
    </xf>
    <xf numFmtId="0" fontId="3" fillId="0" borderId="103" xfId="0" applyFont="1" applyBorder="1" applyAlignment="1">
      <alignment horizontal="right"/>
    </xf>
    <xf numFmtId="0" fontId="3" fillId="0" borderId="48" xfId="0" applyFont="1" applyBorder="1" applyAlignment="1">
      <alignment horizontal="right"/>
    </xf>
    <xf numFmtId="165" fontId="3" fillId="0" borderId="26" xfId="0" applyNumberFormat="1" applyFont="1" applyBorder="1" applyAlignment="1">
      <alignment horizontal="center"/>
    </xf>
    <xf numFmtId="165" fontId="3" fillId="0" borderId="30" xfId="0" applyNumberFormat="1" applyFont="1" applyBorder="1" applyAlignment="1">
      <alignment horizontal="center"/>
    </xf>
    <xf numFmtId="165" fontId="0" fillId="2" borderId="0" xfId="0" applyNumberFormat="1" applyFill="1" applyProtection="1">
      <protection locked="0"/>
    </xf>
    <xf numFmtId="166" fontId="1" fillId="6" borderId="1" xfId="0" applyNumberFormat="1" applyFont="1" applyFill="1" applyBorder="1"/>
    <xf numFmtId="165" fontId="5" fillId="0" borderId="15" xfId="0" applyNumberFormat="1" applyFont="1" applyBorder="1" applyAlignment="1">
      <alignment horizontal="right"/>
    </xf>
    <xf numFmtId="166" fontId="1" fillId="6" borderId="12" xfId="0" applyNumberFormat="1" applyFont="1" applyFill="1" applyBorder="1"/>
    <xf numFmtId="165" fontId="0" fillId="2" borderId="21" xfId="0" applyNumberFormat="1" applyFill="1" applyBorder="1" applyProtection="1">
      <protection locked="0"/>
    </xf>
    <xf numFmtId="0" fontId="5" fillId="2" borderId="12" xfId="0" applyFont="1" applyFill="1" applyBorder="1" applyProtection="1">
      <protection locked="0"/>
    </xf>
    <xf numFmtId="166" fontId="1" fillId="6" borderId="86" xfId="0" applyNumberFormat="1" applyFont="1" applyFill="1" applyBorder="1"/>
    <xf numFmtId="165" fontId="0" fillId="2" borderId="13" xfId="0" applyNumberFormat="1" applyFill="1" applyBorder="1" applyProtection="1">
      <protection locked="0"/>
    </xf>
    <xf numFmtId="0" fontId="5" fillId="0" borderId="31" xfId="0" applyFont="1" applyBorder="1" applyAlignment="1">
      <alignment horizontal="right"/>
    </xf>
    <xf numFmtId="0" fontId="3" fillId="0" borderId="86" xfId="0" applyFont="1" applyBorder="1" applyAlignment="1">
      <alignment horizontal="center"/>
    </xf>
    <xf numFmtId="0" fontId="3" fillId="4" borderId="86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3" fillId="0" borderId="34" xfId="0" applyFont="1" applyBorder="1" applyAlignment="1">
      <alignment horizontal="center"/>
    </xf>
    <xf numFmtId="165" fontId="3" fillId="4" borderId="86" xfId="0" applyNumberFormat="1" applyFont="1" applyFill="1" applyBorder="1"/>
    <xf numFmtId="0" fontId="3" fillId="0" borderId="89" xfId="0" applyFont="1" applyBorder="1"/>
    <xf numFmtId="165" fontId="3" fillId="0" borderId="87" xfId="0" applyNumberFormat="1" applyFont="1" applyBorder="1"/>
    <xf numFmtId="0" fontId="3" fillId="0" borderId="87" xfId="0" applyFont="1" applyBorder="1" applyAlignment="1">
      <alignment horizontal="center"/>
    </xf>
    <xf numFmtId="165" fontId="5" fillId="0" borderId="86" xfId="0" applyNumberFormat="1" applyFont="1" applyBorder="1" applyAlignment="1">
      <alignment horizontal="right"/>
    </xf>
    <xf numFmtId="165" fontId="5" fillId="0" borderId="94" xfId="0" applyNumberFormat="1" applyFont="1" applyBorder="1" applyAlignment="1">
      <alignment horizontal="right"/>
    </xf>
    <xf numFmtId="165" fontId="5" fillId="0" borderId="118" xfId="0" applyNumberFormat="1" applyFont="1" applyBorder="1" applyAlignment="1">
      <alignment horizontal="right"/>
    </xf>
    <xf numFmtId="165" fontId="3" fillId="4" borderId="87" xfId="0" applyNumberFormat="1" applyFont="1" applyFill="1" applyBorder="1"/>
    <xf numFmtId="165" fontId="3" fillId="4" borderId="40" xfId="0" applyNumberFormat="1" applyFont="1" applyFill="1" applyBorder="1"/>
    <xf numFmtId="165" fontId="3" fillId="4" borderId="12" xfId="0" applyNumberFormat="1" applyFont="1" applyFill="1" applyBorder="1"/>
    <xf numFmtId="165" fontId="3" fillId="4" borderId="18" xfId="0" applyNumberFormat="1" applyFont="1" applyFill="1" applyBorder="1"/>
    <xf numFmtId="165" fontId="3" fillId="0" borderId="12" xfId="0" applyNumberFormat="1" applyFont="1" applyBorder="1"/>
    <xf numFmtId="165" fontId="3" fillId="0" borderId="18" xfId="0" applyNumberFormat="1" applyFont="1" applyBorder="1"/>
    <xf numFmtId="3" fontId="3" fillId="0" borderId="48" xfId="0" applyNumberFormat="1" applyFont="1" applyBorder="1" applyAlignment="1">
      <alignment horizontal="center"/>
    </xf>
    <xf numFmtId="165" fontId="3" fillId="0" borderId="19" xfId="0" applyNumberFormat="1" applyFont="1" applyBorder="1"/>
    <xf numFmtId="3" fontId="3" fillId="0" borderId="37" xfId="0" applyNumberFormat="1" applyFont="1" applyBorder="1" applyAlignment="1">
      <alignment horizontal="center"/>
    </xf>
    <xf numFmtId="3" fontId="3" fillId="0" borderId="60" xfId="0" applyNumberFormat="1" applyFont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165" fontId="3" fillId="0" borderId="15" xfId="0" applyNumberFormat="1" applyFont="1" applyBorder="1" applyAlignment="1">
      <alignment horizontal="left"/>
    </xf>
    <xf numFmtId="0" fontId="3" fillId="0" borderId="101" xfId="0" applyFont="1" applyBorder="1"/>
    <xf numFmtId="0" fontId="3" fillId="0" borderId="70" xfId="0" applyFont="1" applyBorder="1" applyAlignment="1">
      <alignment horizontal="center"/>
    </xf>
    <xf numFmtId="165" fontId="3" fillId="0" borderId="119" xfId="0" applyNumberFormat="1" applyFont="1" applyBorder="1" applyAlignment="1">
      <alignment horizontal="center"/>
    </xf>
    <xf numFmtId="165" fontId="3" fillId="0" borderId="71" xfId="0" applyNumberFormat="1" applyFont="1" applyBorder="1"/>
    <xf numFmtId="0" fontId="3" fillId="0" borderId="67" xfId="0" applyFont="1" applyBorder="1" applyAlignment="1">
      <alignment horizontal="center"/>
    </xf>
    <xf numFmtId="165" fontId="3" fillId="0" borderId="45" xfId="0" applyNumberFormat="1" applyFont="1" applyBorder="1" applyAlignment="1">
      <alignment horizontal="right"/>
    </xf>
    <xf numFmtId="165" fontId="3" fillId="0" borderId="64" xfId="0" applyNumberFormat="1" applyFont="1" applyBorder="1" applyAlignment="1">
      <alignment horizontal="center"/>
    </xf>
    <xf numFmtId="16" fontId="0" fillId="0" borderId="0" xfId="0" quotePrefix="1" applyNumberFormat="1" applyAlignment="1">
      <alignment horizontal="right"/>
    </xf>
    <xf numFmtId="0" fontId="0" fillId="0" borderId="0" xfId="0" quotePrefix="1" applyAlignment="1">
      <alignment horizontal="right"/>
    </xf>
    <xf numFmtId="3" fontId="0" fillId="0" borderId="34" xfId="0" applyNumberFormat="1" applyBorder="1" applyAlignment="1">
      <alignment horizontal="right"/>
    </xf>
    <xf numFmtId="9" fontId="0" fillId="0" borderId="20" xfId="0" applyNumberFormat="1" applyBorder="1"/>
    <xf numFmtId="165" fontId="0" fillId="0" borderId="41" xfId="0" applyNumberFormat="1" applyBorder="1"/>
    <xf numFmtId="165" fontId="0" fillId="0" borderId="102" xfId="0" applyNumberFormat="1" applyBorder="1"/>
    <xf numFmtId="165" fontId="0" fillId="4" borderId="12" xfId="0" applyNumberFormat="1" applyFill="1" applyBorder="1"/>
    <xf numFmtId="0" fontId="3" fillId="0" borderId="4" xfId="0" applyFont="1" applyBorder="1" applyAlignment="1">
      <alignment horizontal="left"/>
    </xf>
    <xf numFmtId="169" fontId="5" fillId="4" borderId="1" xfId="0" applyNumberFormat="1" applyFont="1" applyFill="1" applyBorder="1" applyAlignment="1">
      <alignment horizontal="center"/>
    </xf>
    <xf numFmtId="169" fontId="5" fillId="0" borderId="1" xfId="0" applyNumberFormat="1" applyFont="1" applyBorder="1" applyAlignment="1">
      <alignment horizontal="center"/>
    </xf>
    <xf numFmtId="169" fontId="5" fillId="4" borderId="14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3" fontId="5" fillId="4" borderId="14" xfId="0" applyNumberFormat="1" applyFont="1" applyFill="1" applyBorder="1" applyAlignment="1">
      <alignment horizontal="center"/>
    </xf>
    <xf numFmtId="0" fontId="3" fillId="0" borderId="120" xfId="0" applyFont="1" applyBorder="1"/>
    <xf numFmtId="0" fontId="3" fillId="0" borderId="120" xfId="0" applyFont="1" applyBorder="1" applyAlignment="1">
      <alignment horizontal="right"/>
    </xf>
    <xf numFmtId="0" fontId="3" fillId="0" borderId="74" xfId="0" applyFont="1" applyBorder="1"/>
    <xf numFmtId="0" fontId="3" fillId="0" borderId="121" xfId="0" applyFont="1" applyBorder="1"/>
    <xf numFmtId="0" fontId="3" fillId="0" borderId="28" xfId="0" applyFont="1" applyBorder="1"/>
    <xf numFmtId="3" fontId="0" fillId="0" borderId="27" xfId="0" applyNumberFormat="1" applyBorder="1" applyAlignment="1">
      <alignment horizontal="center"/>
    </xf>
    <xf numFmtId="0" fontId="3" fillId="0" borderId="117" xfId="0" applyFont="1" applyBorder="1"/>
    <xf numFmtId="0" fontId="3" fillId="4" borderId="5" xfId="0" applyFont="1" applyFill="1" applyBorder="1"/>
    <xf numFmtId="3" fontId="0" fillId="2" borderId="20" xfId="0" applyNumberFormat="1" applyFill="1" applyBorder="1" applyProtection="1">
      <protection locked="0"/>
    </xf>
    <xf numFmtId="3" fontId="0" fillId="0" borderId="20" xfId="0" applyNumberFormat="1" applyBorder="1"/>
    <xf numFmtId="0" fontId="0" fillId="0" borderId="114" xfId="0" applyBorder="1"/>
    <xf numFmtId="0" fontId="0" fillId="0" borderId="79" xfId="0" applyBorder="1"/>
    <xf numFmtId="0" fontId="0" fillId="0" borderId="10" xfId="0" applyBorder="1"/>
    <xf numFmtId="0" fontId="3" fillId="4" borderId="11" xfId="0" applyFont="1" applyFill="1" applyBorder="1"/>
    <xf numFmtId="3" fontId="5" fillId="4" borderId="11" xfId="0" applyNumberFormat="1" applyFont="1" applyFill="1" applyBorder="1" applyAlignment="1">
      <alignment horizontal="center"/>
    </xf>
    <xf numFmtId="0" fontId="4" fillId="0" borderId="7" xfId="0" applyFont="1" applyBorder="1"/>
    <xf numFmtId="0" fontId="3" fillId="0" borderId="18" xfId="0" applyFont="1" applyBorder="1"/>
    <xf numFmtId="3" fontId="5" fillId="0" borderId="11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3" fontId="5" fillId="2" borderId="11" xfId="0" applyNumberFormat="1" applyFont="1" applyFill="1" applyBorder="1" applyAlignment="1" applyProtection="1">
      <alignment horizontal="center"/>
      <protection locked="0"/>
    </xf>
    <xf numFmtId="42" fontId="5" fillId="2" borderId="11" xfId="0" applyNumberFormat="1" applyFont="1" applyFill="1" applyBorder="1" applyAlignment="1" applyProtection="1">
      <alignment horizontal="center"/>
      <protection locked="0"/>
    </xf>
    <xf numFmtId="165" fontId="5" fillId="0" borderId="1" xfId="0" applyNumberFormat="1" applyFont="1" applyBorder="1"/>
    <xf numFmtId="1" fontId="0" fillId="0" borderId="1" xfId="0" applyNumberFormat="1" applyBorder="1"/>
    <xf numFmtId="165" fontId="3" fillId="0" borderId="0" xfId="0" applyNumberFormat="1" applyFont="1" applyAlignment="1">
      <alignment horizontal="left"/>
    </xf>
    <xf numFmtId="0" fontId="5" fillId="2" borderId="13" xfId="0" applyFont="1" applyFill="1" applyBorder="1" applyProtection="1">
      <protection locked="0"/>
    </xf>
    <xf numFmtId="0" fontId="0" fillId="2" borderId="56" xfId="0" applyFill="1" applyBorder="1" applyAlignment="1">
      <alignment horizontal="center"/>
    </xf>
    <xf numFmtId="10" fontId="0" fillId="0" borderId="16" xfId="0" applyNumberFormat="1" applyBorder="1"/>
    <xf numFmtId="10" fontId="0" fillId="0" borderId="23" xfId="0" applyNumberFormat="1" applyBorder="1"/>
    <xf numFmtId="3" fontId="0" fillId="2" borderId="22" xfId="0" applyNumberFormat="1" applyFill="1" applyBorder="1" applyProtection="1">
      <protection locked="0"/>
    </xf>
    <xf numFmtId="0" fontId="3" fillId="0" borderId="4" xfId="0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165" fontId="0" fillId="0" borderId="17" xfId="0" applyNumberForma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3" fontId="0" fillId="4" borderId="15" xfId="0" applyNumberFormat="1" applyFill="1" applyBorder="1"/>
    <xf numFmtId="0" fontId="3" fillId="4" borderId="3" xfId="0" applyFont="1" applyFill="1" applyBorder="1" applyAlignment="1">
      <alignment horizontal="center"/>
    </xf>
    <xf numFmtId="0" fontId="3" fillId="4" borderId="83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0" borderId="8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42" xfId="0" applyBorder="1" applyAlignment="1">
      <alignment horizontal="center"/>
    </xf>
    <xf numFmtId="3" fontId="3" fillId="0" borderId="30" xfId="0" applyNumberFormat="1" applyFont="1" applyBorder="1"/>
    <xf numFmtId="3" fontId="3" fillId="4" borderId="30" xfId="0" applyNumberFormat="1" applyFont="1" applyFill="1" applyBorder="1"/>
    <xf numFmtId="0" fontId="0" fillId="0" borderId="122" xfId="0" applyBorder="1"/>
    <xf numFmtId="165" fontId="3" fillId="0" borderId="104" xfId="0" applyNumberFormat="1" applyFont="1" applyBorder="1"/>
    <xf numFmtId="3" fontId="5" fillId="0" borderId="122" xfId="0" applyNumberFormat="1" applyFont="1" applyBorder="1"/>
    <xf numFmtId="165" fontId="3" fillId="0" borderId="104" xfId="0" applyNumberFormat="1" applyFont="1" applyBorder="1" applyAlignment="1">
      <alignment horizontal="center"/>
    </xf>
    <xf numFmtId="165" fontId="3" fillId="4" borderId="77" xfId="0" applyNumberFormat="1" applyFont="1" applyFill="1" applyBorder="1"/>
    <xf numFmtId="3" fontId="5" fillId="0" borderId="32" xfId="0" applyNumberFormat="1" applyFont="1" applyBorder="1"/>
    <xf numFmtId="3" fontId="5" fillId="0" borderId="123" xfId="0" applyNumberFormat="1" applyFont="1" applyBorder="1"/>
    <xf numFmtId="165" fontId="3" fillId="0" borderId="77" xfId="0" applyNumberFormat="1" applyFont="1" applyBorder="1"/>
    <xf numFmtId="3" fontId="5" fillId="0" borderId="10" xfId="0" applyNumberFormat="1" applyFont="1" applyBorder="1"/>
    <xf numFmtId="3" fontId="5" fillId="4" borderId="32" xfId="0" applyNumberFormat="1" applyFont="1" applyFill="1" applyBorder="1"/>
    <xf numFmtId="3" fontId="5" fillId="4" borderId="123" xfId="0" applyNumberFormat="1" applyFont="1" applyFill="1" applyBorder="1"/>
    <xf numFmtId="3" fontId="5" fillId="4" borderId="10" xfId="0" applyNumberFormat="1" applyFont="1" applyFill="1" applyBorder="1"/>
    <xf numFmtId="0" fontId="0" fillId="0" borderId="70" xfId="0" applyBorder="1"/>
    <xf numFmtId="1" fontId="0" fillId="4" borderId="124" xfId="0" applyNumberFormat="1" applyFill="1" applyBorder="1" applyAlignment="1">
      <alignment horizontal="center"/>
    </xf>
    <xf numFmtId="165" fontId="0" fillId="0" borderId="94" xfId="0" applyNumberFormat="1" applyBorder="1" applyAlignment="1">
      <alignment horizontal="right"/>
    </xf>
    <xf numFmtId="1" fontId="0" fillId="0" borderId="15" xfId="0" applyNumberFormat="1" applyBorder="1"/>
    <xf numFmtId="0" fontId="0" fillId="0" borderId="115" xfId="0" applyBorder="1"/>
    <xf numFmtId="0" fontId="0" fillId="0" borderId="22" xfId="0" applyBorder="1"/>
    <xf numFmtId="0" fontId="3" fillId="0" borderId="31" xfId="0" applyFont="1" applyBorder="1" applyAlignment="1">
      <alignment horizontal="right"/>
    </xf>
    <xf numFmtId="165" fontId="0" fillId="0" borderId="14" xfId="0" applyNumberFormat="1" applyBorder="1"/>
    <xf numFmtId="0" fontId="0" fillId="2" borderId="58" xfId="0" applyFill="1" applyBorder="1" applyAlignment="1">
      <alignment horizontal="center"/>
    </xf>
    <xf numFmtId="0" fontId="3" fillId="0" borderId="49" xfId="0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3" fontId="5" fillId="2" borderId="18" xfId="0" applyNumberFormat="1" applyFont="1" applyFill="1" applyBorder="1" applyAlignment="1" applyProtection="1">
      <alignment horizontal="center"/>
      <protection locked="0"/>
    </xf>
    <xf numFmtId="165" fontId="3" fillId="0" borderId="125" xfId="0" applyNumberFormat="1" applyFont="1" applyBorder="1" applyAlignment="1">
      <alignment horizontal="right"/>
    </xf>
    <xf numFmtId="3" fontId="0" fillId="4" borderId="21" xfId="0" applyNumberFormat="1" applyFill="1" applyBorder="1"/>
    <xf numFmtId="165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/>
    <xf numFmtId="165" fontId="3" fillId="0" borderId="94" xfId="0" applyNumberFormat="1" applyFont="1" applyBorder="1" applyAlignment="1">
      <alignment horizontal="right"/>
    </xf>
    <xf numFmtId="1" fontId="3" fillId="0" borderId="15" xfId="0" applyNumberFormat="1" applyFont="1" applyBorder="1"/>
    <xf numFmtId="165" fontId="3" fillId="0" borderId="126" xfId="0" applyNumberFormat="1" applyFont="1" applyBorder="1"/>
    <xf numFmtId="1" fontId="3" fillId="0" borderId="126" xfId="0" applyNumberFormat="1" applyFont="1" applyBorder="1"/>
    <xf numFmtId="0" fontId="3" fillId="0" borderId="126" xfId="0" applyFont="1" applyBorder="1"/>
    <xf numFmtId="0" fontId="3" fillId="0" borderId="126" xfId="0" applyFont="1" applyBorder="1" applyAlignment="1">
      <alignment horizontal="center"/>
    </xf>
    <xf numFmtId="165" fontId="3" fillId="0" borderId="46" xfId="0" applyNumberFormat="1" applyFont="1" applyBorder="1" applyAlignment="1">
      <alignment horizontal="right"/>
    </xf>
    <xf numFmtId="165" fontId="0" fillId="0" borderId="77" xfId="0" applyNumberFormat="1" applyBorder="1"/>
    <xf numFmtId="165" fontId="0" fillId="0" borderId="13" xfId="0" applyNumberFormat="1" applyBorder="1"/>
    <xf numFmtId="165" fontId="0" fillId="0" borderId="12" xfId="0" applyNumberFormat="1" applyBorder="1"/>
    <xf numFmtId="165" fontId="0" fillId="0" borderId="50" xfId="0" applyNumberFormat="1" applyBorder="1"/>
    <xf numFmtId="3" fontId="0" fillId="0" borderId="4" xfId="0" applyNumberFormat="1" applyBorder="1"/>
    <xf numFmtId="3" fontId="0" fillId="0" borderId="77" xfId="0" applyNumberFormat="1" applyBorder="1"/>
    <xf numFmtId="0" fontId="1" fillId="0" borderId="44" xfId="0" applyFont="1" applyBorder="1"/>
    <xf numFmtId="0" fontId="1" fillId="0" borderId="46" xfId="0" applyFont="1" applyBorder="1"/>
    <xf numFmtId="0" fontId="1" fillId="0" borderId="42" xfId="0" applyFont="1" applyBorder="1"/>
    <xf numFmtId="0" fontId="1" fillId="0" borderId="104" xfId="0" applyFont="1" applyBorder="1"/>
    <xf numFmtId="0" fontId="3" fillId="0" borderId="105" xfId="0" applyFont="1" applyBorder="1"/>
    <xf numFmtId="0" fontId="0" fillId="0" borderId="3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65" fontId="0" fillId="3" borderId="13" xfId="0" applyNumberFormat="1" applyFill="1" applyBorder="1"/>
    <xf numFmtId="165" fontId="0" fillId="3" borderId="12" xfId="0" applyNumberFormat="1" applyFill="1" applyBorder="1"/>
    <xf numFmtId="165" fontId="0" fillId="0" borderId="29" xfId="0" applyNumberFormat="1" applyBorder="1"/>
    <xf numFmtId="3" fontId="0" fillId="0" borderId="38" xfId="0" applyNumberFormat="1" applyBorder="1"/>
    <xf numFmtId="3" fontId="0" fillId="0" borderId="35" xfId="0" applyNumberFormat="1" applyBorder="1"/>
    <xf numFmtId="3" fontId="0" fillId="0" borderId="48" xfId="0" applyNumberFormat="1" applyBorder="1"/>
    <xf numFmtId="165" fontId="0" fillId="3" borderId="4" xfId="0" applyNumberFormat="1" applyFill="1" applyBorder="1"/>
    <xf numFmtId="165" fontId="0" fillId="3" borderId="21" xfId="0" applyNumberFormat="1" applyFill="1" applyBorder="1"/>
    <xf numFmtId="165" fontId="0" fillId="0" borderId="15" xfId="0" quotePrefix="1" applyNumberFormat="1" applyBorder="1"/>
    <xf numFmtId="165" fontId="0" fillId="0" borderId="15" xfId="0" quotePrefix="1" applyNumberFormat="1" applyBorder="1" applyAlignment="1">
      <alignment horizontal="right"/>
    </xf>
    <xf numFmtId="1" fontId="0" fillId="0" borderId="15" xfId="0" quotePrefix="1" applyNumberFormat="1" applyBorder="1" applyAlignment="1">
      <alignment horizontal="center"/>
    </xf>
    <xf numFmtId="0" fontId="0" fillId="0" borderId="87" xfId="0" quotePrefix="1" applyBorder="1" applyAlignment="1">
      <alignment horizontal="center"/>
    </xf>
    <xf numFmtId="0" fontId="3" fillId="0" borderId="87" xfId="0" quotePrefix="1" applyFont="1" applyBorder="1" applyAlignment="1">
      <alignment horizontal="left"/>
    </xf>
    <xf numFmtId="165" fontId="0" fillId="0" borderId="24" xfId="0" quotePrefix="1" applyNumberFormat="1" applyBorder="1"/>
    <xf numFmtId="165" fontId="0" fillId="0" borderId="24" xfId="0" applyNumberFormat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3" fontId="0" fillId="0" borderId="98" xfId="0" applyNumberFormat="1" applyBorder="1"/>
    <xf numFmtId="3" fontId="0" fillId="0" borderId="28" xfId="0" applyNumberFormat="1" applyBorder="1"/>
    <xf numFmtId="165" fontId="0" fillId="0" borderId="98" xfId="0" applyNumberFormat="1" applyBorder="1"/>
    <xf numFmtId="0" fontId="0" fillId="0" borderId="98" xfId="0" applyBorder="1"/>
    <xf numFmtId="3" fontId="0" fillId="0" borderId="53" xfId="0" applyNumberFormat="1" applyBorder="1"/>
    <xf numFmtId="0" fontId="3" fillId="0" borderId="127" xfId="0" applyFont="1" applyBorder="1"/>
    <xf numFmtId="0" fontId="0" fillId="0" borderId="103" xfId="0" applyBorder="1"/>
    <xf numFmtId="3" fontId="0" fillId="0" borderId="10" xfId="0" applyNumberFormat="1" applyBorder="1" applyAlignment="1">
      <alignment horizontal="center"/>
    </xf>
    <xf numFmtId="0" fontId="0" fillId="0" borderId="29" xfId="0" applyBorder="1"/>
    <xf numFmtId="3" fontId="3" fillId="0" borderId="21" xfId="0" applyNumberFormat="1" applyFont="1" applyBorder="1" applyAlignment="1">
      <alignment horizontal="center"/>
    </xf>
    <xf numFmtId="3" fontId="3" fillId="0" borderId="41" xfId="0" applyNumberFormat="1" applyFont="1" applyBorder="1" applyAlignment="1">
      <alignment horizontal="center"/>
    </xf>
    <xf numFmtId="3" fontId="3" fillId="0" borderId="57" xfId="0" applyNumberFormat="1" applyFont="1" applyBorder="1" applyAlignment="1">
      <alignment horizontal="center"/>
    </xf>
    <xf numFmtId="3" fontId="3" fillId="0" borderId="73" xfId="0" applyNumberFormat="1" applyFont="1" applyBorder="1" applyAlignment="1">
      <alignment horizontal="center"/>
    </xf>
    <xf numFmtId="3" fontId="3" fillId="0" borderId="56" xfId="0" applyNumberFormat="1" applyFont="1" applyBorder="1" applyAlignment="1">
      <alignment horizontal="center"/>
    </xf>
    <xf numFmtId="0" fontId="4" fillId="0" borderId="128" xfId="0" applyFont="1" applyBorder="1"/>
    <xf numFmtId="0" fontId="0" fillId="0" borderId="129" xfId="0" applyBorder="1"/>
    <xf numFmtId="0" fontId="0" fillId="0" borderId="130" xfId="0" applyBorder="1"/>
    <xf numFmtId="3" fontId="3" fillId="4" borderId="21" xfId="0" applyNumberFormat="1" applyFont="1" applyFill="1" applyBorder="1" applyAlignment="1">
      <alignment horizontal="center"/>
    </xf>
    <xf numFmtId="3" fontId="3" fillId="4" borderId="12" xfId="0" applyNumberFormat="1" applyFont="1" applyFill="1" applyBorder="1" applyAlignment="1">
      <alignment horizontal="center"/>
    </xf>
    <xf numFmtId="3" fontId="3" fillId="4" borderId="71" xfId="0" applyNumberFormat="1" applyFont="1" applyFill="1" applyBorder="1" applyAlignment="1">
      <alignment horizontal="center"/>
    </xf>
    <xf numFmtId="3" fontId="3" fillId="4" borderId="73" xfId="0" applyNumberFormat="1" applyFont="1" applyFill="1" applyBorder="1" applyAlignment="1">
      <alignment horizontal="center"/>
    </xf>
    <xf numFmtId="3" fontId="3" fillId="4" borderId="57" xfId="0" applyNumberFormat="1" applyFont="1" applyFill="1" applyBorder="1" applyAlignment="1">
      <alignment horizontal="center"/>
    </xf>
    <xf numFmtId="3" fontId="3" fillId="4" borderId="58" xfId="0" applyNumberFormat="1" applyFont="1" applyFill="1" applyBorder="1" applyAlignment="1">
      <alignment horizontal="center"/>
    </xf>
    <xf numFmtId="0" fontId="0" fillId="0" borderId="72" xfId="0" applyBorder="1"/>
    <xf numFmtId="165" fontId="0" fillId="2" borderId="86" xfId="0" applyNumberFormat="1" applyFill="1" applyBorder="1" applyProtection="1">
      <protection locked="0"/>
    </xf>
    <xf numFmtId="0" fontId="5" fillId="2" borderId="86" xfId="0" applyFont="1" applyFill="1" applyBorder="1" applyProtection="1">
      <protection locked="0"/>
    </xf>
    <xf numFmtId="0" fontId="5" fillId="0" borderId="86" xfId="0" applyFont="1" applyBorder="1"/>
    <xf numFmtId="0" fontId="4" fillId="0" borderId="131" xfId="0" applyFont="1" applyBorder="1"/>
    <xf numFmtId="3" fontId="0" fillId="4" borderId="114" xfId="0" applyNumberFormat="1" applyFill="1" applyBorder="1" applyAlignment="1">
      <alignment horizontal="center"/>
    </xf>
    <xf numFmtId="5" fontId="3" fillId="4" borderId="30" xfId="0" applyNumberFormat="1" applyFont="1" applyFill="1" applyBorder="1" applyAlignment="1">
      <alignment horizontal="center"/>
    </xf>
    <xf numFmtId="5" fontId="3" fillId="4" borderId="15" xfId="0" applyNumberFormat="1" applyFont="1" applyFill="1" applyBorder="1" applyAlignment="1">
      <alignment horizontal="center"/>
    </xf>
    <xf numFmtId="5" fontId="3" fillId="4" borderId="17" xfId="0" applyNumberFormat="1" applyFont="1" applyFill="1" applyBorder="1" applyAlignment="1">
      <alignment horizontal="center"/>
    </xf>
    <xf numFmtId="165" fontId="3" fillId="4" borderId="30" xfId="0" applyNumberFormat="1" applyFont="1" applyFill="1" applyBorder="1" applyAlignment="1">
      <alignment horizontal="center"/>
    </xf>
    <xf numFmtId="165" fontId="3" fillId="4" borderId="17" xfId="0" applyNumberFormat="1" applyFont="1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1" fontId="0" fillId="4" borderId="18" xfId="0" applyNumberFormat="1" applyFill="1" applyBorder="1" applyAlignment="1">
      <alignment horizontal="center"/>
    </xf>
    <xf numFmtId="5" fontId="3" fillId="0" borderId="30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165" fontId="3" fillId="0" borderId="39" xfId="0" applyNumberFormat="1" applyFont="1" applyBorder="1" applyAlignment="1">
      <alignment horizontal="center"/>
    </xf>
    <xf numFmtId="165" fontId="3" fillId="4" borderId="39" xfId="0" applyNumberFormat="1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5" fontId="3" fillId="0" borderId="45" xfId="0" applyNumberFormat="1" applyFont="1" applyBorder="1" applyAlignment="1">
      <alignment horizontal="center"/>
    </xf>
    <xf numFmtId="165" fontId="3" fillId="4" borderId="69" xfId="0" applyNumberFormat="1" applyFont="1" applyFill="1" applyBorder="1" applyAlignment="1">
      <alignment horizontal="center"/>
    </xf>
    <xf numFmtId="3" fontId="0" fillId="0" borderId="82" xfId="0" applyNumberFormat="1" applyBorder="1" applyAlignment="1">
      <alignment horizontal="center"/>
    </xf>
    <xf numFmtId="165" fontId="0" fillId="0" borderId="45" xfId="0" quotePrefix="1" applyNumberFormat="1" applyBorder="1"/>
    <xf numFmtId="3" fontId="5" fillId="0" borderId="124" xfId="0" applyNumberFormat="1" applyFont="1" applyBorder="1" applyAlignment="1">
      <alignment horizontal="center"/>
    </xf>
    <xf numFmtId="165" fontId="8" fillId="0" borderId="30" xfId="0" applyNumberFormat="1" applyFont="1" applyBorder="1" applyAlignment="1">
      <alignment horizontal="center"/>
    </xf>
    <xf numFmtId="3" fontId="0" fillId="0" borderId="39" xfId="0" applyNumberFormat="1" applyBorder="1"/>
    <xf numFmtId="0" fontId="11" fillId="0" borderId="0" xfId="0" applyFont="1"/>
    <xf numFmtId="3" fontId="7" fillId="0" borderId="1" xfId="0" applyNumberFormat="1" applyFont="1" applyBorder="1"/>
    <xf numFmtId="165" fontId="7" fillId="0" borderId="1" xfId="0" applyNumberFormat="1" applyFont="1" applyBorder="1"/>
    <xf numFmtId="0" fontId="4" fillId="0" borderId="32" xfId="0" applyFont="1" applyBorder="1"/>
    <xf numFmtId="0" fontId="4" fillId="0" borderId="124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7" fillId="0" borderId="8" xfId="0" applyFont="1" applyBorder="1"/>
    <xf numFmtId="165" fontId="7" fillId="0" borderId="11" xfId="0" applyNumberFormat="1" applyFont="1" applyBorder="1"/>
    <xf numFmtId="0" fontId="7" fillId="0" borderId="39" xfId="0" applyFont="1" applyBorder="1"/>
    <xf numFmtId="3" fontId="7" fillId="0" borderId="15" xfId="0" applyNumberFormat="1" applyFont="1" applyBorder="1"/>
    <xf numFmtId="165" fontId="7" fillId="0" borderId="15" xfId="0" applyNumberFormat="1" applyFont="1" applyBorder="1"/>
    <xf numFmtId="165" fontId="7" fillId="0" borderId="17" xfId="0" applyNumberFormat="1" applyFont="1" applyBorder="1"/>
    <xf numFmtId="0" fontId="7" fillId="0" borderId="48" xfId="0" applyFont="1" applyBorder="1"/>
    <xf numFmtId="3" fontId="7" fillId="0" borderId="87" xfId="0" applyNumberFormat="1" applyFont="1" applyBorder="1"/>
    <xf numFmtId="165" fontId="7" fillId="0" borderId="87" xfId="0" applyNumberFormat="1" applyFont="1" applyBorder="1"/>
    <xf numFmtId="165" fontId="7" fillId="0" borderId="40" xfId="0" applyNumberFormat="1" applyFont="1" applyBorder="1"/>
    <xf numFmtId="169" fontId="5" fillId="0" borderId="14" xfId="0" applyNumberFormat="1" applyFont="1" applyBorder="1" applyAlignment="1">
      <alignment horizontal="center"/>
    </xf>
    <xf numFmtId="1" fontId="5" fillId="4" borderId="14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 applyProtection="1">
      <alignment horizontal="center"/>
      <protection locked="0"/>
    </xf>
    <xf numFmtId="3" fontId="5" fillId="0" borderId="11" xfId="0" applyNumberFormat="1" applyFont="1" applyBorder="1"/>
    <xf numFmtId="1" fontId="5" fillId="4" borderId="21" xfId="0" applyNumberFormat="1" applyFont="1" applyFill="1" applyBorder="1" applyAlignment="1">
      <alignment horizontal="center"/>
    </xf>
    <xf numFmtId="1" fontId="5" fillId="0" borderId="21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3" fontId="0" fillId="0" borderId="33" xfId="0" applyNumberFormat="1" applyBorder="1"/>
    <xf numFmtId="170" fontId="5" fillId="2" borderId="1" xfId="0" applyNumberFormat="1" applyFont="1" applyFill="1" applyBorder="1" applyAlignment="1" applyProtection="1">
      <alignment horizontal="center"/>
      <protection locked="0"/>
    </xf>
    <xf numFmtId="3" fontId="3" fillId="0" borderId="0" xfId="0" applyNumberFormat="1" applyFont="1"/>
    <xf numFmtId="165" fontId="3" fillId="0" borderId="24" xfId="0" applyNumberFormat="1" applyFont="1" applyBorder="1" applyAlignment="1">
      <alignment horizontal="center"/>
    </xf>
    <xf numFmtId="0" fontId="0" fillId="7" borderId="77" xfId="0" applyFill="1" applyBorder="1"/>
    <xf numFmtId="3" fontId="5" fillId="4" borderId="1" xfId="0" applyNumberFormat="1" applyFont="1" applyFill="1" applyBorder="1"/>
    <xf numFmtId="3" fontId="5" fillId="0" borderId="1" xfId="0" applyNumberFormat="1" applyFont="1" applyBorder="1"/>
    <xf numFmtId="3" fontId="5" fillId="0" borderId="12" xfId="0" applyNumberFormat="1" applyFont="1" applyBorder="1" applyAlignment="1">
      <alignment horizontal="center"/>
    </xf>
    <xf numFmtId="165" fontId="3" fillId="0" borderId="39" xfId="0" quotePrefix="1" applyNumberFormat="1" applyFont="1" applyBorder="1"/>
    <xf numFmtId="3" fontId="0" fillId="0" borderId="29" xfId="0" applyNumberFormat="1" applyBorder="1"/>
    <xf numFmtId="165" fontId="3" fillId="0" borderId="1" xfId="0" quotePrefix="1" applyNumberFormat="1" applyFont="1" applyBorder="1"/>
    <xf numFmtId="165" fontId="3" fillId="4" borderId="15" xfId="0" quotePrefix="1" applyNumberFormat="1" applyFont="1" applyFill="1" applyBorder="1"/>
    <xf numFmtId="3" fontId="0" fillId="4" borderId="1" xfId="0" quotePrefix="1" applyNumberFormat="1" applyFill="1" applyBorder="1"/>
    <xf numFmtId="3" fontId="0" fillId="0" borderId="1" xfId="0" quotePrefix="1" applyNumberFormat="1" applyBorder="1"/>
    <xf numFmtId="0" fontId="0" fillId="4" borderId="4" xfId="0" applyFill="1" applyBorder="1" applyAlignment="1">
      <alignment horizontal="right"/>
    </xf>
    <xf numFmtId="0" fontId="0" fillId="7" borderId="4" xfId="0" applyFill="1" applyBorder="1" applyAlignment="1">
      <alignment horizontal="right"/>
    </xf>
    <xf numFmtId="0" fontId="3" fillId="7" borderId="77" xfId="0" applyFont="1" applyFill="1" applyBorder="1" applyAlignment="1">
      <alignment horizontal="right"/>
    </xf>
    <xf numFmtId="0" fontId="3" fillId="7" borderId="4" xfId="0" applyFont="1" applyFill="1" applyBorder="1" applyAlignment="1">
      <alignment horizontal="left"/>
    </xf>
    <xf numFmtId="0" fontId="0" fillId="0" borderId="113" xfId="0" applyBorder="1"/>
    <xf numFmtId="0" fontId="4" fillId="0" borderId="93" xfId="0" applyFont="1" applyBorder="1" applyAlignment="1">
      <alignment horizontal="center"/>
    </xf>
    <xf numFmtId="0" fontId="3" fillId="0" borderId="132" xfId="0" applyFont="1" applyBorder="1" applyAlignment="1">
      <alignment horizontal="center"/>
    </xf>
    <xf numFmtId="3" fontId="0" fillId="0" borderId="133" xfId="0" applyNumberFormat="1" applyBorder="1" applyAlignment="1">
      <alignment horizontal="center"/>
    </xf>
    <xf numFmtId="3" fontId="3" fillId="0" borderId="133" xfId="0" applyNumberFormat="1" applyFont="1" applyBorder="1" applyAlignment="1">
      <alignment horizontal="center"/>
    </xf>
    <xf numFmtId="3" fontId="3" fillId="0" borderId="134" xfId="0" applyNumberFormat="1" applyFont="1" applyBorder="1" applyAlignment="1">
      <alignment horizontal="center"/>
    </xf>
    <xf numFmtId="0" fontId="0" fillId="0" borderId="135" xfId="0" applyBorder="1"/>
    <xf numFmtId="3" fontId="3" fillId="0" borderId="61" xfId="0" applyNumberFormat="1" applyFont="1" applyBorder="1" applyAlignment="1">
      <alignment horizontal="center"/>
    </xf>
    <xf numFmtId="3" fontId="0" fillId="0" borderId="136" xfId="0" applyNumberFormat="1" applyBorder="1" applyAlignment="1">
      <alignment horizontal="center"/>
    </xf>
    <xf numFmtId="0" fontId="0" fillId="0" borderId="137" xfId="0" applyBorder="1"/>
    <xf numFmtId="165" fontId="3" fillId="0" borderId="138" xfId="0" applyNumberFormat="1" applyFont="1" applyBorder="1"/>
    <xf numFmtId="165" fontId="3" fillId="0" borderId="62" xfId="0" applyNumberFormat="1" applyFont="1" applyBorder="1" applyAlignment="1">
      <alignment horizontal="center"/>
    </xf>
    <xf numFmtId="3" fontId="3" fillId="0" borderId="107" xfId="0" applyNumberFormat="1" applyFont="1" applyBorder="1" applyAlignment="1">
      <alignment horizontal="center"/>
    </xf>
    <xf numFmtId="165" fontId="3" fillId="0" borderId="65" xfId="0" applyNumberFormat="1" applyFont="1" applyBorder="1" applyAlignment="1">
      <alignment horizontal="center"/>
    </xf>
    <xf numFmtId="3" fontId="0" fillId="0" borderId="139" xfId="0" applyNumberFormat="1" applyBorder="1" applyAlignment="1">
      <alignment horizontal="center"/>
    </xf>
    <xf numFmtId="3" fontId="0" fillId="0" borderId="134" xfId="0" applyNumberFormat="1" applyBorder="1" applyAlignment="1">
      <alignment horizontal="center"/>
    </xf>
    <xf numFmtId="0" fontId="0" fillId="0" borderId="135" xfId="0" applyBorder="1" applyAlignment="1">
      <alignment horizontal="center"/>
    </xf>
    <xf numFmtId="3" fontId="3" fillId="0" borderId="138" xfId="0" applyNumberFormat="1" applyFont="1" applyBorder="1" applyAlignment="1">
      <alignment horizontal="center"/>
    </xf>
    <xf numFmtId="165" fontId="0" fillId="0" borderId="63" xfId="0" applyNumberFormat="1" applyBorder="1" applyAlignment="1">
      <alignment horizontal="center"/>
    </xf>
    <xf numFmtId="165" fontId="8" fillId="4" borderId="73" xfId="0" applyNumberFormat="1" applyFont="1" applyFill="1" applyBorder="1" applyAlignment="1">
      <alignment horizontal="center"/>
    </xf>
    <xf numFmtId="3" fontId="8" fillId="4" borderId="57" xfId="0" applyNumberFormat="1" applyFont="1" applyFill="1" applyBorder="1"/>
    <xf numFmtId="165" fontId="8" fillId="4" borderId="58" xfId="0" applyNumberFormat="1" applyFont="1" applyFill="1" applyBorder="1"/>
    <xf numFmtId="165" fontId="8" fillId="0" borderId="58" xfId="0" applyNumberFormat="1" applyFont="1" applyBorder="1"/>
    <xf numFmtId="165" fontId="8" fillId="0" borderId="64" xfId="0" applyNumberFormat="1" applyFont="1" applyBorder="1"/>
    <xf numFmtId="165" fontId="8" fillId="0" borderId="56" xfId="0" applyNumberFormat="1" applyFont="1" applyBorder="1"/>
    <xf numFmtId="165" fontId="8" fillId="0" borderId="57" xfId="0" applyNumberFormat="1" applyFont="1" applyBorder="1"/>
    <xf numFmtId="165" fontId="8" fillId="0" borderId="56" xfId="0" applyNumberFormat="1" applyFont="1" applyBorder="1" applyAlignment="1">
      <alignment horizontal="center"/>
    </xf>
    <xf numFmtId="3" fontId="8" fillId="0" borderId="57" xfId="0" applyNumberFormat="1" applyFont="1" applyBorder="1"/>
    <xf numFmtId="0" fontId="3" fillId="0" borderId="36" xfId="0" applyFont="1" applyBorder="1"/>
    <xf numFmtId="0" fontId="3" fillId="0" borderId="24" xfId="0" applyFont="1" applyBorder="1" applyAlignment="1">
      <alignment horizontal="right"/>
    </xf>
    <xf numFmtId="0" fontId="3" fillId="0" borderId="69" xfId="0" applyFont="1" applyBorder="1" applyAlignment="1">
      <alignment horizontal="right"/>
    </xf>
    <xf numFmtId="0" fontId="6" fillId="0" borderId="130" xfId="0" applyFont="1" applyBorder="1"/>
    <xf numFmtId="0" fontId="5" fillId="0" borderId="22" xfId="0" applyFont="1" applyBorder="1" applyAlignment="1">
      <alignment horizontal="right"/>
    </xf>
    <xf numFmtId="0" fontId="8" fillId="0" borderId="69" xfId="0" applyFont="1" applyBorder="1" applyAlignment="1">
      <alignment horizontal="right"/>
    </xf>
    <xf numFmtId="0" fontId="7" fillId="0" borderId="108" xfId="0" applyFont="1" applyBorder="1"/>
    <xf numFmtId="0" fontId="0" fillId="0" borderId="77" xfId="0" applyBorder="1" applyAlignment="1">
      <alignment horizontal="right"/>
    </xf>
    <xf numFmtId="0" fontId="0" fillId="0" borderId="2" xfId="0" applyBorder="1" applyAlignment="1">
      <alignment horizontal="right"/>
    </xf>
    <xf numFmtId="0" fontId="3" fillId="7" borderId="0" xfId="0" applyFont="1" applyFill="1"/>
    <xf numFmtId="0" fontId="3" fillId="7" borderId="3" xfId="0" applyFont="1" applyFill="1" applyBorder="1"/>
    <xf numFmtId="0" fontId="3" fillId="7" borderId="4" xfId="0" applyFont="1" applyFill="1" applyBorder="1"/>
    <xf numFmtId="3" fontId="3" fillId="0" borderId="2" xfId="0" applyNumberFormat="1" applyFont="1" applyBorder="1" applyAlignment="1">
      <alignment horizontal="right"/>
    </xf>
    <xf numFmtId="3" fontId="3" fillId="0" borderId="108" xfId="0" applyNumberFormat="1" applyFont="1" applyBorder="1"/>
    <xf numFmtId="0" fontId="3" fillId="0" borderId="16" xfId="0" applyFont="1" applyBorder="1" applyAlignment="1">
      <alignment horizontal="right"/>
    </xf>
    <xf numFmtId="0" fontId="3" fillId="0" borderId="100" xfId="0" applyFont="1" applyBorder="1" applyAlignment="1">
      <alignment horizontal="center" wrapText="1"/>
    </xf>
    <xf numFmtId="3" fontId="0" fillId="0" borderId="71" xfId="0" applyNumberFormat="1" applyBorder="1" applyAlignment="1">
      <alignment horizontal="right"/>
    </xf>
    <xf numFmtId="0" fontId="0" fillId="2" borderId="8" xfId="0" applyFill="1" applyBorder="1" applyAlignment="1">
      <alignment horizontal="center"/>
    </xf>
    <xf numFmtId="165" fontId="3" fillId="4" borderId="50" xfId="0" applyNumberFormat="1" applyFont="1" applyFill="1" applyBorder="1"/>
    <xf numFmtId="165" fontId="3" fillId="4" borderId="51" xfId="0" applyNumberFormat="1" applyFont="1" applyFill="1" applyBorder="1"/>
    <xf numFmtId="165" fontId="3" fillId="0" borderId="50" xfId="0" applyNumberFormat="1" applyFont="1" applyBorder="1"/>
    <xf numFmtId="165" fontId="3" fillId="0" borderId="51" xfId="0" applyNumberFormat="1" applyFont="1" applyBorder="1"/>
    <xf numFmtId="0" fontId="3" fillId="0" borderId="5" xfId="0" applyFont="1" applyBorder="1"/>
    <xf numFmtId="165" fontId="3" fillId="4" borderId="21" xfId="0" applyNumberFormat="1" applyFont="1" applyFill="1" applyBorder="1"/>
    <xf numFmtId="3" fontId="3" fillId="0" borderId="23" xfId="0" applyNumberFormat="1" applyFont="1" applyBorder="1" applyAlignment="1">
      <alignment horizontal="center"/>
    </xf>
    <xf numFmtId="165" fontId="3" fillId="0" borderId="63" xfId="0" applyNumberFormat="1" applyFont="1" applyBorder="1"/>
    <xf numFmtId="0" fontId="3" fillId="4" borderId="114" xfId="0" applyFont="1" applyFill="1" applyBorder="1"/>
    <xf numFmtId="0" fontId="0" fillId="2" borderId="58" xfId="0" applyFill="1" applyBorder="1" applyProtection="1">
      <protection locked="0"/>
    </xf>
    <xf numFmtId="0" fontId="3" fillId="0" borderId="79" xfId="0" applyFont="1" applyBorder="1" applyAlignment="1">
      <alignment horizontal="right"/>
    </xf>
    <xf numFmtId="165" fontId="0" fillId="0" borderId="87" xfId="0" applyNumberFormat="1" applyBorder="1" applyAlignment="1">
      <alignment horizontal="right"/>
    </xf>
    <xf numFmtId="165" fontId="0" fillId="4" borderId="87" xfId="0" applyNumberFormat="1" applyFill="1" applyBorder="1"/>
    <xf numFmtId="165" fontId="0" fillId="4" borderId="40" xfId="0" applyNumberFormat="1" applyFill="1" applyBorder="1"/>
    <xf numFmtId="165" fontId="0" fillId="0" borderId="96" xfId="0" applyNumberFormat="1" applyBorder="1" applyAlignment="1">
      <alignment horizontal="right"/>
    </xf>
    <xf numFmtId="165" fontId="0" fillId="0" borderId="22" xfId="0" applyNumberFormat="1" applyBorder="1"/>
    <xf numFmtId="165" fontId="0" fillId="0" borderId="19" xfId="0" applyNumberFormat="1" applyBorder="1" applyAlignment="1">
      <alignment horizontal="center"/>
    </xf>
    <xf numFmtId="165" fontId="0" fillId="0" borderId="140" xfId="0" quotePrefix="1" applyNumberFormat="1" applyBorder="1"/>
    <xf numFmtId="3" fontId="0" fillId="4" borderId="86" xfId="0" applyNumberFormat="1" applyFill="1" applyBorder="1"/>
    <xf numFmtId="3" fontId="0" fillId="0" borderId="86" xfId="0" applyNumberFormat="1" applyBorder="1"/>
    <xf numFmtId="0" fontId="0" fillId="0" borderId="124" xfId="0" applyBorder="1" applyAlignment="1">
      <alignment horizontal="center"/>
    </xf>
    <xf numFmtId="165" fontId="5" fillId="4" borderId="32" xfId="0" applyNumberFormat="1" applyFont="1" applyFill="1" applyBorder="1"/>
    <xf numFmtId="3" fontId="0" fillId="4" borderId="124" xfId="0" applyNumberFormat="1" applyFill="1" applyBorder="1"/>
    <xf numFmtId="165" fontId="0" fillId="4" borderId="33" xfId="0" applyNumberFormat="1" applyFill="1" applyBorder="1"/>
    <xf numFmtId="165" fontId="5" fillId="0" borderId="123" xfId="0" applyNumberFormat="1" applyFont="1" applyBorder="1"/>
    <xf numFmtId="3" fontId="0" fillId="0" borderId="124" xfId="0" applyNumberFormat="1" applyBorder="1"/>
    <xf numFmtId="165" fontId="0" fillId="0" borderId="33" xfId="0" applyNumberFormat="1" applyBorder="1"/>
    <xf numFmtId="165" fontId="5" fillId="4" borderId="123" xfId="0" applyNumberFormat="1" applyFont="1" applyFill="1" applyBorder="1"/>
    <xf numFmtId="3" fontId="0" fillId="0" borderId="141" xfId="0" applyNumberFormat="1" applyBorder="1" applyAlignment="1">
      <alignment horizontal="center"/>
    </xf>
    <xf numFmtId="0" fontId="0" fillId="0" borderId="139" xfId="0" applyBorder="1"/>
    <xf numFmtId="165" fontId="5" fillId="0" borderId="33" xfId="0" applyNumberFormat="1" applyFont="1" applyBorder="1"/>
    <xf numFmtId="0" fontId="3" fillId="0" borderId="124" xfId="0" applyFont="1" applyBorder="1" applyAlignment="1">
      <alignment horizontal="center"/>
    </xf>
    <xf numFmtId="0" fontId="3" fillId="4" borderId="124" xfId="0" applyFont="1" applyFill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0" fillId="0" borderId="66" xfId="0" applyBorder="1"/>
    <xf numFmtId="0" fontId="3" fillId="0" borderId="23" xfId="0" applyFont="1" applyBorder="1"/>
    <xf numFmtId="0" fontId="3" fillId="2" borderId="12" xfId="0" applyFont="1" applyFill="1" applyBorder="1"/>
    <xf numFmtId="0" fontId="3" fillId="0" borderId="20" xfId="0" applyFont="1" applyBorder="1"/>
    <xf numFmtId="1" fontId="3" fillId="0" borderId="12" xfId="0" applyNumberFormat="1" applyFont="1" applyBorder="1"/>
    <xf numFmtId="3" fontId="3" fillId="0" borderId="35" xfId="0" applyNumberFormat="1" applyFont="1" applyBorder="1" applyAlignment="1">
      <alignment horizontal="center"/>
    </xf>
    <xf numFmtId="0" fontId="0" fillId="0" borderId="30" xfId="0" applyBorder="1"/>
    <xf numFmtId="0" fontId="3" fillId="0" borderId="19" xfId="0" applyFont="1" applyBorder="1"/>
    <xf numFmtId="165" fontId="3" fillId="4" borderId="2" xfId="0" applyNumberFormat="1" applyFont="1" applyFill="1" applyBorder="1"/>
    <xf numFmtId="165" fontId="3" fillId="4" borderId="19" xfId="0" applyNumberFormat="1" applyFont="1" applyFill="1" applyBorder="1"/>
    <xf numFmtId="165" fontId="3" fillId="0" borderId="2" xfId="0" applyNumberFormat="1" applyFont="1" applyBorder="1"/>
    <xf numFmtId="3" fontId="5" fillId="0" borderId="102" xfId="0" applyNumberFormat="1" applyFont="1" applyBorder="1"/>
    <xf numFmtId="3" fontId="5" fillId="0" borderId="23" xfId="0" applyNumberFormat="1" applyFont="1" applyBorder="1" applyAlignment="1">
      <alignment horizontal="center"/>
    </xf>
    <xf numFmtId="3" fontId="0" fillId="0" borderId="123" xfId="0" applyNumberFormat="1" applyBorder="1"/>
    <xf numFmtId="0" fontId="0" fillId="0" borderId="32" xfId="0" applyBorder="1"/>
    <xf numFmtId="0" fontId="0" fillId="4" borderId="32" xfId="0" applyFill="1" applyBorder="1"/>
    <xf numFmtId="0" fontId="3" fillId="4" borderId="39" xfId="0" applyFont="1" applyFill="1" applyBorder="1"/>
    <xf numFmtId="0" fontId="0" fillId="4" borderId="39" xfId="0" applyFill="1" applyBorder="1"/>
    <xf numFmtId="165" fontId="3" fillId="4" borderId="82" xfId="0" applyNumberFormat="1" applyFont="1" applyFill="1" applyBorder="1"/>
    <xf numFmtId="3" fontId="5" fillId="4" borderId="21" xfId="0" applyNumberFormat="1" applyFont="1" applyFill="1" applyBorder="1"/>
    <xf numFmtId="0" fontId="0" fillId="4" borderId="32" xfId="0" applyFill="1" applyBorder="1" applyAlignment="1">
      <alignment horizontal="center"/>
    </xf>
    <xf numFmtId="3" fontId="5" fillId="0" borderId="21" xfId="0" applyNumberFormat="1" applyFont="1" applyBorder="1"/>
    <xf numFmtId="3" fontId="0" fillId="0" borderId="92" xfId="0" applyNumberFormat="1" applyBorder="1" applyAlignment="1">
      <alignment horizontal="center"/>
    </xf>
    <xf numFmtId="0" fontId="3" fillId="0" borderId="61" xfId="0" applyFont="1" applyBorder="1"/>
    <xf numFmtId="165" fontId="3" fillId="0" borderId="61" xfId="0" applyNumberFormat="1" applyFont="1" applyBorder="1"/>
    <xf numFmtId="0" fontId="0" fillId="0" borderId="61" xfId="0" applyBorder="1" applyAlignment="1">
      <alignment horizontal="center"/>
    </xf>
    <xf numFmtId="165" fontId="3" fillId="4" borderId="64" xfId="0" applyNumberFormat="1" applyFont="1" applyFill="1" applyBorder="1" applyAlignment="1">
      <alignment horizontal="center"/>
    </xf>
    <xf numFmtId="0" fontId="0" fillId="0" borderId="142" xfId="0" applyBorder="1"/>
    <xf numFmtId="0" fontId="4" fillId="0" borderId="61" xfId="0" applyFont="1" applyBorder="1" applyAlignment="1">
      <alignment horizontal="center"/>
    </xf>
    <xf numFmtId="3" fontId="3" fillId="0" borderId="117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right"/>
    </xf>
    <xf numFmtId="0" fontId="5" fillId="0" borderId="14" xfId="0" applyFont="1" applyBorder="1"/>
    <xf numFmtId="0" fontId="0" fillId="0" borderId="56" xfId="0" applyBorder="1"/>
    <xf numFmtId="0" fontId="0" fillId="0" borderId="58" xfId="0" applyBorder="1"/>
    <xf numFmtId="3" fontId="5" fillId="0" borderId="21" xfId="0" applyNumberFormat="1" applyFont="1" applyBorder="1" applyAlignment="1">
      <alignment horizontal="center"/>
    </xf>
    <xf numFmtId="165" fontId="3" fillId="0" borderId="16" xfId="0" quotePrefix="1" applyNumberFormat="1" applyFont="1" applyBorder="1" applyAlignment="1">
      <alignment horizontal="center"/>
    </xf>
    <xf numFmtId="0" fontId="0" fillId="4" borderId="77" xfId="0" applyFill="1" applyBorder="1"/>
    <xf numFmtId="165" fontId="0" fillId="3" borderId="98" xfId="0" applyNumberFormat="1" applyFill="1" applyBorder="1"/>
    <xf numFmtId="9" fontId="0" fillId="0" borderId="69" xfId="0" applyNumberFormat="1" applyBorder="1"/>
    <xf numFmtId="0" fontId="0" fillId="0" borderId="107" xfId="0" applyBorder="1"/>
    <xf numFmtId="165" fontId="0" fillId="0" borderId="62" xfId="0" quotePrefix="1" applyNumberFormat="1" applyBorder="1"/>
    <xf numFmtId="165" fontId="3" fillId="0" borderId="143" xfId="0" applyNumberFormat="1" applyFont="1" applyBorder="1" applyAlignment="1">
      <alignment horizontal="center"/>
    </xf>
    <xf numFmtId="165" fontId="3" fillId="0" borderId="92" xfId="0" quotePrefix="1" applyNumberFormat="1" applyFont="1" applyBorder="1" applyAlignment="1">
      <alignment horizontal="center"/>
    </xf>
    <xf numFmtId="3" fontId="0" fillId="0" borderId="61" xfId="0" applyNumberFormat="1" applyBorder="1" applyAlignment="1">
      <alignment horizontal="center"/>
    </xf>
    <xf numFmtId="0" fontId="0" fillId="0" borderId="144" xfId="0" applyBorder="1"/>
    <xf numFmtId="165" fontId="3" fillId="0" borderId="62" xfId="0" applyNumberFormat="1" applyFont="1" applyBorder="1" applyAlignment="1">
      <alignment horizontal="right"/>
    </xf>
    <xf numFmtId="165" fontId="8" fillId="4" borderId="56" xfId="0" applyNumberFormat="1" applyFont="1" applyFill="1" applyBorder="1" applyAlignment="1">
      <alignment horizontal="center"/>
    </xf>
    <xf numFmtId="165" fontId="8" fillId="0" borderId="59" xfId="0" applyNumberFormat="1" applyFont="1" applyBorder="1"/>
    <xf numFmtId="0" fontId="6" fillId="0" borderId="2" xfId="0" applyFont="1" applyBorder="1"/>
    <xf numFmtId="0" fontId="0" fillId="0" borderId="101" xfId="0" applyBorder="1"/>
    <xf numFmtId="0" fontId="4" fillId="0" borderId="108" xfId="0" applyFont="1" applyBorder="1"/>
    <xf numFmtId="0" fontId="5" fillId="7" borderId="0" xfId="0" applyFont="1" applyFill="1" applyAlignment="1">
      <alignment horizontal="right"/>
    </xf>
    <xf numFmtId="0" fontId="0" fillId="7" borderId="2" xfId="0" applyFill="1" applyBorder="1" applyAlignment="1">
      <alignment horizontal="right"/>
    </xf>
    <xf numFmtId="0" fontId="5" fillId="4" borderId="0" xfId="0" applyFont="1" applyFill="1" applyAlignment="1">
      <alignment horizontal="right"/>
    </xf>
    <xf numFmtId="0" fontId="5" fillId="7" borderId="3" xfId="0" applyFont="1" applyFill="1" applyBorder="1"/>
    <xf numFmtId="0" fontId="3" fillId="7" borderId="2" xfId="0" applyFont="1" applyFill="1" applyBorder="1" applyAlignment="1">
      <alignment horizontal="right"/>
    </xf>
    <xf numFmtId="0" fontId="5" fillId="0" borderId="3" xfId="0" applyFont="1" applyBorder="1"/>
    <xf numFmtId="0" fontId="0" fillId="7" borderId="77" xfId="0" applyFill="1" applyBorder="1" applyAlignment="1">
      <alignment horizontal="right"/>
    </xf>
    <xf numFmtId="0" fontId="5" fillId="7" borderId="31" xfId="0" applyFont="1" applyFill="1" applyBorder="1" applyAlignment="1">
      <alignment horizontal="right"/>
    </xf>
    <xf numFmtId="165" fontId="3" fillId="7" borderId="14" xfId="0" applyNumberFormat="1" applyFont="1" applyFill="1" applyBorder="1"/>
    <xf numFmtId="165" fontId="3" fillId="7" borderId="30" xfId="0" applyNumberFormat="1" applyFont="1" applyFill="1" applyBorder="1"/>
    <xf numFmtId="0" fontId="3" fillId="4" borderId="77" xfId="0" applyFont="1" applyFill="1" applyBorder="1" applyAlignment="1">
      <alignment horizontal="right"/>
    </xf>
    <xf numFmtId="0" fontId="0" fillId="8" borderId="4" xfId="0" applyFill="1" applyBorder="1" applyAlignment="1">
      <alignment horizontal="right"/>
    </xf>
    <xf numFmtId="0" fontId="3" fillId="8" borderId="77" xfId="0" applyFont="1" applyFill="1" applyBorder="1" applyAlignment="1">
      <alignment horizontal="right"/>
    </xf>
    <xf numFmtId="165" fontId="0" fillId="7" borderId="30" xfId="0" applyNumberFormat="1" applyFill="1" applyBorder="1"/>
    <xf numFmtId="0" fontId="6" fillId="0" borderId="2" xfId="0" applyFont="1" applyBorder="1" applyAlignment="1" applyProtection="1">
      <alignment horizontal="center"/>
      <protection locked="0"/>
    </xf>
    <xf numFmtId="165" fontId="3" fillId="0" borderId="27" xfId="0" applyNumberFormat="1" applyFont="1" applyBorder="1"/>
    <xf numFmtId="0" fontId="5" fillId="0" borderId="4" xfId="0" applyFont="1" applyBorder="1" applyAlignment="1">
      <alignment horizontal="right"/>
    </xf>
    <xf numFmtId="165" fontId="5" fillId="0" borderId="12" xfId="0" quotePrefix="1" applyNumberFormat="1" applyFont="1" applyBorder="1" applyAlignment="1">
      <alignment horizontal="right"/>
    </xf>
    <xf numFmtId="165" fontId="3" fillId="0" borderId="12" xfId="0" quotePrefix="1" applyNumberFormat="1" applyFont="1" applyBorder="1"/>
    <xf numFmtId="165" fontId="5" fillId="0" borderId="96" xfId="0" applyNumberFormat="1" applyFont="1" applyBorder="1" applyAlignment="1">
      <alignment horizontal="right"/>
    </xf>
    <xf numFmtId="3" fontId="3" fillId="0" borderId="102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165" fontId="3" fillId="0" borderId="90" xfId="0" applyNumberFormat="1" applyFont="1" applyBorder="1"/>
    <xf numFmtId="0" fontId="3" fillId="0" borderId="24" xfId="0" applyFont="1" applyBorder="1"/>
    <xf numFmtId="165" fontId="5" fillId="0" borderId="94" xfId="0" quotePrefix="1" applyNumberFormat="1" applyFont="1" applyBorder="1" applyAlignment="1">
      <alignment horizontal="right"/>
    </xf>
    <xf numFmtId="165" fontId="3" fillId="0" borderId="15" xfId="0" quotePrefix="1" applyNumberFormat="1" applyFont="1" applyBorder="1"/>
    <xf numFmtId="0" fontId="3" fillId="0" borderId="76" xfId="0" applyFont="1" applyBorder="1"/>
    <xf numFmtId="165" fontId="5" fillId="0" borderId="118" xfId="0" quotePrefix="1" applyNumberFormat="1" applyFont="1" applyBorder="1" applyAlignment="1">
      <alignment horizontal="right"/>
    </xf>
    <xf numFmtId="0" fontId="0" fillId="2" borderId="9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0" borderId="16" xfId="0" applyBorder="1" applyAlignment="1">
      <alignment horizontal="right"/>
    </xf>
    <xf numFmtId="16" fontId="0" fillId="0" borderId="16" xfId="0" applyNumberFormat="1" applyBorder="1" applyAlignment="1">
      <alignment horizontal="right"/>
    </xf>
    <xf numFmtId="0" fontId="3" fillId="0" borderId="67" xfId="0" applyFont="1" applyBorder="1" applyAlignment="1">
      <alignment horizontal="right"/>
    </xf>
    <xf numFmtId="1" fontId="3" fillId="0" borderId="10" xfId="0" applyNumberFormat="1" applyFont="1" applyBorder="1"/>
    <xf numFmtId="1" fontId="3" fillId="0" borderId="22" xfId="0" applyNumberFormat="1" applyFont="1" applyBorder="1"/>
    <xf numFmtId="1" fontId="3" fillId="0" borderId="24" xfId="0" applyNumberFormat="1" applyFont="1" applyBorder="1"/>
    <xf numFmtId="0" fontId="0" fillId="2" borderId="3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43" xfId="0" applyFill="1" applyBorder="1" applyProtection="1">
      <protection locked="0"/>
    </xf>
    <xf numFmtId="10" fontId="0" fillId="2" borderId="5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6" fontId="0" fillId="0" borderId="16" xfId="0" quotePrefix="1" applyNumberFormat="1" applyBorder="1" applyAlignment="1">
      <alignment horizontal="right"/>
    </xf>
    <xf numFmtId="0" fontId="0" fillId="0" borderId="16" xfId="0" quotePrefix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3" fillId="0" borderId="103" xfId="0" applyFont="1" applyBorder="1" applyAlignment="1">
      <alignment horizontal="center"/>
    </xf>
    <xf numFmtId="0" fontId="4" fillId="0" borderId="108" xfId="0" applyFont="1" applyBorder="1" applyAlignment="1">
      <alignment horizontal="center"/>
    </xf>
    <xf numFmtId="0" fontId="3" fillId="0" borderId="19" xfId="0" applyFont="1" applyBorder="1" applyAlignment="1">
      <alignment horizontal="center" wrapText="1"/>
    </xf>
    <xf numFmtId="165" fontId="3" fillId="4" borderId="31" xfId="0" applyNumberFormat="1" applyFont="1" applyFill="1" applyBorder="1" applyAlignment="1">
      <alignment horizontal="center"/>
    </xf>
    <xf numFmtId="165" fontId="3" fillId="4" borderId="32" xfId="0" applyNumberFormat="1" applyFont="1" applyFill="1" applyBorder="1"/>
    <xf numFmtId="165" fontId="3" fillId="4" borderId="124" xfId="0" applyNumberFormat="1" applyFont="1" applyFill="1" applyBorder="1"/>
    <xf numFmtId="165" fontId="3" fillId="4" borderId="33" xfId="0" applyNumberFormat="1" applyFont="1" applyFill="1" applyBorder="1"/>
    <xf numFmtId="165" fontId="3" fillId="0" borderId="123" xfId="0" applyNumberFormat="1" applyFont="1" applyBorder="1"/>
    <xf numFmtId="165" fontId="3" fillId="0" borderId="124" xfId="0" applyNumberFormat="1" applyFont="1" applyBorder="1"/>
    <xf numFmtId="165" fontId="3" fillId="0" borderId="33" xfId="0" applyNumberFormat="1" applyFont="1" applyBorder="1"/>
    <xf numFmtId="165" fontId="3" fillId="4" borderId="123" xfId="0" applyNumberFormat="1" applyFont="1" applyFill="1" applyBorder="1"/>
    <xf numFmtId="165" fontId="3" fillId="0" borderId="32" xfId="0" applyNumberFormat="1" applyFont="1" applyBorder="1"/>
    <xf numFmtId="3" fontId="3" fillId="0" borderId="10" xfId="0" applyNumberFormat="1" applyFont="1" applyBorder="1" applyAlignment="1">
      <alignment horizontal="center"/>
    </xf>
    <xf numFmtId="3" fontId="3" fillId="0" borderId="136" xfId="0" applyNumberFormat="1" applyFont="1" applyBorder="1" applyAlignment="1">
      <alignment horizontal="center"/>
    </xf>
    <xf numFmtId="3" fontId="5" fillId="4" borderId="86" xfId="0" quotePrefix="1" applyNumberFormat="1" applyFont="1" applyFill="1" applyBorder="1"/>
    <xf numFmtId="165" fontId="3" fillId="4" borderId="87" xfId="0" quotePrefix="1" applyNumberFormat="1" applyFont="1" applyFill="1" applyBorder="1"/>
    <xf numFmtId="3" fontId="5" fillId="4" borderId="1" xfId="0" quotePrefix="1" applyNumberFormat="1" applyFont="1" applyFill="1" applyBorder="1"/>
    <xf numFmtId="3" fontId="5" fillId="0" borderId="1" xfId="0" quotePrefix="1" applyNumberFormat="1" applyFont="1" applyBorder="1"/>
    <xf numFmtId="165" fontId="0" fillId="7" borderId="96" xfId="0" applyNumberFormat="1" applyFill="1" applyBorder="1" applyAlignment="1">
      <alignment horizontal="right"/>
    </xf>
    <xf numFmtId="165" fontId="5" fillId="7" borderId="94" xfId="0" quotePrefix="1" applyNumberFormat="1" applyFont="1" applyFill="1" applyBorder="1" applyAlignment="1">
      <alignment horizontal="right"/>
    </xf>
    <xf numFmtId="3" fontId="0" fillId="4" borderId="12" xfId="0" quotePrefix="1" applyNumberFormat="1" applyFill="1" applyBorder="1"/>
    <xf numFmtId="169" fontId="5" fillId="0" borderId="12" xfId="0" applyNumberFormat="1" applyFont="1" applyBorder="1" applyAlignment="1">
      <alignment horizontal="center"/>
    </xf>
    <xf numFmtId="3" fontId="0" fillId="0" borderId="12" xfId="0" quotePrefix="1" applyNumberFormat="1" applyBorder="1"/>
    <xf numFmtId="165" fontId="3" fillId="0" borderId="22" xfId="0" applyNumberFormat="1" applyFont="1" applyBorder="1" applyAlignment="1">
      <alignment horizontal="center"/>
    </xf>
    <xf numFmtId="165" fontId="3" fillId="0" borderId="65" xfId="0" quotePrefix="1" applyNumberFormat="1" applyFont="1" applyBorder="1"/>
    <xf numFmtId="3" fontId="0" fillId="4" borderId="33" xfId="0" applyNumberFormat="1" applyFill="1" applyBorder="1"/>
    <xf numFmtId="3" fontId="5" fillId="0" borderId="124" xfId="0" applyNumberFormat="1" applyFont="1" applyBorder="1"/>
    <xf numFmtId="165" fontId="3" fillId="4" borderId="5" xfId="0" applyNumberFormat="1" applyFont="1" applyFill="1" applyBorder="1" applyAlignment="1">
      <alignment horizontal="center"/>
    </xf>
    <xf numFmtId="165" fontId="3" fillId="0" borderId="21" xfId="0" applyNumberFormat="1" applyFont="1" applyBorder="1" applyAlignment="1">
      <alignment horizontal="center"/>
    </xf>
    <xf numFmtId="165" fontId="3" fillId="4" borderId="71" xfId="0" applyNumberFormat="1" applyFont="1" applyFill="1" applyBorder="1" applyAlignment="1">
      <alignment horizontal="center"/>
    </xf>
    <xf numFmtId="165" fontId="3" fillId="4" borderId="21" xfId="0" applyNumberFormat="1" applyFont="1" applyFill="1" applyBorder="1" applyAlignment="1">
      <alignment horizontal="center"/>
    </xf>
    <xf numFmtId="165" fontId="3" fillId="0" borderId="71" xfId="0" applyNumberFormat="1" applyFont="1" applyBorder="1" applyAlignment="1">
      <alignment horizontal="center"/>
    </xf>
    <xf numFmtId="165" fontId="3" fillId="2" borderId="12" xfId="0" applyNumberFormat="1" applyFont="1" applyFill="1" applyBorder="1"/>
    <xf numFmtId="0" fontId="3" fillId="2" borderId="1" xfId="0" applyFont="1" applyFill="1" applyBorder="1" applyProtection="1">
      <protection locked="0"/>
    </xf>
    <xf numFmtId="165" fontId="3" fillId="0" borderId="9" xfId="0" applyNumberFormat="1" applyFont="1" applyBorder="1"/>
    <xf numFmtId="165" fontId="0" fillId="4" borderId="94" xfId="0" applyNumberFormat="1" applyFill="1" applyBorder="1"/>
    <xf numFmtId="165" fontId="3" fillId="2" borderId="87" xfId="0" applyNumberFormat="1" applyFont="1" applyFill="1" applyBorder="1"/>
    <xf numFmtId="0" fontId="3" fillId="2" borderId="15" xfId="0" applyFont="1" applyFill="1" applyBorder="1" applyProtection="1">
      <protection locked="0"/>
    </xf>
    <xf numFmtId="1" fontId="0" fillId="0" borderId="33" xfId="0" applyNumberFormat="1" applyBorder="1" applyAlignment="1">
      <alignment horizontal="center"/>
    </xf>
    <xf numFmtId="165" fontId="3" fillId="0" borderId="73" xfId="0" quotePrefix="1" applyNumberFormat="1" applyFont="1" applyBorder="1" applyAlignment="1">
      <alignment horizontal="center"/>
    </xf>
    <xf numFmtId="0" fontId="0" fillId="0" borderId="33" xfId="0" applyBorder="1"/>
    <xf numFmtId="0" fontId="0" fillId="0" borderId="136" xfId="0" applyBorder="1" applyAlignment="1">
      <alignment horizontal="center"/>
    </xf>
    <xf numFmtId="165" fontId="0" fillId="0" borderId="32" xfId="0" applyNumberFormat="1" applyBorder="1"/>
    <xf numFmtId="165" fontId="3" fillId="0" borderId="5" xfId="0" applyNumberFormat="1" applyFont="1" applyBorder="1" applyAlignment="1">
      <alignment horizontal="center"/>
    </xf>
    <xf numFmtId="0" fontId="6" fillId="0" borderId="145" xfId="0" applyFont="1" applyBorder="1"/>
    <xf numFmtId="165" fontId="3" fillId="0" borderId="113" xfId="0" applyNumberFormat="1" applyFont="1" applyBorder="1"/>
    <xf numFmtId="3" fontId="0" fillId="0" borderId="102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89" xfId="0" applyNumberFormat="1" applyBorder="1"/>
    <xf numFmtId="165" fontId="3" fillId="9" borderId="57" xfId="0" applyNumberFormat="1" applyFont="1" applyFill="1" applyBorder="1" applyAlignment="1">
      <alignment horizontal="right"/>
    </xf>
    <xf numFmtId="0" fontId="12" fillId="10" borderId="148" xfId="1" applyAlignment="1" applyProtection="1">
      <alignment horizontal="center"/>
      <protection locked="0"/>
    </xf>
    <xf numFmtId="165" fontId="1" fillId="4" borderId="57" xfId="0" applyNumberFormat="1" applyFont="1" applyFill="1" applyBorder="1"/>
    <xf numFmtId="1" fontId="0" fillId="0" borderId="11" xfId="0" applyNumberFormat="1" applyBorder="1" applyAlignment="1">
      <alignment horizontal="right"/>
    </xf>
    <xf numFmtId="165" fontId="0" fillId="0" borderId="28" xfId="0" applyNumberFormat="1" applyBorder="1"/>
    <xf numFmtId="3" fontId="0" fillId="0" borderId="70" xfId="0" applyNumberFormat="1" applyBorder="1"/>
    <xf numFmtId="165" fontId="0" fillId="0" borderId="21" xfId="0" applyNumberFormat="1" applyBorder="1"/>
    <xf numFmtId="165" fontId="0" fillId="0" borderId="4" xfId="0" applyNumberFormat="1" applyBorder="1"/>
    <xf numFmtId="165" fontId="0" fillId="0" borderId="2" xfId="0" applyNumberFormat="1" applyBorder="1"/>
    <xf numFmtId="3" fontId="0" fillId="0" borderId="52" xfId="0" applyNumberFormat="1" applyBorder="1"/>
    <xf numFmtId="165" fontId="0" fillId="0" borderId="126" xfId="0" applyNumberFormat="1" applyBorder="1"/>
    <xf numFmtId="165" fontId="0" fillId="0" borderId="51" xfId="0" applyNumberFormat="1" applyBorder="1"/>
    <xf numFmtId="165" fontId="0" fillId="0" borderId="52" xfId="0" applyNumberFormat="1" applyBorder="1"/>
    <xf numFmtId="165" fontId="0" fillId="0" borderId="55" xfId="0" applyNumberFormat="1" applyBorder="1"/>
    <xf numFmtId="3" fontId="0" fillId="0" borderId="41" xfId="0" applyNumberFormat="1" applyBorder="1"/>
    <xf numFmtId="3" fontId="0" fillId="0" borderId="126" xfId="0" applyNumberFormat="1" applyBorder="1"/>
    <xf numFmtId="3" fontId="0" fillId="0" borderId="50" xfId="0" applyNumberFormat="1" applyBorder="1"/>
    <xf numFmtId="3" fontId="0" fillId="0" borderId="51" xfId="0" applyNumberFormat="1" applyBorder="1"/>
    <xf numFmtId="3" fontId="0" fillId="0" borderId="13" xfId="0" applyNumberFormat="1" applyBorder="1"/>
    <xf numFmtId="0" fontId="0" fillId="0" borderId="87" xfId="0" applyBorder="1"/>
    <xf numFmtId="3" fontId="0" fillId="0" borderId="87" xfId="0" applyNumberFormat="1" applyBorder="1"/>
    <xf numFmtId="165" fontId="5" fillId="0" borderId="40" xfId="0" applyNumberFormat="1" applyFont="1" applyBorder="1"/>
    <xf numFmtId="0" fontId="1" fillId="0" borderId="35" xfId="0" applyFont="1" applyBorder="1" applyAlignment="1">
      <alignment horizontal="right"/>
    </xf>
    <xf numFmtId="0" fontId="1" fillId="0" borderId="15" xfId="0" quotePrefix="1" applyFont="1" applyBorder="1" applyAlignment="1">
      <alignment horizontal="center"/>
    </xf>
    <xf numFmtId="0" fontId="1" fillId="0" borderId="87" xfId="0" quotePrefix="1" applyFont="1" applyBorder="1" applyAlignment="1">
      <alignment horizontal="center"/>
    </xf>
    <xf numFmtId="0" fontId="5" fillId="0" borderId="33" xfId="0" applyFont="1" applyBorder="1"/>
    <xf numFmtId="0" fontId="0" fillId="11" borderId="124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3" fillId="0" borderId="87" xfId="0" quotePrefix="1" applyFont="1" applyBorder="1" applyAlignment="1">
      <alignment horizontal="center"/>
    </xf>
    <xf numFmtId="0" fontId="3" fillId="0" borderId="98" xfId="0" applyFont="1" applyBorder="1"/>
    <xf numFmtId="0" fontId="1" fillId="12" borderId="35" xfId="0" applyFont="1" applyFill="1" applyBorder="1" applyAlignment="1">
      <alignment horizontal="right"/>
    </xf>
    <xf numFmtId="0" fontId="0" fillId="11" borderId="13" xfId="0" applyFill="1" applyBorder="1" applyAlignment="1">
      <alignment horizontal="center"/>
    </xf>
    <xf numFmtId="165" fontId="0" fillId="0" borderId="25" xfId="0" applyNumberFormat="1" applyBorder="1"/>
    <xf numFmtId="165" fontId="0" fillId="0" borderId="26" xfId="0" applyNumberFormat="1" applyBorder="1"/>
    <xf numFmtId="0" fontId="0" fillId="0" borderId="31" xfId="0" applyBorder="1" applyAlignment="1">
      <alignment horizontal="center" wrapText="1"/>
    </xf>
    <xf numFmtId="0" fontId="0" fillId="0" borderId="86" xfId="0" applyBorder="1" applyAlignment="1">
      <alignment horizontal="center" wrapText="1"/>
    </xf>
    <xf numFmtId="0" fontId="0" fillId="0" borderId="0" xfId="0" applyAlignment="1">
      <alignment horizontal="center" wrapText="1"/>
    </xf>
    <xf numFmtId="3" fontId="0" fillId="0" borderId="15" xfId="0" applyNumberFormat="1" applyBorder="1"/>
    <xf numFmtId="0" fontId="0" fillId="0" borderId="34" xfId="0" applyBorder="1" applyAlignment="1">
      <alignment horizontal="center" wrapText="1"/>
    </xf>
    <xf numFmtId="0" fontId="3" fillId="4" borderId="1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3" fillId="13" borderId="101" xfId="0" applyFont="1" applyFill="1" applyBorder="1"/>
    <xf numFmtId="0" fontId="13" fillId="13" borderId="25" xfId="0" applyFont="1" applyFill="1" applyBorder="1"/>
    <xf numFmtId="0" fontId="13" fillId="13" borderId="36" xfId="0" applyFont="1" applyFill="1" applyBorder="1"/>
    <xf numFmtId="0" fontId="3" fillId="13" borderId="8" xfId="0" applyFont="1" applyFill="1" applyBorder="1" applyAlignment="1">
      <alignment horizontal="center"/>
    </xf>
    <xf numFmtId="0" fontId="3" fillId="13" borderId="14" xfId="0" applyFont="1" applyFill="1" applyBorder="1" applyAlignment="1">
      <alignment horizontal="center"/>
    </xf>
    <xf numFmtId="0" fontId="3" fillId="13" borderId="22" xfId="0" applyFont="1" applyFill="1" applyBorder="1" applyAlignment="1">
      <alignment horizontal="center"/>
    </xf>
    <xf numFmtId="0" fontId="13" fillId="13" borderId="70" xfId="0" applyFont="1" applyFill="1" applyBorder="1"/>
    <xf numFmtId="0" fontId="13" fillId="13" borderId="28" xfId="0" applyFont="1" applyFill="1" applyBorder="1"/>
    <xf numFmtId="0" fontId="13" fillId="13" borderId="23" xfId="0" applyFont="1" applyFill="1" applyBorder="1"/>
    <xf numFmtId="0" fontId="1" fillId="4" borderId="14" xfId="0" applyFont="1" applyFill="1" applyBorder="1" applyAlignment="1">
      <alignment horizontal="center"/>
    </xf>
    <xf numFmtId="165" fontId="1" fillId="4" borderId="39" xfId="0" applyNumberFormat="1" applyFont="1" applyFill="1" applyBorder="1"/>
    <xf numFmtId="0" fontId="1" fillId="4" borderId="21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0" xfId="0" applyFont="1" applyFill="1"/>
    <xf numFmtId="165" fontId="3" fillId="0" borderId="21" xfId="0" applyNumberFormat="1" applyFont="1" applyBorder="1"/>
    <xf numFmtId="165" fontId="0" fillId="0" borderId="29" xfId="0" quotePrefix="1" applyNumberFormat="1" applyBorder="1"/>
    <xf numFmtId="165" fontId="0" fillId="0" borderId="4" xfId="0" quotePrefix="1" applyNumberFormat="1" applyBorder="1"/>
    <xf numFmtId="165" fontId="0" fillId="0" borderId="21" xfId="0" quotePrefix="1" applyNumberFormat="1" applyBorder="1"/>
    <xf numFmtId="0" fontId="1" fillId="0" borderId="14" xfId="0" applyFont="1" applyBorder="1" applyAlignment="1">
      <alignment horizontal="right"/>
    </xf>
    <xf numFmtId="3" fontId="0" fillId="3" borderId="48" xfId="0" applyNumberFormat="1" applyFill="1" applyBorder="1"/>
    <xf numFmtId="165" fontId="0" fillId="3" borderId="87" xfId="0" applyNumberFormat="1" applyFill="1" applyBorder="1"/>
    <xf numFmtId="165" fontId="0" fillId="3" borderId="77" xfId="0" applyNumberFormat="1" applyFill="1" applyBorder="1"/>
    <xf numFmtId="165" fontId="0" fillId="3" borderId="19" xfId="0" applyNumberFormat="1" applyFill="1" applyBorder="1"/>
    <xf numFmtId="3" fontId="0" fillId="3" borderId="13" xfId="0" applyNumberFormat="1" applyFill="1" applyBorder="1"/>
    <xf numFmtId="165" fontId="0" fillId="3" borderId="16" xfId="0" applyNumberFormat="1" applyFill="1" applyBorder="1"/>
    <xf numFmtId="0" fontId="0" fillId="0" borderId="39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3" fontId="0" fillId="3" borderId="12" xfId="0" applyNumberFormat="1" applyFill="1" applyBorder="1"/>
    <xf numFmtId="165" fontId="0" fillId="3" borderId="23" xfId="0" applyNumberFormat="1" applyFill="1" applyBorder="1"/>
    <xf numFmtId="0" fontId="3" fillId="0" borderId="104" xfId="0" applyFont="1" applyBorder="1"/>
    <xf numFmtId="3" fontId="0" fillId="3" borderId="15" xfId="0" applyNumberFormat="1" applyFill="1" applyBorder="1"/>
    <xf numFmtId="165" fontId="0" fillId="3" borderId="15" xfId="0" applyNumberFormat="1" applyFill="1" applyBorder="1"/>
    <xf numFmtId="165" fontId="0" fillId="3" borderId="30" xfId="0" applyNumberFormat="1" applyFill="1" applyBorder="1"/>
    <xf numFmtId="165" fontId="0" fillId="3" borderId="24" xfId="0" applyNumberFormat="1" applyFill="1" applyBorder="1"/>
    <xf numFmtId="3" fontId="0" fillId="3" borderId="4" xfId="0" applyNumberFormat="1" applyFill="1" applyBorder="1"/>
    <xf numFmtId="3" fontId="0" fillId="3" borderId="21" xfId="0" applyNumberFormat="1" applyFill="1" applyBorder="1"/>
    <xf numFmtId="3" fontId="0" fillId="3" borderId="30" xfId="0" applyNumberFormat="1" applyFill="1" applyBorder="1"/>
    <xf numFmtId="0" fontId="1" fillId="0" borderId="45" xfId="0" applyFont="1" applyBorder="1"/>
    <xf numFmtId="3" fontId="5" fillId="14" borderId="1" xfId="0" applyNumberFormat="1" applyFont="1" applyFill="1" applyBorder="1"/>
    <xf numFmtId="165" fontId="3" fillId="4" borderId="8" xfId="0" applyNumberFormat="1" applyFont="1" applyFill="1" applyBorder="1"/>
    <xf numFmtId="0" fontId="3" fillId="4" borderId="37" xfId="0" applyFont="1" applyFill="1" applyBorder="1" applyAlignment="1">
      <alignment horizontal="center"/>
    </xf>
    <xf numFmtId="165" fontId="0" fillId="4" borderId="48" xfId="0" applyNumberFormat="1" applyFill="1" applyBorder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8" xfId="0" applyFill="1" applyBorder="1" applyAlignment="1" applyProtection="1">
      <alignment horizontal="left"/>
      <protection locked="0"/>
    </xf>
    <xf numFmtId="0" fontId="0" fillId="2" borderId="23" xfId="0" applyFill="1" applyBorder="1" applyAlignment="1" applyProtection="1">
      <alignment horizontal="left"/>
      <protection locked="0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101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0" fillId="2" borderId="115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167" fontId="5" fillId="2" borderId="85" xfId="0" applyNumberFormat="1" applyFont="1" applyFill="1" applyBorder="1" applyAlignment="1" applyProtection="1">
      <alignment horizontal="center"/>
      <protection locked="0"/>
    </xf>
    <xf numFmtId="167" fontId="5" fillId="2" borderId="0" xfId="0" applyNumberFormat="1" applyFont="1" applyFill="1" applyAlignment="1" applyProtection="1">
      <alignment horizontal="center"/>
      <protection locked="0"/>
    </xf>
    <xf numFmtId="0" fontId="0" fillId="2" borderId="72" xfId="0" applyFill="1" applyBorder="1" applyAlignment="1" applyProtection="1">
      <alignment horizontal="left" vertical="top" wrapText="1"/>
      <protection locked="0"/>
    </xf>
    <xf numFmtId="0" fontId="0" fillId="2" borderId="117" xfId="0" applyFill="1" applyBorder="1" applyAlignment="1" applyProtection="1">
      <alignment horizontal="left" vertical="top" wrapText="1"/>
      <protection locked="0"/>
    </xf>
    <xf numFmtId="0" fontId="3" fillId="4" borderId="5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4" fillId="0" borderId="11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2" borderId="27" xfId="0" applyFill="1" applyBorder="1" applyAlignment="1" applyProtection="1">
      <alignment horizontal="left" vertical="top" wrapText="1"/>
      <protection locked="0"/>
    </xf>
    <xf numFmtId="0" fontId="0" fillId="2" borderId="22" xfId="0" applyFill="1" applyBorder="1" applyAlignment="1" applyProtection="1">
      <alignment horizontal="left" vertical="top" wrapText="1"/>
      <protection locked="0"/>
    </xf>
    <xf numFmtId="0" fontId="3" fillId="4" borderId="27" xfId="0" applyFont="1" applyFill="1" applyBorder="1" applyAlignment="1">
      <alignment horizontal="center"/>
    </xf>
    <xf numFmtId="0" fontId="0" fillId="2" borderId="69" xfId="0" applyFill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167" fontId="5" fillId="2" borderId="81" xfId="0" applyNumberFormat="1" applyFont="1" applyFill="1" applyBorder="1" applyAlignment="1" applyProtection="1">
      <alignment horizontal="center"/>
      <protection locked="0"/>
    </xf>
    <xf numFmtId="167" fontId="5" fillId="2" borderId="146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113" xfId="0" applyFont="1" applyBorder="1" applyAlignment="1">
      <alignment horizontal="center"/>
    </xf>
    <xf numFmtId="0" fontId="0" fillId="2" borderId="14" xfId="0" applyFill="1" applyBorder="1" applyAlignment="1" applyProtection="1">
      <alignment horizontal="left" vertical="top" wrapText="1"/>
      <protection locked="0"/>
    </xf>
    <xf numFmtId="167" fontId="1" fillId="2" borderId="85" xfId="0" applyNumberFormat="1" applyFont="1" applyFill="1" applyBorder="1" applyAlignment="1" applyProtection="1">
      <alignment horizontal="center"/>
      <protection locked="0"/>
    </xf>
    <xf numFmtId="0" fontId="5" fillId="2" borderId="72" xfId="0" applyFont="1" applyFill="1" applyBorder="1" applyAlignment="1" applyProtection="1">
      <alignment horizontal="left" vertical="top" wrapText="1"/>
      <protection locked="0"/>
    </xf>
    <xf numFmtId="167" fontId="5" fillId="2" borderId="88" xfId="0" applyNumberFormat="1" applyFont="1" applyFill="1" applyBorder="1" applyAlignment="1" applyProtection="1">
      <alignment horizontal="left"/>
      <protection locked="0"/>
    </xf>
    <xf numFmtId="167" fontId="5" fillId="2" borderId="113" xfId="0" applyNumberFormat="1" applyFont="1" applyFill="1" applyBorder="1" applyAlignment="1" applyProtection="1">
      <alignment horizontal="left"/>
      <protection locked="0"/>
    </xf>
    <xf numFmtId="167" fontId="5" fillId="2" borderId="147" xfId="0" applyNumberFormat="1" applyFont="1" applyFill="1" applyBorder="1" applyAlignment="1" applyProtection="1">
      <alignment horizontal="left"/>
      <protection locked="0"/>
    </xf>
    <xf numFmtId="0" fontId="4" fillId="0" borderId="4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4" xfId="0" applyBorder="1"/>
    <xf numFmtId="0" fontId="0" fillId="0" borderId="104" xfId="0" applyBorder="1"/>
    <xf numFmtId="0" fontId="1" fillId="0" borderId="70" xfId="0" applyFont="1" applyBorder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workbookViewId="0">
      <selection activeCell="C16" sqref="C16"/>
    </sheetView>
  </sheetViews>
  <sheetFormatPr defaultRowHeight="12.5" x14ac:dyDescent="0.25"/>
  <cols>
    <col min="1" max="1" width="27.7265625" bestFit="1" customWidth="1"/>
    <col min="2" max="2" width="9.26953125" customWidth="1"/>
    <col min="3" max="3" width="10.81640625" customWidth="1"/>
    <col min="4" max="4" width="9.453125" customWidth="1"/>
    <col min="5" max="5" width="26" customWidth="1"/>
  </cols>
  <sheetData>
    <row r="1" spans="1:5" ht="16" thickBot="1" x14ac:dyDescent="0.4">
      <c r="A1" s="2" t="s">
        <v>43</v>
      </c>
      <c r="E1" s="3"/>
    </row>
    <row r="2" spans="1:5" ht="52" x14ac:dyDescent="0.3">
      <c r="A2" s="11" t="s">
        <v>32</v>
      </c>
      <c r="B2" s="12" t="s">
        <v>34</v>
      </c>
      <c r="C2" s="12" t="s">
        <v>33</v>
      </c>
      <c r="D2" s="12" t="s">
        <v>35</v>
      </c>
      <c r="E2" s="16" t="s">
        <v>6</v>
      </c>
    </row>
    <row r="3" spans="1:5" x14ac:dyDescent="0.25">
      <c r="A3" s="13" t="s">
        <v>37</v>
      </c>
      <c r="B3" s="573">
        <v>12</v>
      </c>
      <c r="C3" s="14">
        <v>1.8998999999999999</v>
      </c>
      <c r="D3" s="15">
        <f t="shared" ref="D3:D8" si="0">B3*C3</f>
        <v>22.7988</v>
      </c>
      <c r="E3" s="17"/>
    </row>
    <row r="4" spans="1:5" x14ac:dyDescent="0.25">
      <c r="A4" s="13" t="s">
        <v>38</v>
      </c>
      <c r="B4" s="573">
        <v>13.2</v>
      </c>
      <c r="C4" s="14">
        <v>1.833</v>
      </c>
      <c r="D4" s="15">
        <f t="shared" si="0"/>
        <v>24.195599999999999</v>
      </c>
      <c r="E4" s="17"/>
    </row>
    <row r="5" spans="1:5" x14ac:dyDescent="0.25">
      <c r="A5" s="13" t="s">
        <v>39</v>
      </c>
      <c r="B5" s="573">
        <v>14.4</v>
      </c>
      <c r="C5" s="14">
        <v>1.7515000000000001</v>
      </c>
      <c r="D5" s="15">
        <f t="shared" si="0"/>
        <v>25.221600000000002</v>
      </c>
      <c r="E5" s="17"/>
    </row>
    <row r="6" spans="1:5" x14ac:dyDescent="0.25">
      <c r="A6" s="13" t="s">
        <v>40</v>
      </c>
      <c r="B6" s="573">
        <v>16.8</v>
      </c>
      <c r="C6" s="14">
        <v>1.641</v>
      </c>
      <c r="D6" s="15">
        <f t="shared" si="0"/>
        <v>27.568800000000003</v>
      </c>
      <c r="E6" s="17"/>
    </row>
    <row r="7" spans="1:5" x14ac:dyDescent="0.25">
      <c r="A7" s="13" t="s">
        <v>41</v>
      </c>
      <c r="B7" s="573">
        <v>20</v>
      </c>
      <c r="C7" s="14">
        <v>1.5654999999999999</v>
      </c>
      <c r="D7" s="15">
        <f t="shared" si="0"/>
        <v>31.31</v>
      </c>
      <c r="E7" s="17"/>
    </row>
    <row r="8" spans="1:5" x14ac:dyDescent="0.25">
      <c r="A8" s="13" t="s">
        <v>42</v>
      </c>
      <c r="B8" s="573">
        <v>26.4</v>
      </c>
      <c r="C8" s="14">
        <v>1.43279</v>
      </c>
      <c r="D8" s="572">
        <f t="shared" si="0"/>
        <v>37.825655999999995</v>
      </c>
      <c r="E8" s="17"/>
    </row>
    <row r="9" spans="1:5" ht="13" thickBot="1" x14ac:dyDescent="0.3">
      <c r="A9" s="124" t="s">
        <v>190</v>
      </c>
      <c r="B9" s="573">
        <v>25</v>
      </c>
      <c r="C9" s="569">
        <v>1</v>
      </c>
      <c r="D9" s="570">
        <f>B9*C9</f>
        <v>25</v>
      </c>
      <c r="E9" s="571"/>
    </row>
    <row r="10" spans="1:5" ht="13" thickBot="1" x14ac:dyDescent="0.3"/>
    <row r="11" spans="1:5" ht="15.5" thickTop="1" thickBot="1" x14ac:dyDescent="0.4">
      <c r="A11" s="1" t="s">
        <v>36</v>
      </c>
      <c r="B11" s="1074">
        <v>1993</v>
      </c>
    </row>
    <row r="12" spans="1:5" ht="13" thickTop="1" x14ac:dyDescent="0.25"/>
  </sheetData>
  <phoneticPr fontId="2" type="noConversion"/>
  <dataValidations count="1">
    <dataValidation type="list" allowBlank="1" showInputMessage="1" showErrorMessage="1" sqref="B11" xr:uid="{00000000-0002-0000-0000-000000000000}">
      <formula1>YearList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20"/>
  <sheetViews>
    <sheetView topLeftCell="E51" zoomScaleNormal="100" workbookViewId="0">
      <selection activeCell="P72" sqref="P72"/>
    </sheetView>
  </sheetViews>
  <sheetFormatPr defaultRowHeight="12.5" x14ac:dyDescent="0.25"/>
  <cols>
    <col min="1" max="1" width="1.1796875" customWidth="1"/>
    <col min="2" max="2" width="31.453125" customWidth="1"/>
    <col min="3" max="3" width="12.81640625" customWidth="1"/>
    <col min="4" max="4" width="10.26953125" bestFit="1" customWidth="1"/>
    <col min="5" max="5" width="11.26953125" customWidth="1"/>
    <col min="6" max="6" width="9.7265625" style="5" customWidth="1"/>
    <col min="7" max="7" width="9.7265625" bestFit="1" customWidth="1"/>
    <col min="8" max="8" width="9.81640625" bestFit="1" customWidth="1"/>
    <col min="9" max="9" width="13.26953125" customWidth="1"/>
    <col min="10" max="10" width="15" customWidth="1"/>
    <col min="11" max="11" width="14.453125" customWidth="1"/>
    <col min="12" max="12" width="14.26953125" bestFit="1" customWidth="1"/>
    <col min="13" max="13" width="15.54296875" customWidth="1"/>
    <col min="14" max="14" width="14.54296875" customWidth="1"/>
    <col min="15" max="15" width="14.453125" customWidth="1"/>
    <col min="16" max="16" width="15" customWidth="1"/>
    <col min="17" max="17" width="13.81640625" customWidth="1"/>
    <col min="18" max="18" width="14" customWidth="1"/>
    <col min="19" max="19" width="14.54296875" customWidth="1"/>
    <col min="20" max="20" width="14" customWidth="1"/>
    <col min="21" max="21" width="13.26953125" bestFit="1" customWidth="1"/>
  </cols>
  <sheetData>
    <row r="1" spans="1:21" ht="4.5" customHeight="1" thickBot="1" x14ac:dyDescent="0.3">
      <c r="B1" s="335"/>
      <c r="C1" s="335"/>
      <c r="D1" s="335"/>
      <c r="E1" s="335"/>
      <c r="F1" s="336"/>
      <c r="G1" s="335"/>
      <c r="H1" s="335"/>
      <c r="I1" s="335"/>
      <c r="J1" s="335"/>
      <c r="K1" s="335"/>
      <c r="L1" s="335"/>
      <c r="M1" s="335"/>
    </row>
    <row r="2" spans="1:21" ht="18.5" thickTop="1" x14ac:dyDescent="0.4">
      <c r="A2" s="510"/>
      <c r="B2" s="494" t="s">
        <v>0</v>
      </c>
      <c r="C2" s="491" t="s">
        <v>151</v>
      </c>
      <c r="E2" s="326" t="s">
        <v>31</v>
      </c>
      <c r="F2" s="1172">
        <v>43331</v>
      </c>
      <c r="G2" s="1173"/>
      <c r="J2" s="492" t="s">
        <v>5</v>
      </c>
      <c r="K2" s="493">
        <v>2023</v>
      </c>
      <c r="M2" s="490" t="s">
        <v>10</v>
      </c>
      <c r="N2" s="452">
        <f>K2+1</f>
        <v>2024</v>
      </c>
      <c r="O2" s="451"/>
      <c r="P2" s="453" t="s">
        <v>11</v>
      </c>
      <c r="Q2" s="452">
        <f>N2+1</f>
        <v>2025</v>
      </c>
      <c r="R2" s="454"/>
      <c r="S2" s="1165" t="s">
        <v>77</v>
      </c>
      <c r="T2" s="1166"/>
      <c r="U2" s="455" t="s">
        <v>79</v>
      </c>
    </row>
    <row r="3" spans="1:21" ht="15.5" x14ac:dyDescent="0.35">
      <c r="A3" s="510"/>
      <c r="C3" s="1"/>
      <c r="D3" s="25"/>
      <c r="E3" s="2"/>
      <c r="I3" s="326" t="s">
        <v>59</v>
      </c>
      <c r="J3" s="144"/>
      <c r="L3" s="145"/>
      <c r="O3" s="31"/>
      <c r="R3" s="31"/>
      <c r="S3" s="90" t="s">
        <v>71</v>
      </c>
      <c r="T3" s="91">
        <f>AVERAGE(J5,M5,P5)</f>
        <v>25</v>
      </c>
      <c r="U3" s="31"/>
    </row>
    <row r="4" spans="1:21" ht="13" x14ac:dyDescent="0.3">
      <c r="A4" s="510"/>
      <c r="I4" s="43">
        <v>0</v>
      </c>
      <c r="J4" s="326" t="s">
        <v>71</v>
      </c>
      <c r="K4" s="349" t="s">
        <v>72</v>
      </c>
      <c r="L4" s="17">
        <v>112</v>
      </c>
      <c r="M4" s="326" t="s">
        <v>71</v>
      </c>
      <c r="N4" s="349" t="s">
        <v>69</v>
      </c>
      <c r="O4" s="17">
        <v>112</v>
      </c>
      <c r="P4" s="326" t="s">
        <v>71</v>
      </c>
      <c r="Q4" s="349" t="s">
        <v>69</v>
      </c>
      <c r="R4" s="17">
        <v>112</v>
      </c>
      <c r="S4" s="90" t="s">
        <v>69</v>
      </c>
      <c r="T4" s="85">
        <f>AVERAGE(L4,O4,R4)</f>
        <v>112</v>
      </c>
      <c r="U4" s="31"/>
    </row>
    <row r="5" spans="1:21" ht="12.75" customHeight="1" thickBot="1" x14ac:dyDescent="0.35">
      <c r="A5" s="510"/>
      <c r="B5" s="495" t="s">
        <v>2</v>
      </c>
      <c r="C5" s="1174"/>
      <c r="D5" s="1175"/>
      <c r="E5" s="1175"/>
      <c r="F5" s="1175"/>
      <c r="G5" s="1175"/>
      <c r="H5" s="1175"/>
      <c r="I5" s="1175"/>
      <c r="J5" s="525">
        <v>25</v>
      </c>
      <c r="K5" s="287" t="s">
        <v>70</v>
      </c>
      <c r="L5" s="288">
        <f>L4*$I$4</f>
        <v>0</v>
      </c>
      <c r="M5" s="526">
        <v>25</v>
      </c>
      <c r="N5" s="287" t="s">
        <v>70</v>
      </c>
      <c r="O5" s="289">
        <f>O4*$I$4</f>
        <v>0</v>
      </c>
      <c r="P5" s="525">
        <v>25</v>
      </c>
      <c r="Q5" s="287" t="s">
        <v>70</v>
      </c>
      <c r="R5" s="288">
        <f>R4*$I$4</f>
        <v>0</v>
      </c>
      <c r="S5" s="191" t="s">
        <v>70</v>
      </c>
      <c r="T5" s="192">
        <f>AVERAGE(L5,O5,R5)</f>
        <v>0</v>
      </c>
      <c r="U5" s="31"/>
    </row>
    <row r="6" spans="1:21" ht="30" customHeight="1" thickTop="1" thickBot="1" x14ac:dyDescent="0.45">
      <c r="A6" s="510"/>
      <c r="B6" s="496" t="s">
        <v>73</v>
      </c>
      <c r="C6" s="3"/>
      <c r="D6" s="3"/>
      <c r="E6" s="3"/>
      <c r="F6" s="9"/>
      <c r="G6" s="3"/>
      <c r="H6" s="3"/>
      <c r="I6" s="3"/>
      <c r="J6" s="447"/>
      <c r="K6" s="3"/>
      <c r="L6" s="3"/>
      <c r="M6" s="447"/>
      <c r="N6" s="3"/>
      <c r="O6" s="3"/>
      <c r="P6" s="447"/>
      <c r="Q6" s="3"/>
      <c r="R6" s="3"/>
      <c r="S6" s="448" t="s">
        <v>17</v>
      </c>
      <c r="T6" s="449" t="s">
        <v>103</v>
      </c>
      <c r="U6" s="450"/>
    </row>
    <row r="7" spans="1:21" ht="15.5" x14ac:dyDescent="0.35">
      <c r="A7" s="510"/>
      <c r="B7" s="48" t="s">
        <v>3</v>
      </c>
      <c r="C7" s="193"/>
      <c r="D7" s="349" t="s">
        <v>54</v>
      </c>
      <c r="E7" s="24">
        <v>7</v>
      </c>
      <c r="F7" s="1" t="s">
        <v>6</v>
      </c>
      <c r="G7" s="1169"/>
      <c r="H7" s="1170"/>
      <c r="I7" s="1171"/>
      <c r="J7" s="72" t="s">
        <v>3</v>
      </c>
      <c r="K7" s="146"/>
      <c r="L7" s="62"/>
      <c r="M7" s="48" t="s">
        <v>3</v>
      </c>
      <c r="O7" s="31"/>
      <c r="P7" s="48" t="s">
        <v>3</v>
      </c>
      <c r="R7" s="31"/>
      <c r="S7" s="99"/>
      <c r="T7" s="92"/>
      <c r="U7" s="114"/>
    </row>
    <row r="8" spans="1:21" ht="13" x14ac:dyDescent="0.3">
      <c r="A8" s="510"/>
      <c r="B8" s="497" t="s">
        <v>44</v>
      </c>
      <c r="C8" s="4"/>
      <c r="D8" s="4"/>
      <c r="E8" s="4"/>
      <c r="F8" s="8"/>
      <c r="G8" s="4"/>
      <c r="H8" s="4"/>
      <c r="I8" s="40" t="s">
        <v>55</v>
      </c>
      <c r="J8" s="209" t="s">
        <v>55</v>
      </c>
      <c r="K8" s="1176" t="s">
        <v>57</v>
      </c>
      <c r="L8" s="1168"/>
      <c r="M8" s="50" t="s">
        <v>55</v>
      </c>
      <c r="N8" s="1177" t="s">
        <v>57</v>
      </c>
      <c r="O8" s="1178"/>
      <c r="P8" s="227" t="s">
        <v>55</v>
      </c>
      <c r="Q8" s="1167" t="s">
        <v>57</v>
      </c>
      <c r="R8" s="1168"/>
      <c r="S8" s="100"/>
      <c r="T8" s="118"/>
      <c r="U8" s="116"/>
    </row>
    <row r="9" spans="1:21" ht="13" x14ac:dyDescent="0.3">
      <c r="A9" s="510"/>
      <c r="B9" s="498" t="s">
        <v>53</v>
      </c>
      <c r="C9" s="20" t="s">
        <v>45</v>
      </c>
      <c r="D9" s="20" t="s">
        <v>46</v>
      </c>
      <c r="E9" s="20" t="s">
        <v>47</v>
      </c>
      <c r="F9" s="20" t="s">
        <v>48</v>
      </c>
      <c r="G9" s="20" t="s">
        <v>49</v>
      </c>
      <c r="H9" s="20" t="s">
        <v>50</v>
      </c>
      <c r="I9" s="40" t="s">
        <v>13</v>
      </c>
      <c r="J9" s="210" t="s">
        <v>56</v>
      </c>
      <c r="K9" s="211" t="s">
        <v>13</v>
      </c>
      <c r="L9" s="212" t="s">
        <v>68</v>
      </c>
      <c r="M9" s="66" t="s">
        <v>56</v>
      </c>
      <c r="N9" s="20" t="s">
        <v>13</v>
      </c>
      <c r="O9" s="32" t="s">
        <v>68</v>
      </c>
      <c r="P9" s="211" t="s">
        <v>56</v>
      </c>
      <c r="Q9" s="211" t="s">
        <v>13</v>
      </c>
      <c r="R9" s="212" t="s">
        <v>68</v>
      </c>
      <c r="S9" s="98"/>
      <c r="T9" s="44"/>
      <c r="U9" s="117"/>
    </row>
    <row r="10" spans="1:21" x14ac:dyDescent="0.25">
      <c r="A10" s="510"/>
      <c r="B10" s="499" t="s">
        <v>51</v>
      </c>
      <c r="C10" s="18">
        <v>0</v>
      </c>
      <c r="D10" s="18">
        <v>0</v>
      </c>
      <c r="E10" s="18">
        <v>0</v>
      </c>
      <c r="F10" s="18">
        <v>5</v>
      </c>
      <c r="G10" s="18">
        <v>5</v>
      </c>
      <c r="H10" s="18">
        <v>5</v>
      </c>
      <c r="I10" s="41">
        <f>SUM(C10:H10)</f>
        <v>15</v>
      </c>
      <c r="J10" s="213" t="s">
        <v>12</v>
      </c>
      <c r="K10" s="214">
        <f>I10*$J$5</f>
        <v>375</v>
      </c>
      <c r="L10" s="215">
        <f>K10/$E$7</f>
        <v>53.571428571428569</v>
      </c>
      <c r="M10" s="51" t="s">
        <v>12</v>
      </c>
      <c r="N10" s="351">
        <f>I10*$M$5</f>
        <v>375</v>
      </c>
      <c r="O10" s="57">
        <f>N10/$E$7</f>
        <v>53.571428571428569</v>
      </c>
      <c r="P10" s="213" t="s">
        <v>12</v>
      </c>
      <c r="Q10" s="352">
        <f>$I10*$M$5</f>
        <v>375</v>
      </c>
      <c r="R10" s="239">
        <f>Q10/$E$7</f>
        <v>53.571428571428569</v>
      </c>
      <c r="S10" s="96">
        <f>AVERAGE(L10,O10,R10)</f>
        <v>53.571428571428577</v>
      </c>
      <c r="T10" s="94" t="s">
        <v>12</v>
      </c>
      <c r="U10" s="94" t="s">
        <v>12</v>
      </c>
    </row>
    <row r="11" spans="1:21" s="1" customFormat="1" ht="13.5" thickBot="1" x14ac:dyDescent="0.35">
      <c r="A11" s="511"/>
      <c r="B11" s="327" t="s">
        <v>52</v>
      </c>
      <c r="C11" s="20">
        <f>ROUND(C10*Labor!$D$3,0)</f>
        <v>0</v>
      </c>
      <c r="D11" s="20">
        <f>ROUND(D10*Labor!$D$4,0)</f>
        <v>0</v>
      </c>
      <c r="E11" s="20">
        <f>ROUND(E10*Labor!$D$5,0)</f>
        <v>0</v>
      </c>
      <c r="F11" s="20">
        <f>ROUND(F10*Labor!$D$6,0)</f>
        <v>138</v>
      </c>
      <c r="G11" s="20">
        <f>ROUND(G10*Labor!$D$7,0)</f>
        <v>157</v>
      </c>
      <c r="H11" s="20">
        <f>ROUND(H10*Labor!$D$8,0)</f>
        <v>189</v>
      </c>
      <c r="I11" s="314">
        <f>SUM(C11:H11)</f>
        <v>484</v>
      </c>
      <c r="J11" s="284">
        <f>HLOOKUP(K$2,InflationTable,2)/HLOOKUP(Labor!$B$11,InflationTable,2)*$I11</f>
        <v>1035.3915570934255</v>
      </c>
      <c r="K11" s="315">
        <f>J11*$J$5</f>
        <v>25884.788927335638</v>
      </c>
      <c r="L11" s="316">
        <f>K11/$E$7</f>
        <v>3697.8269896193769</v>
      </c>
      <c r="M11" s="169">
        <f>HLOOKUP(N$2,InflationTable,2)/HLOOKUP(Labor!$B$11,InflationTable,2)*$I11</f>
        <v>1076.8072193771627</v>
      </c>
      <c r="N11" s="317">
        <f>M11*$J$5</f>
        <v>26920.180484429067</v>
      </c>
      <c r="O11" s="318">
        <f>N11/$E$7</f>
        <v>3845.7400692041524</v>
      </c>
      <c r="P11" s="284">
        <f>HLOOKUP(Q$2,InflationTable,2)/HLOOKUP(Labor!$B$11,InflationTable,2)*$I11</f>
        <v>1098.3433637647058</v>
      </c>
      <c r="Q11" s="315">
        <f>P11*$J$5</f>
        <v>27458.584094117647</v>
      </c>
      <c r="R11" s="316">
        <f>Q11/$E$7</f>
        <v>3922.6548705882351</v>
      </c>
      <c r="S11" s="312">
        <f>AVERAGE(L11,O11,R11)</f>
        <v>3822.0739764705881</v>
      </c>
      <c r="T11" s="313" t="s">
        <v>12</v>
      </c>
      <c r="U11" s="313" t="s">
        <v>12</v>
      </c>
    </row>
    <row r="12" spans="1:21" ht="13" x14ac:dyDescent="0.3">
      <c r="A12" s="510"/>
      <c r="B12" s="1" t="s">
        <v>7</v>
      </c>
      <c r="H12" s="6"/>
      <c r="I12" s="31"/>
      <c r="J12" s="216"/>
      <c r="K12" s="216"/>
      <c r="L12" s="217"/>
      <c r="O12" s="37"/>
      <c r="P12" s="330"/>
      <c r="Q12" s="330"/>
      <c r="R12" s="240"/>
      <c r="S12" s="97"/>
      <c r="T12" s="31"/>
      <c r="U12" s="31"/>
    </row>
    <row r="13" spans="1:21" x14ac:dyDescent="0.25">
      <c r="A13" s="510"/>
      <c r="B13" s="499" t="s">
        <v>51</v>
      </c>
      <c r="C13" s="18">
        <v>0</v>
      </c>
      <c r="D13" s="18">
        <v>6</v>
      </c>
      <c r="E13" s="18">
        <v>2</v>
      </c>
      <c r="F13" s="18">
        <v>2</v>
      </c>
      <c r="G13" s="18">
        <v>0</v>
      </c>
      <c r="H13" s="18">
        <v>0</v>
      </c>
      <c r="I13" s="41">
        <f>SUM(C13:H13)</f>
        <v>10</v>
      </c>
      <c r="J13" s="213" t="s">
        <v>12</v>
      </c>
      <c r="K13" s="214">
        <f>I13*$J$5</f>
        <v>250</v>
      </c>
      <c r="L13" s="215">
        <f>K13/$E$7</f>
        <v>35.714285714285715</v>
      </c>
      <c r="M13" s="51" t="s">
        <v>12</v>
      </c>
      <c r="N13" s="10">
        <f>I13*$M$5</f>
        <v>250</v>
      </c>
      <c r="O13" s="52">
        <f>N13/$E$7</f>
        <v>35.714285714285715</v>
      </c>
      <c r="P13" s="213" t="s">
        <v>12</v>
      </c>
      <c r="Q13" s="241">
        <f>$I13*$P$5</f>
        <v>250</v>
      </c>
      <c r="R13" s="232">
        <f>Q13/$E$7</f>
        <v>35.714285714285715</v>
      </c>
      <c r="S13" s="96">
        <f>AVERAGE(L13,O13,R13)</f>
        <v>35.714285714285715</v>
      </c>
      <c r="T13" s="94" t="s">
        <v>12</v>
      </c>
      <c r="U13" s="94" t="s">
        <v>12</v>
      </c>
    </row>
    <row r="14" spans="1:21" s="1" customFormat="1" ht="13.5" thickBot="1" x14ac:dyDescent="0.35">
      <c r="A14" s="511"/>
      <c r="B14" s="500" t="s">
        <v>52</v>
      </c>
      <c r="C14" s="310">
        <f>ROUND(C13*Labor!$D$3,0)</f>
        <v>0</v>
      </c>
      <c r="D14" s="310">
        <f>ROUND(D13*Labor!$D$4,0)</f>
        <v>145</v>
      </c>
      <c r="E14" s="310">
        <f>ROUND(E13*Labor!$D$5,0)</f>
        <v>50</v>
      </c>
      <c r="F14" s="310">
        <f>ROUND(F13*Labor!$D$6,0)</f>
        <v>55</v>
      </c>
      <c r="G14" s="310">
        <f>ROUND(G13*Labor!$D$7,0)</f>
        <v>0</v>
      </c>
      <c r="H14" s="310">
        <f>ROUND(H13*Labor!$D$8,0)</f>
        <v>0</v>
      </c>
      <c r="I14" s="311">
        <f>SUM(C14:H14)</f>
        <v>250</v>
      </c>
      <c r="J14" s="284">
        <f>HLOOKUP(K$2,InflationTable,2)/HLOOKUP(Labor!$B$11,InflationTable,2)*$I14</f>
        <v>534.80968858131484</v>
      </c>
      <c r="K14" s="245">
        <f>J14*$J$5</f>
        <v>13370.242214532871</v>
      </c>
      <c r="L14" s="246">
        <f>K14/$E$7</f>
        <v>1910.0346020761244</v>
      </c>
      <c r="M14" s="169">
        <f>HLOOKUP(N$2,InflationTable,2)/HLOOKUP(Labor!$B$11,InflationTable,2)*$I14</f>
        <v>556.2020761245675</v>
      </c>
      <c r="N14" s="166">
        <f>M14*$J$5</f>
        <v>13905.051903114187</v>
      </c>
      <c r="O14" s="167">
        <f>N14/$E$7</f>
        <v>1986.4359861591695</v>
      </c>
      <c r="P14" s="284">
        <f>HLOOKUP(Q$2,InflationTable,2)/HLOOKUP(Labor!$B$11,InflationTable,2)*$I14</f>
        <v>567.32611764705871</v>
      </c>
      <c r="Q14" s="245">
        <f>P14*$J$5</f>
        <v>14183.152941176468</v>
      </c>
      <c r="R14" s="246">
        <f>Q14/$E$7</f>
        <v>2026.1647058823526</v>
      </c>
      <c r="S14" s="169">
        <f>AVERAGE(L14,O14,R14)</f>
        <v>1974.2117647058822</v>
      </c>
      <c r="T14" s="174" t="s">
        <v>12</v>
      </c>
      <c r="U14" s="174" t="s">
        <v>12</v>
      </c>
    </row>
    <row r="15" spans="1:21" ht="13" x14ac:dyDescent="0.3">
      <c r="A15" s="510"/>
      <c r="B15" s="501" t="s">
        <v>66</v>
      </c>
      <c r="C15" s="28">
        <f t="shared" ref="C15:I16" si="0">C10+C13</f>
        <v>0</v>
      </c>
      <c r="D15" s="28">
        <f t="shared" si="0"/>
        <v>6</v>
      </c>
      <c r="E15" s="28">
        <f t="shared" si="0"/>
        <v>2</v>
      </c>
      <c r="F15" s="28">
        <f t="shared" si="0"/>
        <v>7</v>
      </c>
      <c r="G15" s="28">
        <f t="shared" si="0"/>
        <v>5</v>
      </c>
      <c r="H15" s="28">
        <f t="shared" si="0"/>
        <v>5</v>
      </c>
      <c r="I15" s="42">
        <f t="shared" si="0"/>
        <v>25</v>
      </c>
      <c r="J15" s="221" t="s">
        <v>12</v>
      </c>
      <c r="K15" s="222">
        <f>K10+K13</f>
        <v>625</v>
      </c>
      <c r="L15" s="223">
        <f>L10+L13</f>
        <v>89.285714285714278</v>
      </c>
      <c r="M15" s="53" t="s">
        <v>12</v>
      </c>
      <c r="N15">
        <f>I15*$M$5</f>
        <v>625</v>
      </c>
      <c r="O15" s="54">
        <f>N15/$E$7</f>
        <v>89.285714285714292</v>
      </c>
      <c r="P15" s="242" t="s">
        <v>12</v>
      </c>
      <c r="Q15" s="352">
        <f>$I15*$P$5</f>
        <v>625</v>
      </c>
      <c r="R15" s="243">
        <f>Q15/$E$7</f>
        <v>89.285714285714292</v>
      </c>
      <c r="S15" s="104">
        <f>AVERAGE(L15,O15,R15)</f>
        <v>89.285714285714278</v>
      </c>
      <c r="T15" s="42" t="s">
        <v>12</v>
      </c>
      <c r="U15" s="42" t="s">
        <v>12</v>
      </c>
    </row>
    <row r="16" spans="1:21" ht="13.5" thickBot="1" x14ac:dyDescent="0.35">
      <c r="A16" s="510"/>
      <c r="B16" s="502" t="s">
        <v>67</v>
      </c>
      <c r="C16" s="194">
        <f t="shared" si="0"/>
        <v>0</v>
      </c>
      <c r="D16" s="194">
        <f t="shared" si="0"/>
        <v>145</v>
      </c>
      <c r="E16" s="194">
        <f t="shared" si="0"/>
        <v>50</v>
      </c>
      <c r="F16" s="194">
        <f t="shared" si="0"/>
        <v>193</v>
      </c>
      <c r="G16" s="194">
        <f t="shared" si="0"/>
        <v>157</v>
      </c>
      <c r="H16" s="194">
        <f t="shared" si="0"/>
        <v>189</v>
      </c>
      <c r="I16" s="195">
        <f t="shared" si="0"/>
        <v>734</v>
      </c>
      <c r="J16" s="224">
        <f>J11+J14</f>
        <v>1570.2012456747402</v>
      </c>
      <c r="K16" s="225">
        <f>K11+K14</f>
        <v>39255.031141868509</v>
      </c>
      <c r="L16" s="226">
        <f>L11+L14</f>
        <v>5607.8615916955014</v>
      </c>
      <c r="M16" s="196">
        <f>M11+M14</f>
        <v>1633.0092955017303</v>
      </c>
      <c r="N16" s="194">
        <f>N11+N14</f>
        <v>40825.232387543256</v>
      </c>
      <c r="O16" s="197">
        <f>O11+O14</f>
        <v>5832.1760553633221</v>
      </c>
      <c r="P16" s="244">
        <f>P11+P14</f>
        <v>1665.6694814117645</v>
      </c>
      <c r="Q16" s="245">
        <f>P16*$P$5</f>
        <v>41641.737035294114</v>
      </c>
      <c r="R16" s="246">
        <f>Q16/$E$7</f>
        <v>5948.8195764705879</v>
      </c>
      <c r="S16" s="169">
        <f>AVERAGE(L16,O16,R16)</f>
        <v>5796.2857411764708</v>
      </c>
      <c r="T16" s="174" t="s">
        <v>12</v>
      </c>
      <c r="U16" s="174" t="s">
        <v>12</v>
      </c>
    </row>
    <row r="17" spans="1:21" ht="13.5" thickTop="1" thickBot="1" x14ac:dyDescent="0.3">
      <c r="A17" s="510"/>
      <c r="B17" s="512"/>
      <c r="C17" s="513"/>
      <c r="D17" s="513"/>
      <c r="E17" s="513"/>
      <c r="F17" s="513"/>
      <c r="G17" s="513"/>
      <c r="H17" s="513"/>
      <c r="I17" s="513"/>
      <c r="J17" s="513"/>
      <c r="K17" s="513"/>
      <c r="L17" s="513"/>
      <c r="M17" s="513"/>
      <c r="N17" s="335"/>
      <c r="O17" s="335"/>
      <c r="P17" s="335"/>
      <c r="Q17" s="335"/>
      <c r="R17" s="335"/>
      <c r="S17" s="335"/>
      <c r="T17" s="335"/>
      <c r="U17" s="190"/>
    </row>
    <row r="18" spans="1:21" ht="16" thickTop="1" x14ac:dyDescent="0.35">
      <c r="A18" s="510"/>
      <c r="B18" s="2" t="s">
        <v>16</v>
      </c>
      <c r="C18" s="61"/>
      <c r="D18" s="349" t="s">
        <v>54</v>
      </c>
      <c r="E18" s="59">
        <v>7</v>
      </c>
      <c r="F18" s="1" t="s">
        <v>6</v>
      </c>
      <c r="G18" s="1160"/>
      <c r="H18" s="1161"/>
      <c r="I18" s="1162"/>
      <c r="J18" s="2" t="s">
        <v>16</v>
      </c>
      <c r="L18" s="62"/>
      <c r="M18" s="2" t="s">
        <v>16</v>
      </c>
      <c r="O18" s="31"/>
      <c r="P18" s="2" t="s">
        <v>16</v>
      </c>
      <c r="R18" s="62"/>
      <c r="S18" s="97"/>
      <c r="T18" s="31"/>
      <c r="U18" s="111"/>
    </row>
    <row r="19" spans="1:21" ht="13" x14ac:dyDescent="0.3">
      <c r="A19" s="510"/>
      <c r="C19" s="86" t="s">
        <v>60</v>
      </c>
      <c r="D19" s="20" t="s">
        <v>62</v>
      </c>
      <c r="F19"/>
      <c r="H19" s="4"/>
      <c r="I19" s="37"/>
      <c r="J19" s="227" t="s">
        <v>61</v>
      </c>
      <c r="K19" s="1167" t="s">
        <v>57</v>
      </c>
      <c r="L19" s="1168"/>
      <c r="M19" s="50" t="s">
        <v>61</v>
      </c>
      <c r="N19" s="1177" t="s">
        <v>57</v>
      </c>
      <c r="O19" s="1178"/>
      <c r="P19" s="212" t="s">
        <v>61</v>
      </c>
      <c r="Q19" s="1167" t="s">
        <v>57</v>
      </c>
      <c r="R19" s="1168"/>
      <c r="S19" s="106"/>
      <c r="T19" s="31"/>
      <c r="U19" s="111"/>
    </row>
    <row r="20" spans="1:21" ht="13" x14ac:dyDescent="0.3">
      <c r="A20" s="510"/>
      <c r="B20" s="503" t="s">
        <v>58</v>
      </c>
      <c r="C20" s="20"/>
      <c r="D20" s="20"/>
      <c r="E20" s="393"/>
      <c r="F20"/>
      <c r="I20" s="31"/>
      <c r="J20" s="210" t="s">
        <v>56</v>
      </c>
      <c r="K20" s="211" t="s">
        <v>13</v>
      </c>
      <c r="L20" s="212" t="s">
        <v>68</v>
      </c>
      <c r="M20" s="66" t="s">
        <v>56</v>
      </c>
      <c r="N20" s="20" t="s">
        <v>13</v>
      </c>
      <c r="O20" s="32" t="s">
        <v>68</v>
      </c>
      <c r="P20" s="210" t="s">
        <v>56</v>
      </c>
      <c r="Q20" s="211" t="s">
        <v>13</v>
      </c>
      <c r="R20" s="212" t="s">
        <v>68</v>
      </c>
      <c r="S20" s="98"/>
      <c r="T20" s="31"/>
      <c r="U20" s="111"/>
    </row>
    <row r="21" spans="1:21" x14ac:dyDescent="0.25">
      <c r="A21" s="510"/>
      <c r="B21" s="504" t="s">
        <v>14</v>
      </c>
      <c r="C21" s="23">
        <f>VLOOKUP(C$2,Monitor_Costs,2,FALSE)</f>
        <v>4000</v>
      </c>
      <c r="D21" s="19">
        <f>VLOOKUP(C$2,Monitor_Costs,3,FALSE)</f>
        <v>2019</v>
      </c>
      <c r="E21" s="393"/>
      <c r="I21" s="31"/>
      <c r="J21" s="229">
        <f>HLOOKUP(K$2,InflationTable,2)/HLOOKUP($D21,InflationTable,2)*$C21</f>
        <v>4835.6667970277667</v>
      </c>
      <c r="K21" s="229">
        <f>J21*$L$4</f>
        <v>541594.68126710993</v>
      </c>
      <c r="L21" s="230">
        <f>K21/$E$18</f>
        <v>77370.668752444282</v>
      </c>
      <c r="M21" s="23">
        <f>HLOOKUP(N$2,InflationTable,2)/HLOOKUP($D21,InflationTable,2)*$C21</f>
        <v>5029.0934689088772</v>
      </c>
      <c r="N21" s="23">
        <f>M21*$L$4</f>
        <v>563258.46851779427</v>
      </c>
      <c r="O21" s="80">
        <f>N21/$E$18</f>
        <v>80465.495502542035</v>
      </c>
      <c r="P21" s="229">
        <f>HLOOKUP(Q$2,InflationTable,2)/HLOOKUP($D21,InflationTable,2)*$C21</f>
        <v>5129.6753382870547</v>
      </c>
      <c r="Q21" s="229">
        <f>P21*$L$4</f>
        <v>574523.63788815017</v>
      </c>
      <c r="R21" s="230">
        <f>Q21/$E$18</f>
        <v>82074.805412592876</v>
      </c>
      <c r="S21" s="102" t="s">
        <v>12</v>
      </c>
      <c r="T21" s="94" t="s">
        <v>12</v>
      </c>
      <c r="U21" s="112">
        <f>AVERAGE(L21,O21,R21)</f>
        <v>79970.323222526407</v>
      </c>
    </row>
    <row r="22" spans="1:21" ht="13" x14ac:dyDescent="0.3">
      <c r="A22" s="510"/>
      <c r="B22" s="436" t="s">
        <v>15</v>
      </c>
      <c r="C22" s="23">
        <f>C21</f>
        <v>4000</v>
      </c>
      <c r="D22" s="5">
        <f>D21</f>
        <v>2019</v>
      </c>
      <c r="I22" s="118"/>
      <c r="J22" s="229">
        <f>HLOOKUP(K$2,InflationTable,2)/HLOOKUP($D22,InflationTable,2)*$C22</f>
        <v>4835.6667970277667</v>
      </c>
      <c r="K22" s="229">
        <f>J21*$L$5</f>
        <v>0</v>
      </c>
      <c r="L22" s="230">
        <f>K22/$E$18</f>
        <v>0</v>
      </c>
      <c r="M22" s="23">
        <f>HLOOKUP(N$2,InflationTable,2)/HLOOKUP($D22,InflationTable,2)*$C22</f>
        <v>5029.0934689088772</v>
      </c>
      <c r="N22" s="23">
        <f>M21*$L$5</f>
        <v>0</v>
      </c>
      <c r="O22" s="528">
        <f>N22/$E$18</f>
        <v>0</v>
      </c>
      <c r="P22" s="229">
        <f>HLOOKUP(Q$2,InflationTable,2)/HLOOKUP($D22,InflationTable,2)*$C22</f>
        <v>5129.6753382870547</v>
      </c>
      <c r="Q22" s="229">
        <f>P21*$L$5</f>
        <v>0</v>
      </c>
      <c r="R22" s="230">
        <f>Q22/$E$18</f>
        <v>0</v>
      </c>
      <c r="S22" s="102" t="s">
        <v>12</v>
      </c>
      <c r="T22" s="94" t="s">
        <v>12</v>
      </c>
      <c r="U22" s="112">
        <f>AVERAGE(L22,O22,R22)</f>
        <v>0</v>
      </c>
    </row>
    <row r="23" spans="1:21" ht="13.5" thickBot="1" x14ac:dyDescent="0.35">
      <c r="A23" s="510"/>
      <c r="B23" s="753" t="str">
        <f>VLOOKUP(C$2,Monitor_Costs,10,FALSE)</f>
        <v>Audit Cal Kit</v>
      </c>
      <c r="C23" s="752">
        <f>VLOOKUP(C$2,Monitor_Costs,11,FALSE)</f>
        <v>125</v>
      </c>
      <c r="D23" s="754">
        <f>VLOOKUP(C$2,Monitor_Costs,12,FALSE)</f>
        <v>2019</v>
      </c>
      <c r="E23" s="3"/>
      <c r="F23" s="9"/>
      <c r="G23" s="3"/>
      <c r="H23" s="3"/>
      <c r="I23" s="532"/>
      <c r="J23" s="229">
        <f>HLOOKUP(K$2,InflationTable,2)/HLOOKUP($D23,InflationTable,2)*$C23</f>
        <v>151.11458740711771</v>
      </c>
      <c r="K23" s="295">
        <f>J23*$L$4</f>
        <v>16924.833789597185</v>
      </c>
      <c r="L23" s="256">
        <f>K23/$E$18</f>
        <v>2417.8333985138838</v>
      </c>
      <c r="M23" s="23">
        <f>HLOOKUP(N$2,InflationTable,2)/HLOOKUP($D23,InflationTable,2)*$C23</f>
        <v>157.15917090340241</v>
      </c>
      <c r="N23" s="84">
        <f>M23*$L$4</f>
        <v>17601.827141181071</v>
      </c>
      <c r="O23" s="77">
        <f>N23/$E$18</f>
        <v>2514.5467344544386</v>
      </c>
      <c r="P23" s="229">
        <f>HLOOKUP(Q$2,InflationTable,2)/HLOOKUP($D23,InflationTable,2)*$C23</f>
        <v>160.30235432147046</v>
      </c>
      <c r="Q23" s="295">
        <f>P23*$L$4</f>
        <v>17953.863684004693</v>
      </c>
      <c r="R23" s="256">
        <f>Q23/$E$18</f>
        <v>2564.8376691435274</v>
      </c>
      <c r="S23" s="529" t="s">
        <v>12</v>
      </c>
      <c r="T23" s="530" t="s">
        <v>12</v>
      </c>
      <c r="U23" s="531">
        <f>AVERAGE(L23,O23,R23)</f>
        <v>2499.0726007039502</v>
      </c>
    </row>
    <row r="24" spans="1:21" ht="13" x14ac:dyDescent="0.3">
      <c r="A24" s="510"/>
      <c r="B24" s="1" t="s">
        <v>17</v>
      </c>
      <c r="C24" s="86" t="s">
        <v>45</v>
      </c>
      <c r="D24" s="86" t="s">
        <v>46</v>
      </c>
      <c r="E24" s="86" t="s">
        <v>47</v>
      </c>
      <c r="F24" s="86" t="s">
        <v>48</v>
      </c>
      <c r="G24" s="86" t="s">
        <v>49</v>
      </c>
      <c r="H24" s="86" t="s">
        <v>50</v>
      </c>
      <c r="I24" s="145" t="s">
        <v>74</v>
      </c>
      <c r="J24" s="292"/>
      <c r="K24" s="293"/>
      <c r="L24" s="296"/>
      <c r="M24" s="88"/>
      <c r="N24" s="86"/>
      <c r="O24" s="87"/>
      <c r="P24" s="293"/>
      <c r="Q24" s="293"/>
      <c r="R24" s="296"/>
      <c r="S24" s="100"/>
      <c r="T24" s="31"/>
      <c r="U24" s="111"/>
    </row>
    <row r="25" spans="1:21" ht="13" x14ac:dyDescent="0.3">
      <c r="A25" s="510"/>
      <c r="B25" s="506" t="s">
        <v>119</v>
      </c>
      <c r="C25" s="27">
        <v>3</v>
      </c>
      <c r="D25" s="18">
        <v>5</v>
      </c>
      <c r="E25" s="18">
        <v>0</v>
      </c>
      <c r="F25" s="18">
        <v>0</v>
      </c>
      <c r="G25" s="18">
        <v>0</v>
      </c>
      <c r="H25" s="18">
        <v>0</v>
      </c>
      <c r="I25" s="41">
        <f>SUM(C25:H25)</f>
        <v>8</v>
      </c>
      <c r="J25" s="213" t="s">
        <v>12</v>
      </c>
      <c r="K25" s="231">
        <f>I25*($L$4+$L$5)</f>
        <v>896</v>
      </c>
      <c r="L25" s="232">
        <f>K25/$E$18</f>
        <v>128</v>
      </c>
      <c r="M25" s="51" t="s">
        <v>12</v>
      </c>
      <c r="N25" s="58">
        <f>$I$25*($O$4+$O$5)</f>
        <v>896</v>
      </c>
      <c r="O25" s="52">
        <f>N25/$E$18</f>
        <v>128</v>
      </c>
      <c r="P25" s="213" t="s">
        <v>12</v>
      </c>
      <c r="Q25" s="231">
        <f>$I$25*($R$4+$R$5)</f>
        <v>896</v>
      </c>
      <c r="R25" s="232">
        <f>Q25/$E$18</f>
        <v>128</v>
      </c>
      <c r="S25" s="96">
        <f>AVERAGE(L25,O25,R25)</f>
        <v>128</v>
      </c>
      <c r="T25" s="94" t="s">
        <v>12</v>
      </c>
      <c r="U25" s="113" t="s">
        <v>12</v>
      </c>
    </row>
    <row r="26" spans="1:21" s="1" customFormat="1" ht="13.5" thickBot="1" x14ac:dyDescent="0.35">
      <c r="A26" s="511"/>
      <c r="B26" s="500" t="s">
        <v>8</v>
      </c>
      <c r="C26" s="319">
        <f>ROUND(C25*Labor!$D$3,0)</f>
        <v>68</v>
      </c>
      <c r="D26" s="310">
        <f>ROUND(D25*Labor!$D$4,0)</f>
        <v>121</v>
      </c>
      <c r="E26" s="310">
        <f>ROUND(E25*Labor!$D$5,0)</f>
        <v>0</v>
      </c>
      <c r="F26" s="310">
        <f>ROUND(F25*Labor!$D$6,0)</f>
        <v>0</v>
      </c>
      <c r="G26" s="310">
        <f>ROUND(G25*Labor!$D$7,0)</f>
        <v>0</v>
      </c>
      <c r="H26" s="310">
        <f>ROUND(H25*Labor!$D$8,0)</f>
        <v>0</v>
      </c>
      <c r="I26" s="311">
        <f>SUM(C26:H26)</f>
        <v>189</v>
      </c>
      <c r="J26" s="284">
        <f>HLOOKUP(K$2,InflationTable,2)/HLOOKUP(Labor!$B$11,InflationTable,2)*$I26</f>
        <v>404.31612456747399</v>
      </c>
      <c r="K26" s="245">
        <f>J26*($L$4+$L$5)</f>
        <v>45283.405951557084</v>
      </c>
      <c r="L26" s="246">
        <f>K26/$E$18</f>
        <v>6469.0579930795839</v>
      </c>
      <c r="M26" s="169">
        <f>HLOOKUP(N$2,InflationTable,2)/HLOOKUP(Labor!$B$11,InflationTable,2)*$I26</f>
        <v>420.48876955017306</v>
      </c>
      <c r="N26" s="166">
        <f>M26*$L$4</f>
        <v>47094.742189619385</v>
      </c>
      <c r="O26" s="167">
        <f>N26/$E$18</f>
        <v>6727.820312802769</v>
      </c>
      <c r="P26" s="284">
        <f>HLOOKUP(Q$2,InflationTable,2)/HLOOKUP(Labor!$B$11,InflationTable,2)*$I26</f>
        <v>428.8985449411764</v>
      </c>
      <c r="Q26" s="245">
        <f>P26*$L$4</f>
        <v>48036.637033411753</v>
      </c>
      <c r="R26" s="320">
        <f>Q26/$E$18</f>
        <v>6862.3767190588214</v>
      </c>
      <c r="S26" s="169">
        <f>AVERAGE(L26,O26,R26)</f>
        <v>6686.4183416470587</v>
      </c>
      <c r="T26" s="174" t="s">
        <v>12</v>
      </c>
      <c r="U26" s="322" t="s">
        <v>12</v>
      </c>
    </row>
    <row r="27" spans="1:21" ht="13" x14ac:dyDescent="0.3">
      <c r="A27" s="510"/>
      <c r="B27" s="1" t="s">
        <v>118</v>
      </c>
      <c r="C27" s="290">
        <v>5</v>
      </c>
      <c r="D27" s="302">
        <v>3</v>
      </c>
      <c r="E27" s="302">
        <v>0</v>
      </c>
      <c r="F27" s="302">
        <v>0</v>
      </c>
      <c r="G27" s="302">
        <v>0</v>
      </c>
      <c r="H27" s="302">
        <v>0</v>
      </c>
      <c r="I27" s="303">
        <f>SUM(C27:H27)</f>
        <v>8</v>
      </c>
      <c r="J27" s="242" t="s">
        <v>12</v>
      </c>
      <c r="K27" s="280">
        <f>I27*$L$4</f>
        <v>896</v>
      </c>
      <c r="L27" s="243">
        <f>K27/$E$18</f>
        <v>128</v>
      </c>
      <c r="M27" s="53" t="s">
        <v>12</v>
      </c>
      <c r="N27" s="147">
        <f>I27*$O$4</f>
        <v>896</v>
      </c>
      <c r="O27" s="54">
        <f>N27/$E$18</f>
        <v>128</v>
      </c>
      <c r="P27" s="242" t="s">
        <v>12</v>
      </c>
      <c r="Q27" s="273">
        <f>$I27*$O$4</f>
        <v>896</v>
      </c>
      <c r="R27" s="304">
        <f>Q27/$E$18</f>
        <v>128</v>
      </c>
      <c r="S27" s="104">
        <f>AVERAGE(L27,O27,R27)</f>
        <v>128</v>
      </c>
      <c r="T27" s="42" t="s">
        <v>12</v>
      </c>
      <c r="U27" s="119" t="s">
        <v>12</v>
      </c>
    </row>
    <row r="28" spans="1:21" s="1" customFormat="1" ht="13.5" thickBot="1" x14ac:dyDescent="0.35">
      <c r="A28" s="511"/>
      <c r="B28" s="507" t="s">
        <v>8</v>
      </c>
      <c r="C28" s="310">
        <f>ROUND(C27*Labor!$D$3,0)</f>
        <v>114</v>
      </c>
      <c r="D28" s="310">
        <f>ROUND(D27*Labor!$D$4,0)</f>
        <v>73</v>
      </c>
      <c r="E28" s="310">
        <f>ROUND(E27*Labor!$D$5,0)</f>
        <v>0</v>
      </c>
      <c r="F28" s="310">
        <f>ROUND(F27*Labor!$D$6,0)</f>
        <v>0</v>
      </c>
      <c r="G28" s="310">
        <f>ROUND(G27*Labor!$D$7,0)</f>
        <v>0</v>
      </c>
      <c r="H28" s="310">
        <f>ROUND(H27*Labor!$D$8,0)</f>
        <v>0</v>
      </c>
      <c r="I28" s="311">
        <f>SUM(C28:H28)</f>
        <v>187</v>
      </c>
      <c r="J28" s="284">
        <f>HLOOKUP(K$2,InflationTable,2)/HLOOKUP(Labor!$B$11,InflationTable,2)*$I28</f>
        <v>400.0376470588235</v>
      </c>
      <c r="K28" s="245">
        <f>J28*$L$4</f>
        <v>44804.216470588231</v>
      </c>
      <c r="L28" s="246">
        <f>K28/$E$18</f>
        <v>6400.6023529411759</v>
      </c>
      <c r="M28" s="169">
        <f>HLOOKUP(N$2,InflationTable,2)/HLOOKUP(Labor!$B$11,InflationTable,2)*$I28</f>
        <v>416.0391529411765</v>
      </c>
      <c r="N28" s="166">
        <f>M28*$O$4</f>
        <v>46596.38512941177</v>
      </c>
      <c r="O28" s="167">
        <f>N28/$E$18</f>
        <v>6656.6264470588239</v>
      </c>
      <c r="P28" s="284">
        <f>HLOOKUP(Q$2,InflationTable,2)/HLOOKUP(Labor!$B$11,InflationTable,2)*$I28</f>
        <v>424.35993599999995</v>
      </c>
      <c r="Q28" s="245">
        <f>P28*$R$4</f>
        <v>47528.312831999996</v>
      </c>
      <c r="R28" s="246">
        <f>Q28/$E$18</f>
        <v>6789.7589759999992</v>
      </c>
      <c r="S28" s="169">
        <f>AVERAGE(L28,O28,R28)</f>
        <v>6615.6625920000006</v>
      </c>
      <c r="T28" s="323" t="s">
        <v>12</v>
      </c>
      <c r="U28" s="322" t="s">
        <v>12</v>
      </c>
    </row>
    <row r="29" spans="1:21" ht="13" x14ac:dyDescent="0.3">
      <c r="A29" s="510"/>
      <c r="B29" s="501" t="s">
        <v>66</v>
      </c>
      <c r="C29" s="28">
        <f t="shared" ref="C29:I29" si="1">C25+C27</f>
        <v>8</v>
      </c>
      <c r="D29" s="28">
        <f t="shared" si="1"/>
        <v>8</v>
      </c>
      <c r="E29" s="28">
        <f t="shared" si="1"/>
        <v>0</v>
      </c>
      <c r="F29" s="28">
        <f t="shared" si="1"/>
        <v>0</v>
      </c>
      <c r="G29" s="28">
        <f t="shared" si="1"/>
        <v>0</v>
      </c>
      <c r="H29" s="28">
        <f t="shared" si="1"/>
        <v>0</v>
      </c>
      <c r="I29" s="42">
        <f t="shared" si="1"/>
        <v>16</v>
      </c>
      <c r="J29" s="234" t="s">
        <v>12</v>
      </c>
      <c r="K29" s="235">
        <f>K25+K27</f>
        <v>1792</v>
      </c>
      <c r="L29" s="236">
        <f>L25+L27</f>
        <v>256</v>
      </c>
      <c r="M29" s="38" t="s">
        <v>12</v>
      </c>
      <c r="N29" s="28">
        <f>N25+N27</f>
        <v>1792</v>
      </c>
      <c r="O29" s="34">
        <f>O25+O27</f>
        <v>256</v>
      </c>
      <c r="P29" s="234" t="s">
        <v>12</v>
      </c>
      <c r="Q29" s="235">
        <f>Q25+Q27</f>
        <v>1792</v>
      </c>
      <c r="R29" s="236">
        <f>R25+R27</f>
        <v>256</v>
      </c>
      <c r="S29" s="104">
        <f>AVERAGE(L29,O29,R29)</f>
        <v>256</v>
      </c>
      <c r="T29" s="42" t="s">
        <v>12</v>
      </c>
      <c r="U29" s="119" t="s">
        <v>12</v>
      </c>
    </row>
    <row r="30" spans="1:21" ht="13.5" thickBot="1" x14ac:dyDescent="0.35">
      <c r="A30" s="510"/>
      <c r="B30" s="502" t="s">
        <v>67</v>
      </c>
      <c r="C30" s="194">
        <f t="shared" ref="C30:J30" si="2">C28+C26</f>
        <v>182</v>
      </c>
      <c r="D30" s="194">
        <f t="shared" si="2"/>
        <v>194</v>
      </c>
      <c r="E30" s="194">
        <f t="shared" si="2"/>
        <v>0</v>
      </c>
      <c r="F30" s="194">
        <f t="shared" si="2"/>
        <v>0</v>
      </c>
      <c r="G30" s="194">
        <f t="shared" si="2"/>
        <v>0</v>
      </c>
      <c r="H30" s="194">
        <f t="shared" si="2"/>
        <v>0</v>
      </c>
      <c r="I30" s="195">
        <f t="shared" si="2"/>
        <v>376</v>
      </c>
      <c r="J30" s="224">
        <f t="shared" si="2"/>
        <v>804.35377162629743</v>
      </c>
      <c r="K30" s="237"/>
      <c r="L30" s="226">
        <f>L28+L26+L22+L21+L23</f>
        <v>92658.162496978926</v>
      </c>
      <c r="M30" s="196">
        <f>M28+M26</f>
        <v>836.5279224913495</v>
      </c>
      <c r="N30" s="201"/>
      <c r="O30" s="197">
        <f>O28+O26+O22+O21+O23</f>
        <v>96364.488996858068</v>
      </c>
      <c r="P30" s="224">
        <f>P28+P26</f>
        <v>853.25848094117634</v>
      </c>
      <c r="Q30" s="237"/>
      <c r="R30" s="226">
        <f>R28+R26+R22+R21+R23</f>
        <v>98291.778776795225</v>
      </c>
      <c r="S30" s="206">
        <f>SUM(S28,S26)</f>
        <v>13302.080933647059</v>
      </c>
      <c r="T30" s="203" t="s">
        <v>12</v>
      </c>
      <c r="U30" s="204">
        <f>SUM(U21:U23)</f>
        <v>82469.395823230356</v>
      </c>
    </row>
    <row r="31" spans="1:21" ht="13.5" thickTop="1" thickBot="1" x14ac:dyDescent="0.3">
      <c r="A31" s="510"/>
      <c r="C31" s="513"/>
      <c r="D31" s="513"/>
      <c r="E31" s="513"/>
      <c r="F31" s="513"/>
      <c r="G31" s="513"/>
      <c r="H31" s="513"/>
      <c r="I31" s="513"/>
      <c r="J31" s="513"/>
      <c r="K31" s="513"/>
      <c r="L31" s="513"/>
      <c r="M31" s="513"/>
      <c r="N31" s="513"/>
      <c r="O31" s="513"/>
      <c r="P31" s="513"/>
      <c r="Q31" s="513"/>
      <c r="R31" s="513"/>
      <c r="S31" s="513"/>
      <c r="T31" s="513"/>
      <c r="U31" s="515"/>
    </row>
    <row r="32" spans="1:21" ht="16" thickTop="1" x14ac:dyDescent="0.35">
      <c r="A32" s="510"/>
      <c r="B32" s="508" t="s">
        <v>155</v>
      </c>
      <c r="F32" s="1" t="s">
        <v>6</v>
      </c>
      <c r="G32" s="1160"/>
      <c r="H32" s="1161"/>
      <c r="I32" s="1162"/>
      <c r="J32" s="198" t="s">
        <v>22</v>
      </c>
      <c r="L32" s="62"/>
      <c r="M32" s="198" t="s">
        <v>22</v>
      </c>
      <c r="O32" s="31"/>
      <c r="P32" s="198" t="s">
        <v>22</v>
      </c>
      <c r="R32" s="31"/>
      <c r="S32" s="97"/>
      <c r="T32" s="31"/>
      <c r="U32" s="111"/>
    </row>
    <row r="33" spans="1:21" ht="13" x14ac:dyDescent="0.3">
      <c r="A33" s="510"/>
      <c r="F33" s="1"/>
      <c r="G33" s="1163"/>
      <c r="H33" s="1163"/>
      <c r="I33" s="1164"/>
      <c r="J33" s="227" t="s">
        <v>61</v>
      </c>
      <c r="K33" s="1182" t="s">
        <v>57</v>
      </c>
      <c r="L33" s="1183"/>
      <c r="M33" s="50" t="s">
        <v>61</v>
      </c>
      <c r="N33" s="1177" t="s">
        <v>57</v>
      </c>
      <c r="O33" s="1178"/>
      <c r="P33" s="227" t="s">
        <v>61</v>
      </c>
      <c r="Q33" s="1167" t="s">
        <v>57</v>
      </c>
      <c r="R33" s="1168"/>
      <c r="S33" s="106"/>
      <c r="T33" s="31"/>
      <c r="U33" s="111"/>
    </row>
    <row r="34" spans="1:21" ht="13" x14ac:dyDescent="0.3">
      <c r="A34" s="510"/>
      <c r="C34" s="20" t="s">
        <v>60</v>
      </c>
      <c r="D34" s="20" t="s">
        <v>62</v>
      </c>
      <c r="E34" s="393"/>
      <c r="F34"/>
      <c r="I34" s="31"/>
      <c r="J34" s="211" t="s">
        <v>56</v>
      </c>
      <c r="K34" s="211" t="s">
        <v>13</v>
      </c>
      <c r="L34" s="212" t="s">
        <v>68</v>
      </c>
      <c r="M34" s="66" t="s">
        <v>56</v>
      </c>
      <c r="N34" s="20" t="s">
        <v>13</v>
      </c>
      <c r="O34" s="32" t="s">
        <v>68</v>
      </c>
      <c r="P34" s="210" t="s">
        <v>56</v>
      </c>
      <c r="Q34" s="211" t="s">
        <v>13</v>
      </c>
      <c r="R34" s="212" t="s">
        <v>68</v>
      </c>
      <c r="S34" s="98"/>
      <c r="T34" s="31"/>
      <c r="U34" s="111"/>
    </row>
    <row r="35" spans="1:21" ht="13.5" thickBot="1" x14ac:dyDescent="0.35">
      <c r="A35" s="510"/>
      <c r="B35" s="506" t="s">
        <v>18</v>
      </c>
      <c r="C35" s="23">
        <f>VLOOKUP(C$2,Monitor_Costs,4,FALSE)</f>
        <v>150</v>
      </c>
      <c r="D35" s="19">
        <f>VLOOKUP(C$2,Monitor_Costs,5,FALSE)</f>
        <v>2019</v>
      </c>
      <c r="E35" s="393"/>
      <c r="I35" s="326"/>
      <c r="J35" s="229">
        <f>HLOOKUP(K$2,InflationTable,2)/HLOOKUP($D35,InflationTable,2)*$C35</f>
        <v>181.33750488854128</v>
      </c>
      <c r="K35" s="295">
        <f>J35*$L$4</f>
        <v>20309.800547516621</v>
      </c>
      <c r="L35" s="256">
        <f>K35</f>
        <v>20309.800547516621</v>
      </c>
      <c r="M35" s="23">
        <f>HLOOKUP(N$2,InflationTable,2)/HLOOKUP($D35,InflationTable,2)*$C35</f>
        <v>188.59100508408289</v>
      </c>
      <c r="N35" s="84">
        <f>M35*$O$4</f>
        <v>21122.192569417282</v>
      </c>
      <c r="O35" s="77">
        <f>N35</f>
        <v>21122.192569417282</v>
      </c>
      <c r="P35" s="229">
        <f>HLOOKUP(Q$2,InflationTable,2)/HLOOKUP($D35,InflationTable,2)*$C35</f>
        <v>192.36282518576456</v>
      </c>
      <c r="Q35" s="295">
        <f>P35*$R$4</f>
        <v>21544.636420805633</v>
      </c>
      <c r="R35" s="256">
        <f>Q35</f>
        <v>21544.636420805633</v>
      </c>
      <c r="S35" s="298" t="s">
        <v>12</v>
      </c>
      <c r="T35" s="299">
        <f>AVERAGE(L35,O35,R35)</f>
        <v>20992.209845913178</v>
      </c>
      <c r="U35" s="115" t="s">
        <v>12</v>
      </c>
    </row>
    <row r="36" spans="1:21" ht="13.5" thickBot="1" x14ac:dyDescent="0.35">
      <c r="A36" s="510"/>
      <c r="B36" s="533" t="s">
        <v>154</v>
      </c>
      <c r="C36" s="535">
        <f>VLOOKUP(C$2,Monitor_Costs,8,FALSE)</f>
        <v>150</v>
      </c>
      <c r="D36" s="536">
        <f>VLOOKUP(C$2,Monitor_Costs,9,FALSE)</f>
        <v>2019</v>
      </c>
      <c r="E36" s="534"/>
      <c r="F36" s="9"/>
      <c r="G36" s="3"/>
      <c r="H36" s="3"/>
      <c r="I36" s="532"/>
      <c r="J36" s="229">
        <f>HLOOKUP(K$2,InflationTable,2)/HLOOKUP($D36,InflationTable,2)*$C36</f>
        <v>181.33750488854128</v>
      </c>
      <c r="K36" s="295">
        <f>J36*$L$4</f>
        <v>20309.800547516621</v>
      </c>
      <c r="L36" s="256">
        <f>K36</f>
        <v>20309.800547516621</v>
      </c>
      <c r="M36" s="23">
        <f>HLOOKUP(N$2,InflationTable,2)/HLOOKUP($D36,InflationTable,2)*$C36</f>
        <v>188.59100508408289</v>
      </c>
      <c r="N36" s="84">
        <f>M36*$O$4</f>
        <v>21122.192569417282</v>
      </c>
      <c r="O36" s="77">
        <f>N36</f>
        <v>21122.192569417282</v>
      </c>
      <c r="P36" s="229">
        <f>HLOOKUP(Q$2,InflationTable,2)/HLOOKUP($D36,InflationTable,2)*$C36</f>
        <v>192.36282518576456</v>
      </c>
      <c r="Q36" s="295">
        <f>P36*$R$4</f>
        <v>21544.636420805633</v>
      </c>
      <c r="R36" s="256">
        <f>Q36</f>
        <v>21544.636420805633</v>
      </c>
      <c r="S36" s="298" t="s">
        <v>12</v>
      </c>
      <c r="T36" s="299">
        <f>AVERAGE(L36,O36,R36)</f>
        <v>20992.209845913178</v>
      </c>
      <c r="U36" s="115" t="s">
        <v>12</v>
      </c>
    </row>
    <row r="37" spans="1:21" ht="13.5" thickBot="1" x14ac:dyDescent="0.35">
      <c r="A37" s="510"/>
      <c r="B37" s="756" t="str">
        <f>VLOOKUP(C$2,Monitor_Costs,13,FALSE)</f>
        <v>Lab Services</v>
      </c>
      <c r="C37" s="535">
        <f>VLOOKUP(C$2,Monitor_Costs,14,FALSE)</f>
        <v>1610</v>
      </c>
      <c r="D37" s="755">
        <f>VLOOKUP(C$2,Monitor_Costs,15,FALSE)</f>
        <v>2019</v>
      </c>
      <c r="E37" s="393"/>
      <c r="H37" s="6"/>
      <c r="I37" s="118"/>
      <c r="J37" s="229">
        <f>HLOOKUP(K$2,InflationTable,2)/HLOOKUP($D37,InflationTable,2)*$C37</f>
        <v>1946.3558858036763</v>
      </c>
      <c r="K37" s="295">
        <f>J37*$L$4</f>
        <v>217991.85921001175</v>
      </c>
      <c r="L37" s="256">
        <f>K37</f>
        <v>217991.85921001175</v>
      </c>
      <c r="M37" s="23">
        <f>HLOOKUP(N$2,InflationTable,2)/HLOOKUP($D37,InflationTable,2)*$C37</f>
        <v>2024.2101212358232</v>
      </c>
      <c r="N37" s="84">
        <f>M37*$O$4</f>
        <v>226711.5335784122</v>
      </c>
      <c r="O37" s="77">
        <f>N37</f>
        <v>226711.5335784122</v>
      </c>
      <c r="P37" s="229">
        <f>HLOOKUP(Q$2,InflationTable,2)/HLOOKUP($D37,InflationTable,2)*$C37</f>
        <v>2064.6943236605398</v>
      </c>
      <c r="Q37" s="295">
        <f>P37*$R$4</f>
        <v>231245.76424998045</v>
      </c>
      <c r="R37" s="256">
        <f>Q37</f>
        <v>231245.76424998045</v>
      </c>
      <c r="S37" s="298" t="s">
        <v>12</v>
      </c>
      <c r="T37" s="758" t="s">
        <v>12</v>
      </c>
      <c r="U37" s="757">
        <f>AVERAGE(L37,O37,R37)</f>
        <v>225316.38567946813</v>
      </c>
    </row>
    <row r="38" spans="1:21" ht="13" x14ac:dyDescent="0.3">
      <c r="A38" s="510"/>
      <c r="B38" s="378" t="s">
        <v>23</v>
      </c>
      <c r="C38" s="86" t="s">
        <v>45</v>
      </c>
      <c r="D38" s="86" t="s">
        <v>46</v>
      </c>
      <c r="E38" s="86" t="s">
        <v>47</v>
      </c>
      <c r="F38" s="86" t="s">
        <v>48</v>
      </c>
      <c r="G38" s="86" t="s">
        <v>49</v>
      </c>
      <c r="H38" s="86" t="s">
        <v>50</v>
      </c>
      <c r="I38" s="145" t="s">
        <v>74</v>
      </c>
      <c r="J38" s="293"/>
      <c r="K38" s="293"/>
      <c r="L38" s="296"/>
      <c r="M38" s="88"/>
      <c r="N38" s="86"/>
      <c r="O38" s="87"/>
      <c r="P38" s="293"/>
      <c r="Q38" s="293"/>
      <c r="R38" s="296"/>
      <c r="S38" s="98"/>
      <c r="T38" s="31"/>
      <c r="U38" s="111"/>
    </row>
    <row r="39" spans="1:21" x14ac:dyDescent="0.25">
      <c r="A39" s="510"/>
      <c r="B39" s="509" t="s">
        <v>4</v>
      </c>
      <c r="C39" s="18">
        <v>0</v>
      </c>
      <c r="D39" s="18">
        <v>30</v>
      </c>
      <c r="E39" s="18">
        <v>60</v>
      </c>
      <c r="F39" s="18">
        <v>0</v>
      </c>
      <c r="G39" s="18">
        <v>0</v>
      </c>
      <c r="H39" s="18">
        <v>0</v>
      </c>
      <c r="I39" s="41">
        <f>SUM(C39:H39)</f>
        <v>90</v>
      </c>
      <c r="J39" s="247" t="s">
        <v>12</v>
      </c>
      <c r="K39" s="231">
        <f>I39*$L$4</f>
        <v>10080</v>
      </c>
      <c r="L39" s="239">
        <f>K39</f>
        <v>10080</v>
      </c>
      <c r="M39" s="51" t="s">
        <v>12</v>
      </c>
      <c r="N39" s="58">
        <f>$I$39*$O$4</f>
        <v>10080</v>
      </c>
      <c r="O39" s="57">
        <f>N39</f>
        <v>10080</v>
      </c>
      <c r="P39" s="247" t="s">
        <v>12</v>
      </c>
      <c r="Q39" s="231">
        <f>$I$39*$R$4</f>
        <v>10080</v>
      </c>
      <c r="R39" s="239">
        <f>Q39</f>
        <v>10080</v>
      </c>
      <c r="S39" s="96">
        <f>AVERAGE(L39,O39,R39)</f>
        <v>10080</v>
      </c>
      <c r="T39" s="94" t="s">
        <v>12</v>
      </c>
      <c r="U39" s="113" t="s">
        <v>12</v>
      </c>
    </row>
    <row r="40" spans="1:21" s="1" customFormat="1" ht="13.5" thickBot="1" x14ac:dyDescent="0.35">
      <c r="A40" s="511"/>
      <c r="B40" s="500" t="s">
        <v>8</v>
      </c>
      <c r="C40" s="310">
        <f>ROUND(C39*Labor!$D$3,0)</f>
        <v>0</v>
      </c>
      <c r="D40" s="310">
        <f>ROUND(D39*Labor!$D$4,0)</f>
        <v>726</v>
      </c>
      <c r="E40" s="310">
        <f>ROUND(E39*Labor!$D$5,0)</f>
        <v>1513</v>
      </c>
      <c r="F40" s="310">
        <f>ROUND(F39*Labor!$D$6,0)</f>
        <v>0</v>
      </c>
      <c r="G40" s="310">
        <f>ROUND(G39*Labor!$D$7,0)</f>
        <v>0</v>
      </c>
      <c r="H40" s="310">
        <f>ROUND(H39*Labor!$D$8,0)</f>
        <v>0</v>
      </c>
      <c r="I40" s="311">
        <f>SUM(C40:H40)</f>
        <v>2239</v>
      </c>
      <c r="J40" s="284">
        <f>HLOOKUP(K$2,InflationTable,2)/HLOOKUP(Labor!$B$11,InflationTable,2)*$I40</f>
        <v>4789.755570934256</v>
      </c>
      <c r="K40" s="245">
        <f>J40*$L$4</f>
        <v>536452.62394463667</v>
      </c>
      <c r="L40" s="320">
        <f>K40</f>
        <v>536452.62394463667</v>
      </c>
      <c r="M40" s="169">
        <f>HLOOKUP(N$2,InflationTable,2)/HLOOKUP(Labor!$B$11,InflationTable,2)*$I40</f>
        <v>4981.3457937716266</v>
      </c>
      <c r="N40" s="166">
        <f>M40*$O$4</f>
        <v>557910.72890242212</v>
      </c>
      <c r="O40" s="167">
        <f>N40</f>
        <v>557910.72890242212</v>
      </c>
      <c r="P40" s="284">
        <f>HLOOKUP(Q$2,InflationTable,2)/HLOOKUP(Labor!$B$11,InflationTable,2)*$I40</f>
        <v>5080.9727096470579</v>
      </c>
      <c r="Q40" s="245">
        <f>P40*$R$4</f>
        <v>569068.94348047045</v>
      </c>
      <c r="R40" s="320">
        <f>Q40</f>
        <v>569068.94348047045</v>
      </c>
      <c r="S40" s="169">
        <f>AVERAGE(L40,O40,R40)</f>
        <v>554477.43210917641</v>
      </c>
      <c r="T40" s="323" t="s">
        <v>12</v>
      </c>
      <c r="U40" s="322" t="s">
        <v>12</v>
      </c>
    </row>
    <row r="41" spans="1:21" ht="13" x14ac:dyDescent="0.3">
      <c r="A41" s="510"/>
      <c r="B41" s="501" t="s">
        <v>66</v>
      </c>
      <c r="C41" s="30">
        <f t="shared" ref="C41:I41" si="3">C39</f>
        <v>0</v>
      </c>
      <c r="D41" s="30">
        <f t="shared" si="3"/>
        <v>30</v>
      </c>
      <c r="E41" s="30">
        <f t="shared" si="3"/>
        <v>60</v>
      </c>
      <c r="F41" s="30">
        <f t="shared" si="3"/>
        <v>0</v>
      </c>
      <c r="G41" s="30">
        <f t="shared" si="3"/>
        <v>0</v>
      </c>
      <c r="H41" s="30">
        <f t="shared" si="3"/>
        <v>0</v>
      </c>
      <c r="I41" s="44">
        <f t="shared" si="3"/>
        <v>90</v>
      </c>
      <c r="J41" s="255" t="s">
        <v>12</v>
      </c>
      <c r="K41" s="250">
        <f>K39</f>
        <v>10080</v>
      </c>
      <c r="L41" s="251">
        <f>L39</f>
        <v>10080</v>
      </c>
      <c r="M41" s="70" t="s">
        <v>12</v>
      </c>
      <c r="N41" s="69">
        <f>N39</f>
        <v>10080</v>
      </c>
      <c r="O41" s="78">
        <f>O39</f>
        <v>10080</v>
      </c>
      <c r="P41" s="249" t="s">
        <v>12</v>
      </c>
      <c r="Q41" s="250">
        <f>Q39</f>
        <v>10080</v>
      </c>
      <c r="R41" s="251">
        <f>R39</f>
        <v>10080</v>
      </c>
      <c r="S41" s="546">
        <f>S39</f>
        <v>10080</v>
      </c>
      <c r="T41" s="81" t="s">
        <v>12</v>
      </c>
      <c r="U41" s="119" t="s">
        <v>12</v>
      </c>
    </row>
    <row r="42" spans="1:21" ht="13.5" thickBot="1" x14ac:dyDescent="0.35">
      <c r="A42" s="510"/>
      <c r="B42" s="502" t="s">
        <v>67</v>
      </c>
      <c r="C42" s="194">
        <f t="shared" ref="C42:H42" si="4">C41</f>
        <v>0</v>
      </c>
      <c r="D42" s="194">
        <f t="shared" si="4"/>
        <v>30</v>
      </c>
      <c r="E42" s="194">
        <f t="shared" si="4"/>
        <v>60</v>
      </c>
      <c r="F42" s="194">
        <f t="shared" si="4"/>
        <v>0</v>
      </c>
      <c r="G42" s="194">
        <f t="shared" si="4"/>
        <v>0</v>
      </c>
      <c r="H42" s="194">
        <f t="shared" si="4"/>
        <v>0</v>
      </c>
      <c r="I42" s="205">
        <f>I40+C35</f>
        <v>2389</v>
      </c>
      <c r="J42" s="254">
        <f>J40+J35+J36+J37</f>
        <v>7098.7864665150137</v>
      </c>
      <c r="K42" s="254">
        <f>K40+K35+K36+K37</f>
        <v>795064.08424968179</v>
      </c>
      <c r="L42" s="254">
        <f>L40+L35+L36+L37</f>
        <v>795064.08424968179</v>
      </c>
      <c r="M42" s="176">
        <f>M40+M35</f>
        <v>5169.9367988557096</v>
      </c>
      <c r="N42" s="178">
        <f>N40+N35+N36</f>
        <v>600155.11404125672</v>
      </c>
      <c r="O42" s="178">
        <f>O40+O35+O36</f>
        <v>600155.11404125672</v>
      </c>
      <c r="P42" s="254">
        <f>P40+P35+P36+P37</f>
        <v>7530.392683679127</v>
      </c>
      <c r="Q42" s="254">
        <f>Q40+Q35+Q36+Q37</f>
        <v>843403.98057206208</v>
      </c>
      <c r="R42" s="254">
        <f>R40+R35+R36+R37</f>
        <v>843403.98057206208</v>
      </c>
      <c r="S42" s="206">
        <f>S40</f>
        <v>554477.43210917641</v>
      </c>
      <c r="T42" s="205">
        <f>T35+T36</f>
        <v>41984.419691826355</v>
      </c>
      <c r="U42" s="180">
        <f>U37</f>
        <v>225316.38567946813</v>
      </c>
    </row>
    <row r="43" spans="1:21" ht="13.5" thickTop="1" thickBot="1" x14ac:dyDescent="0.3">
      <c r="A43" s="510"/>
      <c r="B43" s="512"/>
      <c r="C43" s="513"/>
      <c r="D43" s="513"/>
      <c r="E43" s="513"/>
      <c r="F43" s="513"/>
      <c r="G43" s="513"/>
      <c r="H43" s="513"/>
      <c r="I43" s="513"/>
      <c r="J43" s="513"/>
      <c r="K43" s="513"/>
      <c r="L43" s="513"/>
      <c r="M43" s="513"/>
      <c r="N43" s="513"/>
      <c r="O43" s="513"/>
      <c r="P43" s="513"/>
      <c r="Q43" s="513"/>
      <c r="R43" s="513"/>
      <c r="S43" s="513"/>
      <c r="T43" s="513"/>
      <c r="U43" s="515"/>
    </row>
    <row r="44" spans="1:21" ht="16" thickTop="1" x14ac:dyDescent="0.35">
      <c r="A44" s="510"/>
      <c r="B44" s="2" t="s">
        <v>24</v>
      </c>
      <c r="F44" s="1" t="s">
        <v>6</v>
      </c>
      <c r="G44" s="1160"/>
      <c r="H44" s="1161"/>
      <c r="I44" s="1162"/>
      <c r="J44" s="2" t="s">
        <v>24</v>
      </c>
      <c r="L44" s="62"/>
      <c r="M44" s="2" t="s">
        <v>24</v>
      </c>
      <c r="N44" s="61"/>
      <c r="O44" s="31"/>
      <c r="P44" s="2" t="s">
        <v>24</v>
      </c>
      <c r="R44" s="31"/>
      <c r="S44" s="97"/>
      <c r="T44" s="31"/>
      <c r="U44" s="111"/>
    </row>
    <row r="45" spans="1:21" ht="13" x14ac:dyDescent="0.3">
      <c r="A45" s="510"/>
      <c r="F45" s="1"/>
      <c r="G45" s="1163"/>
      <c r="H45" s="1163"/>
      <c r="I45" s="1164"/>
      <c r="J45" s="227" t="s">
        <v>61</v>
      </c>
      <c r="K45" s="1167" t="s">
        <v>57</v>
      </c>
      <c r="L45" s="1168"/>
      <c r="M45" s="50" t="s">
        <v>61</v>
      </c>
      <c r="N45" s="1177" t="s">
        <v>57</v>
      </c>
      <c r="O45" s="1178"/>
      <c r="P45" s="227" t="s">
        <v>61</v>
      </c>
      <c r="Q45" s="1167" t="s">
        <v>57</v>
      </c>
      <c r="R45" s="1168"/>
      <c r="S45" s="106"/>
      <c r="T45" s="31"/>
      <c r="U45" s="111"/>
    </row>
    <row r="46" spans="1:21" ht="13" x14ac:dyDescent="0.3">
      <c r="A46" s="510"/>
      <c r="B46" s="506" t="s">
        <v>19</v>
      </c>
      <c r="C46" s="20" t="s">
        <v>60</v>
      </c>
      <c r="D46" s="20" t="s">
        <v>62</v>
      </c>
      <c r="E46" s="7"/>
      <c r="F46" s="61"/>
      <c r="G46" s="61"/>
      <c r="H46" s="61"/>
      <c r="I46" s="62"/>
      <c r="J46" s="210" t="s">
        <v>56</v>
      </c>
      <c r="K46" s="211" t="s">
        <v>13</v>
      </c>
      <c r="L46" s="212" t="s">
        <v>68</v>
      </c>
      <c r="M46" s="66" t="s">
        <v>56</v>
      </c>
      <c r="N46" s="20" t="s">
        <v>13</v>
      </c>
      <c r="O46" s="32" t="s">
        <v>68</v>
      </c>
      <c r="P46" s="210" t="s">
        <v>56</v>
      </c>
      <c r="Q46" s="211" t="s">
        <v>13</v>
      </c>
      <c r="R46" s="212" t="s">
        <v>68</v>
      </c>
      <c r="S46" s="98"/>
      <c r="T46" s="62"/>
      <c r="U46" s="111"/>
    </row>
    <row r="47" spans="1:21" ht="13" thickBot="1" x14ac:dyDescent="0.3">
      <c r="A47" s="510"/>
      <c r="B47" s="300"/>
      <c r="C47" s="84">
        <f>VLOOKUP(C$2,Monitor_Costs,6,FALSE)</f>
        <v>300</v>
      </c>
      <c r="D47" s="29">
        <f>VLOOKUP(C$2,Monitor_Costs,7,FALSE)</f>
        <v>2019</v>
      </c>
      <c r="E47" s="294"/>
      <c r="F47" s="60"/>
      <c r="G47" s="49"/>
      <c r="H47" s="49"/>
      <c r="I47" s="47"/>
      <c r="J47" s="229">
        <f>HLOOKUP(K$2,InflationTable,2)/HLOOKUP($D47,InflationTable,2)*$C47</f>
        <v>362.67500977708255</v>
      </c>
      <c r="K47" s="295">
        <f>J47*$L$4</f>
        <v>40619.601095033242</v>
      </c>
      <c r="L47" s="256">
        <f>K47</f>
        <v>40619.601095033242</v>
      </c>
      <c r="M47" s="23">
        <f>HLOOKUP(N$2,InflationTable,2)/HLOOKUP($D47,InflationTable,2)*$C47</f>
        <v>377.18201016816579</v>
      </c>
      <c r="N47" s="84">
        <f>M47*$O$4</f>
        <v>42244.385138834565</v>
      </c>
      <c r="O47" s="77">
        <f>N47</f>
        <v>42244.385138834565</v>
      </c>
      <c r="P47" s="229">
        <f>HLOOKUP(Q$2,InflationTable,2)/HLOOKUP($D47,InflationTable,2)*$C47</f>
        <v>384.72565037152913</v>
      </c>
      <c r="Q47" s="295">
        <f>P47*$R$4</f>
        <v>43089.272841611266</v>
      </c>
      <c r="R47" s="256">
        <f>Q47</f>
        <v>43089.272841611266</v>
      </c>
      <c r="S47" s="298" t="s">
        <v>12</v>
      </c>
      <c r="T47" s="299">
        <f>AVERAGE(L47,O47,R47)</f>
        <v>41984.419691826355</v>
      </c>
      <c r="U47" s="115" t="s">
        <v>12</v>
      </c>
    </row>
    <row r="48" spans="1:21" ht="13" x14ac:dyDescent="0.3">
      <c r="A48" s="510"/>
      <c r="B48" s="378" t="s">
        <v>25</v>
      </c>
      <c r="C48" s="86" t="s">
        <v>45</v>
      </c>
      <c r="D48" s="86" t="s">
        <v>46</v>
      </c>
      <c r="E48" s="86" t="s">
        <v>47</v>
      </c>
      <c r="F48" s="86" t="s">
        <v>48</v>
      </c>
      <c r="G48" s="86" t="s">
        <v>49</v>
      </c>
      <c r="H48" s="86" t="s">
        <v>50</v>
      </c>
      <c r="I48" s="145" t="s">
        <v>74</v>
      </c>
      <c r="J48" s="292"/>
      <c r="K48" s="293"/>
      <c r="L48" s="296"/>
      <c r="M48" s="88"/>
      <c r="N48" s="86"/>
      <c r="O48" s="87"/>
      <c r="P48" s="292"/>
      <c r="Q48" s="293"/>
      <c r="R48" s="296"/>
      <c r="S48" s="109"/>
      <c r="T48" s="42"/>
      <c r="U48" s="111"/>
    </row>
    <row r="49" spans="2:21" x14ac:dyDescent="0.25">
      <c r="B49" s="464" t="s">
        <v>4</v>
      </c>
      <c r="C49" s="18">
        <v>0</v>
      </c>
      <c r="D49" s="18">
        <v>8</v>
      </c>
      <c r="E49" s="18">
        <v>0</v>
      </c>
      <c r="F49" s="18">
        <v>0</v>
      </c>
      <c r="G49" s="18">
        <v>0</v>
      </c>
      <c r="H49" s="18">
        <v>0</v>
      </c>
      <c r="I49" s="45">
        <f>SUM(C49:H49)</f>
        <v>8</v>
      </c>
      <c r="J49" s="213" t="s">
        <v>12</v>
      </c>
      <c r="K49" s="231">
        <f>I49*$L$4</f>
        <v>896</v>
      </c>
      <c r="L49" s="239">
        <f>K49</f>
        <v>896</v>
      </c>
      <c r="M49" s="51" t="s">
        <v>12</v>
      </c>
      <c r="N49" s="58">
        <f>$I$49*$O$4</f>
        <v>896</v>
      </c>
      <c r="O49" s="57">
        <f>N49</f>
        <v>896</v>
      </c>
      <c r="P49" s="213" t="s">
        <v>12</v>
      </c>
      <c r="Q49" s="231">
        <f>$I$49*$R$4</f>
        <v>896</v>
      </c>
      <c r="R49" s="239">
        <f>Q49</f>
        <v>896</v>
      </c>
      <c r="S49" s="96">
        <f>AVERAGE(L49,O49,R49)</f>
        <v>896</v>
      </c>
      <c r="T49" s="94" t="s">
        <v>12</v>
      </c>
      <c r="U49" s="113" t="s">
        <v>12</v>
      </c>
    </row>
    <row r="50" spans="2:21" ht="13.5" thickBot="1" x14ac:dyDescent="0.35">
      <c r="B50" s="465" t="s">
        <v>8</v>
      </c>
      <c r="C50" s="29">
        <f>ROUND(C49*Labor!$D$3,0)</f>
        <v>0</v>
      </c>
      <c r="D50" s="29">
        <f>ROUND(D49*Labor!$D$4,0)</f>
        <v>194</v>
      </c>
      <c r="E50" s="29">
        <f>ROUND(E49*Labor!$D$5,0)</f>
        <v>0</v>
      </c>
      <c r="F50" s="29">
        <f>ROUND(F49*Labor!$D$6,0)</f>
        <v>0</v>
      </c>
      <c r="G50" s="29">
        <f>ROUND(G49*Labor!$D$7,0)</f>
        <v>0</v>
      </c>
      <c r="H50" s="29">
        <f>ROUND(H49*Labor!$D$8,0)</f>
        <v>0</v>
      </c>
      <c r="I50" s="33">
        <f>SUM(C50:H50)</f>
        <v>194</v>
      </c>
      <c r="J50" s="284">
        <f>HLOOKUP(K$2,InflationTable,2)/HLOOKUP(Labor!$B$11,InflationTable,2)*$I50</f>
        <v>415.01231833910032</v>
      </c>
      <c r="K50" s="219">
        <f>J50*$L$4</f>
        <v>46481.379653979238</v>
      </c>
      <c r="L50" s="256">
        <f>K50</f>
        <v>46481.379653979238</v>
      </c>
      <c r="M50" s="169">
        <f>HLOOKUP(N$2,InflationTable,2)/HLOOKUP(Labor!$B$11,InflationTable,2)*$I50</f>
        <v>431.61281107266439</v>
      </c>
      <c r="N50" s="55">
        <f>M50*$O$4</f>
        <v>48340.634840138409</v>
      </c>
      <c r="O50" s="77">
        <f>N50</f>
        <v>48340.634840138409</v>
      </c>
      <c r="P50" s="284">
        <f>HLOOKUP(Q$2,InflationTable,2)/HLOOKUP(Labor!$B$11,InflationTable,2)*$I50</f>
        <v>440.24506729411758</v>
      </c>
      <c r="Q50" s="219">
        <f>P50*$O$4</f>
        <v>49307.447536941167</v>
      </c>
      <c r="R50" s="256">
        <f>Q50</f>
        <v>49307.447536941167</v>
      </c>
      <c r="S50" s="103">
        <f>AVERAGE(L50,O50,R50)</f>
        <v>48043.154010352933</v>
      </c>
      <c r="T50" s="121" t="s">
        <v>12</v>
      </c>
      <c r="U50" s="115" t="s">
        <v>12</v>
      </c>
    </row>
    <row r="51" spans="2:21" ht="13" x14ac:dyDescent="0.3">
      <c r="B51" s="106" t="s">
        <v>117</v>
      </c>
      <c r="C51" s="290">
        <v>0</v>
      </c>
      <c r="D51" s="290">
        <v>8</v>
      </c>
      <c r="E51" s="290">
        <v>0</v>
      </c>
      <c r="F51" s="290">
        <v>0</v>
      </c>
      <c r="G51" s="290">
        <v>0</v>
      </c>
      <c r="H51" s="290">
        <v>0</v>
      </c>
      <c r="I51" s="291">
        <f>SUM(C51:H51)</f>
        <v>8</v>
      </c>
      <c r="J51" s="242" t="s">
        <v>12</v>
      </c>
      <c r="K51" s="273">
        <f>I51*$L$4</f>
        <v>896</v>
      </c>
      <c r="L51" s="274">
        <f>K51</f>
        <v>896</v>
      </c>
      <c r="M51" s="53" t="s">
        <v>12</v>
      </c>
      <c r="N51" s="147">
        <f>$I$51*$O$4</f>
        <v>896</v>
      </c>
      <c r="O51" s="148">
        <f>N51</f>
        <v>896</v>
      </c>
      <c r="P51" s="242" t="s">
        <v>12</v>
      </c>
      <c r="Q51" s="273">
        <f>$I$51*$R$4</f>
        <v>896</v>
      </c>
      <c r="R51" s="274">
        <f>Q51</f>
        <v>896</v>
      </c>
      <c r="S51" s="104">
        <f>AVERAGE(L51,O51,R51)</f>
        <v>896</v>
      </c>
      <c r="T51" s="94" t="s">
        <v>12</v>
      </c>
      <c r="U51" s="113" t="s">
        <v>12</v>
      </c>
    </row>
    <row r="52" spans="2:21" ht="13.5" thickBot="1" x14ac:dyDescent="0.35">
      <c r="B52" s="466" t="s">
        <v>8</v>
      </c>
      <c r="C52" s="29">
        <f>ROUND(C51*Labor!$D$3,0)</f>
        <v>0</v>
      </c>
      <c r="D52" s="29">
        <f>ROUND(D51*Labor!$D$4,0)</f>
        <v>194</v>
      </c>
      <c r="E52" s="29">
        <f>ROUND(E51*Labor!$D$5,0)</f>
        <v>0</v>
      </c>
      <c r="F52" s="29">
        <f>ROUND(F51*Labor!$D$6,0)</f>
        <v>0</v>
      </c>
      <c r="G52" s="29">
        <f>ROUND(G51*Labor!$D$7,0)</f>
        <v>0</v>
      </c>
      <c r="H52" s="29">
        <f>ROUND(H51*Labor!$D$8,0)</f>
        <v>0</v>
      </c>
      <c r="I52" s="33">
        <f>SUM(C52:H52)</f>
        <v>194</v>
      </c>
      <c r="J52" s="284">
        <f>HLOOKUP(K$2,InflationTable,2)/HLOOKUP(Labor!$B$11,InflationTable,2)*$I52</f>
        <v>415.01231833910032</v>
      </c>
      <c r="K52" s="219">
        <f>J52*$L$4</f>
        <v>46481.379653979238</v>
      </c>
      <c r="L52" s="256">
        <f>K52</f>
        <v>46481.379653979238</v>
      </c>
      <c r="M52" s="169">
        <f>HLOOKUP(N$2,InflationTable,2)/HLOOKUP(Labor!$B$11,InflationTable,2)*$I52</f>
        <v>431.61281107266439</v>
      </c>
      <c r="N52" s="55">
        <f>M52*$O$4</f>
        <v>48340.634840138409</v>
      </c>
      <c r="O52" s="77">
        <f>N52</f>
        <v>48340.634840138409</v>
      </c>
      <c r="P52" s="284">
        <f>HLOOKUP(Q$2,InflationTable,2)/HLOOKUP(Labor!$B$11,InflationTable,2)*$I52</f>
        <v>440.24506729411758</v>
      </c>
      <c r="Q52" s="219">
        <f>P52*$R$4</f>
        <v>49307.447536941167</v>
      </c>
      <c r="R52" s="256">
        <f>Q52</f>
        <v>49307.447536941167</v>
      </c>
      <c r="S52" s="103">
        <f>AVERAGE(L52,O52,R52)</f>
        <v>48043.154010352933</v>
      </c>
      <c r="T52" s="121" t="s">
        <v>12</v>
      </c>
      <c r="U52" s="115" t="s">
        <v>12</v>
      </c>
    </row>
    <row r="53" spans="2:21" ht="13" x14ac:dyDescent="0.3">
      <c r="B53" s="139" t="s">
        <v>66</v>
      </c>
      <c r="C53" s="30">
        <f t="shared" ref="C53:I53" si="5">C49+C51</f>
        <v>0</v>
      </c>
      <c r="D53" s="30">
        <f t="shared" si="5"/>
        <v>16</v>
      </c>
      <c r="E53" s="30">
        <f t="shared" si="5"/>
        <v>0</v>
      </c>
      <c r="F53" s="30">
        <f t="shared" si="5"/>
        <v>0</v>
      </c>
      <c r="G53" s="30">
        <f t="shared" si="5"/>
        <v>0</v>
      </c>
      <c r="H53" s="30">
        <f t="shared" si="5"/>
        <v>0</v>
      </c>
      <c r="I53" s="39">
        <f t="shared" si="5"/>
        <v>16</v>
      </c>
      <c r="J53" s="249" t="s">
        <v>12</v>
      </c>
      <c r="K53" s="257">
        <f>K49+K51</f>
        <v>1792</v>
      </c>
      <c r="L53" s="258">
        <f>L49+L51</f>
        <v>1792</v>
      </c>
      <c r="M53" s="70" t="s">
        <v>12</v>
      </c>
      <c r="N53" s="71">
        <f>N49+N51</f>
        <v>1792</v>
      </c>
      <c r="O53" s="79">
        <f>O49+O51</f>
        <v>1792</v>
      </c>
      <c r="P53" s="249" t="s">
        <v>12</v>
      </c>
      <c r="Q53" s="257">
        <f>Q49+Q51</f>
        <v>1792</v>
      </c>
      <c r="R53" s="258">
        <f>R49+R51</f>
        <v>1792</v>
      </c>
      <c r="S53" s="96">
        <f>AVERAGE(L53,O53,R53)</f>
        <v>1792</v>
      </c>
      <c r="T53" s="42" t="s">
        <v>12</v>
      </c>
      <c r="U53" s="120" t="s">
        <v>12</v>
      </c>
    </row>
    <row r="54" spans="2:21" ht="13.5" thickBot="1" x14ac:dyDescent="0.35">
      <c r="B54" s="460" t="s">
        <v>67</v>
      </c>
      <c r="C54" s="194">
        <f t="shared" ref="C54:H54" si="6">C50+C52</f>
        <v>0</v>
      </c>
      <c r="D54" s="194">
        <f t="shared" si="6"/>
        <v>388</v>
      </c>
      <c r="E54" s="194">
        <f t="shared" si="6"/>
        <v>0</v>
      </c>
      <c r="F54" s="194">
        <f t="shared" si="6"/>
        <v>0</v>
      </c>
      <c r="G54" s="194">
        <f t="shared" si="6"/>
        <v>0</v>
      </c>
      <c r="H54" s="194">
        <f t="shared" si="6"/>
        <v>0</v>
      </c>
      <c r="I54" s="178">
        <f>I52+I50+C47</f>
        <v>688</v>
      </c>
      <c r="J54" s="259">
        <f t="shared" ref="J54:R54" si="7">J52+J50+J47</f>
        <v>1192.6996464552831</v>
      </c>
      <c r="K54" s="253">
        <f t="shared" si="7"/>
        <v>133582.3604029917</v>
      </c>
      <c r="L54" s="254">
        <f t="shared" si="7"/>
        <v>133582.3604029917</v>
      </c>
      <c r="M54" s="176">
        <f t="shared" si="7"/>
        <v>1240.4076323134946</v>
      </c>
      <c r="N54" s="177">
        <f t="shared" si="7"/>
        <v>138925.6548191114</v>
      </c>
      <c r="O54" s="178">
        <f t="shared" si="7"/>
        <v>138925.6548191114</v>
      </c>
      <c r="P54" s="259">
        <f t="shared" si="7"/>
        <v>1265.2157849597643</v>
      </c>
      <c r="Q54" s="253">
        <f t="shared" si="7"/>
        <v>141704.1679154936</v>
      </c>
      <c r="R54" s="254">
        <f t="shared" si="7"/>
        <v>141704.1679154936</v>
      </c>
      <c r="S54" s="206">
        <f>S52+S50</f>
        <v>96086.308020705867</v>
      </c>
      <c r="T54" s="205">
        <f>T47</f>
        <v>41984.419691826355</v>
      </c>
      <c r="U54" s="180" t="s">
        <v>12</v>
      </c>
    </row>
    <row r="55" spans="2:21" ht="13.5" thickTop="1" thickBot="1" x14ac:dyDescent="0.3">
      <c r="B55" s="144"/>
      <c r="C55" s="513"/>
      <c r="D55" s="513"/>
      <c r="E55" s="513"/>
      <c r="F55" s="513"/>
      <c r="G55" s="513"/>
      <c r="H55" s="513"/>
      <c r="I55" s="513"/>
      <c r="J55" s="513"/>
      <c r="K55" s="513"/>
      <c r="L55" s="513"/>
      <c r="M55" s="513"/>
      <c r="N55" s="513"/>
      <c r="O55" s="513"/>
      <c r="P55" s="513"/>
      <c r="Q55" s="513"/>
      <c r="R55" s="513"/>
      <c r="S55" s="513"/>
      <c r="T55" s="513"/>
      <c r="U55" s="515"/>
    </row>
    <row r="56" spans="2:21" ht="16" thickTop="1" x14ac:dyDescent="0.35">
      <c r="B56" s="463" t="s">
        <v>26</v>
      </c>
      <c r="F56" s="1" t="s">
        <v>6</v>
      </c>
      <c r="G56" s="1160"/>
      <c r="H56" s="1161"/>
      <c r="I56" s="1162"/>
      <c r="J56" s="2" t="s">
        <v>26</v>
      </c>
      <c r="L56" s="31"/>
      <c r="M56" s="199" t="s">
        <v>26</v>
      </c>
      <c r="P56" s="199" t="s">
        <v>26</v>
      </c>
      <c r="R56" s="31"/>
      <c r="S56" s="97"/>
      <c r="T56" s="31"/>
      <c r="U56" s="111"/>
    </row>
    <row r="57" spans="2:21" ht="13" x14ac:dyDescent="0.3">
      <c r="B57" s="144"/>
      <c r="I57" s="32" t="s">
        <v>61</v>
      </c>
      <c r="J57" s="227" t="s">
        <v>61</v>
      </c>
      <c r="K57" s="1167" t="s">
        <v>57</v>
      </c>
      <c r="L57" s="1168"/>
      <c r="M57" s="50" t="s">
        <v>61</v>
      </c>
      <c r="N57" s="1177" t="s">
        <v>57</v>
      </c>
      <c r="O57" s="1178"/>
      <c r="P57" s="227" t="s">
        <v>61</v>
      </c>
      <c r="Q57" s="1167" t="s">
        <v>57</v>
      </c>
      <c r="R57" s="1168"/>
      <c r="S57" s="106"/>
      <c r="T57" s="31"/>
      <c r="U57" s="111"/>
    </row>
    <row r="58" spans="2:21" ht="13" x14ac:dyDescent="0.3">
      <c r="B58" s="462" t="s">
        <v>27</v>
      </c>
      <c r="C58" s="20" t="s">
        <v>45</v>
      </c>
      <c r="D58" s="20" t="s">
        <v>46</v>
      </c>
      <c r="E58" s="20" t="s">
        <v>47</v>
      </c>
      <c r="F58" s="20" t="s">
        <v>48</v>
      </c>
      <c r="G58" s="20" t="s">
        <v>49</v>
      </c>
      <c r="H58" s="20" t="s">
        <v>50</v>
      </c>
      <c r="I58" s="32" t="s">
        <v>13</v>
      </c>
      <c r="J58" s="210" t="s">
        <v>56</v>
      </c>
      <c r="K58" s="211" t="s">
        <v>13</v>
      </c>
      <c r="L58" s="212" t="s">
        <v>68</v>
      </c>
      <c r="M58" s="66" t="s">
        <v>56</v>
      </c>
      <c r="N58" s="20" t="s">
        <v>13</v>
      </c>
      <c r="O58" s="32" t="s">
        <v>68</v>
      </c>
      <c r="P58" s="210" t="s">
        <v>56</v>
      </c>
      <c r="Q58" s="211" t="s">
        <v>13</v>
      </c>
      <c r="R58" s="212" t="s">
        <v>68</v>
      </c>
      <c r="S58" s="98"/>
      <c r="T58" s="31"/>
      <c r="U58" s="111"/>
    </row>
    <row r="59" spans="2:21" x14ac:dyDescent="0.25">
      <c r="B59" s="464" t="s">
        <v>4</v>
      </c>
      <c r="C59" s="18">
        <v>0</v>
      </c>
      <c r="D59" s="18">
        <v>0</v>
      </c>
      <c r="E59" s="18">
        <v>4</v>
      </c>
      <c r="F59" s="18">
        <v>0</v>
      </c>
      <c r="G59" s="18">
        <v>0</v>
      </c>
      <c r="H59" s="18">
        <v>0</v>
      </c>
      <c r="I59" s="45">
        <f t="shared" ref="I59:I68" si="8">SUM(C59:H59)</f>
        <v>4</v>
      </c>
      <c r="J59" s="213" t="s">
        <v>12</v>
      </c>
      <c r="K59" s="231">
        <f>I59*$L$4</f>
        <v>448</v>
      </c>
      <c r="L59" s="239">
        <f t="shared" ref="L59:L68" si="9">K59</f>
        <v>448</v>
      </c>
      <c r="M59" s="51" t="s">
        <v>12</v>
      </c>
      <c r="N59" s="58">
        <f>$I$59*$O$4</f>
        <v>448</v>
      </c>
      <c r="O59" s="57">
        <f t="shared" ref="O59:O68" si="10">N59</f>
        <v>448</v>
      </c>
      <c r="P59" s="213" t="s">
        <v>12</v>
      </c>
      <c r="Q59" s="231">
        <f>$I$59*$R$4</f>
        <v>448</v>
      </c>
      <c r="R59" s="239">
        <f t="shared" ref="R59:R68" si="11">Q59</f>
        <v>448</v>
      </c>
      <c r="S59" s="96">
        <f t="shared" ref="S59:S70" si="12">AVERAGE(L59,O59,R59)</f>
        <v>448</v>
      </c>
      <c r="T59" s="94" t="s">
        <v>12</v>
      </c>
      <c r="U59" s="113" t="s">
        <v>12</v>
      </c>
    </row>
    <row r="60" spans="2:21" ht="13.5" thickBot="1" x14ac:dyDescent="0.35">
      <c r="B60" s="465" t="s">
        <v>8</v>
      </c>
      <c r="C60" s="29">
        <f>ROUND(C59*Labor!$D$3,0)</f>
        <v>0</v>
      </c>
      <c r="D60" s="29">
        <f>ROUND(D59*Labor!$D$4,0)</f>
        <v>0</v>
      </c>
      <c r="E60" s="29">
        <f>ROUND(E59*Labor!$D$5,0)</f>
        <v>101</v>
      </c>
      <c r="F60" s="29">
        <f>ROUND(F59*Labor!$D$6,0)</f>
        <v>0</v>
      </c>
      <c r="G60" s="29">
        <f>ROUND(G59*Labor!$D$7,0)</f>
        <v>0</v>
      </c>
      <c r="H60" s="29">
        <f>ROUND(H59*Labor!$D$8,0)</f>
        <v>0</v>
      </c>
      <c r="I60" s="33">
        <f t="shared" si="8"/>
        <v>101</v>
      </c>
      <c r="J60" s="284">
        <f>HLOOKUP(K$2,InflationTable,2)/HLOOKUP(Labor!$B$11,InflationTable,2)*$I60</f>
        <v>216.06311418685118</v>
      </c>
      <c r="K60" s="219">
        <f>J60*$L$4</f>
        <v>24199.068788927332</v>
      </c>
      <c r="L60" s="256">
        <f t="shared" si="9"/>
        <v>24199.068788927332</v>
      </c>
      <c r="M60" s="169">
        <f>HLOOKUP(N$2,InflationTable,2)/HLOOKUP(Labor!$B$11,InflationTable,2)*$I60</f>
        <v>224.70563875432526</v>
      </c>
      <c r="N60" s="55">
        <f>M60*$L$4</f>
        <v>25167.03154048443</v>
      </c>
      <c r="O60" s="77">
        <f t="shared" si="10"/>
        <v>25167.03154048443</v>
      </c>
      <c r="P60" s="284">
        <f>HLOOKUP(Q$2,InflationTable,2)/HLOOKUP(Labor!$B$11,InflationTable,2)*$I60</f>
        <v>229.19975152941174</v>
      </c>
      <c r="Q60" s="219">
        <f>P60*$R$4</f>
        <v>25670.372171294115</v>
      </c>
      <c r="R60" s="256">
        <f t="shared" si="11"/>
        <v>25670.372171294115</v>
      </c>
      <c r="S60" s="103">
        <f t="shared" si="12"/>
        <v>25012.157500235291</v>
      </c>
      <c r="T60" s="121" t="s">
        <v>12</v>
      </c>
      <c r="U60" s="115" t="s">
        <v>12</v>
      </c>
    </row>
    <row r="61" spans="2:21" ht="13" x14ac:dyDescent="0.3">
      <c r="B61" s="459" t="s">
        <v>114</v>
      </c>
      <c r="C61" s="290">
        <v>0</v>
      </c>
      <c r="D61" s="290">
        <v>0</v>
      </c>
      <c r="E61" s="290">
        <v>0</v>
      </c>
      <c r="F61" s="290">
        <v>4</v>
      </c>
      <c r="G61" s="290">
        <v>0</v>
      </c>
      <c r="H61" s="290">
        <v>0</v>
      </c>
      <c r="I61" s="291">
        <f t="shared" si="8"/>
        <v>4</v>
      </c>
      <c r="J61" s="242" t="s">
        <v>12</v>
      </c>
      <c r="K61" s="273">
        <f>I61*$L$4</f>
        <v>448</v>
      </c>
      <c r="L61" s="274">
        <f t="shared" si="9"/>
        <v>448</v>
      </c>
      <c r="M61" s="53" t="s">
        <v>12</v>
      </c>
      <c r="N61" s="147">
        <f>$I$61*$O$4</f>
        <v>448</v>
      </c>
      <c r="O61" s="148">
        <f t="shared" si="10"/>
        <v>448</v>
      </c>
      <c r="P61" s="242" t="s">
        <v>12</v>
      </c>
      <c r="Q61" s="273">
        <f>$I$61*$R$4</f>
        <v>448</v>
      </c>
      <c r="R61" s="274">
        <f t="shared" si="11"/>
        <v>448</v>
      </c>
      <c r="S61" s="104">
        <f t="shared" si="12"/>
        <v>448</v>
      </c>
      <c r="T61" s="42" t="s">
        <v>12</v>
      </c>
      <c r="U61" s="119" t="s">
        <v>12</v>
      </c>
    </row>
    <row r="62" spans="2:21" ht="13.5" thickBot="1" x14ac:dyDescent="0.35">
      <c r="B62" s="465" t="s">
        <v>8</v>
      </c>
      <c r="C62" s="29">
        <f>ROUND(C61*Labor!$D$3,0)</f>
        <v>0</v>
      </c>
      <c r="D62" s="29">
        <f>ROUND(D61*Labor!$D$4,0)</f>
        <v>0</v>
      </c>
      <c r="E62" s="29">
        <f>ROUND(E61*Labor!$D$5,0)</f>
        <v>0</v>
      </c>
      <c r="F62" s="29">
        <f>ROUND(F61*Labor!$D$6,0)</f>
        <v>110</v>
      </c>
      <c r="G62" s="29">
        <f>ROUND(G61*Labor!$D$7,0)</f>
        <v>0</v>
      </c>
      <c r="H62" s="29">
        <f>ROUND(H61*Labor!$D$8,0)</f>
        <v>0</v>
      </c>
      <c r="I62" s="33">
        <f t="shared" si="8"/>
        <v>110</v>
      </c>
      <c r="J62" s="284">
        <f>HLOOKUP(K$2,InflationTable,2)/HLOOKUP(Labor!$B$11,InflationTable,2)*$I62</f>
        <v>235.31626297577853</v>
      </c>
      <c r="K62" s="219">
        <f>J62*$L$4</f>
        <v>26355.421453287196</v>
      </c>
      <c r="L62" s="256">
        <f t="shared" si="9"/>
        <v>26355.421453287196</v>
      </c>
      <c r="M62" s="169">
        <f>HLOOKUP(N$2,InflationTable,2)/HLOOKUP(Labor!$B$11,InflationTable,2)*$I62</f>
        <v>244.72891349480972</v>
      </c>
      <c r="N62" s="55">
        <f>M62*$O$4</f>
        <v>27409.63831141869</v>
      </c>
      <c r="O62" s="77">
        <f t="shared" si="10"/>
        <v>27409.63831141869</v>
      </c>
      <c r="P62" s="284">
        <f>HLOOKUP(Q$2,InflationTable,2)/HLOOKUP(Labor!$B$11,InflationTable,2)*$I62</f>
        <v>249.62349176470585</v>
      </c>
      <c r="Q62" s="219">
        <f>P62*$R$4</f>
        <v>27957.831077647053</v>
      </c>
      <c r="R62" s="256">
        <f t="shared" si="11"/>
        <v>27957.831077647053</v>
      </c>
      <c r="S62" s="103">
        <f t="shared" si="12"/>
        <v>27240.963614117645</v>
      </c>
      <c r="T62" s="121" t="s">
        <v>12</v>
      </c>
      <c r="U62" s="115" t="s">
        <v>12</v>
      </c>
    </row>
    <row r="63" spans="2:21" ht="13" x14ac:dyDescent="0.3">
      <c r="B63" s="459" t="s">
        <v>115</v>
      </c>
      <c r="C63" s="290">
        <v>0</v>
      </c>
      <c r="D63" s="290">
        <v>0</v>
      </c>
      <c r="E63" s="290">
        <v>0</v>
      </c>
      <c r="F63" s="290">
        <v>12</v>
      </c>
      <c r="G63" s="290">
        <v>0</v>
      </c>
      <c r="H63" s="290">
        <v>0</v>
      </c>
      <c r="I63" s="291">
        <f t="shared" si="8"/>
        <v>12</v>
      </c>
      <c r="J63" s="242" t="s">
        <v>12</v>
      </c>
      <c r="K63" s="273">
        <f>I63*$L$4</f>
        <v>1344</v>
      </c>
      <c r="L63" s="274">
        <f t="shared" si="9"/>
        <v>1344</v>
      </c>
      <c r="M63" s="53" t="s">
        <v>12</v>
      </c>
      <c r="N63" s="147">
        <f>$I$63*$O$4</f>
        <v>1344</v>
      </c>
      <c r="O63" s="148">
        <f t="shared" si="10"/>
        <v>1344</v>
      </c>
      <c r="P63" s="242" t="s">
        <v>12</v>
      </c>
      <c r="Q63" s="273">
        <f>$I$63*$R$4</f>
        <v>1344</v>
      </c>
      <c r="R63" s="274">
        <f t="shared" si="11"/>
        <v>1344</v>
      </c>
      <c r="S63" s="104">
        <f t="shared" si="12"/>
        <v>1344</v>
      </c>
      <c r="T63" s="42" t="s">
        <v>12</v>
      </c>
      <c r="U63" s="119" t="s">
        <v>12</v>
      </c>
    </row>
    <row r="64" spans="2:21" ht="13.5" thickBot="1" x14ac:dyDescent="0.35">
      <c r="B64" s="465" t="s">
        <v>8</v>
      </c>
      <c r="C64" s="29">
        <f>ROUND(C63*Labor!$D$3,0)</f>
        <v>0</v>
      </c>
      <c r="D64" s="29">
        <f>ROUND(D63*Labor!$D$4,0)</f>
        <v>0</v>
      </c>
      <c r="E64" s="29">
        <f>ROUND(E63*Labor!$D$5,0)</f>
        <v>0</v>
      </c>
      <c r="F64" s="29">
        <f>ROUND(F63*Labor!$D$6,0)</f>
        <v>331</v>
      </c>
      <c r="G64" s="29">
        <f>ROUND(G63*Labor!$D$7,0)</f>
        <v>0</v>
      </c>
      <c r="H64" s="29">
        <f>ROUND(H63*Labor!$D$8,0)</f>
        <v>0</v>
      </c>
      <c r="I64" s="33">
        <f t="shared" si="8"/>
        <v>331</v>
      </c>
      <c r="J64" s="284">
        <f>HLOOKUP(K$2,InflationTable,2)/HLOOKUP(Labor!$B$11,InflationTable,2)*$I64</f>
        <v>708.08802768166083</v>
      </c>
      <c r="K64" s="219">
        <f>J64*$L$4</f>
        <v>79305.859100346017</v>
      </c>
      <c r="L64" s="256">
        <f t="shared" si="9"/>
        <v>79305.859100346017</v>
      </c>
      <c r="M64" s="169">
        <f>HLOOKUP(N$2,InflationTable,2)/HLOOKUP(Labor!$B$11,InflationTable,2)*$I64</f>
        <v>736.41154878892735</v>
      </c>
      <c r="N64" s="55">
        <f>M64*$O$4</f>
        <v>82478.093464359859</v>
      </c>
      <c r="O64" s="77">
        <f t="shared" si="10"/>
        <v>82478.093464359859</v>
      </c>
      <c r="P64" s="284">
        <f>HLOOKUP(Q$2,InflationTable,2)/HLOOKUP(Labor!$B$11,InflationTable,2)*$I64</f>
        <v>751.13977976470585</v>
      </c>
      <c r="Q64" s="219">
        <f>P64*$R$4</f>
        <v>84127.655333647053</v>
      </c>
      <c r="R64" s="256">
        <f t="shared" si="11"/>
        <v>84127.655333647053</v>
      </c>
      <c r="S64" s="103">
        <f t="shared" si="12"/>
        <v>81970.535966117634</v>
      </c>
      <c r="T64" s="121" t="s">
        <v>12</v>
      </c>
      <c r="U64" s="115" t="s">
        <v>12</v>
      </c>
    </row>
    <row r="65" spans="2:21" ht="13" x14ac:dyDescent="0.3">
      <c r="B65" s="459" t="s">
        <v>116</v>
      </c>
      <c r="C65" s="290">
        <v>0</v>
      </c>
      <c r="D65" s="290">
        <v>0</v>
      </c>
      <c r="E65" s="290">
        <v>0</v>
      </c>
      <c r="F65" s="290">
        <v>1</v>
      </c>
      <c r="G65" s="290">
        <v>0</v>
      </c>
      <c r="H65" s="290">
        <v>0</v>
      </c>
      <c r="I65" s="291">
        <f t="shared" si="8"/>
        <v>1</v>
      </c>
      <c r="J65" s="242" t="s">
        <v>12</v>
      </c>
      <c r="K65" s="273">
        <f>I65*$L$4</f>
        <v>112</v>
      </c>
      <c r="L65" s="274">
        <f t="shared" si="9"/>
        <v>112</v>
      </c>
      <c r="M65" s="53" t="s">
        <v>12</v>
      </c>
      <c r="N65" s="147">
        <f>$I$65*$O$4</f>
        <v>112</v>
      </c>
      <c r="O65" s="148">
        <f t="shared" si="10"/>
        <v>112</v>
      </c>
      <c r="P65" s="242" t="s">
        <v>12</v>
      </c>
      <c r="Q65" s="273">
        <f>$I$65*$R$4</f>
        <v>112</v>
      </c>
      <c r="R65" s="274">
        <f t="shared" si="11"/>
        <v>112</v>
      </c>
      <c r="S65" s="104">
        <f t="shared" si="12"/>
        <v>112</v>
      </c>
      <c r="T65" s="42" t="s">
        <v>12</v>
      </c>
      <c r="U65" s="119" t="s">
        <v>12</v>
      </c>
    </row>
    <row r="66" spans="2:21" ht="13.5" thickBot="1" x14ac:dyDescent="0.35">
      <c r="B66" s="465" t="s">
        <v>8</v>
      </c>
      <c r="C66" s="29">
        <f>ROUND(C65*Labor!$D$3,0)</f>
        <v>0</v>
      </c>
      <c r="D66" s="29">
        <f>ROUND(D65*Labor!$D$4,0)</f>
        <v>0</v>
      </c>
      <c r="E66" s="29">
        <f>ROUND(E65*Labor!$D$5,0)</f>
        <v>0</v>
      </c>
      <c r="F66" s="29">
        <f>ROUND(F65*Labor!$D$6,0)</f>
        <v>28</v>
      </c>
      <c r="G66" s="29">
        <f>ROUND(G65*Labor!$D$7,0)</f>
        <v>0</v>
      </c>
      <c r="H66" s="29">
        <f>ROUND(H65*Labor!$D$8,0)</f>
        <v>0</v>
      </c>
      <c r="I66" s="33">
        <f t="shared" si="8"/>
        <v>28</v>
      </c>
      <c r="J66" s="284">
        <f>HLOOKUP(K$2,InflationTable,2)/HLOOKUP(Labor!$B$11,InflationTable,2)*$I66</f>
        <v>59.898685121107263</v>
      </c>
      <c r="K66" s="219">
        <f>J66*$L$4</f>
        <v>6708.652733564013</v>
      </c>
      <c r="L66" s="256">
        <f t="shared" si="9"/>
        <v>6708.652733564013</v>
      </c>
      <c r="M66" s="169">
        <f>HLOOKUP(N$2,InflationTable,2)/HLOOKUP(Labor!$B$11,InflationTable,2)*$I66</f>
        <v>62.294632525951563</v>
      </c>
      <c r="N66" s="55">
        <f>M66*$O$4</f>
        <v>6976.9988429065752</v>
      </c>
      <c r="O66" s="77">
        <f t="shared" si="10"/>
        <v>6976.9988429065752</v>
      </c>
      <c r="P66" s="284">
        <f>HLOOKUP(Q$2,InflationTable,2)/HLOOKUP(Labor!$B$11,InflationTable,2)*$I66</f>
        <v>63.540525176470581</v>
      </c>
      <c r="Q66" s="219">
        <f>P66*$R$4</f>
        <v>7116.5388197647053</v>
      </c>
      <c r="R66" s="256">
        <f t="shared" si="11"/>
        <v>7116.5388197647053</v>
      </c>
      <c r="S66" s="103">
        <f t="shared" si="12"/>
        <v>6934.0634654117639</v>
      </c>
      <c r="T66" s="110" t="s">
        <v>12</v>
      </c>
      <c r="U66" s="115" t="s">
        <v>12</v>
      </c>
    </row>
    <row r="67" spans="2:21" ht="13" x14ac:dyDescent="0.3">
      <c r="B67" s="1095" t="s">
        <v>376</v>
      </c>
      <c r="C67" s="1100">
        <v>0</v>
      </c>
      <c r="D67" s="1100">
        <v>0.25</v>
      </c>
      <c r="E67" s="1100">
        <v>0</v>
      </c>
      <c r="F67" s="1100">
        <v>0</v>
      </c>
      <c r="G67" s="1100">
        <v>0</v>
      </c>
      <c r="H67" s="1100">
        <v>0</v>
      </c>
      <c r="I67" s="291">
        <f t="shared" si="8"/>
        <v>0.25</v>
      </c>
      <c r="J67" s="242">
        <f>I67</f>
        <v>0.25</v>
      </c>
      <c r="K67" s="273">
        <f>J67*L4</f>
        <v>28</v>
      </c>
      <c r="L67" s="274">
        <f t="shared" si="9"/>
        <v>28</v>
      </c>
      <c r="M67" s="53">
        <f>I67</f>
        <v>0.25</v>
      </c>
      <c r="N67" s="147">
        <f>M67*O4</f>
        <v>28</v>
      </c>
      <c r="O67" s="148">
        <f t="shared" si="10"/>
        <v>28</v>
      </c>
      <c r="P67" s="242">
        <f>I67</f>
        <v>0.25</v>
      </c>
      <c r="Q67" s="273">
        <f>P67*R4</f>
        <v>28</v>
      </c>
      <c r="R67" s="274">
        <f t="shared" si="11"/>
        <v>28</v>
      </c>
      <c r="S67" s="104">
        <f t="shared" si="12"/>
        <v>28</v>
      </c>
      <c r="T67" s="42" t="s">
        <v>12</v>
      </c>
      <c r="U67" s="119" t="s">
        <v>12</v>
      </c>
    </row>
    <row r="68" spans="2:21" ht="13.5" thickBot="1" x14ac:dyDescent="0.35">
      <c r="B68" s="465" t="s">
        <v>8</v>
      </c>
      <c r="C68" s="1097">
        <f>ROUND(C67*Labor!$D$3,0)</f>
        <v>0</v>
      </c>
      <c r="D68" s="1097">
        <f>ROUND(D67*Labor!$D$3,0)</f>
        <v>6</v>
      </c>
      <c r="E68" s="1097">
        <f>ROUND(E67*Labor!$D$3,0)</f>
        <v>0</v>
      </c>
      <c r="F68" s="1097">
        <f>ROUND(F67*Labor!$D$3,0)</f>
        <v>0</v>
      </c>
      <c r="G68" s="1097">
        <f>ROUND(G67*Labor!$D$3,0)</f>
        <v>0</v>
      </c>
      <c r="H68" s="1097">
        <f>ROUND(H67*Labor!$D$3,0)</f>
        <v>0</v>
      </c>
      <c r="I68" s="1094">
        <f t="shared" si="8"/>
        <v>6</v>
      </c>
      <c r="J68" s="278">
        <f>HLOOKUP(Labor!$B$11,InflationTable,2)*I68</f>
        <v>867</v>
      </c>
      <c r="K68" s="245">
        <f>K67*J68</f>
        <v>24276</v>
      </c>
      <c r="L68" s="246">
        <f t="shared" si="9"/>
        <v>24276</v>
      </c>
      <c r="M68" s="169">
        <f>HLOOKUP(N$2,InflationTable,2)/HLOOKUP(Labor!$B$11,InflationTable,2)*$I68</f>
        <v>13.348849826989621</v>
      </c>
      <c r="N68" s="166">
        <f>N67*M68</f>
        <v>373.76779515570939</v>
      </c>
      <c r="O68" s="167">
        <f t="shared" si="10"/>
        <v>373.76779515570939</v>
      </c>
      <c r="P68" s="284">
        <f>HLOOKUP(Q$2,InflationTable,2)/HLOOKUP(Labor!$B$11,InflationTable,2)*$I68</f>
        <v>13.61582682352941</v>
      </c>
      <c r="Q68" s="245">
        <f>Q67*P68</f>
        <v>381.24315105882351</v>
      </c>
      <c r="R68" s="246">
        <f t="shared" si="11"/>
        <v>381.24315105882351</v>
      </c>
      <c r="S68" s="169">
        <f t="shared" si="12"/>
        <v>8343.6703154048446</v>
      </c>
      <c r="T68" s="110" t="s">
        <v>12</v>
      </c>
      <c r="U68" s="115" t="s">
        <v>12</v>
      </c>
    </row>
    <row r="69" spans="2:21" ht="13" x14ac:dyDescent="0.3">
      <c r="B69" s="139" t="s">
        <v>66</v>
      </c>
      <c r="C69" s="30">
        <f>C59+C61+C63+C65+C67</f>
        <v>0</v>
      </c>
      <c r="D69" s="30">
        <f t="shared" ref="D69:I69" si="13">D59+D61+D63+D65+D67</f>
        <v>0.25</v>
      </c>
      <c r="E69" s="30">
        <f t="shared" si="13"/>
        <v>4</v>
      </c>
      <c r="F69" s="30">
        <f t="shared" si="13"/>
        <v>17</v>
      </c>
      <c r="G69" s="30">
        <f t="shared" si="13"/>
        <v>0</v>
      </c>
      <c r="H69" s="30">
        <f t="shared" si="13"/>
        <v>0</v>
      </c>
      <c r="I69" s="30">
        <f t="shared" si="13"/>
        <v>21.25</v>
      </c>
      <c r="J69" s="249" t="s">
        <v>12</v>
      </c>
      <c r="K69" s="235">
        <f>K59+K61+K63+K65+K67</f>
        <v>2380</v>
      </c>
      <c r="L69" s="235">
        <f>L59+L61+L63+L65+L67</f>
        <v>2380</v>
      </c>
      <c r="M69" s="70" t="s">
        <v>12</v>
      </c>
      <c r="N69" s="30">
        <f t="shared" ref="N69:O69" si="14">N59+N61+N63+N65+N67</f>
        <v>2380</v>
      </c>
      <c r="O69" s="30">
        <f t="shared" si="14"/>
        <v>2380</v>
      </c>
      <c r="P69" s="249" t="s">
        <v>12</v>
      </c>
      <c r="Q69" s="235">
        <f>Q59+Q61+Q63+Q65+Q67</f>
        <v>2380</v>
      </c>
      <c r="R69" s="235">
        <f>R59+R61+R63+R65+R67</f>
        <v>2380</v>
      </c>
      <c r="S69" s="104">
        <f t="shared" si="12"/>
        <v>2380</v>
      </c>
      <c r="T69" s="42" t="s">
        <v>12</v>
      </c>
      <c r="U69" s="119" t="s">
        <v>12</v>
      </c>
    </row>
    <row r="70" spans="2:21" ht="13.5" thickBot="1" x14ac:dyDescent="0.35">
      <c r="B70" s="460" t="s">
        <v>67</v>
      </c>
      <c r="C70" s="194">
        <f>C60+C62+C64+C66+C68</f>
        <v>0</v>
      </c>
      <c r="D70" s="194">
        <f t="shared" ref="D70:I70" si="15">D60+D62+D64+D66+D68</f>
        <v>6</v>
      </c>
      <c r="E70" s="194">
        <f t="shared" si="15"/>
        <v>101</v>
      </c>
      <c r="F70" s="194">
        <f t="shared" si="15"/>
        <v>469</v>
      </c>
      <c r="G70" s="194">
        <f t="shared" si="15"/>
        <v>0</v>
      </c>
      <c r="H70" s="194">
        <f t="shared" si="15"/>
        <v>0</v>
      </c>
      <c r="I70" s="194">
        <f t="shared" si="15"/>
        <v>576</v>
      </c>
      <c r="J70" s="261">
        <f>J60+J62+J64+J66+J68</f>
        <v>2086.3660899653978</v>
      </c>
      <c r="K70" s="261">
        <f>K60+K62+K64+K66+K68</f>
        <v>160845.00207612454</v>
      </c>
      <c r="L70" s="261">
        <f>L60+L62+L64+L66+L68</f>
        <v>160845.00207612454</v>
      </c>
      <c r="M70" s="194">
        <f t="shared" ref="M70" si="16">M60+M62+M64+M66+M68</f>
        <v>1281.4895833910036</v>
      </c>
      <c r="N70" s="194">
        <f>N60+N62+N64+N66+N68</f>
        <v>142405.52995432526</v>
      </c>
      <c r="O70" s="194">
        <f>O60+O62+O64+O66+O68</f>
        <v>142405.52995432526</v>
      </c>
      <c r="P70" s="261">
        <f>P60+P62+P64+P66+P68</f>
        <v>1307.1193750588234</v>
      </c>
      <c r="Q70" s="261">
        <f>Q60+Q62+Q64+Q66+Q68</f>
        <v>145253.64055341174</v>
      </c>
      <c r="R70" s="261">
        <f>R60+R62+R64+R66+R68</f>
        <v>145253.64055341174</v>
      </c>
      <c r="S70" s="206">
        <f t="shared" si="12"/>
        <v>149501.39086128719</v>
      </c>
      <c r="T70" s="203" t="s">
        <v>12</v>
      </c>
      <c r="U70" s="180" t="s">
        <v>12</v>
      </c>
    </row>
    <row r="71" spans="2:21" ht="13.5" thickTop="1" x14ac:dyDescent="0.3">
      <c r="B71" s="519"/>
      <c r="C71" s="516"/>
      <c r="D71" s="516"/>
      <c r="E71" s="516"/>
      <c r="F71" s="516"/>
      <c r="G71" s="516"/>
      <c r="H71" s="516"/>
      <c r="I71" s="517"/>
      <c r="J71" s="517"/>
      <c r="K71" s="517"/>
      <c r="L71" s="517"/>
      <c r="M71" s="517"/>
      <c r="N71" s="517"/>
      <c r="O71" s="517"/>
      <c r="P71" s="517"/>
      <c r="Q71" s="517"/>
      <c r="R71" s="517"/>
      <c r="S71" s="520"/>
      <c r="T71" s="521"/>
      <c r="U71" s="522"/>
    </row>
    <row r="72" spans="2:21" ht="13" thickBot="1" x14ac:dyDescent="0.3">
      <c r="B72" s="335"/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335"/>
      <c r="Q72" s="335"/>
      <c r="R72" s="335"/>
      <c r="S72" s="335"/>
      <c r="T72" s="335"/>
      <c r="U72" s="335"/>
    </row>
    <row r="73" spans="2:21" ht="27.5" thickTop="1" thickBot="1" x14ac:dyDescent="0.4">
      <c r="B73" s="463" t="s">
        <v>28</v>
      </c>
      <c r="F73" s="1" t="s">
        <v>6</v>
      </c>
      <c r="G73" s="1160"/>
      <c r="H73" s="1161"/>
      <c r="I73" s="1162"/>
      <c r="J73" s="2" t="s">
        <v>28</v>
      </c>
      <c r="L73" s="31"/>
      <c r="M73" s="2" t="s">
        <v>28</v>
      </c>
      <c r="O73" s="31"/>
      <c r="P73" s="2" t="s">
        <v>28</v>
      </c>
      <c r="R73" s="31"/>
      <c r="S73" s="448" t="s">
        <v>17</v>
      </c>
      <c r="T73" s="449" t="s">
        <v>103</v>
      </c>
      <c r="U73" s="523" t="s">
        <v>79</v>
      </c>
    </row>
    <row r="74" spans="2:21" ht="13" x14ac:dyDescent="0.3">
      <c r="B74" s="144"/>
      <c r="I74" s="32" t="s">
        <v>61</v>
      </c>
      <c r="J74" s="227" t="s">
        <v>61</v>
      </c>
      <c r="K74" s="1167" t="s">
        <v>57</v>
      </c>
      <c r="L74" s="1168"/>
      <c r="M74" s="50" t="s">
        <v>61</v>
      </c>
      <c r="N74" s="1177" t="s">
        <v>57</v>
      </c>
      <c r="O74" s="1181"/>
      <c r="P74" s="266" t="s">
        <v>61</v>
      </c>
      <c r="Q74" s="1167" t="s">
        <v>57</v>
      </c>
      <c r="R74" s="1168"/>
      <c r="S74" s="139"/>
      <c r="T74" s="108"/>
      <c r="U74" s="31"/>
    </row>
    <row r="75" spans="2:21" ht="13" x14ac:dyDescent="0.3">
      <c r="B75" s="457"/>
      <c r="C75" s="20" t="s">
        <v>45</v>
      </c>
      <c r="D75" s="20" t="s">
        <v>46</v>
      </c>
      <c r="E75" s="20" t="s">
        <v>47</v>
      </c>
      <c r="F75" s="20" t="s">
        <v>48</v>
      </c>
      <c r="G75" s="20" t="s">
        <v>49</v>
      </c>
      <c r="H75" s="20" t="s">
        <v>50</v>
      </c>
      <c r="I75" s="32" t="s">
        <v>13</v>
      </c>
      <c r="J75" s="210" t="s">
        <v>56</v>
      </c>
      <c r="K75" s="211" t="s">
        <v>13</v>
      </c>
      <c r="L75" s="212" t="s">
        <v>68</v>
      </c>
      <c r="M75" s="66" t="s">
        <v>56</v>
      </c>
      <c r="N75" s="20" t="s">
        <v>13</v>
      </c>
      <c r="O75" s="32" t="s">
        <v>68</v>
      </c>
      <c r="P75" s="210" t="s">
        <v>56</v>
      </c>
      <c r="Q75" s="211" t="s">
        <v>13</v>
      </c>
      <c r="R75" s="212" t="s">
        <v>68</v>
      </c>
      <c r="S75" s="95"/>
      <c r="T75" s="108"/>
      <c r="U75" s="31"/>
    </row>
    <row r="76" spans="2:21" ht="13" x14ac:dyDescent="0.3">
      <c r="B76" s="457" t="s">
        <v>111</v>
      </c>
      <c r="C76" s="18">
        <v>6</v>
      </c>
      <c r="D76" s="18">
        <v>4</v>
      </c>
      <c r="E76" s="18">
        <v>2</v>
      </c>
      <c r="F76" s="18">
        <v>0</v>
      </c>
      <c r="G76" s="18">
        <v>0</v>
      </c>
      <c r="H76" s="18">
        <v>0</v>
      </c>
      <c r="I76" s="45">
        <f>SUM(C76:H76)</f>
        <v>12</v>
      </c>
      <c r="J76" s="213" t="s">
        <v>12</v>
      </c>
      <c r="K76" s="231">
        <f>I76*$L$4</f>
        <v>1344</v>
      </c>
      <c r="L76" s="239">
        <f>K76</f>
        <v>1344</v>
      </c>
      <c r="M76" s="51" t="s">
        <v>12</v>
      </c>
      <c r="N76" s="58">
        <f>$I$76*$O$4</f>
        <v>1344</v>
      </c>
      <c r="O76" s="57">
        <f>N76</f>
        <v>1344</v>
      </c>
      <c r="P76" s="213" t="s">
        <v>12</v>
      </c>
      <c r="Q76" s="231">
        <f>$I$76*$O$4</f>
        <v>1344</v>
      </c>
      <c r="R76" s="239">
        <f>Q76</f>
        <v>1344</v>
      </c>
      <c r="S76" s="96">
        <f>AVERAGE(L76,O76,R76)</f>
        <v>1344</v>
      </c>
      <c r="T76" s="34" t="s">
        <v>12</v>
      </c>
      <c r="U76" s="42" t="s">
        <v>12</v>
      </c>
    </row>
    <row r="77" spans="2:21" ht="13.5" thickBot="1" x14ac:dyDescent="0.35">
      <c r="B77" s="466" t="s">
        <v>8</v>
      </c>
      <c r="C77" s="29">
        <f>ROUND(C76*Labor!$D$3,0)</f>
        <v>137</v>
      </c>
      <c r="D77" s="29">
        <f>ROUND(D76*Labor!$D$4,0)</f>
        <v>97</v>
      </c>
      <c r="E77" s="29">
        <f>ROUND(E76*Labor!$D$5,0)</f>
        <v>50</v>
      </c>
      <c r="F77" s="29">
        <f>ROUND(F76*Labor!$D$6,0)</f>
        <v>0</v>
      </c>
      <c r="G77" s="29">
        <f>ROUND(G76*Labor!$D$7,0)</f>
        <v>0</v>
      </c>
      <c r="H77" s="29">
        <f>ROUND(H76*Labor!$D$8,0)</f>
        <v>0</v>
      </c>
      <c r="I77" s="33">
        <f>SUM(C77:H77)</f>
        <v>284</v>
      </c>
      <c r="J77" s="284">
        <f>HLOOKUP(K$2,InflationTable,2)/HLOOKUP(Labor!$B$11,InflationTable,2)*$I77</f>
        <v>607.54380622837368</v>
      </c>
      <c r="K77" s="219">
        <f>J77*$L$4</f>
        <v>68044.906297577851</v>
      </c>
      <c r="L77" s="256">
        <f>K77</f>
        <v>68044.906297577851</v>
      </c>
      <c r="M77" s="169">
        <f>HLOOKUP(N$2,InflationTable,2)/HLOOKUP(Labor!$B$11,InflationTable,2)*$I77</f>
        <v>631.84555847750869</v>
      </c>
      <c r="N77" s="55">
        <f>M77*$O$4</f>
        <v>70766.702549480979</v>
      </c>
      <c r="O77" s="77">
        <f>N77</f>
        <v>70766.702549480979</v>
      </c>
      <c r="P77" s="284">
        <f>HLOOKUP(Q$2,InflationTable,2)/HLOOKUP(Labor!$B$11,InflationTable,2)*$I77</f>
        <v>644.48246964705879</v>
      </c>
      <c r="Q77" s="219">
        <f>P77*$R$4</f>
        <v>72182.036600470587</v>
      </c>
      <c r="R77" s="256">
        <f>Q77</f>
        <v>72182.036600470587</v>
      </c>
      <c r="S77" s="103">
        <f>AVERAGE(L77,O77,R77)</f>
        <v>70331.215149176482</v>
      </c>
      <c r="T77" s="110" t="s">
        <v>12</v>
      </c>
      <c r="U77" s="121" t="s">
        <v>12</v>
      </c>
    </row>
    <row r="78" spans="2:21" ht="13" x14ac:dyDescent="0.3">
      <c r="B78" s="459" t="s">
        <v>20</v>
      </c>
      <c r="C78" s="86" t="s">
        <v>45</v>
      </c>
      <c r="D78" s="86" t="s">
        <v>46</v>
      </c>
      <c r="E78" s="86" t="s">
        <v>47</v>
      </c>
      <c r="F78" s="86" t="s">
        <v>48</v>
      </c>
      <c r="G78" s="86" t="s">
        <v>49</v>
      </c>
      <c r="H78" s="86" t="s">
        <v>50</v>
      </c>
      <c r="I78" s="87" t="s">
        <v>13</v>
      </c>
      <c r="J78" s="292"/>
      <c r="K78" s="293"/>
      <c r="L78" s="296"/>
      <c r="M78" s="88" t="s">
        <v>56</v>
      </c>
      <c r="N78" s="86" t="s">
        <v>13</v>
      </c>
      <c r="O78" s="87" t="s">
        <v>68</v>
      </c>
      <c r="P78" s="292" t="s">
        <v>56</v>
      </c>
      <c r="Q78" s="293" t="s">
        <v>13</v>
      </c>
      <c r="R78" s="296" t="s">
        <v>68</v>
      </c>
      <c r="S78" s="98"/>
      <c r="T78" s="108"/>
      <c r="U78" s="31"/>
    </row>
    <row r="79" spans="2:21" x14ac:dyDescent="0.25">
      <c r="B79" s="458" t="s">
        <v>4</v>
      </c>
      <c r="C79" s="18">
        <v>0</v>
      </c>
      <c r="D79" s="18">
        <v>1</v>
      </c>
      <c r="E79" s="18">
        <v>1</v>
      </c>
      <c r="F79" s="18">
        <v>1</v>
      </c>
      <c r="G79" s="18">
        <v>1</v>
      </c>
      <c r="H79" s="18">
        <v>0</v>
      </c>
      <c r="I79" s="45">
        <f>SUM(C79:H79)</f>
        <v>4</v>
      </c>
      <c r="J79" s="213" t="s">
        <v>12</v>
      </c>
      <c r="K79" s="231">
        <f>I79*$L$4</f>
        <v>448</v>
      </c>
      <c r="L79" s="239">
        <f>K79</f>
        <v>448</v>
      </c>
      <c r="M79" s="51" t="s">
        <v>12</v>
      </c>
      <c r="N79" s="58">
        <f>$I79*$O$4</f>
        <v>448</v>
      </c>
      <c r="O79" s="57">
        <f>N79</f>
        <v>448</v>
      </c>
      <c r="P79" s="213" t="s">
        <v>12</v>
      </c>
      <c r="Q79" s="231">
        <f>$I79*$O$4</f>
        <v>448</v>
      </c>
      <c r="R79" s="239">
        <f>Q79</f>
        <v>448</v>
      </c>
      <c r="S79" s="96">
        <f>AVERAGE(L79,O79,R79)</f>
        <v>448</v>
      </c>
      <c r="T79" s="34" t="s">
        <v>12</v>
      </c>
      <c r="U79" s="42" t="s">
        <v>12</v>
      </c>
    </row>
    <row r="80" spans="2:21" ht="13.5" thickBot="1" x14ac:dyDescent="0.35">
      <c r="B80" s="466" t="s">
        <v>8</v>
      </c>
      <c r="C80" s="29">
        <f>ROUND(C79*Labor!$D$3,0)</f>
        <v>0</v>
      </c>
      <c r="D80" s="29">
        <f>ROUND(D79*Labor!$D$4,0)</f>
        <v>24</v>
      </c>
      <c r="E80" s="29">
        <f>ROUND(E79*Labor!$D$5,0)</f>
        <v>25</v>
      </c>
      <c r="F80" s="29">
        <f>ROUND(F79*Labor!$D$6,0)</f>
        <v>28</v>
      </c>
      <c r="G80" s="29">
        <f>ROUND(G79*Labor!$D$7,0)</f>
        <v>31</v>
      </c>
      <c r="H80" s="29">
        <f>ROUND(H79*Labor!$D$8,0)</f>
        <v>0</v>
      </c>
      <c r="I80" s="33">
        <f>SUM(C80:H80)</f>
        <v>108</v>
      </c>
      <c r="J80" s="284">
        <f>HLOOKUP(K$2,InflationTable,2)/HLOOKUP(Labor!$B$11,InflationTable,2)*$I80</f>
        <v>231.037785467128</v>
      </c>
      <c r="K80" s="219">
        <f>J80*$L$4</f>
        <v>25876.231972318335</v>
      </c>
      <c r="L80" s="256">
        <f>K80</f>
        <v>25876.231972318335</v>
      </c>
      <c r="M80" s="169">
        <f>HLOOKUP(N$2,InflationTable,2)/HLOOKUP(Labor!$B$11,InflationTable,2)*$I80</f>
        <v>240.27929688581315</v>
      </c>
      <c r="N80" s="55">
        <f>M80*$O$4</f>
        <v>26911.281251211072</v>
      </c>
      <c r="O80" s="77">
        <f>N80</f>
        <v>26911.281251211072</v>
      </c>
      <c r="P80" s="284">
        <f>HLOOKUP(Q$2,InflationTable,2)/HLOOKUP(Labor!$B$11,InflationTable,2)*$I80</f>
        <v>245.08488282352937</v>
      </c>
      <c r="Q80" s="219">
        <f>P80*$R$4</f>
        <v>27449.506876235289</v>
      </c>
      <c r="R80" s="256">
        <f>Q80</f>
        <v>27449.506876235289</v>
      </c>
      <c r="S80" s="103">
        <f>AVERAGE(L80,O80,R80)</f>
        <v>26745.673366588231</v>
      </c>
      <c r="T80" s="110" t="s">
        <v>12</v>
      </c>
      <c r="U80" s="121" t="s">
        <v>12</v>
      </c>
    </row>
    <row r="81" spans="2:21" ht="13" x14ac:dyDescent="0.3">
      <c r="B81" s="459" t="s">
        <v>109</v>
      </c>
      <c r="C81" s="290">
        <v>0</v>
      </c>
      <c r="D81" s="290">
        <v>4</v>
      </c>
      <c r="E81" s="290">
        <v>0</v>
      </c>
      <c r="F81" s="290">
        <v>0</v>
      </c>
      <c r="G81" s="290">
        <v>0</v>
      </c>
      <c r="H81" s="290">
        <v>0</v>
      </c>
      <c r="I81" s="291">
        <f>SUM(C81:H81)</f>
        <v>4</v>
      </c>
      <c r="J81" s="242" t="s">
        <v>12</v>
      </c>
      <c r="K81" s="273">
        <f>I81*$L$4</f>
        <v>448</v>
      </c>
      <c r="L81" s="274">
        <f>K81</f>
        <v>448</v>
      </c>
      <c r="M81" s="53" t="s">
        <v>12</v>
      </c>
      <c r="N81" s="147">
        <f>$I81*$O$4</f>
        <v>448</v>
      </c>
      <c r="O81" s="148">
        <f>N81</f>
        <v>448</v>
      </c>
      <c r="P81" s="242" t="s">
        <v>12</v>
      </c>
      <c r="Q81" s="273">
        <f>$I81*$O$4</f>
        <v>448</v>
      </c>
      <c r="R81" s="274">
        <f>Q81</f>
        <v>448</v>
      </c>
      <c r="S81" s="104">
        <f>AVERAGE(L81,O81,R81)</f>
        <v>448</v>
      </c>
      <c r="T81" s="34" t="s">
        <v>12</v>
      </c>
      <c r="U81" s="42" t="s">
        <v>12</v>
      </c>
    </row>
    <row r="82" spans="2:21" ht="13.5" thickBot="1" x14ac:dyDescent="0.35">
      <c r="B82" s="466" t="s">
        <v>8</v>
      </c>
      <c r="C82" s="29">
        <f>ROUND(C81*Labor!$D$3,0)</f>
        <v>0</v>
      </c>
      <c r="D82" s="29">
        <f>ROUND(D81*Labor!$D$4,0)</f>
        <v>97</v>
      </c>
      <c r="E82" s="29">
        <f>ROUND(E81*Labor!$D$5,0)</f>
        <v>0</v>
      </c>
      <c r="F82" s="29">
        <f>ROUND(F81*Labor!$D$6,0)</f>
        <v>0</v>
      </c>
      <c r="G82" s="29">
        <f>ROUND(G81*Labor!$D$7,0)</f>
        <v>0</v>
      </c>
      <c r="H82" s="29">
        <f>ROUND(H81*Labor!$D$8,0)</f>
        <v>0</v>
      </c>
      <c r="I82" s="33">
        <f>SUM(C82:H82)</f>
        <v>97</v>
      </c>
      <c r="J82" s="284">
        <f>HLOOKUP(K$2,InflationTable,2)/HLOOKUP(Labor!$B$11,InflationTable,2)*$I82</f>
        <v>207.50615916955016</v>
      </c>
      <c r="K82" s="219">
        <f>J82*$L$4</f>
        <v>23240.689826989619</v>
      </c>
      <c r="L82" s="256">
        <f>K82</f>
        <v>23240.689826989619</v>
      </c>
      <c r="M82" s="169">
        <f>HLOOKUP(N$2,InflationTable,2)/HLOOKUP(Labor!$B$11,InflationTable,2)*$I82</f>
        <v>215.80640553633219</v>
      </c>
      <c r="N82" s="55">
        <f>M82*$O$4</f>
        <v>24170.317420069205</v>
      </c>
      <c r="O82" s="77">
        <f>N82</f>
        <v>24170.317420069205</v>
      </c>
      <c r="P82" s="284">
        <f>HLOOKUP(Q$2,InflationTable,2)/HLOOKUP(Labor!$B$11,InflationTable,2)*$I82</f>
        <v>220.12253364705879</v>
      </c>
      <c r="Q82" s="219">
        <f>P82*$R$4</f>
        <v>24653.723768470583</v>
      </c>
      <c r="R82" s="256">
        <f>Q82</f>
        <v>24653.723768470583</v>
      </c>
      <c r="S82" s="140">
        <f>AVERAGE(L82,O82,R82)</f>
        <v>24021.577005176467</v>
      </c>
      <c r="T82" s="93" t="s">
        <v>12</v>
      </c>
      <c r="U82" s="94" t="s">
        <v>12</v>
      </c>
    </row>
    <row r="83" spans="2:21" ht="13" x14ac:dyDescent="0.3">
      <c r="B83" s="106" t="s">
        <v>29</v>
      </c>
      <c r="C83" s="86" t="s">
        <v>45</v>
      </c>
      <c r="D83" s="86" t="s">
        <v>46</v>
      </c>
      <c r="E83" s="86" t="s">
        <v>47</v>
      </c>
      <c r="F83" s="86" t="s">
        <v>48</v>
      </c>
      <c r="G83" s="86" t="s">
        <v>49</v>
      </c>
      <c r="H83" s="86" t="s">
        <v>50</v>
      </c>
      <c r="I83" s="87" t="s">
        <v>112</v>
      </c>
      <c r="J83" s="292"/>
      <c r="K83" s="293"/>
      <c r="L83" s="296"/>
      <c r="M83" s="88" t="s">
        <v>113</v>
      </c>
      <c r="N83" s="86" t="s">
        <v>13</v>
      </c>
      <c r="O83" s="87" t="s">
        <v>68</v>
      </c>
      <c r="P83" s="292" t="s">
        <v>113</v>
      </c>
      <c r="Q83" s="293" t="s">
        <v>13</v>
      </c>
      <c r="R83" s="296" t="s">
        <v>68</v>
      </c>
      <c r="S83" s="98"/>
      <c r="T83" s="108"/>
      <c r="U83" s="31"/>
    </row>
    <row r="84" spans="2:21" x14ac:dyDescent="0.25">
      <c r="B84" s="467" t="s">
        <v>51</v>
      </c>
      <c r="C84" s="18">
        <v>0</v>
      </c>
      <c r="D84" s="18">
        <v>0</v>
      </c>
      <c r="E84" s="18">
        <v>0.2</v>
      </c>
      <c r="F84" s="18">
        <v>0.3</v>
      </c>
      <c r="G84" s="18">
        <v>0</v>
      </c>
      <c r="H84" s="18">
        <v>0</v>
      </c>
      <c r="I84" s="45">
        <f>SUM(C84:H84)</f>
        <v>0.5</v>
      </c>
      <c r="J84" s="213" t="s">
        <v>12</v>
      </c>
      <c r="K84" s="262">
        <f>I84*$J$5</f>
        <v>12.5</v>
      </c>
      <c r="L84" s="239">
        <f>K84</f>
        <v>12.5</v>
      </c>
      <c r="M84" s="51" t="s">
        <v>12</v>
      </c>
      <c r="N84" s="73">
        <f>$I84*M$5</f>
        <v>12.5</v>
      </c>
      <c r="O84" s="57">
        <f>N84</f>
        <v>12.5</v>
      </c>
      <c r="P84" s="213" t="s">
        <v>12</v>
      </c>
      <c r="Q84" s="262">
        <f>$I84*P$5</f>
        <v>12.5</v>
      </c>
      <c r="R84" s="239">
        <f>Q84</f>
        <v>12.5</v>
      </c>
      <c r="S84" s="96">
        <f>AVERAGE(L84,O84,R84)</f>
        <v>12.5</v>
      </c>
      <c r="T84" s="34" t="s">
        <v>12</v>
      </c>
      <c r="U84" s="42" t="s">
        <v>12</v>
      </c>
    </row>
    <row r="85" spans="2:21" ht="13.5" thickBot="1" x14ac:dyDescent="0.35">
      <c r="B85" s="465" t="s">
        <v>107</v>
      </c>
      <c r="C85" s="29">
        <f>ROUND(C84*Labor!$D$3,0)</f>
        <v>0</v>
      </c>
      <c r="D85" s="29">
        <f>ROUND(D84*Labor!$D$4,0)</f>
        <v>0</v>
      </c>
      <c r="E85" s="29">
        <f>ROUND(E84*Labor!$D$5,0)</f>
        <v>5</v>
      </c>
      <c r="F85" s="29">
        <f>ROUND(F84*Labor!$D$6,0)</f>
        <v>8</v>
      </c>
      <c r="G85" s="29">
        <f>ROUND(G84*Labor!$D$7,0)</f>
        <v>0</v>
      </c>
      <c r="H85" s="29">
        <f>ROUND(H84*Labor!$D$8,0)</f>
        <v>0</v>
      </c>
      <c r="I85" s="33">
        <f>SUM(C85:H85)</f>
        <v>13</v>
      </c>
      <c r="J85" s="284">
        <f>HLOOKUP(K$2,InflationTable,2)/HLOOKUP(Labor!$B$11,InflationTable,2)*$I85</f>
        <v>27.810103806228373</v>
      </c>
      <c r="K85" s="219">
        <f>J85*$J$5</f>
        <v>695.25259515570929</v>
      </c>
      <c r="L85" s="256">
        <f>K85</f>
        <v>695.25259515570929</v>
      </c>
      <c r="M85" s="169">
        <f>HLOOKUP(N$2,InflationTable,2)/HLOOKUP(Labor!$B$11,InflationTable,2)*$I85</f>
        <v>28.92250795847751</v>
      </c>
      <c r="N85" s="55">
        <f>M85*$M$5</f>
        <v>723.06269896193771</v>
      </c>
      <c r="O85" s="77">
        <f>N85</f>
        <v>723.06269896193771</v>
      </c>
      <c r="P85" s="284">
        <f>HLOOKUP(Q$2,InflationTable,2)/HLOOKUP(Labor!$B$11,InflationTable,2)*$I85</f>
        <v>29.500958117647055</v>
      </c>
      <c r="Q85" s="219">
        <f>P85*$P$5</f>
        <v>737.52395294117639</v>
      </c>
      <c r="R85" s="256">
        <f>Q85</f>
        <v>737.52395294117639</v>
      </c>
      <c r="S85" s="107">
        <f>AVERAGE(L85,O85,R85)</f>
        <v>718.61308235294109</v>
      </c>
      <c r="T85" s="110" t="s">
        <v>12</v>
      </c>
      <c r="U85" s="121" t="s">
        <v>12</v>
      </c>
    </row>
    <row r="86" spans="2:21" ht="13" x14ac:dyDescent="0.3">
      <c r="B86" s="106" t="s">
        <v>106</v>
      </c>
      <c r="C86" s="5"/>
      <c r="D86" s="349" t="s">
        <v>54</v>
      </c>
      <c r="E86" s="24">
        <v>5</v>
      </c>
      <c r="I86" s="87" t="s">
        <v>55</v>
      </c>
      <c r="J86" s="209"/>
      <c r="K86" s="445"/>
      <c r="L86" s="446"/>
      <c r="M86" s="130" t="s">
        <v>55</v>
      </c>
      <c r="N86" s="1179" t="s">
        <v>57</v>
      </c>
      <c r="O86" s="1180"/>
      <c r="P86" s="209" t="s">
        <v>55</v>
      </c>
      <c r="Q86" s="1176" t="s">
        <v>57</v>
      </c>
      <c r="R86" s="1184"/>
      <c r="S86" s="139"/>
      <c r="T86" s="108"/>
      <c r="U86" s="31"/>
    </row>
    <row r="87" spans="2:21" x14ac:dyDescent="0.25">
      <c r="B87" s="467" t="s">
        <v>51</v>
      </c>
      <c r="C87" s="18">
        <v>0</v>
      </c>
      <c r="D87" s="18">
        <v>12</v>
      </c>
      <c r="E87" s="18">
        <v>0</v>
      </c>
      <c r="F87" s="18">
        <v>0</v>
      </c>
      <c r="G87" s="18">
        <v>0</v>
      </c>
      <c r="H87" s="18">
        <v>0</v>
      </c>
      <c r="I87" s="45">
        <f>SUM(C87:H87)</f>
        <v>12</v>
      </c>
      <c r="J87" s="213" t="s">
        <v>12</v>
      </c>
      <c r="K87" s="233">
        <f>I87*$J$5</f>
        <v>300</v>
      </c>
      <c r="L87" s="232">
        <f>K87/$E$86</f>
        <v>60</v>
      </c>
      <c r="M87" s="51" t="s">
        <v>12</v>
      </c>
      <c r="N87" s="10">
        <f>$I$87*$M$5</f>
        <v>300</v>
      </c>
      <c r="O87" s="52">
        <f>N87/$E$86</f>
        <v>60</v>
      </c>
      <c r="P87" s="213" t="s">
        <v>12</v>
      </c>
      <c r="Q87" s="233">
        <f>$I$87*$P$5</f>
        <v>300</v>
      </c>
      <c r="R87" s="232">
        <f>Q87/$E$86</f>
        <v>60</v>
      </c>
      <c r="S87" s="96">
        <f>AVERAGE(L87,O87,R87)</f>
        <v>60</v>
      </c>
      <c r="T87" s="34" t="s">
        <v>12</v>
      </c>
      <c r="U87" s="42" t="s">
        <v>12</v>
      </c>
    </row>
    <row r="88" spans="2:21" ht="13.5" thickBot="1" x14ac:dyDescent="0.35">
      <c r="B88" s="465" t="s">
        <v>105</v>
      </c>
      <c r="C88" s="29">
        <f>ROUND(C87*Labor!$D$3,0)</f>
        <v>0</v>
      </c>
      <c r="D88" s="29">
        <f>ROUND(D87*Labor!$D$4,0)</f>
        <v>290</v>
      </c>
      <c r="E88" s="29">
        <f>ROUND(E87*Labor!$D$5,0)</f>
        <v>0</v>
      </c>
      <c r="F88" s="29">
        <f>ROUND(F87*Labor!$D$6,0)</f>
        <v>0</v>
      </c>
      <c r="G88" s="29">
        <f>ROUND(G87*Labor!$D$7,0)</f>
        <v>0</v>
      </c>
      <c r="H88" s="29">
        <f>ROUND(H87*Labor!$D$8,0)</f>
        <v>0</v>
      </c>
      <c r="I88" s="33">
        <f>SUM(C88:H88)</f>
        <v>290</v>
      </c>
      <c r="J88" s="284">
        <f>HLOOKUP(K$2,InflationTable,2)/HLOOKUP(Labor!$B$11,InflationTable,2)*$I88</f>
        <v>620.37923875432523</v>
      </c>
      <c r="K88" s="219">
        <f>J88*$J$5</f>
        <v>15509.48096885813</v>
      </c>
      <c r="L88" s="220">
        <f>K88/$E$86</f>
        <v>3101.8961937716258</v>
      </c>
      <c r="M88" s="169">
        <f>HLOOKUP(N$2,InflationTable,2)/HLOOKUP(Labor!$B$11,InflationTable,2)*$I88</f>
        <v>645.19440830449832</v>
      </c>
      <c r="N88" s="55">
        <f>M88*$M$5</f>
        <v>16129.860207612459</v>
      </c>
      <c r="O88" s="33">
        <f>N88/$E$86</f>
        <v>3225.972041522492</v>
      </c>
      <c r="P88" s="284">
        <f>HLOOKUP(Q$2,InflationTable,2)/HLOOKUP(Labor!$B$11,InflationTable,2)*$I88</f>
        <v>658.09829647058814</v>
      </c>
      <c r="Q88" s="219">
        <f>P88*$P$5</f>
        <v>16452.457411764703</v>
      </c>
      <c r="R88" s="220">
        <f>Q88/$E$86</f>
        <v>3290.4914823529407</v>
      </c>
      <c r="S88" s="103">
        <f>AVERAGE(L88,O88,R88)</f>
        <v>3206.1199058823527</v>
      </c>
      <c r="T88" s="110" t="s">
        <v>12</v>
      </c>
      <c r="U88" s="121" t="s">
        <v>12</v>
      </c>
    </row>
    <row r="89" spans="2:21" ht="13" x14ac:dyDescent="0.3">
      <c r="B89" s="139" t="s">
        <v>66</v>
      </c>
      <c r="C89" s="36">
        <f>C76+C79+C81+C84+C87</f>
        <v>6</v>
      </c>
      <c r="D89" s="36">
        <f t="shared" ref="D89:L89" si="17">D76+D79+D81+D84+D87</f>
        <v>21</v>
      </c>
      <c r="E89" s="36">
        <f t="shared" si="17"/>
        <v>3.2</v>
      </c>
      <c r="F89" s="36">
        <f t="shared" si="17"/>
        <v>1.3</v>
      </c>
      <c r="G89" s="36">
        <f t="shared" si="17"/>
        <v>1</v>
      </c>
      <c r="H89" s="36">
        <f t="shared" si="17"/>
        <v>0</v>
      </c>
      <c r="I89" s="36">
        <f t="shared" si="17"/>
        <v>32.5</v>
      </c>
      <c r="J89" s="242" t="s">
        <v>12</v>
      </c>
      <c r="K89" s="235">
        <f t="shared" si="17"/>
        <v>2552.5</v>
      </c>
      <c r="L89" s="235">
        <f t="shared" si="17"/>
        <v>2312.5</v>
      </c>
      <c r="M89" s="53" t="s">
        <v>12</v>
      </c>
      <c r="N89" s="28">
        <f>N76+N79+N81+N84+N87</f>
        <v>2552.5</v>
      </c>
      <c r="O89" s="28">
        <f>O76+O79+O81+O84+O87</f>
        <v>2312.5</v>
      </c>
      <c r="P89" s="242" t="s">
        <v>12</v>
      </c>
      <c r="Q89" s="235">
        <f>Q76+Q79+Q81+Q84+Q87</f>
        <v>2552.5</v>
      </c>
      <c r="R89" s="235">
        <f>R76+R79+R81+R84+R87</f>
        <v>2312.5</v>
      </c>
      <c r="S89" s="122">
        <f>AVERAGE(L89,O89,R89)</f>
        <v>2312.5</v>
      </c>
      <c r="T89" s="108"/>
      <c r="U89" s="31"/>
    </row>
    <row r="90" spans="2:21" ht="13.5" thickBot="1" x14ac:dyDescent="0.35">
      <c r="B90" s="460" t="s">
        <v>67</v>
      </c>
      <c r="C90" s="593">
        <f>C77+C80+C82+C85+C88</f>
        <v>137</v>
      </c>
      <c r="D90" s="593">
        <f t="shared" ref="D90:L90" si="18">D77+D80+D82+D85+D88</f>
        <v>508</v>
      </c>
      <c r="E90" s="593">
        <f t="shared" si="18"/>
        <v>80</v>
      </c>
      <c r="F90" s="593">
        <f t="shared" si="18"/>
        <v>36</v>
      </c>
      <c r="G90" s="593">
        <f t="shared" si="18"/>
        <v>31</v>
      </c>
      <c r="H90" s="593">
        <f t="shared" si="18"/>
        <v>0</v>
      </c>
      <c r="I90" s="593">
        <f t="shared" si="18"/>
        <v>792</v>
      </c>
      <c r="J90" s="759">
        <f t="shared" si="18"/>
        <v>1694.2770934256055</v>
      </c>
      <c r="K90" s="759">
        <f t="shared" si="18"/>
        <v>133366.56166089964</v>
      </c>
      <c r="L90" s="759">
        <f t="shared" si="18"/>
        <v>120958.97688581313</v>
      </c>
      <c r="M90" s="593">
        <f>M77+M80+M82+M85+M88</f>
        <v>1762.0481771626301</v>
      </c>
      <c r="N90" s="593">
        <f>N77+N80+N82+N85+N88</f>
        <v>138701.22412733565</v>
      </c>
      <c r="O90" s="593">
        <f>O77+O80+O82+O85+O88</f>
        <v>125797.33596124567</v>
      </c>
      <c r="P90" s="759">
        <f>P77+P80+P82+P85+P88</f>
        <v>1797.2891407058821</v>
      </c>
      <c r="Q90" s="759">
        <f>Q77+Q80+Q82+Q85+Q88</f>
        <v>141475.24860988234</v>
      </c>
      <c r="R90" s="759">
        <f>R77+R80+R82+R85+R88</f>
        <v>128313.28268047057</v>
      </c>
      <c r="S90" s="202">
        <f>AVERAGE(L90,O90,R90)</f>
        <v>125023.19850917645</v>
      </c>
      <c r="T90" s="200"/>
      <c r="U90" s="190"/>
    </row>
    <row r="91" spans="2:21" ht="13.5" thickTop="1" thickBot="1" x14ac:dyDescent="0.3">
      <c r="B91" s="514"/>
      <c r="C91" s="513"/>
      <c r="D91" s="513"/>
      <c r="E91" s="513"/>
      <c r="F91" s="513"/>
      <c r="G91" s="513"/>
      <c r="H91" s="513"/>
      <c r="I91" s="513"/>
      <c r="J91" s="513"/>
      <c r="K91" s="513"/>
      <c r="L91" s="513"/>
      <c r="M91" s="513"/>
      <c r="N91" s="513"/>
      <c r="O91" s="513"/>
      <c r="P91" s="513"/>
      <c r="Q91" s="513"/>
      <c r="R91" s="513"/>
      <c r="S91" s="513"/>
      <c r="T91" s="513"/>
      <c r="U91" s="515"/>
    </row>
    <row r="92" spans="2:21" ht="16" thickTop="1" x14ac:dyDescent="0.35">
      <c r="B92" s="461" t="s">
        <v>30</v>
      </c>
      <c r="F92" s="1" t="s">
        <v>6</v>
      </c>
      <c r="G92" s="1160"/>
      <c r="H92" s="1161"/>
      <c r="I92" s="1162"/>
      <c r="J92" s="2" t="s">
        <v>30</v>
      </c>
      <c r="L92" s="31"/>
      <c r="M92" s="2" t="s">
        <v>30</v>
      </c>
      <c r="O92" s="31"/>
      <c r="P92" s="2" t="s">
        <v>30</v>
      </c>
      <c r="Q92" s="61"/>
      <c r="R92" s="62"/>
      <c r="S92" s="97"/>
      <c r="T92" s="108"/>
      <c r="U92" s="31"/>
    </row>
    <row r="93" spans="2:21" ht="13" x14ac:dyDescent="0.3">
      <c r="B93" s="144"/>
      <c r="I93" s="32" t="s">
        <v>61</v>
      </c>
      <c r="J93" s="227" t="s">
        <v>61</v>
      </c>
      <c r="K93" s="1167" t="s">
        <v>57</v>
      </c>
      <c r="L93" s="1168"/>
      <c r="M93" s="50" t="s">
        <v>61</v>
      </c>
      <c r="N93" s="1177" t="s">
        <v>57</v>
      </c>
      <c r="O93" s="1181"/>
      <c r="P93" s="266" t="s">
        <v>61</v>
      </c>
      <c r="Q93" s="1176" t="s">
        <v>57</v>
      </c>
      <c r="R93" s="1184"/>
      <c r="S93" s="106"/>
      <c r="T93" s="108"/>
      <c r="U93" s="31"/>
    </row>
    <row r="94" spans="2:21" ht="13" x14ac:dyDescent="0.3">
      <c r="B94" s="462" t="s">
        <v>21</v>
      </c>
      <c r="C94" s="20" t="s">
        <v>45</v>
      </c>
      <c r="D94" s="20" t="s">
        <v>46</v>
      </c>
      <c r="E94" s="20" t="s">
        <v>47</v>
      </c>
      <c r="F94" s="20" t="s">
        <v>48</v>
      </c>
      <c r="G94" s="20" t="s">
        <v>49</v>
      </c>
      <c r="H94" s="20" t="s">
        <v>50</v>
      </c>
      <c r="I94" s="32" t="s">
        <v>13</v>
      </c>
      <c r="J94" s="210" t="s">
        <v>56</v>
      </c>
      <c r="K94" s="211" t="s">
        <v>13</v>
      </c>
      <c r="L94" s="212" t="s">
        <v>68</v>
      </c>
      <c r="M94" s="66" t="s">
        <v>56</v>
      </c>
      <c r="N94" s="20" t="s">
        <v>13</v>
      </c>
      <c r="O94" s="32" t="s">
        <v>68</v>
      </c>
      <c r="P94" s="210" t="s">
        <v>56</v>
      </c>
      <c r="Q94" s="211" t="s">
        <v>13</v>
      </c>
      <c r="R94" s="212" t="s">
        <v>68</v>
      </c>
      <c r="S94" s="98"/>
      <c r="T94" s="108"/>
      <c r="U94" s="31"/>
    </row>
    <row r="95" spans="2:21" x14ac:dyDescent="0.25">
      <c r="B95" s="464" t="s">
        <v>4</v>
      </c>
      <c r="C95" s="18">
        <v>0</v>
      </c>
      <c r="D95" s="18">
        <v>0</v>
      </c>
      <c r="E95" s="18">
        <v>0</v>
      </c>
      <c r="F95" s="18">
        <v>2</v>
      </c>
      <c r="G95" s="18">
        <v>2</v>
      </c>
      <c r="H95" s="18">
        <v>0</v>
      </c>
      <c r="I95" s="45">
        <f>SUM(C95:H95)</f>
        <v>4</v>
      </c>
      <c r="J95" s="213" t="s">
        <v>12</v>
      </c>
      <c r="K95" s="231">
        <f>I95*$L$4</f>
        <v>448</v>
      </c>
      <c r="L95" s="239">
        <f>K95</f>
        <v>448</v>
      </c>
      <c r="M95" s="51" t="s">
        <v>12</v>
      </c>
      <c r="N95" s="58">
        <f>$I95*O$4</f>
        <v>448</v>
      </c>
      <c r="O95" s="52">
        <f>N95</f>
        <v>448</v>
      </c>
      <c r="P95" s="213" t="s">
        <v>12</v>
      </c>
      <c r="Q95" s="231">
        <f>$I95*R$4</f>
        <v>448</v>
      </c>
      <c r="R95" s="239">
        <f>Q95</f>
        <v>448</v>
      </c>
      <c r="S95" s="96">
        <f t="shared" ref="S95:S100" si="19">AVERAGE(L95,O95,R95)</f>
        <v>448</v>
      </c>
      <c r="T95" s="34" t="s">
        <v>12</v>
      </c>
      <c r="U95" s="42" t="s">
        <v>12</v>
      </c>
    </row>
    <row r="96" spans="2:21" ht="13.5" thickBot="1" x14ac:dyDescent="0.35">
      <c r="B96" s="465" t="s">
        <v>8</v>
      </c>
      <c r="C96" s="29">
        <f>ROUND(C95*Labor!$D$3,0)</f>
        <v>0</v>
      </c>
      <c r="D96" s="29">
        <f>ROUND(D95*Labor!$D$4,0)</f>
        <v>0</v>
      </c>
      <c r="E96" s="29">
        <f>ROUND(E95*Labor!$D$5,0)</f>
        <v>0</v>
      </c>
      <c r="F96" s="29">
        <f>ROUND(F95*Labor!$D$6,0)</f>
        <v>55</v>
      </c>
      <c r="G96" s="29">
        <f>ROUND(G95*Labor!$D$7,0)</f>
        <v>63</v>
      </c>
      <c r="H96" s="29">
        <f>ROUND(H95*Labor!$D$8,0)</f>
        <v>0</v>
      </c>
      <c r="I96" s="33">
        <f>SUM(C96:H96)</f>
        <v>118</v>
      </c>
      <c r="J96" s="284">
        <f>HLOOKUP(K$2,InflationTable,2)/HLOOKUP(Labor!$B$11,InflationTable,2)*$I96</f>
        <v>252.4301730103806</v>
      </c>
      <c r="K96" s="219">
        <f>J96*$L$4</f>
        <v>28272.179377162625</v>
      </c>
      <c r="L96" s="256">
        <f>K96</f>
        <v>28272.179377162625</v>
      </c>
      <c r="M96" s="169">
        <f>HLOOKUP(N$2,InflationTable,2)/HLOOKUP(Labor!$B$11,InflationTable,2)*$I96</f>
        <v>262.52737993079586</v>
      </c>
      <c r="N96" s="55">
        <f>M96*O$4</f>
        <v>29403.066552249136</v>
      </c>
      <c r="O96" s="33">
        <f>N96</f>
        <v>29403.066552249136</v>
      </c>
      <c r="P96" s="284">
        <f>HLOOKUP(Q$2,InflationTable,2)/HLOOKUP(Labor!$B$11,InflationTable,2)*$I96</f>
        <v>267.77792752941173</v>
      </c>
      <c r="Q96" s="219">
        <f>P96*R$4</f>
        <v>29991.127883294113</v>
      </c>
      <c r="R96" s="256">
        <f>Q96</f>
        <v>29991.127883294113</v>
      </c>
      <c r="S96" s="103">
        <f t="shared" si="19"/>
        <v>29222.12460423529</v>
      </c>
      <c r="T96" s="110" t="s">
        <v>12</v>
      </c>
      <c r="U96" s="121" t="s">
        <v>12</v>
      </c>
    </row>
    <row r="97" spans="2:21" ht="13" x14ac:dyDescent="0.3">
      <c r="B97" s="459" t="s">
        <v>104</v>
      </c>
      <c r="C97" s="290">
        <v>0</v>
      </c>
      <c r="D97" s="290">
        <v>0</v>
      </c>
      <c r="E97" s="290">
        <v>0</v>
      </c>
      <c r="F97" s="290">
        <v>3</v>
      </c>
      <c r="G97" s="290">
        <v>3</v>
      </c>
      <c r="H97" s="290">
        <v>0</v>
      </c>
      <c r="I97" s="291">
        <f>SUM(C97:H97)</f>
        <v>6</v>
      </c>
      <c r="J97" s="242" t="s">
        <v>12</v>
      </c>
      <c r="K97" s="273">
        <f>I97*$L$4</f>
        <v>672</v>
      </c>
      <c r="L97" s="274">
        <f>K97</f>
        <v>672</v>
      </c>
      <c r="M97" s="53" t="s">
        <v>12</v>
      </c>
      <c r="N97" s="147">
        <f>$I97*O$4</f>
        <v>672</v>
      </c>
      <c r="O97" s="148">
        <f>N97</f>
        <v>672</v>
      </c>
      <c r="P97" s="242" t="s">
        <v>12</v>
      </c>
      <c r="Q97" s="273">
        <f>$I97*R$4</f>
        <v>672</v>
      </c>
      <c r="R97" s="274">
        <f>Q97</f>
        <v>672</v>
      </c>
      <c r="S97" s="96">
        <f t="shared" si="19"/>
        <v>672</v>
      </c>
      <c r="T97" s="34" t="s">
        <v>12</v>
      </c>
      <c r="U97" s="42" t="s">
        <v>12</v>
      </c>
    </row>
    <row r="98" spans="2:21" ht="13.5" thickBot="1" x14ac:dyDescent="0.35">
      <c r="B98" s="466" t="s">
        <v>8</v>
      </c>
      <c r="C98" s="29">
        <f>ROUND(C97*Labor!$D$3,0)</f>
        <v>0</v>
      </c>
      <c r="D98" s="29">
        <f>ROUND(D97*Labor!$D$4,0)</f>
        <v>0</v>
      </c>
      <c r="E98" s="29">
        <f>ROUND(E97*Labor!$D$5,0)</f>
        <v>0</v>
      </c>
      <c r="F98" s="29">
        <f>ROUND(F97*Labor!$D$6,0)</f>
        <v>83</v>
      </c>
      <c r="G98" s="29">
        <f>ROUND(G97*Labor!$D$7,0)</f>
        <v>94</v>
      </c>
      <c r="H98" s="29">
        <f>ROUND(H97*Labor!$D$8,0)</f>
        <v>0</v>
      </c>
      <c r="I98" s="33">
        <f>SUM(C98:H98)</f>
        <v>177</v>
      </c>
      <c r="J98" s="284">
        <f>HLOOKUP(K$2,InflationTable,2)/HLOOKUP(Labor!$B$11,InflationTable,2)*$I98</f>
        <v>378.6452595155709</v>
      </c>
      <c r="K98" s="219">
        <f>J98*$L$4</f>
        <v>42408.269065743938</v>
      </c>
      <c r="L98" s="248">
        <f>K98</f>
        <v>42408.269065743938</v>
      </c>
      <c r="M98" s="169">
        <f>HLOOKUP(N$2,InflationTable,2)/HLOOKUP(Labor!$B$11,InflationTable,2)*$I98</f>
        <v>393.79106989619379</v>
      </c>
      <c r="N98" s="55">
        <f>M98*O$4</f>
        <v>44104.599828373706</v>
      </c>
      <c r="O98" s="33">
        <f>N98</f>
        <v>44104.599828373706</v>
      </c>
      <c r="P98" s="284">
        <f>HLOOKUP(Q$2,InflationTable,2)/HLOOKUP(Labor!$B$11,InflationTable,2)*$I98</f>
        <v>401.66689129411759</v>
      </c>
      <c r="Q98" s="219">
        <f>P98*R$4</f>
        <v>44986.691824941168</v>
      </c>
      <c r="R98" s="248">
        <f>Q98</f>
        <v>44986.691824941168</v>
      </c>
      <c r="S98" s="103">
        <f t="shared" si="19"/>
        <v>43833.186906352938</v>
      </c>
      <c r="T98" s="110" t="s">
        <v>12</v>
      </c>
      <c r="U98" s="121" t="s">
        <v>12</v>
      </c>
    </row>
    <row r="99" spans="2:21" ht="13" x14ac:dyDescent="0.3">
      <c r="B99" s="139" t="s">
        <v>66</v>
      </c>
      <c r="C99" s="30">
        <f t="shared" ref="C99:I100" si="20">C95+C97</f>
        <v>0</v>
      </c>
      <c r="D99" s="30">
        <f t="shared" si="20"/>
        <v>0</v>
      </c>
      <c r="E99" s="30">
        <f t="shared" si="20"/>
        <v>0</v>
      </c>
      <c r="F99" s="30">
        <f t="shared" si="20"/>
        <v>5</v>
      </c>
      <c r="G99" s="30">
        <f t="shared" si="20"/>
        <v>5</v>
      </c>
      <c r="H99" s="30">
        <f t="shared" si="20"/>
        <v>0</v>
      </c>
      <c r="I99" s="39">
        <f t="shared" si="20"/>
        <v>10</v>
      </c>
      <c r="J99" s="249" t="s">
        <v>12</v>
      </c>
      <c r="K99" s="267">
        <f>K95+K97</f>
        <v>1120</v>
      </c>
      <c r="L99" s="268">
        <f>L95+L97</f>
        <v>1120</v>
      </c>
      <c r="M99" s="70" t="s">
        <v>12</v>
      </c>
      <c r="N99" s="30">
        <f>N95+N97</f>
        <v>1120</v>
      </c>
      <c r="O99" s="82">
        <f>O95+O97</f>
        <v>1120</v>
      </c>
      <c r="P99" s="249" t="s">
        <v>12</v>
      </c>
      <c r="Q99" s="267">
        <f>Q95+Q97</f>
        <v>1120</v>
      </c>
      <c r="R99" s="269">
        <f>R95+R97</f>
        <v>1120</v>
      </c>
      <c r="S99" s="96">
        <f t="shared" si="19"/>
        <v>1120</v>
      </c>
      <c r="T99" s="34" t="s">
        <v>12</v>
      </c>
      <c r="U99" s="42" t="s">
        <v>12</v>
      </c>
    </row>
    <row r="100" spans="2:21" ht="13.5" thickBot="1" x14ac:dyDescent="0.35">
      <c r="B100" s="460" t="s">
        <v>67</v>
      </c>
      <c r="C100" s="194">
        <f t="shared" si="20"/>
        <v>0</v>
      </c>
      <c r="D100" s="194">
        <f t="shared" si="20"/>
        <v>0</v>
      </c>
      <c r="E100" s="194">
        <f t="shared" si="20"/>
        <v>0</v>
      </c>
      <c r="F100" s="194">
        <f t="shared" si="20"/>
        <v>138</v>
      </c>
      <c r="G100" s="194">
        <f t="shared" si="20"/>
        <v>157</v>
      </c>
      <c r="H100" s="194">
        <f t="shared" si="20"/>
        <v>0</v>
      </c>
      <c r="I100" s="197">
        <f t="shared" si="20"/>
        <v>295</v>
      </c>
      <c r="J100" s="224">
        <f>J96+J98</f>
        <v>631.07543252595156</v>
      </c>
      <c r="K100" s="225">
        <f>K96+K98</f>
        <v>70680.448442906563</v>
      </c>
      <c r="L100" s="226">
        <f>L96+L98</f>
        <v>70680.448442906563</v>
      </c>
      <c r="M100" s="196">
        <f>M96+M98</f>
        <v>656.31844982698965</v>
      </c>
      <c r="N100" s="194">
        <f>N96+N98</f>
        <v>73507.666380622846</v>
      </c>
      <c r="O100" s="197">
        <f>O96+O98</f>
        <v>73507.666380622846</v>
      </c>
      <c r="P100" s="261">
        <f>P96+P98</f>
        <v>669.44481882352932</v>
      </c>
      <c r="Q100" s="225">
        <f>Q96+Q98</f>
        <v>74977.819708235285</v>
      </c>
      <c r="R100" s="226">
        <f>R96+R98</f>
        <v>74977.819708235285</v>
      </c>
      <c r="S100" s="206">
        <f t="shared" si="19"/>
        <v>73055.311510588232</v>
      </c>
      <c r="T100" s="208" t="s">
        <v>12</v>
      </c>
      <c r="U100" s="203" t="s">
        <v>12</v>
      </c>
    </row>
    <row r="101" spans="2:21" ht="13.5" thickTop="1" thickBot="1" x14ac:dyDescent="0.3">
      <c r="B101" s="144"/>
      <c r="D101" s="513"/>
      <c r="E101" s="513"/>
      <c r="F101" s="513"/>
      <c r="G101" s="513"/>
      <c r="H101" s="513"/>
      <c r="I101" s="513"/>
      <c r="J101" s="513"/>
      <c r="K101" s="513"/>
      <c r="L101" s="513"/>
      <c r="M101" s="513"/>
      <c r="N101" s="513"/>
      <c r="O101" s="513"/>
      <c r="P101" s="513"/>
      <c r="Q101" s="513"/>
      <c r="R101" s="513"/>
      <c r="S101" s="513"/>
      <c r="T101" s="513"/>
      <c r="U101" s="515"/>
    </row>
    <row r="102" spans="2:21" ht="19" thickTop="1" thickBot="1" x14ac:dyDescent="0.45">
      <c r="B102" s="456" t="s">
        <v>121</v>
      </c>
      <c r="C102" s="188" t="str">
        <f>C2</f>
        <v>Pb</v>
      </c>
      <c r="E102" s="3"/>
      <c r="F102" s="9"/>
      <c r="G102" s="3"/>
      <c r="H102" s="3"/>
      <c r="I102" s="35"/>
      <c r="J102" s="67" t="str">
        <f>J2</f>
        <v>Year 1</v>
      </c>
      <c r="K102" s="67">
        <f>K2</f>
        <v>2023</v>
      </c>
      <c r="L102" s="35"/>
      <c r="M102" s="67" t="str">
        <f>M2</f>
        <v>Year 2</v>
      </c>
      <c r="N102" s="67">
        <f>N2</f>
        <v>2024</v>
      </c>
      <c r="O102" s="35"/>
      <c r="P102" s="67" t="str">
        <f>P2</f>
        <v>Year 3</v>
      </c>
      <c r="Q102" s="67">
        <f>Q2</f>
        <v>2025</v>
      </c>
      <c r="R102" s="35"/>
      <c r="S102" s="124"/>
      <c r="T102" s="105"/>
      <c r="U102" s="468"/>
    </row>
    <row r="103" spans="2:21" ht="13.5" thickBot="1" x14ac:dyDescent="0.35">
      <c r="B103" s="144"/>
      <c r="C103" s="152" t="s">
        <v>45</v>
      </c>
      <c r="D103" s="149" t="s">
        <v>46</v>
      </c>
      <c r="E103" s="149" t="s">
        <v>47</v>
      </c>
      <c r="F103" s="160" t="s">
        <v>48</v>
      </c>
      <c r="G103" s="151" t="s">
        <v>49</v>
      </c>
      <c r="H103" s="149" t="s">
        <v>50</v>
      </c>
      <c r="I103" s="150" t="s">
        <v>13</v>
      </c>
      <c r="J103" s="270" t="s">
        <v>56</v>
      </c>
      <c r="K103" s="271" t="s">
        <v>13</v>
      </c>
      <c r="L103" s="272" t="s">
        <v>68</v>
      </c>
      <c r="M103" s="151" t="s">
        <v>56</v>
      </c>
      <c r="N103" s="149" t="s">
        <v>13</v>
      </c>
      <c r="O103" s="150" t="s">
        <v>68</v>
      </c>
      <c r="P103" s="270" t="s">
        <v>56</v>
      </c>
      <c r="Q103" s="271" t="s">
        <v>13</v>
      </c>
      <c r="R103" s="272" t="s">
        <v>68</v>
      </c>
      <c r="S103" s="152"/>
      <c r="T103" s="153"/>
      <c r="U103" s="469"/>
    </row>
    <row r="104" spans="2:21" ht="13" x14ac:dyDescent="0.3">
      <c r="B104" s="470" t="s">
        <v>97</v>
      </c>
      <c r="C104" s="155">
        <f t="shared" ref="C104:S104" si="21">C15</f>
        <v>0</v>
      </c>
      <c r="D104" s="147">
        <f t="shared" si="21"/>
        <v>6</v>
      </c>
      <c r="E104" s="147">
        <f t="shared" si="21"/>
        <v>2</v>
      </c>
      <c r="F104" s="147">
        <f t="shared" si="21"/>
        <v>7</v>
      </c>
      <c r="G104" s="147">
        <f t="shared" si="21"/>
        <v>5</v>
      </c>
      <c r="H104" s="147">
        <f t="shared" si="21"/>
        <v>5</v>
      </c>
      <c r="I104" s="148">
        <f t="shared" si="21"/>
        <v>25</v>
      </c>
      <c r="J104" s="234" t="str">
        <f t="shared" si="21"/>
        <v>NA</v>
      </c>
      <c r="K104" s="273">
        <f t="shared" si="21"/>
        <v>625</v>
      </c>
      <c r="L104" s="274">
        <f t="shared" si="21"/>
        <v>89.285714285714278</v>
      </c>
      <c r="M104" s="38" t="str">
        <f t="shared" si="21"/>
        <v>NA</v>
      </c>
      <c r="N104" s="147">
        <f t="shared" si="21"/>
        <v>625</v>
      </c>
      <c r="O104" s="148">
        <f t="shared" si="21"/>
        <v>89.285714285714292</v>
      </c>
      <c r="P104" s="234" t="str">
        <f t="shared" si="21"/>
        <v>NA</v>
      </c>
      <c r="Q104" s="273">
        <f t="shared" si="21"/>
        <v>625</v>
      </c>
      <c r="R104" s="274">
        <f t="shared" si="21"/>
        <v>89.285714285714292</v>
      </c>
      <c r="S104" s="148">
        <f t="shared" si="21"/>
        <v>89.285714285714278</v>
      </c>
      <c r="T104" s="31"/>
      <c r="U104" s="111"/>
    </row>
    <row r="105" spans="2:21" ht="13.5" thickBot="1" x14ac:dyDescent="0.35">
      <c r="B105" s="471" t="s">
        <v>76</v>
      </c>
      <c r="C105" s="161">
        <f t="shared" ref="C105:S105" si="22">C16</f>
        <v>0</v>
      </c>
      <c r="D105" s="162">
        <f t="shared" si="22"/>
        <v>145</v>
      </c>
      <c r="E105" s="162">
        <f t="shared" si="22"/>
        <v>50</v>
      </c>
      <c r="F105" s="162">
        <f t="shared" si="22"/>
        <v>193</v>
      </c>
      <c r="G105" s="162">
        <f t="shared" si="22"/>
        <v>157</v>
      </c>
      <c r="H105" s="162">
        <f t="shared" si="22"/>
        <v>189</v>
      </c>
      <c r="I105" s="163">
        <f t="shared" si="22"/>
        <v>734</v>
      </c>
      <c r="J105" s="275">
        <f t="shared" si="22"/>
        <v>1570.2012456747402</v>
      </c>
      <c r="K105" s="276">
        <f t="shared" si="22"/>
        <v>39255.031141868509</v>
      </c>
      <c r="L105" s="277">
        <f t="shared" si="22"/>
        <v>5607.8615916955014</v>
      </c>
      <c r="M105" s="161">
        <f t="shared" si="22"/>
        <v>1633.0092955017303</v>
      </c>
      <c r="N105" s="162">
        <f t="shared" si="22"/>
        <v>40825.232387543256</v>
      </c>
      <c r="O105" s="163">
        <f t="shared" si="22"/>
        <v>5832.1760553633221</v>
      </c>
      <c r="P105" s="275">
        <f t="shared" si="22"/>
        <v>1665.6694814117645</v>
      </c>
      <c r="Q105" s="276">
        <f t="shared" si="22"/>
        <v>41641.737035294114</v>
      </c>
      <c r="R105" s="277">
        <f t="shared" si="22"/>
        <v>5948.8195764705879</v>
      </c>
      <c r="S105" s="163">
        <f t="shared" si="22"/>
        <v>5796.2857411764708</v>
      </c>
      <c r="T105" s="164" t="str">
        <f>T16</f>
        <v>NA</v>
      </c>
      <c r="U105" s="322" t="s">
        <v>12</v>
      </c>
    </row>
    <row r="106" spans="2:21" ht="13" x14ac:dyDescent="0.3">
      <c r="B106" s="472" t="s">
        <v>98</v>
      </c>
      <c r="C106" s="155">
        <f t="shared" ref="C106:S106" si="23">C29</f>
        <v>8</v>
      </c>
      <c r="D106" s="147">
        <f t="shared" si="23"/>
        <v>8</v>
      </c>
      <c r="E106" s="147">
        <f t="shared" si="23"/>
        <v>0</v>
      </c>
      <c r="F106" s="147">
        <f t="shared" si="23"/>
        <v>0</v>
      </c>
      <c r="G106" s="147">
        <f t="shared" si="23"/>
        <v>0</v>
      </c>
      <c r="H106" s="147">
        <f t="shared" si="23"/>
        <v>0</v>
      </c>
      <c r="I106" s="148">
        <f t="shared" si="23"/>
        <v>16</v>
      </c>
      <c r="J106" s="234" t="str">
        <f t="shared" si="23"/>
        <v>NA</v>
      </c>
      <c r="K106" s="273">
        <f t="shared" si="23"/>
        <v>1792</v>
      </c>
      <c r="L106" s="274">
        <f t="shared" si="23"/>
        <v>256</v>
      </c>
      <c r="M106" s="38" t="str">
        <f t="shared" si="23"/>
        <v>NA</v>
      </c>
      <c r="N106" s="147">
        <f t="shared" si="23"/>
        <v>1792</v>
      </c>
      <c r="O106" s="148">
        <f t="shared" si="23"/>
        <v>256</v>
      </c>
      <c r="P106" s="234" t="str">
        <f t="shared" si="23"/>
        <v>NA</v>
      </c>
      <c r="Q106" s="273">
        <f t="shared" si="23"/>
        <v>1792</v>
      </c>
      <c r="R106" s="274">
        <f t="shared" si="23"/>
        <v>256</v>
      </c>
      <c r="S106" s="148">
        <f t="shared" si="23"/>
        <v>256</v>
      </c>
      <c r="T106" s="31"/>
      <c r="U106" s="111"/>
    </row>
    <row r="107" spans="2:21" ht="13.5" thickBot="1" x14ac:dyDescent="0.35">
      <c r="B107" s="471" t="s">
        <v>76</v>
      </c>
      <c r="C107" s="165">
        <f t="shared" ref="C107:S107" si="24">C30</f>
        <v>182</v>
      </c>
      <c r="D107" s="166">
        <f t="shared" si="24"/>
        <v>194</v>
      </c>
      <c r="E107" s="166">
        <f t="shared" si="24"/>
        <v>0</v>
      </c>
      <c r="F107" s="166">
        <f t="shared" si="24"/>
        <v>0</v>
      </c>
      <c r="G107" s="166">
        <f t="shared" si="24"/>
        <v>0</v>
      </c>
      <c r="H107" s="166">
        <f t="shared" si="24"/>
        <v>0</v>
      </c>
      <c r="I107" s="167">
        <f t="shared" si="24"/>
        <v>376</v>
      </c>
      <c r="J107" s="278">
        <f t="shared" si="24"/>
        <v>804.35377162629743</v>
      </c>
      <c r="K107" s="245">
        <f t="shared" si="24"/>
        <v>0</v>
      </c>
      <c r="L107" s="246">
        <f t="shared" si="24"/>
        <v>92658.162496978926</v>
      </c>
      <c r="M107" s="165">
        <f t="shared" si="24"/>
        <v>836.5279224913495</v>
      </c>
      <c r="N107" s="166">
        <f t="shared" si="24"/>
        <v>0</v>
      </c>
      <c r="O107" s="167">
        <f t="shared" si="24"/>
        <v>96364.488996858068</v>
      </c>
      <c r="P107" s="278">
        <f t="shared" si="24"/>
        <v>853.25848094117634</v>
      </c>
      <c r="Q107" s="245">
        <f t="shared" si="24"/>
        <v>0</v>
      </c>
      <c r="R107" s="246">
        <f t="shared" si="24"/>
        <v>98291.778776795225</v>
      </c>
      <c r="S107" s="167">
        <f t="shared" si="24"/>
        <v>13302.080933647059</v>
      </c>
      <c r="T107" s="168" t="str">
        <f>T30</f>
        <v>NA</v>
      </c>
      <c r="U107" s="473">
        <f>U30</f>
        <v>82469.395823230356</v>
      </c>
    </row>
    <row r="108" spans="2:21" ht="13" x14ac:dyDescent="0.3">
      <c r="B108" s="472" t="s">
        <v>156</v>
      </c>
      <c r="C108" s="156">
        <f t="shared" ref="C108:S108" si="25">C41</f>
        <v>0</v>
      </c>
      <c r="D108" s="21">
        <f t="shared" si="25"/>
        <v>30</v>
      </c>
      <c r="E108" s="21">
        <f t="shared" si="25"/>
        <v>60</v>
      </c>
      <c r="F108" s="21">
        <f t="shared" si="25"/>
        <v>0</v>
      </c>
      <c r="G108" s="21">
        <f t="shared" si="25"/>
        <v>0</v>
      </c>
      <c r="H108" s="21">
        <f t="shared" si="25"/>
        <v>0</v>
      </c>
      <c r="I108" s="157">
        <f t="shared" si="25"/>
        <v>90</v>
      </c>
      <c r="J108" s="279" t="str">
        <f t="shared" si="25"/>
        <v>NA</v>
      </c>
      <c r="K108" s="280">
        <f t="shared" si="25"/>
        <v>10080</v>
      </c>
      <c r="L108" s="281">
        <f t="shared" si="25"/>
        <v>10080</v>
      </c>
      <c r="M108" s="158" t="str">
        <f t="shared" si="25"/>
        <v>NA</v>
      </c>
      <c r="N108" s="21">
        <f t="shared" si="25"/>
        <v>10080</v>
      </c>
      <c r="O108" s="157">
        <f t="shared" si="25"/>
        <v>10080</v>
      </c>
      <c r="P108" s="279" t="str">
        <f t="shared" si="25"/>
        <v>NA</v>
      </c>
      <c r="Q108" s="280">
        <f t="shared" si="25"/>
        <v>10080</v>
      </c>
      <c r="R108" s="281">
        <f t="shared" si="25"/>
        <v>10080</v>
      </c>
      <c r="S108" s="157">
        <f t="shared" si="25"/>
        <v>10080</v>
      </c>
      <c r="T108" s="159" t="str">
        <f>T21</f>
        <v>NA</v>
      </c>
      <c r="U108" s="119" t="s">
        <v>12</v>
      </c>
    </row>
    <row r="109" spans="2:21" ht="13.5" thickBot="1" x14ac:dyDescent="0.35">
      <c r="B109" s="471" t="s">
        <v>76</v>
      </c>
      <c r="C109" s="169">
        <f t="shared" ref="C109:S109" si="26">C42</f>
        <v>0</v>
      </c>
      <c r="D109" s="166">
        <f t="shared" si="26"/>
        <v>30</v>
      </c>
      <c r="E109" s="166">
        <f t="shared" si="26"/>
        <v>60</v>
      </c>
      <c r="F109" s="166">
        <f t="shared" si="26"/>
        <v>0</v>
      </c>
      <c r="G109" s="166">
        <f t="shared" si="26"/>
        <v>0</v>
      </c>
      <c r="H109" s="166">
        <f t="shared" si="26"/>
        <v>0</v>
      </c>
      <c r="I109" s="167">
        <f t="shared" si="26"/>
        <v>2389</v>
      </c>
      <c r="J109" s="278">
        <f t="shared" si="26"/>
        <v>7098.7864665150137</v>
      </c>
      <c r="K109" s="245">
        <f t="shared" si="26"/>
        <v>795064.08424968179</v>
      </c>
      <c r="L109" s="246">
        <f t="shared" si="26"/>
        <v>795064.08424968179</v>
      </c>
      <c r="M109" s="165">
        <f t="shared" si="26"/>
        <v>5169.9367988557096</v>
      </c>
      <c r="N109" s="166">
        <f t="shared" si="26"/>
        <v>600155.11404125672</v>
      </c>
      <c r="O109" s="167">
        <f t="shared" si="26"/>
        <v>600155.11404125672</v>
      </c>
      <c r="P109" s="278">
        <f t="shared" si="26"/>
        <v>7530.392683679127</v>
      </c>
      <c r="Q109" s="245">
        <f t="shared" si="26"/>
        <v>843403.98057206208</v>
      </c>
      <c r="R109" s="246">
        <f t="shared" si="26"/>
        <v>843403.98057206208</v>
      </c>
      <c r="S109" s="167">
        <f t="shared" si="26"/>
        <v>554477.43210917641</v>
      </c>
      <c r="T109" s="167">
        <f>T42</f>
        <v>41984.419691826355</v>
      </c>
      <c r="U109" s="636">
        <f>U42</f>
        <v>225316.38567946813</v>
      </c>
    </row>
    <row r="110" spans="2:21" ht="13" x14ac:dyDescent="0.3">
      <c r="B110" s="472" t="s">
        <v>99</v>
      </c>
      <c r="C110" s="156">
        <f t="shared" ref="C110:S110" si="27">C53</f>
        <v>0</v>
      </c>
      <c r="D110" s="21">
        <f t="shared" si="27"/>
        <v>16</v>
      </c>
      <c r="E110" s="21">
        <f t="shared" si="27"/>
        <v>0</v>
      </c>
      <c r="F110" s="21">
        <f t="shared" si="27"/>
        <v>0</v>
      </c>
      <c r="G110" s="21">
        <f t="shared" si="27"/>
        <v>0</v>
      </c>
      <c r="H110" s="21">
        <f t="shared" si="27"/>
        <v>0</v>
      </c>
      <c r="I110" s="157">
        <f t="shared" si="27"/>
        <v>16</v>
      </c>
      <c r="J110" s="279" t="str">
        <f t="shared" si="27"/>
        <v>NA</v>
      </c>
      <c r="K110" s="280">
        <f t="shared" si="27"/>
        <v>1792</v>
      </c>
      <c r="L110" s="281">
        <f t="shared" si="27"/>
        <v>1792</v>
      </c>
      <c r="M110" s="158" t="str">
        <f t="shared" si="27"/>
        <v>NA</v>
      </c>
      <c r="N110" s="21">
        <f t="shared" si="27"/>
        <v>1792</v>
      </c>
      <c r="O110" s="157">
        <f t="shared" si="27"/>
        <v>1792</v>
      </c>
      <c r="P110" s="279" t="str">
        <f t="shared" si="27"/>
        <v>NA</v>
      </c>
      <c r="Q110" s="280">
        <f t="shared" si="27"/>
        <v>1792</v>
      </c>
      <c r="R110" s="281">
        <f t="shared" si="27"/>
        <v>1792</v>
      </c>
      <c r="S110" s="157">
        <f t="shared" si="27"/>
        <v>1792</v>
      </c>
      <c r="T110" s="31"/>
      <c r="U110" s="111"/>
    </row>
    <row r="111" spans="2:21" ht="13.5" thickBot="1" x14ac:dyDescent="0.35">
      <c r="B111" s="471" t="s">
        <v>76</v>
      </c>
      <c r="C111" s="165">
        <f t="shared" ref="C111:S111" si="28">C54</f>
        <v>0</v>
      </c>
      <c r="D111" s="166">
        <f t="shared" si="28"/>
        <v>388</v>
      </c>
      <c r="E111" s="166">
        <f t="shared" si="28"/>
        <v>0</v>
      </c>
      <c r="F111" s="166">
        <f t="shared" si="28"/>
        <v>0</v>
      </c>
      <c r="G111" s="166">
        <f t="shared" si="28"/>
        <v>0</v>
      </c>
      <c r="H111" s="166">
        <f t="shared" si="28"/>
        <v>0</v>
      </c>
      <c r="I111" s="167">
        <f t="shared" si="28"/>
        <v>688</v>
      </c>
      <c r="J111" s="278">
        <f t="shared" si="28"/>
        <v>1192.6996464552831</v>
      </c>
      <c r="K111" s="245">
        <f t="shared" si="28"/>
        <v>133582.3604029917</v>
      </c>
      <c r="L111" s="246">
        <f t="shared" si="28"/>
        <v>133582.3604029917</v>
      </c>
      <c r="M111" s="169">
        <f t="shared" si="28"/>
        <v>1240.4076323134946</v>
      </c>
      <c r="N111" s="166">
        <f t="shared" si="28"/>
        <v>138925.6548191114</v>
      </c>
      <c r="O111" s="167">
        <f t="shared" si="28"/>
        <v>138925.6548191114</v>
      </c>
      <c r="P111" s="278">
        <f t="shared" si="28"/>
        <v>1265.2157849597643</v>
      </c>
      <c r="Q111" s="245">
        <f t="shared" si="28"/>
        <v>141704.1679154936</v>
      </c>
      <c r="R111" s="246">
        <f t="shared" si="28"/>
        <v>141704.1679154936</v>
      </c>
      <c r="S111" s="167">
        <f t="shared" si="28"/>
        <v>96086.308020705867</v>
      </c>
      <c r="T111" s="167">
        <f>T54</f>
        <v>41984.419691826355</v>
      </c>
      <c r="U111" s="474" t="s">
        <v>12</v>
      </c>
    </row>
    <row r="112" spans="2:21" ht="13" x14ac:dyDescent="0.3">
      <c r="B112" s="472" t="s">
        <v>100</v>
      </c>
      <c r="C112" s="156">
        <f t="shared" ref="C112:U112" si="29">C69</f>
        <v>0</v>
      </c>
      <c r="D112" s="21">
        <f t="shared" si="29"/>
        <v>0.25</v>
      </c>
      <c r="E112" s="21">
        <f t="shared" si="29"/>
        <v>4</v>
      </c>
      <c r="F112" s="21">
        <f t="shared" si="29"/>
        <v>17</v>
      </c>
      <c r="G112" s="21">
        <f t="shared" si="29"/>
        <v>0</v>
      </c>
      <c r="H112" s="21">
        <f t="shared" si="29"/>
        <v>0</v>
      </c>
      <c r="I112" s="157">
        <f t="shared" si="29"/>
        <v>21.25</v>
      </c>
      <c r="J112" s="279" t="str">
        <f t="shared" si="29"/>
        <v>NA</v>
      </c>
      <c r="K112" s="280">
        <f t="shared" si="29"/>
        <v>2380</v>
      </c>
      <c r="L112" s="281">
        <f t="shared" si="29"/>
        <v>2380</v>
      </c>
      <c r="M112" s="158" t="str">
        <f t="shared" si="29"/>
        <v>NA</v>
      </c>
      <c r="N112" s="21">
        <f t="shared" si="29"/>
        <v>2380</v>
      </c>
      <c r="O112" s="157">
        <f t="shared" si="29"/>
        <v>2380</v>
      </c>
      <c r="P112" s="279" t="str">
        <f t="shared" si="29"/>
        <v>NA</v>
      </c>
      <c r="Q112" s="280">
        <f t="shared" si="29"/>
        <v>2380</v>
      </c>
      <c r="R112" s="281">
        <f t="shared" si="29"/>
        <v>2380</v>
      </c>
      <c r="S112" s="157">
        <f t="shared" si="29"/>
        <v>2380</v>
      </c>
      <c r="T112" s="170" t="str">
        <f t="shared" si="29"/>
        <v>NA</v>
      </c>
      <c r="U112" s="475" t="str">
        <f t="shared" si="29"/>
        <v>NA</v>
      </c>
    </row>
    <row r="113" spans="2:21" ht="13.5" thickBot="1" x14ac:dyDescent="0.35">
      <c r="B113" s="471" t="s">
        <v>76</v>
      </c>
      <c r="C113" s="165">
        <f t="shared" ref="C113:T113" si="30">C70</f>
        <v>0</v>
      </c>
      <c r="D113" s="166">
        <f t="shared" si="30"/>
        <v>6</v>
      </c>
      <c r="E113" s="166">
        <f t="shared" si="30"/>
        <v>101</v>
      </c>
      <c r="F113" s="166">
        <f t="shared" si="30"/>
        <v>469</v>
      </c>
      <c r="G113" s="166">
        <f t="shared" si="30"/>
        <v>0</v>
      </c>
      <c r="H113" s="166">
        <f t="shared" si="30"/>
        <v>0</v>
      </c>
      <c r="I113" s="167">
        <f t="shared" si="30"/>
        <v>576</v>
      </c>
      <c r="J113" s="278">
        <f t="shared" si="30"/>
        <v>2086.3660899653978</v>
      </c>
      <c r="K113" s="245">
        <f t="shared" si="30"/>
        <v>160845.00207612454</v>
      </c>
      <c r="L113" s="246">
        <f t="shared" si="30"/>
        <v>160845.00207612454</v>
      </c>
      <c r="M113" s="165">
        <f t="shared" si="30"/>
        <v>1281.4895833910036</v>
      </c>
      <c r="N113" s="166">
        <f t="shared" si="30"/>
        <v>142405.52995432526</v>
      </c>
      <c r="O113" s="167">
        <f t="shared" si="30"/>
        <v>142405.52995432526</v>
      </c>
      <c r="P113" s="284">
        <f t="shared" si="30"/>
        <v>1307.1193750588234</v>
      </c>
      <c r="Q113" s="245">
        <f t="shared" si="30"/>
        <v>145253.64055341174</v>
      </c>
      <c r="R113" s="246">
        <f t="shared" si="30"/>
        <v>145253.64055341174</v>
      </c>
      <c r="S113" s="167">
        <f t="shared" si="30"/>
        <v>149501.39086128719</v>
      </c>
      <c r="T113" s="168" t="str">
        <f t="shared" si="30"/>
        <v>NA</v>
      </c>
      <c r="U113" s="322" t="s">
        <v>12</v>
      </c>
    </row>
    <row r="114" spans="2:21" ht="13" x14ac:dyDescent="0.3">
      <c r="B114" s="472" t="s">
        <v>101</v>
      </c>
      <c r="C114" s="171">
        <f t="shared" ref="C114:S114" si="31">C89</f>
        <v>6</v>
      </c>
      <c r="D114" s="172">
        <f t="shared" si="31"/>
        <v>21</v>
      </c>
      <c r="E114" s="172">
        <f t="shared" si="31"/>
        <v>3.2</v>
      </c>
      <c r="F114" s="172">
        <f t="shared" si="31"/>
        <v>1.3</v>
      </c>
      <c r="G114" s="172">
        <f t="shared" si="31"/>
        <v>1</v>
      </c>
      <c r="H114" s="172">
        <f t="shared" si="31"/>
        <v>0</v>
      </c>
      <c r="I114" s="54">
        <f t="shared" si="31"/>
        <v>32.5</v>
      </c>
      <c r="J114" s="282" t="str">
        <f t="shared" si="31"/>
        <v>NA</v>
      </c>
      <c r="K114" s="263">
        <f t="shared" si="31"/>
        <v>2552.5</v>
      </c>
      <c r="L114" s="243">
        <f t="shared" si="31"/>
        <v>2312.5</v>
      </c>
      <c r="M114" s="173" t="str">
        <f t="shared" si="31"/>
        <v>NA</v>
      </c>
      <c r="N114" s="36">
        <f t="shared" si="31"/>
        <v>2552.5</v>
      </c>
      <c r="O114" s="54">
        <f t="shared" si="31"/>
        <v>2312.5</v>
      </c>
      <c r="P114" s="282" t="str">
        <f t="shared" si="31"/>
        <v>NA</v>
      </c>
      <c r="Q114" s="263">
        <f t="shared" si="31"/>
        <v>2552.5</v>
      </c>
      <c r="R114" s="243">
        <f t="shared" si="31"/>
        <v>2312.5</v>
      </c>
      <c r="S114" s="54">
        <f t="shared" si="31"/>
        <v>2312.5</v>
      </c>
      <c r="T114" s="42" t="s">
        <v>12</v>
      </c>
      <c r="U114" s="119" t="s">
        <v>12</v>
      </c>
    </row>
    <row r="115" spans="2:21" ht="13.5" thickBot="1" x14ac:dyDescent="0.35">
      <c r="B115" s="471" t="s">
        <v>76</v>
      </c>
      <c r="C115" s="165">
        <f t="shared" ref="C115:S115" si="32">C90</f>
        <v>137</v>
      </c>
      <c r="D115" s="166">
        <f t="shared" si="32"/>
        <v>508</v>
      </c>
      <c r="E115" s="166">
        <f t="shared" si="32"/>
        <v>80</v>
      </c>
      <c r="F115" s="166">
        <f t="shared" si="32"/>
        <v>36</v>
      </c>
      <c r="G115" s="166">
        <f t="shared" si="32"/>
        <v>31</v>
      </c>
      <c r="H115" s="166">
        <f t="shared" si="32"/>
        <v>0</v>
      </c>
      <c r="I115" s="167">
        <f t="shared" si="32"/>
        <v>792</v>
      </c>
      <c r="J115" s="278">
        <f t="shared" si="32"/>
        <v>1694.2770934256055</v>
      </c>
      <c r="K115" s="283">
        <f t="shared" si="32"/>
        <v>133366.56166089964</v>
      </c>
      <c r="L115" s="246">
        <f t="shared" si="32"/>
        <v>120958.97688581313</v>
      </c>
      <c r="M115" s="169">
        <f t="shared" si="32"/>
        <v>1762.0481771626301</v>
      </c>
      <c r="N115" s="175">
        <f t="shared" si="32"/>
        <v>138701.22412733565</v>
      </c>
      <c r="O115" s="167">
        <f t="shared" si="32"/>
        <v>125797.33596124567</v>
      </c>
      <c r="P115" s="278">
        <f t="shared" si="32"/>
        <v>1797.2891407058821</v>
      </c>
      <c r="Q115" s="283">
        <f t="shared" si="32"/>
        <v>141475.24860988234</v>
      </c>
      <c r="R115" s="246">
        <f t="shared" si="32"/>
        <v>128313.28268047057</v>
      </c>
      <c r="S115" s="167">
        <f t="shared" si="32"/>
        <v>125023.19850917645</v>
      </c>
      <c r="T115" s="167">
        <f>T90</f>
        <v>0</v>
      </c>
      <c r="U115" s="322" t="s">
        <v>12</v>
      </c>
    </row>
    <row r="116" spans="2:21" ht="13" x14ac:dyDescent="0.3">
      <c r="B116" s="472" t="s">
        <v>102</v>
      </c>
      <c r="C116" s="156">
        <f t="shared" ref="C116:S116" si="33">C99</f>
        <v>0</v>
      </c>
      <c r="D116" s="21">
        <f t="shared" si="33"/>
        <v>0</v>
      </c>
      <c r="E116" s="21">
        <f t="shared" si="33"/>
        <v>0</v>
      </c>
      <c r="F116" s="21">
        <f t="shared" si="33"/>
        <v>5</v>
      </c>
      <c r="G116" s="21">
        <f t="shared" si="33"/>
        <v>5</v>
      </c>
      <c r="H116" s="21">
        <f t="shared" si="33"/>
        <v>0</v>
      </c>
      <c r="I116" s="157">
        <f t="shared" si="33"/>
        <v>10</v>
      </c>
      <c r="J116" s="279" t="str">
        <f t="shared" si="33"/>
        <v>NA</v>
      </c>
      <c r="K116" s="280">
        <f t="shared" si="33"/>
        <v>1120</v>
      </c>
      <c r="L116" s="281">
        <f t="shared" si="33"/>
        <v>1120</v>
      </c>
      <c r="M116" s="158" t="str">
        <f t="shared" si="33"/>
        <v>NA</v>
      </c>
      <c r="N116" s="21">
        <f t="shared" si="33"/>
        <v>1120</v>
      </c>
      <c r="O116" s="157">
        <f t="shared" si="33"/>
        <v>1120</v>
      </c>
      <c r="P116" s="279" t="str">
        <f t="shared" si="33"/>
        <v>NA</v>
      </c>
      <c r="Q116" s="280">
        <f t="shared" si="33"/>
        <v>1120</v>
      </c>
      <c r="R116" s="281">
        <f t="shared" si="33"/>
        <v>1120</v>
      </c>
      <c r="S116" s="157">
        <f t="shared" si="33"/>
        <v>1120</v>
      </c>
      <c r="T116" s="42" t="s">
        <v>12</v>
      </c>
      <c r="U116" s="119" t="s">
        <v>12</v>
      </c>
    </row>
    <row r="117" spans="2:21" ht="13.5" thickBot="1" x14ac:dyDescent="0.35">
      <c r="B117" s="476" t="s">
        <v>76</v>
      </c>
      <c r="C117" s="176">
        <f t="shared" ref="C117:S117" si="34">C100</f>
        <v>0</v>
      </c>
      <c r="D117" s="177">
        <f t="shared" si="34"/>
        <v>0</v>
      </c>
      <c r="E117" s="177">
        <f t="shared" si="34"/>
        <v>0</v>
      </c>
      <c r="F117" s="177">
        <f t="shared" si="34"/>
        <v>138</v>
      </c>
      <c r="G117" s="177">
        <f t="shared" si="34"/>
        <v>157</v>
      </c>
      <c r="H117" s="177">
        <f t="shared" si="34"/>
        <v>0</v>
      </c>
      <c r="I117" s="178">
        <f t="shared" si="34"/>
        <v>295</v>
      </c>
      <c r="J117" s="252">
        <f t="shared" si="34"/>
        <v>631.07543252595156</v>
      </c>
      <c r="K117" s="253">
        <f t="shared" si="34"/>
        <v>70680.448442906563</v>
      </c>
      <c r="L117" s="254">
        <f t="shared" si="34"/>
        <v>70680.448442906563</v>
      </c>
      <c r="M117" s="176">
        <f t="shared" si="34"/>
        <v>656.31844982698965</v>
      </c>
      <c r="N117" s="177">
        <f t="shared" si="34"/>
        <v>73507.666380622846</v>
      </c>
      <c r="O117" s="178">
        <f t="shared" si="34"/>
        <v>73507.666380622846</v>
      </c>
      <c r="P117" s="259">
        <f t="shared" si="34"/>
        <v>669.44481882352932</v>
      </c>
      <c r="Q117" s="253">
        <f t="shared" si="34"/>
        <v>74977.819708235285</v>
      </c>
      <c r="R117" s="254">
        <f t="shared" si="34"/>
        <v>74977.819708235285</v>
      </c>
      <c r="S117" s="178">
        <f t="shared" si="34"/>
        <v>73055.311510588232</v>
      </c>
      <c r="T117" s="179" t="str">
        <f>T100</f>
        <v>NA</v>
      </c>
      <c r="U117" s="180" t="s">
        <v>12</v>
      </c>
    </row>
    <row r="118" spans="2:21" ht="18.5" thickTop="1" x14ac:dyDescent="0.4">
      <c r="B118" s="477" t="s">
        <v>13</v>
      </c>
      <c r="C118" s="88" t="s">
        <v>45</v>
      </c>
      <c r="D118" s="86" t="s">
        <v>46</v>
      </c>
      <c r="E118" s="86" t="s">
        <v>47</v>
      </c>
      <c r="F118" s="86" t="s">
        <v>48</v>
      </c>
      <c r="G118" s="86" t="s">
        <v>49</v>
      </c>
      <c r="H118" s="86" t="s">
        <v>50</v>
      </c>
      <c r="I118" s="87" t="s">
        <v>13</v>
      </c>
      <c r="J118" s="88" t="s">
        <v>56</v>
      </c>
      <c r="K118" s="86" t="s">
        <v>13</v>
      </c>
      <c r="L118" s="87" t="s">
        <v>68</v>
      </c>
      <c r="M118" s="88" t="s">
        <v>56</v>
      </c>
      <c r="N118" s="86" t="s">
        <v>13</v>
      </c>
      <c r="O118" s="87" t="s">
        <v>68</v>
      </c>
      <c r="P118" s="88" t="s">
        <v>56</v>
      </c>
      <c r="Q118" s="86" t="s">
        <v>13</v>
      </c>
      <c r="R118" s="87" t="s">
        <v>68</v>
      </c>
      <c r="S118" s="87"/>
      <c r="T118" s="31"/>
      <c r="U118" s="111"/>
    </row>
    <row r="119" spans="2:21" x14ac:dyDescent="0.25">
      <c r="B119" s="478" t="s">
        <v>75</v>
      </c>
      <c r="C119" s="154">
        <f t="shared" ref="C119:I120" si="35">C104+C106+C108+C110+C112+C114+C116</f>
        <v>14</v>
      </c>
      <c r="D119" s="58">
        <f t="shared" si="35"/>
        <v>81.25</v>
      </c>
      <c r="E119" s="58">
        <f t="shared" si="35"/>
        <v>69.2</v>
      </c>
      <c r="F119" s="58">
        <f t="shared" si="35"/>
        <v>30.3</v>
      </c>
      <c r="G119" s="58">
        <f t="shared" si="35"/>
        <v>11</v>
      </c>
      <c r="H119" s="58">
        <f t="shared" si="35"/>
        <v>5</v>
      </c>
      <c r="I119" s="57">
        <f t="shared" si="35"/>
        <v>210.75</v>
      </c>
      <c r="J119" s="285" t="s">
        <v>12</v>
      </c>
      <c r="K119" s="231">
        <f>K104+K106+K108+K110+K112+K116</f>
        <v>17789</v>
      </c>
      <c r="L119" s="239">
        <f>L104+L106+L108+L110+L112+L114+L116</f>
        <v>18029.785714285714</v>
      </c>
      <c r="M119" s="83" t="s">
        <v>12</v>
      </c>
      <c r="N119" s="58">
        <f>N104+N106+N108+N110+N112+N116</f>
        <v>17789</v>
      </c>
      <c r="O119" s="57">
        <f>O104+O106+O108+O110+O112+O114+O116</f>
        <v>18029.785714285714</v>
      </c>
      <c r="P119" s="285" t="s">
        <v>12</v>
      </c>
      <c r="Q119" s="231">
        <f>Q104+Q106+Q108+Q110+Q112+Q116</f>
        <v>17789</v>
      </c>
      <c r="R119" s="239">
        <f>R104+R106+R108+R110+R112+R114+R116</f>
        <v>18029.785714285714</v>
      </c>
      <c r="S119" s="141">
        <f>S104+S106+S108+S110+S112+S114+S116</f>
        <v>18029.785714285714</v>
      </c>
      <c r="T119" s="57"/>
      <c r="U119" s="113" t="s">
        <v>12</v>
      </c>
    </row>
    <row r="120" spans="2:21" s="189" customFormat="1" ht="16" thickBot="1" x14ac:dyDescent="0.4">
      <c r="B120" s="479" t="s">
        <v>76</v>
      </c>
      <c r="C120" s="480">
        <f t="shared" si="35"/>
        <v>319</v>
      </c>
      <c r="D120" s="481">
        <f t="shared" si="35"/>
        <v>1271</v>
      </c>
      <c r="E120" s="481">
        <f t="shared" si="35"/>
        <v>291</v>
      </c>
      <c r="F120" s="481">
        <f t="shared" si="35"/>
        <v>836</v>
      </c>
      <c r="G120" s="481">
        <f t="shared" si="35"/>
        <v>345</v>
      </c>
      <c r="H120" s="481">
        <f t="shared" si="35"/>
        <v>189</v>
      </c>
      <c r="I120" s="482">
        <f t="shared" si="35"/>
        <v>5850</v>
      </c>
      <c r="J120" s="483">
        <f>J105+J107+J109+J111+J113+J115+J117</f>
        <v>15077.759746188289</v>
      </c>
      <c r="K120" s="484">
        <f>K105+K107+K109+K111+K113+K117</f>
        <v>1199426.9263135733</v>
      </c>
      <c r="L120" s="485">
        <f>L105+L107+L109+L111+L113+L115+L117</f>
        <v>1379396.8961461922</v>
      </c>
      <c r="M120" s="480">
        <f>M105+M107+M109+M111+M113+M115+M117</f>
        <v>12579.737859542905</v>
      </c>
      <c r="N120" s="486">
        <f>N105+N107+N109+N111+N113+N117</f>
        <v>995819.19758285966</v>
      </c>
      <c r="O120" s="482">
        <f>O105+O107+O109+O111+O113+O115+O117</f>
        <v>1182987.9662087832</v>
      </c>
      <c r="P120" s="487">
        <f>P105+P107+P109+P111+P113+P115+P117</f>
        <v>15088.389765580067</v>
      </c>
      <c r="Q120" s="484">
        <f>Q105+Q107+Q109+Q111+Q113+Q117</f>
        <v>1246981.3457844967</v>
      </c>
      <c r="R120" s="485">
        <f>R105+R107+R109+R111+R113+R115+R117</f>
        <v>1437893.4897829392</v>
      </c>
      <c r="S120" s="488">
        <f>S105+S107+S109+S111+S113+S115+S117</f>
        <v>1017242.0076857577</v>
      </c>
      <c r="T120" s="482">
        <f>SUM(T105,T107,T109,T111,T113,T115,T117)</f>
        <v>83968.83938365271</v>
      </c>
      <c r="U120" s="489">
        <f>SUM(U105,U107,U109,U111,U113,U115,U117)</f>
        <v>307785.78150269849</v>
      </c>
    </row>
  </sheetData>
  <mergeCells count="35">
    <mergeCell ref="Q93:R93"/>
    <mergeCell ref="Q33:R33"/>
    <mergeCell ref="Q45:R45"/>
    <mergeCell ref="Q57:R57"/>
    <mergeCell ref="Q86:R86"/>
    <mergeCell ref="Q74:R74"/>
    <mergeCell ref="G73:I73"/>
    <mergeCell ref="N86:O86"/>
    <mergeCell ref="K93:L93"/>
    <mergeCell ref="N33:O33"/>
    <mergeCell ref="N45:O45"/>
    <mergeCell ref="N74:O74"/>
    <mergeCell ref="N93:O93"/>
    <mergeCell ref="N57:O57"/>
    <mergeCell ref="K33:L33"/>
    <mergeCell ref="G92:I92"/>
    <mergeCell ref="K74:L74"/>
    <mergeCell ref="K57:L57"/>
    <mergeCell ref="G56:I56"/>
    <mergeCell ref="G33:I33"/>
    <mergeCell ref="K45:L45"/>
    <mergeCell ref="G18:I18"/>
    <mergeCell ref="G32:I32"/>
    <mergeCell ref="G45:I45"/>
    <mergeCell ref="G44:I44"/>
    <mergeCell ref="S2:T2"/>
    <mergeCell ref="Q19:R19"/>
    <mergeCell ref="G7:I7"/>
    <mergeCell ref="K19:L19"/>
    <mergeCell ref="F2:G2"/>
    <mergeCell ref="C5:I5"/>
    <mergeCell ref="Q8:R8"/>
    <mergeCell ref="K8:L8"/>
    <mergeCell ref="N8:O8"/>
    <mergeCell ref="N19:O19"/>
  </mergeCells>
  <phoneticPr fontId="2" type="noConversion"/>
  <dataValidations disablePrompts="1" count="1">
    <dataValidation allowBlank="1" showInputMessage="1" showErrorMessage="1" sqref="D35:D37 D21 B37" xr:uid="{00000000-0002-0000-0900-000000000000}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71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22"/>
  <sheetViews>
    <sheetView topLeftCell="E53" workbookViewId="0">
      <selection activeCell="R71" sqref="R71"/>
    </sheetView>
  </sheetViews>
  <sheetFormatPr defaultRowHeight="12.5" x14ac:dyDescent="0.25"/>
  <cols>
    <col min="1" max="1" width="1.1796875" customWidth="1"/>
    <col min="2" max="2" width="31.453125" customWidth="1"/>
    <col min="3" max="3" width="16.54296875" customWidth="1"/>
    <col min="4" max="4" width="10.26953125" bestFit="1" customWidth="1"/>
    <col min="5" max="5" width="11.26953125" customWidth="1"/>
    <col min="6" max="6" width="9.7265625" style="5" customWidth="1"/>
    <col min="7" max="7" width="9.7265625" bestFit="1" customWidth="1"/>
    <col min="8" max="8" width="9.81640625" bestFit="1" customWidth="1"/>
    <col min="9" max="9" width="13.26953125" customWidth="1"/>
    <col min="10" max="10" width="15" customWidth="1"/>
    <col min="11" max="11" width="14.453125" customWidth="1"/>
    <col min="12" max="12" width="15.81640625" customWidth="1"/>
    <col min="13" max="13" width="15.54296875" customWidth="1"/>
    <col min="14" max="14" width="14.54296875" customWidth="1"/>
    <col min="15" max="15" width="14.453125" customWidth="1"/>
    <col min="16" max="16" width="15" customWidth="1"/>
    <col min="17" max="17" width="13.81640625" customWidth="1"/>
    <col min="18" max="18" width="14" customWidth="1"/>
    <col min="19" max="19" width="14.54296875" customWidth="1"/>
    <col min="20" max="20" width="14" customWidth="1"/>
    <col min="21" max="21" width="13.26953125" bestFit="1" customWidth="1"/>
    <col min="22" max="22" width="4.7265625" customWidth="1"/>
  </cols>
  <sheetData>
    <row r="1" spans="1:21" ht="13" thickBot="1" x14ac:dyDescent="0.3">
      <c r="B1" s="335"/>
      <c r="C1" s="335"/>
      <c r="D1" s="335"/>
      <c r="E1" s="335"/>
      <c r="F1" s="336"/>
      <c r="G1" s="335"/>
      <c r="H1" s="335"/>
      <c r="I1" s="335"/>
      <c r="J1" s="335"/>
      <c r="K1" s="335"/>
      <c r="L1" s="335"/>
      <c r="M1" s="335"/>
    </row>
    <row r="2" spans="1:21" ht="18.5" thickTop="1" x14ac:dyDescent="0.4">
      <c r="A2" s="510"/>
      <c r="B2" s="494" t="s">
        <v>0</v>
      </c>
      <c r="C2" s="537" t="s">
        <v>369</v>
      </c>
      <c r="E2" s="326" t="s">
        <v>31</v>
      </c>
      <c r="F2" s="1199">
        <v>43331</v>
      </c>
      <c r="G2" s="1173"/>
      <c r="J2" s="492" t="s">
        <v>5</v>
      </c>
      <c r="K2" s="493">
        <v>2023</v>
      </c>
      <c r="M2" s="490" t="s">
        <v>10</v>
      </c>
      <c r="N2" s="452">
        <f>K2+1</f>
        <v>2024</v>
      </c>
      <c r="O2" s="451"/>
      <c r="P2" s="453" t="s">
        <v>11</v>
      </c>
      <c r="Q2" s="452">
        <f>N2+1</f>
        <v>2025</v>
      </c>
      <c r="R2" s="454"/>
      <c r="S2" s="1165" t="s">
        <v>77</v>
      </c>
      <c r="T2" s="1166"/>
      <c r="U2" s="455" t="s">
        <v>79</v>
      </c>
    </row>
    <row r="3" spans="1:21" ht="15.5" x14ac:dyDescent="0.35">
      <c r="A3" s="510"/>
      <c r="C3" s="1"/>
      <c r="D3" s="25"/>
      <c r="E3" s="2"/>
      <c r="I3" s="326" t="s">
        <v>59</v>
      </c>
      <c r="J3" s="144"/>
      <c r="L3" s="145"/>
      <c r="O3" s="31"/>
      <c r="R3" s="31"/>
      <c r="S3" s="90" t="s">
        <v>71</v>
      </c>
      <c r="T3" s="91">
        <f>AVERAGE(J5,M5,P5)</f>
        <v>39</v>
      </c>
      <c r="U3" s="31"/>
    </row>
    <row r="4" spans="1:21" ht="13" x14ac:dyDescent="0.3">
      <c r="A4" s="510"/>
      <c r="I4" s="43">
        <v>0</v>
      </c>
      <c r="J4" s="326" t="s">
        <v>71</v>
      </c>
      <c r="K4" s="349" t="s">
        <v>371</v>
      </c>
      <c r="L4" s="17">
        <v>43</v>
      </c>
      <c r="M4" s="326" t="s">
        <v>71</v>
      </c>
      <c r="N4" s="349" t="s">
        <v>69</v>
      </c>
      <c r="O4" s="17">
        <v>43</v>
      </c>
      <c r="P4" s="326" t="s">
        <v>71</v>
      </c>
      <c r="Q4" s="349" t="s">
        <v>69</v>
      </c>
      <c r="R4" s="17">
        <v>43</v>
      </c>
      <c r="S4" s="90" t="s">
        <v>69</v>
      </c>
      <c r="T4" s="85">
        <f>AVERAGE(L4,O4,R4)</f>
        <v>43</v>
      </c>
      <c r="U4" s="31"/>
    </row>
    <row r="5" spans="1:21" ht="13.5" thickBot="1" x14ac:dyDescent="0.35">
      <c r="A5" s="510"/>
      <c r="B5" s="495" t="s">
        <v>2</v>
      </c>
      <c r="C5" s="1174"/>
      <c r="D5" s="1175"/>
      <c r="E5" s="1175"/>
      <c r="F5" s="1175"/>
      <c r="G5" s="1175"/>
      <c r="H5" s="1175"/>
      <c r="I5" s="1175"/>
      <c r="J5" s="525">
        <v>39</v>
      </c>
      <c r="K5" s="287" t="s">
        <v>372</v>
      </c>
      <c r="L5" s="288">
        <v>0</v>
      </c>
      <c r="M5" s="526">
        <v>39</v>
      </c>
      <c r="N5" s="287" t="s">
        <v>372</v>
      </c>
      <c r="O5" s="289">
        <v>0</v>
      </c>
      <c r="P5" s="525">
        <v>39</v>
      </c>
      <c r="Q5" s="287" t="s">
        <v>372</v>
      </c>
      <c r="R5" s="288">
        <v>0</v>
      </c>
      <c r="S5" s="191" t="s">
        <v>372</v>
      </c>
      <c r="T5" s="192">
        <f>AVERAGE(L5,O5,R5)</f>
        <v>0</v>
      </c>
      <c r="U5" s="31"/>
    </row>
    <row r="6" spans="1:21" ht="28" thickTop="1" thickBot="1" x14ac:dyDescent="0.45">
      <c r="A6" s="510"/>
      <c r="B6" s="496" t="s">
        <v>73</v>
      </c>
      <c r="C6" s="3"/>
      <c r="D6" s="3"/>
      <c r="E6" s="3"/>
      <c r="F6" s="9"/>
      <c r="G6" s="3"/>
      <c r="H6" s="3"/>
      <c r="I6" s="3"/>
      <c r="J6" s="447"/>
      <c r="K6" s="3"/>
      <c r="L6" s="3"/>
      <c r="M6" s="447"/>
      <c r="N6" s="3"/>
      <c r="O6" s="3"/>
      <c r="P6" s="447"/>
      <c r="Q6" s="3"/>
      <c r="R6" s="3"/>
      <c r="S6" s="448" t="s">
        <v>17</v>
      </c>
      <c r="T6" s="449" t="s">
        <v>103</v>
      </c>
      <c r="U6" s="450"/>
    </row>
    <row r="7" spans="1:21" ht="15.5" x14ac:dyDescent="0.35">
      <c r="A7" s="510"/>
      <c r="B7" s="48" t="s">
        <v>3</v>
      </c>
      <c r="C7" s="193"/>
      <c r="D7" s="349" t="s">
        <v>54</v>
      </c>
      <c r="E7" s="24">
        <v>5</v>
      </c>
      <c r="F7" s="1" t="s">
        <v>6</v>
      </c>
      <c r="G7" s="1169"/>
      <c r="H7" s="1170"/>
      <c r="I7" s="1171"/>
      <c r="J7" s="72" t="s">
        <v>3</v>
      </c>
      <c r="K7" s="146"/>
      <c r="L7" s="62"/>
      <c r="M7" s="48" t="s">
        <v>3</v>
      </c>
      <c r="O7" s="31"/>
      <c r="P7" s="48" t="s">
        <v>3</v>
      </c>
      <c r="R7" s="31"/>
      <c r="S7" s="99"/>
      <c r="T7" s="92"/>
      <c r="U7" s="114"/>
    </row>
    <row r="8" spans="1:21" ht="13" x14ac:dyDescent="0.3">
      <c r="A8" s="510"/>
      <c r="B8" s="497" t="s">
        <v>44</v>
      </c>
      <c r="C8" s="4"/>
      <c r="D8" s="4"/>
      <c r="E8" s="4"/>
      <c r="F8" s="8"/>
      <c r="G8" s="4"/>
      <c r="H8" s="4"/>
      <c r="I8" s="40" t="s">
        <v>55</v>
      </c>
      <c r="J8" s="209" t="s">
        <v>55</v>
      </c>
      <c r="K8" s="1176" t="s">
        <v>57</v>
      </c>
      <c r="L8" s="1168"/>
      <c r="M8" s="50" t="s">
        <v>55</v>
      </c>
      <c r="N8" s="1177" t="s">
        <v>57</v>
      </c>
      <c r="O8" s="1178"/>
      <c r="P8" s="227" t="s">
        <v>55</v>
      </c>
      <c r="Q8" s="1167" t="s">
        <v>57</v>
      </c>
      <c r="R8" s="1168"/>
      <c r="S8" s="100"/>
      <c r="T8" s="118"/>
      <c r="U8" s="116"/>
    </row>
    <row r="9" spans="1:21" ht="13" x14ac:dyDescent="0.3">
      <c r="A9" s="510"/>
      <c r="B9" s="498" t="s">
        <v>53</v>
      </c>
      <c r="C9" s="20" t="s">
        <v>45</v>
      </c>
      <c r="D9" s="20" t="s">
        <v>46</v>
      </c>
      <c r="E9" s="20" t="s">
        <v>47</v>
      </c>
      <c r="F9" s="20" t="s">
        <v>48</v>
      </c>
      <c r="G9" s="20" t="s">
        <v>49</v>
      </c>
      <c r="H9" s="20" t="s">
        <v>50</v>
      </c>
      <c r="I9" s="40" t="s">
        <v>13</v>
      </c>
      <c r="J9" s="210" t="s">
        <v>56</v>
      </c>
      <c r="K9" s="211" t="s">
        <v>13</v>
      </c>
      <c r="L9" s="212" t="s">
        <v>68</v>
      </c>
      <c r="M9" s="66" t="s">
        <v>56</v>
      </c>
      <c r="N9" s="20" t="s">
        <v>13</v>
      </c>
      <c r="O9" s="32" t="s">
        <v>68</v>
      </c>
      <c r="P9" s="211" t="s">
        <v>56</v>
      </c>
      <c r="Q9" s="211" t="s">
        <v>13</v>
      </c>
      <c r="R9" s="212" t="s">
        <v>68</v>
      </c>
      <c r="S9" s="98"/>
      <c r="T9" s="44"/>
      <c r="U9" s="117"/>
    </row>
    <row r="10" spans="1:21" x14ac:dyDescent="0.25">
      <c r="A10" s="510"/>
      <c r="B10" s="499" t="s">
        <v>51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41">
        <f>SUM(C10:H10)</f>
        <v>0</v>
      </c>
      <c r="J10" s="213" t="s">
        <v>12</v>
      </c>
      <c r="K10" s="214">
        <f>I10*$J$5</f>
        <v>0</v>
      </c>
      <c r="L10" s="215">
        <f>K10/$E$7</f>
        <v>0</v>
      </c>
      <c r="M10" s="51" t="s">
        <v>12</v>
      </c>
      <c r="N10" s="351">
        <f>I10*$M$5</f>
        <v>0</v>
      </c>
      <c r="O10" s="57">
        <f>N10/$E$7</f>
        <v>0</v>
      </c>
      <c r="P10" s="213" t="s">
        <v>12</v>
      </c>
      <c r="Q10" s="352">
        <f>$I10*$M$5</f>
        <v>0</v>
      </c>
      <c r="R10" s="239">
        <f>Q10/$E$7</f>
        <v>0</v>
      </c>
      <c r="S10" s="96">
        <f>AVERAGE(L10,O10,R10)</f>
        <v>0</v>
      </c>
      <c r="T10" s="94" t="s">
        <v>12</v>
      </c>
      <c r="U10" s="94" t="s">
        <v>12</v>
      </c>
    </row>
    <row r="11" spans="1:21" s="1" customFormat="1" ht="13.5" thickBot="1" x14ac:dyDescent="0.35">
      <c r="A11" s="511"/>
      <c r="B11" s="327" t="s">
        <v>52</v>
      </c>
      <c r="C11" s="20">
        <f>ROUND(C10*Labor!$D$3,0)</f>
        <v>0</v>
      </c>
      <c r="D11" s="20">
        <f>ROUND(D10*Labor!$D$4,0)</f>
        <v>0</v>
      </c>
      <c r="E11" s="20">
        <f>ROUND(E10*Labor!$D$5,0)</f>
        <v>0</v>
      </c>
      <c r="F11" s="20">
        <f>ROUND(F10*Labor!$D$6,0)</f>
        <v>0</v>
      </c>
      <c r="G11" s="20">
        <f>ROUND(G10*Labor!$D$7,0)</f>
        <v>0</v>
      </c>
      <c r="H11" s="20">
        <f>ROUND(H10*Labor!$D$8,0)</f>
        <v>0</v>
      </c>
      <c r="I11" s="314">
        <f>SUM(C11:H11)</f>
        <v>0</v>
      </c>
      <c r="J11" s="284">
        <f>HLOOKUP(K$2,InflationTable,2)/HLOOKUP(Labor!$B$11,InflationTable,2)*$I11</f>
        <v>0</v>
      </c>
      <c r="K11" s="315">
        <f>J11*$J$5</f>
        <v>0</v>
      </c>
      <c r="L11" s="316">
        <f>K11/$E$7</f>
        <v>0</v>
      </c>
      <c r="M11" s="169">
        <f>HLOOKUP(N$2,InflationTable,2)/HLOOKUP(Labor!$B$11,InflationTable,2)*$I11</f>
        <v>0</v>
      </c>
      <c r="N11" s="317">
        <f>M11*$J$5</f>
        <v>0</v>
      </c>
      <c r="O11" s="318">
        <f>N11/$E$7</f>
        <v>0</v>
      </c>
      <c r="P11" s="284">
        <f>HLOOKUP(Q$2,InflationTable,2)/HLOOKUP(Labor!$B$11,InflationTable,2)*$I11</f>
        <v>0</v>
      </c>
      <c r="Q11" s="315">
        <f>P11*$J$5</f>
        <v>0</v>
      </c>
      <c r="R11" s="316">
        <f>Q11/$E$7</f>
        <v>0</v>
      </c>
      <c r="S11" s="312">
        <f>AVERAGE(L11,O11,R11)</f>
        <v>0</v>
      </c>
      <c r="T11" s="313" t="s">
        <v>12</v>
      </c>
      <c r="U11" s="313" t="s">
        <v>12</v>
      </c>
    </row>
    <row r="12" spans="1:21" ht="13" x14ac:dyDescent="0.3">
      <c r="A12" s="510"/>
      <c r="B12" s="1" t="s">
        <v>7</v>
      </c>
      <c r="H12" s="6"/>
      <c r="I12" s="31"/>
      <c r="J12" s="216"/>
      <c r="K12" s="216"/>
      <c r="L12" s="217"/>
      <c r="O12" s="37"/>
      <c r="P12" s="330"/>
      <c r="Q12" s="330"/>
      <c r="R12" s="240"/>
      <c r="S12" s="97"/>
      <c r="T12" s="31"/>
      <c r="U12" s="31"/>
    </row>
    <row r="13" spans="1:21" x14ac:dyDescent="0.25">
      <c r="A13" s="510"/>
      <c r="B13" s="499" t="s">
        <v>51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41">
        <f>SUM(C13:H13)</f>
        <v>0</v>
      </c>
      <c r="J13" s="213" t="s">
        <v>12</v>
      </c>
      <c r="K13" s="214">
        <f>I13*$J$5</f>
        <v>0</v>
      </c>
      <c r="L13" s="215">
        <f>K13/$E$7</f>
        <v>0</v>
      </c>
      <c r="M13" s="51" t="s">
        <v>12</v>
      </c>
      <c r="N13" s="10">
        <f>I13*$M$5</f>
        <v>0</v>
      </c>
      <c r="O13" s="52">
        <f>N13/$E$7</f>
        <v>0</v>
      </c>
      <c r="P13" s="213" t="s">
        <v>12</v>
      </c>
      <c r="Q13" s="241">
        <f>$I13*$P$5</f>
        <v>0</v>
      </c>
      <c r="R13" s="232">
        <f>Q13/$E$7</f>
        <v>0</v>
      </c>
      <c r="S13" s="96">
        <f>AVERAGE(L13,O13,R13)</f>
        <v>0</v>
      </c>
      <c r="T13" s="94" t="s">
        <v>12</v>
      </c>
      <c r="U13" s="94" t="s">
        <v>12</v>
      </c>
    </row>
    <row r="14" spans="1:21" s="1" customFormat="1" ht="13.5" thickBot="1" x14ac:dyDescent="0.35">
      <c r="A14" s="511"/>
      <c r="B14" s="500" t="s">
        <v>52</v>
      </c>
      <c r="C14" s="310">
        <f>ROUND(C13*Labor!$D$3,0)</f>
        <v>0</v>
      </c>
      <c r="D14" s="310">
        <f>ROUND(D13*Labor!$D$4,0)</f>
        <v>0</v>
      </c>
      <c r="E14" s="310">
        <f>ROUND(E13*Labor!$D$5,0)</f>
        <v>0</v>
      </c>
      <c r="F14" s="310">
        <f>ROUND(F13*Labor!$D$6,0)</f>
        <v>0</v>
      </c>
      <c r="G14" s="310">
        <f>ROUND(G13*Labor!$D$7,0)</f>
        <v>0</v>
      </c>
      <c r="H14" s="310">
        <f>ROUND(H13*Labor!$D$8,0)</f>
        <v>0</v>
      </c>
      <c r="I14" s="311">
        <f>SUM(C14:H14)</f>
        <v>0</v>
      </c>
      <c r="J14" s="284">
        <f>HLOOKUP(K$2,InflationTable,2)/HLOOKUP(Labor!$B$11,InflationTable,2)*$I14</f>
        <v>0</v>
      </c>
      <c r="K14" s="245">
        <f>J14*$J$5</f>
        <v>0</v>
      </c>
      <c r="L14" s="246">
        <f>K14/$E$7</f>
        <v>0</v>
      </c>
      <c r="M14" s="169">
        <f>HLOOKUP(N$2,InflationTable,2)/HLOOKUP(Labor!$B$11,InflationTable,2)*$I14</f>
        <v>0</v>
      </c>
      <c r="N14" s="166">
        <f>M14*$J$5</f>
        <v>0</v>
      </c>
      <c r="O14" s="167">
        <f>N14/$E$7</f>
        <v>0</v>
      </c>
      <c r="P14" s="284">
        <f>HLOOKUP(Q$2,InflationTable,2)/HLOOKUP(Labor!$B$11,InflationTable,2)*$I14</f>
        <v>0</v>
      </c>
      <c r="Q14" s="245">
        <f>P14*$J$5</f>
        <v>0</v>
      </c>
      <c r="R14" s="246">
        <f>Q14/$E$7</f>
        <v>0</v>
      </c>
      <c r="S14" s="312">
        <f>AVERAGE(L14,O14,R14)</f>
        <v>0</v>
      </c>
      <c r="T14" s="313" t="s">
        <v>12</v>
      </c>
      <c r="U14" s="313" t="s">
        <v>12</v>
      </c>
    </row>
    <row r="15" spans="1:21" ht="13" x14ac:dyDescent="0.3">
      <c r="A15" s="510"/>
      <c r="B15" s="501" t="s">
        <v>66</v>
      </c>
      <c r="C15" s="28">
        <f t="shared" ref="C15:I16" si="0">C10+C13</f>
        <v>0</v>
      </c>
      <c r="D15" s="28">
        <f t="shared" si="0"/>
        <v>0</v>
      </c>
      <c r="E15" s="28">
        <f t="shared" si="0"/>
        <v>0</v>
      </c>
      <c r="F15" s="28">
        <f t="shared" si="0"/>
        <v>0</v>
      </c>
      <c r="G15" s="28">
        <f t="shared" si="0"/>
        <v>0</v>
      </c>
      <c r="H15" s="28">
        <f t="shared" si="0"/>
        <v>0</v>
      </c>
      <c r="I15" s="42">
        <f t="shared" si="0"/>
        <v>0</v>
      </c>
      <c r="J15" s="221" t="s">
        <v>12</v>
      </c>
      <c r="K15" s="222">
        <f>K10+K13</f>
        <v>0</v>
      </c>
      <c r="L15" s="223">
        <f>L10+L13</f>
        <v>0</v>
      </c>
      <c r="M15" s="53" t="s">
        <v>12</v>
      </c>
      <c r="N15">
        <f>I15*$M$5</f>
        <v>0</v>
      </c>
      <c r="O15" s="54">
        <f>N15/$E$7</f>
        <v>0</v>
      </c>
      <c r="P15" s="242" t="s">
        <v>12</v>
      </c>
      <c r="Q15" s="352">
        <f>$I15*$P$5</f>
        <v>0</v>
      </c>
      <c r="R15" s="243">
        <f>Q15/$E$7</f>
        <v>0</v>
      </c>
      <c r="S15" s="96">
        <f>AVERAGE(L15,O15,R15)</f>
        <v>0</v>
      </c>
      <c r="T15" s="94" t="s">
        <v>12</v>
      </c>
      <c r="U15" s="94" t="s">
        <v>12</v>
      </c>
    </row>
    <row r="16" spans="1:21" ht="13.5" thickBot="1" x14ac:dyDescent="0.35">
      <c r="A16" s="510"/>
      <c r="B16" s="502" t="s">
        <v>67</v>
      </c>
      <c r="C16" s="194">
        <f t="shared" si="0"/>
        <v>0</v>
      </c>
      <c r="D16" s="194">
        <f t="shared" si="0"/>
        <v>0</v>
      </c>
      <c r="E16" s="194">
        <f t="shared" si="0"/>
        <v>0</v>
      </c>
      <c r="F16" s="194">
        <f t="shared" si="0"/>
        <v>0</v>
      </c>
      <c r="G16" s="194">
        <f t="shared" si="0"/>
        <v>0</v>
      </c>
      <c r="H16" s="194">
        <f t="shared" si="0"/>
        <v>0</v>
      </c>
      <c r="I16" s="195">
        <f t="shared" si="0"/>
        <v>0</v>
      </c>
      <c r="J16" s="224">
        <f>J11+J14</f>
        <v>0</v>
      </c>
      <c r="K16" s="225">
        <f>K11+K14</f>
        <v>0</v>
      </c>
      <c r="L16" s="226">
        <f>L11+L14</f>
        <v>0</v>
      </c>
      <c r="M16" s="196">
        <f>M11+M14</f>
        <v>0</v>
      </c>
      <c r="N16" s="194">
        <f>N11+N14</f>
        <v>0</v>
      </c>
      <c r="O16" s="197">
        <f>O11+O14</f>
        <v>0</v>
      </c>
      <c r="P16" s="244">
        <f>P11+P14</f>
        <v>0</v>
      </c>
      <c r="Q16" s="245">
        <f>P16*$P$5</f>
        <v>0</v>
      </c>
      <c r="R16" s="246">
        <f>Q16/$E$7</f>
        <v>0</v>
      </c>
      <c r="S16" s="169">
        <f>AVERAGE(L16,O16,R16)</f>
        <v>0</v>
      </c>
      <c r="T16" s="174" t="s">
        <v>12</v>
      </c>
      <c r="U16" s="174" t="s">
        <v>12</v>
      </c>
    </row>
    <row r="17" spans="1:21" ht="13.5" thickTop="1" thickBot="1" x14ac:dyDescent="0.3">
      <c r="A17" s="510"/>
      <c r="B17" s="512"/>
      <c r="C17" s="513"/>
      <c r="D17" s="513"/>
      <c r="E17" s="513"/>
      <c r="F17" s="513"/>
      <c r="G17" s="513"/>
      <c r="H17" s="513"/>
      <c r="I17" s="513"/>
      <c r="J17" s="513"/>
      <c r="K17" s="513"/>
      <c r="L17" s="513"/>
      <c r="M17" s="513"/>
      <c r="N17" s="335"/>
      <c r="O17" s="335"/>
      <c r="P17" s="335"/>
      <c r="Q17" s="335"/>
      <c r="R17" s="335"/>
      <c r="S17" s="335"/>
      <c r="T17" s="335"/>
      <c r="U17" s="190"/>
    </row>
    <row r="18" spans="1:21" ht="16" thickTop="1" x14ac:dyDescent="0.35">
      <c r="A18" s="510"/>
      <c r="B18" s="2" t="s">
        <v>16</v>
      </c>
      <c r="C18" s="61"/>
      <c r="D18" s="349" t="s">
        <v>54</v>
      </c>
      <c r="E18" s="59">
        <v>5</v>
      </c>
      <c r="F18" s="1" t="s">
        <v>6</v>
      </c>
      <c r="G18" s="1160"/>
      <c r="H18" s="1161"/>
      <c r="I18" s="1162"/>
      <c r="J18" s="2" t="s">
        <v>16</v>
      </c>
      <c r="L18" s="62"/>
      <c r="M18" s="2" t="s">
        <v>16</v>
      </c>
      <c r="O18" s="31"/>
      <c r="P18" s="2" t="s">
        <v>16</v>
      </c>
      <c r="R18" s="62"/>
      <c r="S18" s="97"/>
      <c r="T18" s="31"/>
      <c r="U18" s="111"/>
    </row>
    <row r="19" spans="1:21" ht="13" x14ac:dyDescent="0.3">
      <c r="A19" s="510"/>
      <c r="C19" s="86" t="s">
        <v>60</v>
      </c>
      <c r="D19" s="20" t="s">
        <v>62</v>
      </c>
      <c r="F19"/>
      <c r="H19" s="4"/>
      <c r="I19" s="37"/>
      <c r="J19" s="227" t="s">
        <v>61</v>
      </c>
      <c r="K19" s="1167" t="s">
        <v>57</v>
      </c>
      <c r="L19" s="1168"/>
      <c r="M19" s="50" t="s">
        <v>61</v>
      </c>
      <c r="N19" s="1177" t="s">
        <v>57</v>
      </c>
      <c r="O19" s="1178"/>
      <c r="P19" s="212" t="s">
        <v>61</v>
      </c>
      <c r="Q19" s="1167" t="s">
        <v>57</v>
      </c>
      <c r="R19" s="1168"/>
      <c r="S19" s="106"/>
      <c r="T19" s="31"/>
      <c r="U19" s="111"/>
    </row>
    <row r="20" spans="1:21" ht="13" x14ac:dyDescent="0.3">
      <c r="A20" s="510"/>
      <c r="B20" s="503" t="s">
        <v>58</v>
      </c>
      <c r="C20" s="20"/>
      <c r="D20" s="20"/>
      <c r="E20" s="7"/>
      <c r="F20" s="61"/>
      <c r="G20" s="61"/>
      <c r="H20" s="61"/>
      <c r="I20" s="62"/>
      <c r="J20" s="210" t="s">
        <v>56</v>
      </c>
      <c r="K20" s="211" t="s">
        <v>13</v>
      </c>
      <c r="L20" s="212" t="s">
        <v>68</v>
      </c>
      <c r="M20" s="66" t="s">
        <v>56</v>
      </c>
      <c r="N20" s="20" t="s">
        <v>13</v>
      </c>
      <c r="O20" s="32" t="s">
        <v>68</v>
      </c>
      <c r="P20" s="210" t="s">
        <v>56</v>
      </c>
      <c r="Q20" s="211" t="s">
        <v>13</v>
      </c>
      <c r="R20" s="212" t="s">
        <v>68</v>
      </c>
      <c r="S20" s="98"/>
      <c r="T20" s="31"/>
      <c r="U20" s="111"/>
    </row>
    <row r="21" spans="1:21" x14ac:dyDescent="0.25">
      <c r="A21" s="510"/>
      <c r="B21" s="504" t="s">
        <v>14</v>
      </c>
      <c r="C21" s="23">
        <f>VLOOKUP(C$2,Monitor_Costs,2,FALSE)</f>
        <v>100000</v>
      </c>
      <c r="D21" s="19">
        <f>VLOOKUP(C$2,Monitor_Costs,3,FALSE)</f>
        <v>2019</v>
      </c>
      <c r="E21" s="63"/>
      <c r="F21" s="64"/>
      <c r="G21" s="65"/>
      <c r="H21" s="65"/>
      <c r="I21" s="31"/>
      <c r="J21" s="229">
        <f>HLOOKUP(K$2,InflationTable,2)/HLOOKUP($D21,InflationTable,2)*$C21</f>
        <v>120891.66992569418</v>
      </c>
      <c r="K21" s="229">
        <f>J21*$L$4</f>
        <v>5198341.8068048498</v>
      </c>
      <c r="L21" s="230">
        <f>K21/$E$18</f>
        <v>1039668.36136097</v>
      </c>
      <c r="M21" s="23">
        <f>HLOOKUP(N$2,InflationTable,2)/HLOOKUP($D21,InflationTable,2)*$C21</f>
        <v>125727.33672272194</v>
      </c>
      <c r="N21" s="23">
        <f>M21*$L$4</f>
        <v>5406275.4790770439</v>
      </c>
      <c r="O21" s="80">
        <f>N21/$E$18</f>
        <v>1081255.0958154087</v>
      </c>
      <c r="P21" s="229">
        <f>HLOOKUP(Q$2,InflationTable,2)/HLOOKUP($D21,InflationTable,2)*$C21</f>
        <v>128241.88345717637</v>
      </c>
      <c r="Q21" s="229">
        <f>P21*$R$4</f>
        <v>5514400.9886585837</v>
      </c>
      <c r="R21" s="230">
        <f>Q21/$E$18</f>
        <v>1102880.1977317168</v>
      </c>
      <c r="S21" s="102" t="s">
        <v>12</v>
      </c>
      <c r="T21" s="94" t="s">
        <v>12</v>
      </c>
      <c r="U21" s="112">
        <f>AVERAGE(L21,O21,R21)</f>
        <v>1074601.2183026986</v>
      </c>
    </row>
    <row r="22" spans="1:21" x14ac:dyDescent="0.25">
      <c r="A22" s="510"/>
      <c r="B22" s="607" t="s">
        <v>373</v>
      </c>
      <c r="C22" s="23">
        <f>VLOOKUP(C$2,Monitor_Costs,4,FALSE)</f>
        <v>16000</v>
      </c>
      <c r="D22" s="19">
        <f>VLOOKUP(C$2,Monitor_Costs,3,FALSE)</f>
        <v>2019</v>
      </c>
      <c r="I22" s="31"/>
      <c r="J22" s="229">
        <f>HLOOKUP(K$2,InflationTable,2)/HLOOKUP($D22,InflationTable,2)*$C22</f>
        <v>19342.667188111067</v>
      </c>
      <c r="K22" s="229">
        <f>J22*$L$5</f>
        <v>0</v>
      </c>
      <c r="L22" s="230">
        <f>K22/$E$18</f>
        <v>0</v>
      </c>
      <c r="M22" s="23">
        <f>HLOOKUP(N$2,InflationTable,2)/HLOOKUP($D22,InflationTable,2)*$C22</f>
        <v>20116.373875635509</v>
      </c>
      <c r="N22" s="23">
        <f>M22*$L$4</f>
        <v>865004.07665232685</v>
      </c>
      <c r="O22" s="80">
        <f>N22/$E$18</f>
        <v>173000.81533046538</v>
      </c>
      <c r="P22" s="229">
        <f>HLOOKUP(Q$2,InflationTable,2)/HLOOKUP($D22,InflationTable,2)*$C22</f>
        <v>20518.701353148219</v>
      </c>
      <c r="Q22" s="229">
        <f>P22*$R$4</f>
        <v>882304.15818537341</v>
      </c>
      <c r="R22" s="230">
        <f>Q22/$E$18</f>
        <v>176460.83163707468</v>
      </c>
      <c r="S22" s="1070"/>
      <c r="T22" s="1071"/>
      <c r="U22" s="112">
        <f>AVERAGE(L22,O22,R22)</f>
        <v>116487.21565584668</v>
      </c>
    </row>
    <row r="23" spans="1:21" ht="13.5" thickBot="1" x14ac:dyDescent="0.35">
      <c r="A23" s="510"/>
      <c r="B23" s="505" t="s">
        <v>370</v>
      </c>
      <c r="C23" s="23">
        <f>VLOOKUP(C$2,Monitor_Costs,11,FALSE)</f>
        <v>5667</v>
      </c>
      <c r="D23" s="19">
        <f>VLOOKUP(C$2,Monitor_Costs,3,FALSE)</f>
        <v>2019</v>
      </c>
      <c r="E23" s="3"/>
      <c r="F23" s="9"/>
      <c r="G23" s="3"/>
      <c r="H23" s="3"/>
      <c r="I23" s="305"/>
      <c r="J23" s="229">
        <f>HLOOKUP(K$2,InflationTable,2)/HLOOKUP($D23,InflationTable,2)*$C23</f>
        <v>6850.9309346890886</v>
      </c>
      <c r="K23" s="295">
        <f>+J23*L4</f>
        <v>294590.03019163082</v>
      </c>
      <c r="L23" s="256">
        <f>K23/$E$18</f>
        <v>58918.006038326166</v>
      </c>
      <c r="M23" s="23">
        <f>HLOOKUP(N$2,InflationTable,2)/HLOOKUP($D23,InflationTable,2)*$C23</f>
        <v>7124.9681720766521</v>
      </c>
      <c r="N23" s="84">
        <f>M23*$L$4</f>
        <v>306373.63139929605</v>
      </c>
      <c r="O23" s="307">
        <f>N23/$E$18</f>
        <v>61274.726279859213</v>
      </c>
      <c r="P23" s="229">
        <f>HLOOKUP(Q$2,InflationTable,2)/HLOOKUP($D23,InflationTable,2)*$C23</f>
        <v>7267.4675355181853</v>
      </c>
      <c r="Q23" s="295">
        <f>P23*$R$4</f>
        <v>312501.10402728198</v>
      </c>
      <c r="R23" s="256">
        <f>Q23/$E$18</f>
        <v>62500.220805456396</v>
      </c>
      <c r="S23" s="298" t="s">
        <v>12</v>
      </c>
      <c r="T23" s="121" t="s">
        <v>12</v>
      </c>
      <c r="U23" s="309">
        <f>AVERAGE(L23,O23,R23)</f>
        <v>60897.651041213925</v>
      </c>
    </row>
    <row r="24" spans="1:21" ht="13" x14ac:dyDescent="0.3">
      <c r="A24" s="510"/>
      <c r="B24" s="1" t="s">
        <v>17</v>
      </c>
      <c r="C24" s="86" t="s">
        <v>45</v>
      </c>
      <c r="D24" s="86" t="s">
        <v>46</v>
      </c>
      <c r="E24" s="86" t="s">
        <v>47</v>
      </c>
      <c r="F24" s="86" t="s">
        <v>48</v>
      </c>
      <c r="G24" s="86" t="s">
        <v>49</v>
      </c>
      <c r="H24" s="86" t="s">
        <v>50</v>
      </c>
      <c r="I24" s="145" t="s">
        <v>74</v>
      </c>
      <c r="J24" s="292"/>
      <c r="K24" s="293"/>
      <c r="L24" s="296"/>
      <c r="M24" s="88"/>
      <c r="N24" s="86"/>
      <c r="O24" s="87"/>
      <c r="P24" s="293"/>
      <c r="Q24" s="293"/>
      <c r="R24" s="296"/>
      <c r="S24" s="100"/>
      <c r="T24" s="31"/>
      <c r="U24" s="111"/>
    </row>
    <row r="25" spans="1:21" ht="13" x14ac:dyDescent="0.3">
      <c r="A25" s="510"/>
      <c r="B25" s="506" t="s">
        <v>119</v>
      </c>
      <c r="C25" s="27">
        <v>0</v>
      </c>
      <c r="D25" s="18">
        <v>0</v>
      </c>
      <c r="E25" s="18">
        <v>0</v>
      </c>
      <c r="F25" s="18">
        <v>8</v>
      </c>
      <c r="G25" s="18">
        <v>0</v>
      </c>
      <c r="H25" s="18">
        <v>0</v>
      </c>
      <c r="I25" s="41">
        <f>SUM(C25:H25)</f>
        <v>8</v>
      </c>
      <c r="J25" s="213" t="s">
        <v>12</v>
      </c>
      <c r="K25" s="231">
        <f>I25*($L$4+$L$5)</f>
        <v>344</v>
      </c>
      <c r="L25" s="232">
        <f>K25/$E$18</f>
        <v>68.8</v>
      </c>
      <c r="M25" s="51" t="s">
        <v>12</v>
      </c>
      <c r="N25" s="58">
        <f>$I$25*($O$4+$O$5)</f>
        <v>344</v>
      </c>
      <c r="O25" s="52">
        <f>N25/$E$18</f>
        <v>68.8</v>
      </c>
      <c r="P25" s="213" t="s">
        <v>12</v>
      </c>
      <c r="Q25" s="231">
        <f>$I$25*($R$4+$R$5)</f>
        <v>344</v>
      </c>
      <c r="R25" s="232">
        <f>Q25/$E$18</f>
        <v>68.8</v>
      </c>
      <c r="S25" s="123">
        <f>AVERAGE(L25,O25,R25)</f>
        <v>68.8</v>
      </c>
      <c r="T25" s="94" t="s">
        <v>12</v>
      </c>
      <c r="U25" s="113" t="s">
        <v>12</v>
      </c>
    </row>
    <row r="26" spans="1:21" s="1" customFormat="1" ht="13.5" thickBot="1" x14ac:dyDescent="0.35">
      <c r="A26" s="511"/>
      <c r="B26" s="500" t="s">
        <v>8</v>
      </c>
      <c r="C26" s="319">
        <f>ROUND(C25*Labor!$D$3,0)</f>
        <v>0</v>
      </c>
      <c r="D26" s="310">
        <f>ROUND(D25*Labor!$D$4,0)</f>
        <v>0</v>
      </c>
      <c r="E26" s="310">
        <f>ROUND(E25*Labor!$D$5,0)</f>
        <v>0</v>
      </c>
      <c r="F26" s="310">
        <f>ROUND(F25*Labor!$D$6,0)</f>
        <v>221</v>
      </c>
      <c r="G26" s="310">
        <f>ROUND(G25*Labor!$D$7,0)</f>
        <v>0</v>
      </c>
      <c r="H26" s="310">
        <f>ROUND(H25*Labor!$D$8,0)</f>
        <v>0</v>
      </c>
      <c r="I26" s="311">
        <f>SUM(C26:H26)</f>
        <v>221</v>
      </c>
      <c r="J26" s="284">
        <f>HLOOKUP(K$2,InflationTable,2)/HLOOKUP(Labor!$B$11,InflationTable,2)*$I26</f>
        <v>472.77176470588233</v>
      </c>
      <c r="K26" s="245">
        <f>J26*($L$4+$L$5)</f>
        <v>20329.18588235294</v>
      </c>
      <c r="L26" s="246">
        <f>K26/$E$18</f>
        <v>4065.837176470588</v>
      </c>
      <c r="M26" s="169">
        <f>HLOOKUP(N$2,InflationTable,2)/HLOOKUP(Labor!$B$11,InflationTable,2)*$I26</f>
        <v>491.68263529411769</v>
      </c>
      <c r="N26" s="166">
        <f>M26*$L$4</f>
        <v>21142.353317647059</v>
      </c>
      <c r="O26" s="167">
        <f>N26/$E$18</f>
        <v>4228.4706635294115</v>
      </c>
      <c r="P26" s="284">
        <f>HLOOKUP(Q$2,InflationTable,2)/HLOOKUP(Labor!$B$11,InflationTable,2)*$I26</f>
        <v>501.51628799999992</v>
      </c>
      <c r="Q26" s="245">
        <f>P26*$L$4</f>
        <v>21565.200383999996</v>
      </c>
      <c r="R26" s="320">
        <f>Q26/$E$18</f>
        <v>4313.040076799999</v>
      </c>
      <c r="S26" s="321">
        <f>AVERAGE(L26,O26,R26)</f>
        <v>4202.4493055999992</v>
      </c>
      <c r="T26" s="174" t="s">
        <v>12</v>
      </c>
      <c r="U26" s="322" t="s">
        <v>12</v>
      </c>
    </row>
    <row r="27" spans="1:21" ht="13" x14ac:dyDescent="0.3">
      <c r="A27" s="510"/>
      <c r="B27" s="1" t="s">
        <v>118</v>
      </c>
      <c r="C27" s="290">
        <v>0</v>
      </c>
      <c r="D27" s="302">
        <v>0</v>
      </c>
      <c r="E27" s="302">
        <v>0</v>
      </c>
      <c r="F27" s="302">
        <v>10</v>
      </c>
      <c r="G27" s="302">
        <v>5</v>
      </c>
      <c r="H27" s="302">
        <v>0</v>
      </c>
      <c r="I27" s="303">
        <f>SUM(C27:H27)</f>
        <v>15</v>
      </c>
      <c r="J27" s="242" t="s">
        <v>12</v>
      </c>
      <c r="K27" s="280">
        <f>I27*$L$4</f>
        <v>645</v>
      </c>
      <c r="L27" s="243">
        <f>K27/$E$18</f>
        <v>129</v>
      </c>
      <c r="M27" s="53" t="s">
        <v>12</v>
      </c>
      <c r="N27" s="147">
        <f>I27*$O$4</f>
        <v>645</v>
      </c>
      <c r="O27" s="54">
        <f>N27/$E$18</f>
        <v>129</v>
      </c>
      <c r="P27" s="242" t="s">
        <v>12</v>
      </c>
      <c r="Q27" s="273">
        <f>$I27*$O$4</f>
        <v>645</v>
      </c>
      <c r="R27" s="304">
        <f>Q27/$E$18</f>
        <v>129</v>
      </c>
      <c r="S27" s="104">
        <f>AVERAGE(L27,O27,R27)</f>
        <v>129</v>
      </c>
      <c r="T27" s="42" t="s">
        <v>12</v>
      </c>
      <c r="U27" s="119" t="s">
        <v>12</v>
      </c>
    </row>
    <row r="28" spans="1:21" s="1" customFormat="1" ht="13.5" thickBot="1" x14ac:dyDescent="0.35">
      <c r="A28" s="511"/>
      <c r="B28" s="507" t="s">
        <v>8</v>
      </c>
      <c r="C28" s="310">
        <f>ROUND(C27*Labor!$D$3,0)</f>
        <v>0</v>
      </c>
      <c r="D28" s="310">
        <f>ROUND(D27*Labor!$D$4,0)</f>
        <v>0</v>
      </c>
      <c r="E28" s="310">
        <f>ROUND(E27*Labor!$D$5,0)</f>
        <v>0</v>
      </c>
      <c r="F28" s="310">
        <f>ROUND(F27*Labor!$D$6,0)</f>
        <v>276</v>
      </c>
      <c r="G28" s="310">
        <f>ROUND(G27*Labor!$D$7,0)</f>
        <v>157</v>
      </c>
      <c r="H28" s="310">
        <f>ROUND(H27*Labor!$D$8,0)</f>
        <v>0</v>
      </c>
      <c r="I28" s="311">
        <f>SUM(C28:H28)</f>
        <v>433</v>
      </c>
      <c r="J28" s="284">
        <f>HLOOKUP(K$2,InflationTable,2)/HLOOKUP(Labor!$B$11,InflationTable,2)*$I28</f>
        <v>926.29038062283735</v>
      </c>
      <c r="K28" s="245">
        <f>J28*$L$4</f>
        <v>39830.486366782003</v>
      </c>
      <c r="L28" s="246">
        <f>K28/$E$18</f>
        <v>7966.0972733564004</v>
      </c>
      <c r="M28" s="169">
        <f>HLOOKUP(N$2,InflationTable,2)/HLOOKUP(Labor!$B$11,InflationTable,2)*$I28</f>
        <v>963.34199584775092</v>
      </c>
      <c r="N28" s="166">
        <f>M28*$O$4</f>
        <v>41423.705821453288</v>
      </c>
      <c r="O28" s="167">
        <f>N28/$E$18</f>
        <v>8284.7411642906573</v>
      </c>
      <c r="P28" s="284">
        <f>HLOOKUP(Q$2,InflationTable,2)/HLOOKUP(Labor!$B$11,InflationTable,2)*$I28</f>
        <v>982.60883576470576</v>
      </c>
      <c r="Q28" s="245">
        <f>P28*$R$4</f>
        <v>42252.179937882349</v>
      </c>
      <c r="R28" s="246">
        <f>Q28/$E$18</f>
        <v>8450.4359875764694</v>
      </c>
      <c r="S28" s="169">
        <f>AVERAGE(L28,O28,R28)</f>
        <v>8233.7581417411766</v>
      </c>
      <c r="T28" s="323" t="s">
        <v>12</v>
      </c>
      <c r="U28" s="322" t="s">
        <v>12</v>
      </c>
    </row>
    <row r="29" spans="1:21" ht="13" x14ac:dyDescent="0.3">
      <c r="A29" s="510"/>
      <c r="B29" s="501" t="s">
        <v>66</v>
      </c>
      <c r="C29" s="28">
        <f t="shared" ref="C29:I29" si="1">C25+C27</f>
        <v>0</v>
      </c>
      <c r="D29" s="28">
        <f t="shared" si="1"/>
        <v>0</v>
      </c>
      <c r="E29" s="28">
        <f t="shared" si="1"/>
        <v>0</v>
      </c>
      <c r="F29" s="28">
        <f t="shared" si="1"/>
        <v>18</v>
      </c>
      <c r="G29" s="28">
        <f t="shared" si="1"/>
        <v>5</v>
      </c>
      <c r="H29" s="28">
        <f t="shared" si="1"/>
        <v>0</v>
      </c>
      <c r="I29" s="42">
        <f t="shared" si="1"/>
        <v>23</v>
      </c>
      <c r="J29" s="234" t="s">
        <v>12</v>
      </c>
      <c r="K29" s="235">
        <f>K25+K27</f>
        <v>989</v>
      </c>
      <c r="L29" s="236">
        <f>L25+L27</f>
        <v>197.8</v>
      </c>
      <c r="M29" s="38" t="s">
        <v>12</v>
      </c>
      <c r="N29" s="28">
        <f>N25+N27</f>
        <v>989</v>
      </c>
      <c r="O29" s="34">
        <f>O25+O27</f>
        <v>197.8</v>
      </c>
      <c r="P29" s="234" t="s">
        <v>12</v>
      </c>
      <c r="Q29" s="235">
        <f>Q25+Q27</f>
        <v>989</v>
      </c>
      <c r="R29" s="236">
        <f>R25+R27</f>
        <v>197.8</v>
      </c>
      <c r="S29" s="142">
        <f>AVERAGE(L29,O29,R29)</f>
        <v>197.80000000000004</v>
      </c>
      <c r="T29" s="42" t="s">
        <v>12</v>
      </c>
      <c r="U29" s="119" t="s">
        <v>12</v>
      </c>
    </row>
    <row r="30" spans="1:21" ht="13.5" thickBot="1" x14ac:dyDescent="0.35">
      <c r="A30" s="510"/>
      <c r="B30" s="502" t="s">
        <v>67</v>
      </c>
      <c r="C30" s="194">
        <f t="shared" ref="C30:J30" si="2">C28+C26</f>
        <v>0</v>
      </c>
      <c r="D30" s="194">
        <f t="shared" si="2"/>
        <v>0</v>
      </c>
      <c r="E30" s="194">
        <f t="shared" si="2"/>
        <v>0</v>
      </c>
      <c r="F30" s="194">
        <f t="shared" si="2"/>
        <v>497</v>
      </c>
      <c r="G30" s="194">
        <f t="shared" si="2"/>
        <v>157</v>
      </c>
      <c r="H30" s="194">
        <f t="shared" si="2"/>
        <v>0</v>
      </c>
      <c r="I30" s="195">
        <f t="shared" si="2"/>
        <v>654</v>
      </c>
      <c r="J30" s="224">
        <f t="shared" si="2"/>
        <v>1399.0621453287197</v>
      </c>
      <c r="K30" s="235">
        <f>K26+K28</f>
        <v>60159.672249134943</v>
      </c>
      <c r="L30" s="226">
        <f>L28+L26+L23+L21+L22</f>
        <v>1110618.3018491231</v>
      </c>
      <c r="M30" s="196">
        <f>M28+M26</f>
        <v>1455.0246311418687</v>
      </c>
      <c r="N30" s="28">
        <f>N26+N28</f>
        <v>62566.059139100347</v>
      </c>
      <c r="O30" s="197">
        <f>O28+O26+O23+O21+O22</f>
        <v>1328043.8492535534</v>
      </c>
      <c r="P30" s="224">
        <f>P28+P26</f>
        <v>1484.1251237647057</v>
      </c>
      <c r="Q30" s="235">
        <f>Q26+Q28</f>
        <v>63817.380321882345</v>
      </c>
      <c r="R30" s="226">
        <f>R28+R26+R23+R21+R22</f>
        <v>1354604.7262386244</v>
      </c>
      <c r="S30" s="202">
        <f>SUM(S28,S26)</f>
        <v>12436.207447341176</v>
      </c>
      <c r="T30" s="203" t="s">
        <v>12</v>
      </c>
      <c r="U30" s="204">
        <f>SUM(U21:U23)</f>
        <v>1251986.0849997592</v>
      </c>
    </row>
    <row r="31" spans="1:21" ht="13.5" thickTop="1" thickBot="1" x14ac:dyDescent="0.3">
      <c r="A31" s="510"/>
      <c r="C31" s="513"/>
      <c r="D31" s="513"/>
      <c r="E31" s="513"/>
      <c r="F31" s="513"/>
      <c r="G31" s="513"/>
      <c r="H31" s="513"/>
      <c r="I31" s="513"/>
      <c r="J31" s="513"/>
      <c r="K31" s="513"/>
      <c r="L31" s="513"/>
      <c r="M31" s="513"/>
      <c r="N31" s="513"/>
      <c r="O31" s="513"/>
      <c r="P31" s="513"/>
      <c r="Q31" s="513"/>
      <c r="R31" s="513"/>
      <c r="S31" s="513"/>
      <c r="T31" s="513"/>
      <c r="U31" s="515"/>
    </row>
    <row r="32" spans="1:21" ht="16" thickTop="1" x14ac:dyDescent="0.35">
      <c r="A32" s="510"/>
      <c r="B32" s="508" t="s">
        <v>22</v>
      </c>
      <c r="F32" s="1" t="s">
        <v>6</v>
      </c>
      <c r="G32" s="1160"/>
      <c r="H32" s="1161"/>
      <c r="I32" s="1162"/>
      <c r="J32" s="198" t="s">
        <v>22</v>
      </c>
      <c r="L32" s="62"/>
      <c r="M32" s="198" t="s">
        <v>22</v>
      </c>
      <c r="O32" s="31"/>
      <c r="P32" s="198" t="s">
        <v>22</v>
      </c>
      <c r="R32" s="31"/>
      <c r="S32" s="97"/>
      <c r="T32" s="31"/>
      <c r="U32" s="111"/>
    </row>
    <row r="33" spans="1:21" ht="13" x14ac:dyDescent="0.3">
      <c r="A33" s="510"/>
      <c r="F33" s="1"/>
      <c r="G33" s="1163"/>
      <c r="H33" s="1163"/>
      <c r="I33" s="1164"/>
      <c r="J33" s="227" t="s">
        <v>61</v>
      </c>
      <c r="K33" s="1182" t="s">
        <v>57</v>
      </c>
      <c r="L33" s="1183"/>
      <c r="M33" s="50" t="s">
        <v>61</v>
      </c>
      <c r="N33" s="1177" t="s">
        <v>57</v>
      </c>
      <c r="O33" s="1178"/>
      <c r="P33" s="227" t="s">
        <v>61</v>
      </c>
      <c r="Q33" s="1167" t="s">
        <v>57</v>
      </c>
      <c r="R33" s="1168"/>
      <c r="S33" s="106"/>
      <c r="T33" s="31"/>
      <c r="U33" s="111"/>
    </row>
    <row r="34" spans="1:21" ht="13" x14ac:dyDescent="0.3">
      <c r="A34" s="510"/>
      <c r="B34" s="506" t="s">
        <v>18</v>
      </c>
      <c r="C34" s="20" t="s">
        <v>60</v>
      </c>
      <c r="D34" s="20" t="s">
        <v>62</v>
      </c>
      <c r="E34" s="7"/>
      <c r="F34" s="61"/>
      <c r="G34" s="61"/>
      <c r="H34" s="61"/>
      <c r="I34" s="31"/>
      <c r="J34" s="211" t="s">
        <v>56</v>
      </c>
      <c r="K34" s="211" t="s">
        <v>13</v>
      </c>
      <c r="L34" s="212" t="s">
        <v>68</v>
      </c>
      <c r="M34" s="66" t="s">
        <v>56</v>
      </c>
      <c r="N34" s="20" t="s">
        <v>13</v>
      </c>
      <c r="O34" s="32" t="s">
        <v>68</v>
      </c>
      <c r="P34" s="210" t="s">
        <v>56</v>
      </c>
      <c r="Q34" s="211" t="s">
        <v>13</v>
      </c>
      <c r="R34" s="212" t="s">
        <v>68</v>
      </c>
      <c r="S34" s="98"/>
      <c r="T34" s="31"/>
      <c r="U34" s="111"/>
    </row>
    <row r="35" spans="1:21" ht="13.5" thickBot="1" x14ac:dyDescent="0.35">
      <c r="A35" s="510"/>
      <c r="B35" s="300"/>
      <c r="C35" s="84">
        <f>VLOOKUP(C$2,Monitor_Costs,4,FALSE)</f>
        <v>16000</v>
      </c>
      <c r="D35" s="29">
        <f>VLOOKUP(C$2,Monitor_Costs,5,FALSE)</f>
        <v>2019</v>
      </c>
      <c r="E35" s="3"/>
      <c r="F35" s="9"/>
      <c r="G35" s="3"/>
      <c r="H35" s="300"/>
      <c r="I35" s="301"/>
      <c r="J35" s="229">
        <f>HLOOKUP(K$2,InflationTable,2)/HLOOKUP($D35,InflationTable,2)*$C35</f>
        <v>19342.667188111067</v>
      </c>
      <c r="K35" s="295">
        <f>J35*$L$4</f>
        <v>831734.68908877589</v>
      </c>
      <c r="L35" s="256">
        <f>K35</f>
        <v>831734.68908877589</v>
      </c>
      <c r="M35" s="23">
        <f>HLOOKUP(N$2,InflationTable,2)/HLOOKUP($D35,InflationTable,2)*$C35</f>
        <v>20116.373875635509</v>
      </c>
      <c r="N35" s="84">
        <f>M35*$O$4</f>
        <v>865004.07665232685</v>
      </c>
      <c r="O35" s="77">
        <f>N35</f>
        <v>865004.07665232685</v>
      </c>
      <c r="P35" s="229">
        <f>HLOOKUP(Q$2,InflationTable,2)/HLOOKUP($D35,InflationTable,2)*$C35</f>
        <v>20518.701353148219</v>
      </c>
      <c r="Q35" s="295">
        <f>P35*$R$4</f>
        <v>882304.15818537341</v>
      </c>
      <c r="R35" s="256">
        <f>Q35</f>
        <v>882304.15818537341</v>
      </c>
      <c r="S35" s="298" t="s">
        <v>12</v>
      </c>
      <c r="T35" s="299">
        <f>AVERAGE(L35,O35,R35)</f>
        <v>859680.97464215884</v>
      </c>
      <c r="U35" s="115" t="s">
        <v>12</v>
      </c>
    </row>
    <row r="36" spans="1:21" ht="13" x14ac:dyDescent="0.3">
      <c r="A36" s="510"/>
      <c r="B36" s="378" t="s">
        <v>23</v>
      </c>
      <c r="C36" s="86" t="s">
        <v>45</v>
      </c>
      <c r="D36" s="86" t="s">
        <v>46</v>
      </c>
      <c r="E36" s="86" t="s">
        <v>47</v>
      </c>
      <c r="F36" s="86" t="s">
        <v>48</v>
      </c>
      <c r="G36" s="86" t="s">
        <v>49</v>
      </c>
      <c r="H36" s="86" t="s">
        <v>50</v>
      </c>
      <c r="I36" s="145" t="s">
        <v>74</v>
      </c>
      <c r="J36" s="293"/>
      <c r="K36" s="293"/>
      <c r="L36" s="296"/>
      <c r="M36" s="88"/>
      <c r="N36" s="86"/>
      <c r="O36" s="87"/>
      <c r="P36" s="293"/>
      <c r="Q36" s="293"/>
      <c r="R36" s="296"/>
      <c r="S36" s="98"/>
      <c r="T36" s="31"/>
      <c r="U36" s="111"/>
    </row>
    <row r="37" spans="1:21" x14ac:dyDescent="0.25">
      <c r="A37" s="510"/>
      <c r="B37" s="509" t="s">
        <v>4</v>
      </c>
      <c r="C37" s="18">
        <v>0</v>
      </c>
      <c r="D37" s="18">
        <v>0</v>
      </c>
      <c r="E37" s="18">
        <v>0</v>
      </c>
      <c r="F37" s="18">
        <v>88</v>
      </c>
      <c r="G37" s="18">
        <v>0</v>
      </c>
      <c r="H37" s="18">
        <v>0</v>
      </c>
      <c r="I37" s="41">
        <f>SUM(C37:H37)</f>
        <v>88</v>
      </c>
      <c r="J37" s="247" t="s">
        <v>12</v>
      </c>
      <c r="K37" s="231">
        <f>I37*$L$4</f>
        <v>3784</v>
      </c>
      <c r="L37" s="239">
        <f>K37</f>
        <v>3784</v>
      </c>
      <c r="M37" s="51" t="s">
        <v>12</v>
      </c>
      <c r="N37" s="58">
        <f>$I$37*$O$4</f>
        <v>3784</v>
      </c>
      <c r="O37" s="57">
        <f>N37</f>
        <v>3784</v>
      </c>
      <c r="P37" s="247" t="s">
        <v>12</v>
      </c>
      <c r="Q37" s="231">
        <f>$I$37*$R$4</f>
        <v>3784</v>
      </c>
      <c r="R37" s="239">
        <f>Q37</f>
        <v>3784</v>
      </c>
      <c r="S37" s="96">
        <f>AVERAGE(L37,O37,R37)</f>
        <v>3784</v>
      </c>
      <c r="T37" s="94" t="s">
        <v>12</v>
      </c>
      <c r="U37" s="113" t="s">
        <v>12</v>
      </c>
    </row>
    <row r="38" spans="1:21" s="1" customFormat="1" ht="13.5" thickBot="1" x14ac:dyDescent="0.35">
      <c r="A38" s="511"/>
      <c r="B38" s="500" t="s">
        <v>8</v>
      </c>
      <c r="C38" s="310">
        <f>ROUND(C37*Labor!$D$3,0)</f>
        <v>0</v>
      </c>
      <c r="D38" s="310">
        <f>ROUND(D37*Labor!$D$4,0)</f>
        <v>0</v>
      </c>
      <c r="E38" s="310">
        <f>ROUND(E37*Labor!$D$5,0)</f>
        <v>0</v>
      </c>
      <c r="F38" s="310">
        <f>ROUND(F37*Labor!$D$6,0)</f>
        <v>2426</v>
      </c>
      <c r="G38" s="310">
        <f>ROUND(G37*Labor!$D$7,0)</f>
        <v>0</v>
      </c>
      <c r="H38" s="310">
        <f>ROUND(H37*Labor!$D$8,0)</f>
        <v>0</v>
      </c>
      <c r="I38" s="311">
        <f>SUM(C38:H38)</f>
        <v>2426</v>
      </c>
      <c r="J38" s="284">
        <f>HLOOKUP(K$2,InflationTable,2)/HLOOKUP(Labor!$B$11,InflationTable,2)*$I38</f>
        <v>5189.7932179930795</v>
      </c>
      <c r="K38" s="245">
        <f>J38*$L$4</f>
        <v>223161.10837370242</v>
      </c>
      <c r="L38" s="320">
        <f>K38</f>
        <v>223161.10837370242</v>
      </c>
      <c r="M38" s="169">
        <f>HLOOKUP(N$2,InflationTable,2)/HLOOKUP(Labor!$B$11,InflationTable,2)*$I38</f>
        <v>5397.384946712803</v>
      </c>
      <c r="N38" s="166">
        <f>M38*$O$4</f>
        <v>232087.55270865053</v>
      </c>
      <c r="O38" s="167">
        <f>N38</f>
        <v>232087.55270865053</v>
      </c>
      <c r="P38" s="284">
        <f>HLOOKUP(Q$2,InflationTable,2)/HLOOKUP(Labor!$B$11,InflationTable,2)*$I38</f>
        <v>5505.3326456470586</v>
      </c>
      <c r="Q38" s="245">
        <f>P38*$R$4</f>
        <v>236729.30376282352</v>
      </c>
      <c r="R38" s="320">
        <f>Q38</f>
        <v>236729.30376282352</v>
      </c>
      <c r="S38" s="169">
        <f>AVERAGE(L38,O38,R38)</f>
        <v>230659.32161505884</v>
      </c>
      <c r="T38" s="323" t="s">
        <v>12</v>
      </c>
      <c r="U38" s="322" t="s">
        <v>12</v>
      </c>
    </row>
    <row r="39" spans="1:21" ht="13" x14ac:dyDescent="0.3">
      <c r="A39" s="510"/>
      <c r="B39" s="501" t="s">
        <v>66</v>
      </c>
      <c r="C39" s="30">
        <f t="shared" ref="C39:I39" si="3">C37</f>
        <v>0</v>
      </c>
      <c r="D39" s="30">
        <f t="shared" si="3"/>
        <v>0</v>
      </c>
      <c r="E39" s="30">
        <f t="shared" si="3"/>
        <v>0</v>
      </c>
      <c r="F39" s="30">
        <f t="shared" si="3"/>
        <v>88</v>
      </c>
      <c r="G39" s="30">
        <f t="shared" si="3"/>
        <v>0</v>
      </c>
      <c r="H39" s="30">
        <f t="shared" si="3"/>
        <v>0</v>
      </c>
      <c r="I39" s="44">
        <f t="shared" si="3"/>
        <v>88</v>
      </c>
      <c r="J39" s="255" t="s">
        <v>12</v>
      </c>
      <c r="K39" s="250">
        <f>K37</f>
        <v>3784</v>
      </c>
      <c r="L39" s="251">
        <f>L37</f>
        <v>3784</v>
      </c>
      <c r="M39" s="70" t="s">
        <v>12</v>
      </c>
      <c r="N39" s="69">
        <f>N37</f>
        <v>3784</v>
      </c>
      <c r="O39" s="78">
        <f>O37</f>
        <v>3784</v>
      </c>
      <c r="P39" s="249" t="s">
        <v>12</v>
      </c>
      <c r="Q39" s="250">
        <f>Q37</f>
        <v>3784</v>
      </c>
      <c r="R39" s="251">
        <f>R37</f>
        <v>3784</v>
      </c>
      <c r="S39" s="78">
        <f>S37</f>
        <v>3784</v>
      </c>
      <c r="T39" s="42" t="s">
        <v>12</v>
      </c>
      <c r="U39" s="119" t="s">
        <v>12</v>
      </c>
    </row>
    <row r="40" spans="1:21" ht="13.5" thickBot="1" x14ac:dyDescent="0.35">
      <c r="A40" s="510"/>
      <c r="B40" s="502" t="s">
        <v>67</v>
      </c>
      <c r="C40" s="194">
        <f t="shared" ref="C40" si="4">C39</f>
        <v>0</v>
      </c>
      <c r="D40" s="194">
        <f>D38</f>
        <v>0</v>
      </c>
      <c r="E40" s="194">
        <f>E38</f>
        <v>0</v>
      </c>
      <c r="F40" s="194">
        <f>F38</f>
        <v>2426</v>
      </c>
      <c r="G40" s="194">
        <f>G38</f>
        <v>0</v>
      </c>
      <c r="H40" s="194">
        <f>H38</f>
        <v>0</v>
      </c>
      <c r="I40" s="205">
        <f>I38+C35</f>
        <v>18426</v>
      </c>
      <c r="J40" s="253">
        <f t="shared" ref="J40:R40" si="5">J38+J35</f>
        <v>24532.460406104146</v>
      </c>
      <c r="K40" s="253">
        <f t="shared" si="5"/>
        <v>1054895.7974624783</v>
      </c>
      <c r="L40" s="254">
        <f t="shared" si="5"/>
        <v>1054895.7974624783</v>
      </c>
      <c r="M40" s="176">
        <f t="shared" si="5"/>
        <v>25513.758822348311</v>
      </c>
      <c r="N40" s="177">
        <f t="shared" si="5"/>
        <v>1097091.6293609773</v>
      </c>
      <c r="O40" s="178">
        <f t="shared" si="5"/>
        <v>1097091.6293609773</v>
      </c>
      <c r="P40" s="252">
        <f t="shared" si="5"/>
        <v>26024.033998795276</v>
      </c>
      <c r="Q40" s="253">
        <f t="shared" si="5"/>
        <v>1119033.4619481969</v>
      </c>
      <c r="R40" s="254">
        <f t="shared" si="5"/>
        <v>1119033.4619481969</v>
      </c>
      <c r="S40" s="206">
        <f>AVERAGE(L40,O40,R40)</f>
        <v>1090340.2962572176</v>
      </c>
      <c r="T40" s="205">
        <f>T35</f>
        <v>859680.97464215884</v>
      </c>
      <c r="U40" s="180" t="s">
        <v>12</v>
      </c>
    </row>
    <row r="41" spans="1:21" ht="13.5" thickTop="1" thickBot="1" x14ac:dyDescent="0.3">
      <c r="A41" s="510"/>
      <c r="B41" s="512"/>
      <c r="C41" s="513"/>
      <c r="D41" s="513"/>
      <c r="E41" s="513"/>
      <c r="F41" s="513"/>
      <c r="G41" s="513"/>
      <c r="H41" s="513"/>
      <c r="I41" s="513"/>
      <c r="J41" s="513"/>
      <c r="K41" s="513"/>
      <c r="L41" s="513"/>
      <c r="M41" s="513"/>
      <c r="N41" s="512"/>
      <c r="O41" s="513"/>
      <c r="P41" s="513"/>
      <c r="Q41" s="513"/>
      <c r="R41" s="513"/>
      <c r="S41" s="513"/>
      <c r="T41" s="513"/>
      <c r="U41" s="515"/>
    </row>
    <row r="42" spans="1:21" ht="16" thickTop="1" x14ac:dyDescent="0.35">
      <c r="A42" s="510"/>
      <c r="B42" s="2" t="s">
        <v>24</v>
      </c>
      <c r="F42" s="1" t="s">
        <v>6</v>
      </c>
      <c r="G42" s="1160"/>
      <c r="H42" s="1161"/>
      <c r="I42" s="1162"/>
      <c r="J42" s="2" t="s">
        <v>24</v>
      </c>
      <c r="L42" s="62"/>
      <c r="M42" s="2" t="s">
        <v>24</v>
      </c>
      <c r="N42" s="61"/>
      <c r="O42" s="31"/>
      <c r="P42" s="2" t="s">
        <v>24</v>
      </c>
      <c r="R42" s="31"/>
      <c r="S42" s="97"/>
      <c r="T42" s="31"/>
      <c r="U42" s="111"/>
    </row>
    <row r="43" spans="1:21" ht="13" x14ac:dyDescent="0.3">
      <c r="A43" s="510"/>
      <c r="F43" s="1"/>
      <c r="G43" s="1163"/>
      <c r="H43" s="1163"/>
      <c r="I43" s="1164"/>
      <c r="J43" s="227" t="s">
        <v>61</v>
      </c>
      <c r="K43" s="1167" t="s">
        <v>57</v>
      </c>
      <c r="L43" s="1168"/>
      <c r="M43" s="50" t="s">
        <v>61</v>
      </c>
      <c r="N43" s="1177" t="s">
        <v>57</v>
      </c>
      <c r="O43" s="1178"/>
      <c r="P43" s="227" t="s">
        <v>61</v>
      </c>
      <c r="Q43" s="1167" t="s">
        <v>57</v>
      </c>
      <c r="R43" s="1168"/>
      <c r="S43" s="106"/>
      <c r="T43" s="31"/>
      <c r="U43" s="111"/>
    </row>
    <row r="44" spans="1:21" ht="13" x14ac:dyDescent="0.3">
      <c r="A44" s="510"/>
      <c r="B44" s="506" t="s">
        <v>19</v>
      </c>
      <c r="C44" s="20" t="s">
        <v>60</v>
      </c>
      <c r="D44" s="20" t="s">
        <v>62</v>
      </c>
      <c r="E44" s="7"/>
      <c r="F44" s="61"/>
      <c r="G44" s="61"/>
      <c r="H44" s="61"/>
      <c r="I44" s="62"/>
      <c r="J44" s="210" t="s">
        <v>56</v>
      </c>
      <c r="K44" s="211" t="s">
        <v>13</v>
      </c>
      <c r="L44" s="212" t="s">
        <v>68</v>
      </c>
      <c r="M44" s="66" t="s">
        <v>56</v>
      </c>
      <c r="N44" s="20" t="s">
        <v>13</v>
      </c>
      <c r="O44" s="32" t="s">
        <v>68</v>
      </c>
      <c r="P44" s="210" t="s">
        <v>56</v>
      </c>
      <c r="Q44" s="211" t="s">
        <v>13</v>
      </c>
      <c r="R44" s="212" t="s">
        <v>68</v>
      </c>
      <c r="S44" s="98"/>
      <c r="T44" s="62"/>
      <c r="U44" s="111"/>
    </row>
    <row r="45" spans="1:21" ht="13" thickBot="1" x14ac:dyDescent="0.3">
      <c r="A45" s="510"/>
      <c r="B45" s="300"/>
      <c r="C45" s="84">
        <f>VLOOKUP(C$2,Monitor_Costs,6,FALSE)</f>
        <v>3000</v>
      </c>
      <c r="D45" s="29">
        <f>VLOOKUP(C$2,Monitor_Costs,7,FALSE)</f>
        <v>2019</v>
      </c>
      <c r="E45" s="294"/>
      <c r="F45" s="60"/>
      <c r="G45" s="49"/>
      <c r="H45" s="49"/>
      <c r="I45" s="47"/>
      <c r="J45" s="229">
        <f>HLOOKUP(K$2,InflationTable,2)/HLOOKUP($D45,InflationTable,2)*$C45</f>
        <v>3626.7500977708255</v>
      </c>
      <c r="K45" s="295">
        <f>J45*$L$4</f>
        <v>155950.25420414549</v>
      </c>
      <c r="L45" s="256">
        <f>K45</f>
        <v>155950.25420414549</v>
      </c>
      <c r="M45" s="23">
        <f>HLOOKUP(N$2,InflationTable,2)/HLOOKUP($D45,InflationTable,2)*$C45</f>
        <v>3771.8201016816583</v>
      </c>
      <c r="N45" s="84">
        <f>M45*$O$4</f>
        <v>162188.2643723113</v>
      </c>
      <c r="O45" s="77">
        <f>N45</f>
        <v>162188.2643723113</v>
      </c>
      <c r="P45" s="229">
        <f>HLOOKUP(Q$2,InflationTable,2)/HLOOKUP($D45,InflationTable,2)*$C45</f>
        <v>3847.2565037152913</v>
      </c>
      <c r="Q45" s="295">
        <f>P45*$R$4</f>
        <v>165432.02965975754</v>
      </c>
      <c r="R45" s="256">
        <f>Q45</f>
        <v>165432.02965975754</v>
      </c>
      <c r="S45" s="298" t="s">
        <v>12</v>
      </c>
      <c r="T45" s="299">
        <f>AVERAGE(L45,O45,R45)</f>
        <v>161190.18274540477</v>
      </c>
      <c r="U45" s="115" t="s">
        <v>12</v>
      </c>
    </row>
    <row r="46" spans="1:21" ht="13" x14ac:dyDescent="0.3">
      <c r="A46" s="510"/>
      <c r="B46" s="378" t="s">
        <v>25</v>
      </c>
      <c r="C46" s="86" t="s">
        <v>45</v>
      </c>
      <c r="D46" s="86" t="s">
        <v>46</v>
      </c>
      <c r="E46" s="86" t="s">
        <v>47</v>
      </c>
      <c r="F46" s="86" t="s">
        <v>48</v>
      </c>
      <c r="G46" s="86" t="s">
        <v>49</v>
      </c>
      <c r="H46" s="86" t="s">
        <v>50</v>
      </c>
      <c r="I46" s="145" t="s">
        <v>74</v>
      </c>
      <c r="J46" s="292"/>
      <c r="K46" s="293"/>
      <c r="L46" s="296"/>
      <c r="M46" s="88"/>
      <c r="N46" s="86"/>
      <c r="O46" s="87"/>
      <c r="P46" s="292"/>
      <c r="Q46" s="293"/>
      <c r="R46" s="296"/>
      <c r="S46" s="109"/>
      <c r="T46" s="42"/>
      <c r="U46" s="111"/>
    </row>
    <row r="47" spans="1:21" x14ac:dyDescent="0.25">
      <c r="B47" s="464" t="s">
        <v>4</v>
      </c>
      <c r="C47" s="18">
        <v>0</v>
      </c>
      <c r="D47" s="18">
        <v>0</v>
      </c>
      <c r="E47" s="18">
        <v>0</v>
      </c>
      <c r="F47" s="18">
        <v>24</v>
      </c>
      <c r="G47" s="18">
        <v>8</v>
      </c>
      <c r="H47" s="18">
        <v>0</v>
      </c>
      <c r="I47" s="45">
        <f>SUM(C47:H47)</f>
        <v>32</v>
      </c>
      <c r="J47" s="213" t="s">
        <v>12</v>
      </c>
      <c r="K47" s="231">
        <f>I47*$L$4</f>
        <v>1376</v>
      </c>
      <c r="L47" s="239">
        <f>K47</f>
        <v>1376</v>
      </c>
      <c r="M47" s="51" t="s">
        <v>12</v>
      </c>
      <c r="N47" s="58">
        <f>$I$47*$O$4</f>
        <v>1376</v>
      </c>
      <c r="O47" s="57">
        <f>N47</f>
        <v>1376</v>
      </c>
      <c r="P47" s="213" t="s">
        <v>12</v>
      </c>
      <c r="Q47" s="231">
        <f>$I$47*$R$4</f>
        <v>1376</v>
      </c>
      <c r="R47" s="239">
        <f>Q47</f>
        <v>1376</v>
      </c>
      <c r="S47" s="96">
        <f>AVERAGE(L47,O47,R47)</f>
        <v>1376</v>
      </c>
      <c r="T47" s="94" t="s">
        <v>12</v>
      </c>
      <c r="U47" s="113" t="s">
        <v>12</v>
      </c>
    </row>
    <row r="48" spans="1:21" ht="13.5" thickBot="1" x14ac:dyDescent="0.35">
      <c r="B48" s="465" t="s">
        <v>8</v>
      </c>
      <c r="C48" s="29">
        <f>ROUND(C47*Labor!$D$3,0)</f>
        <v>0</v>
      </c>
      <c r="D48" s="29">
        <f>ROUND(D47*Labor!$D$4,0)</f>
        <v>0</v>
      </c>
      <c r="E48" s="29">
        <f>ROUND(E47*Labor!$D$5,0)</f>
        <v>0</v>
      </c>
      <c r="F48" s="29">
        <f>ROUND(F47*Labor!$D$6,0)</f>
        <v>662</v>
      </c>
      <c r="G48" s="29">
        <f>ROUND(G47*Labor!$D$7,0)</f>
        <v>250</v>
      </c>
      <c r="H48" s="29">
        <f>ROUND(H47*Labor!$D$8,0)</f>
        <v>0</v>
      </c>
      <c r="I48" s="33">
        <f>SUM(C48:H48)</f>
        <v>912</v>
      </c>
      <c r="J48" s="284">
        <f>HLOOKUP(K$2,InflationTable,2)/HLOOKUP(Labor!$B$11,InflationTable,2)*$I48</f>
        <v>1950.9857439446366</v>
      </c>
      <c r="K48" s="219">
        <f>J48*$L$4</f>
        <v>83892.386989619379</v>
      </c>
      <c r="L48" s="256">
        <f>K48</f>
        <v>83892.386989619379</v>
      </c>
      <c r="M48" s="169">
        <f>HLOOKUP(N$2,InflationTable,2)/HLOOKUP(Labor!$B$11,InflationTable,2)*$I48</f>
        <v>2029.0251737024223</v>
      </c>
      <c r="N48" s="55">
        <f>M48*$O$4</f>
        <v>87248.082469204164</v>
      </c>
      <c r="O48" s="77">
        <f>N48</f>
        <v>87248.082469204164</v>
      </c>
      <c r="P48" s="284">
        <f>HLOOKUP(Q$2,InflationTable,2)/HLOOKUP(Labor!$B$11,InflationTable,2)*$I48</f>
        <v>2069.6056771764702</v>
      </c>
      <c r="Q48" s="219">
        <f>P48*$O$4</f>
        <v>88993.044118588223</v>
      </c>
      <c r="R48" s="256">
        <f>Q48</f>
        <v>88993.044118588223</v>
      </c>
      <c r="S48" s="103">
        <f>AVERAGE(L48,O48,R48)</f>
        <v>86711.171192470589</v>
      </c>
      <c r="T48" s="121" t="s">
        <v>12</v>
      </c>
      <c r="U48" s="115" t="s">
        <v>12</v>
      </c>
    </row>
    <row r="49" spans="2:21" ht="13" x14ac:dyDescent="0.3">
      <c r="B49" s="106" t="s">
        <v>117</v>
      </c>
      <c r="C49" s="290">
        <v>0</v>
      </c>
      <c r="D49" s="290">
        <v>0</v>
      </c>
      <c r="E49" s="290">
        <v>0</v>
      </c>
      <c r="F49" s="290">
        <v>48</v>
      </c>
      <c r="G49" s="290">
        <v>16</v>
      </c>
      <c r="H49" s="290">
        <v>0</v>
      </c>
      <c r="I49" s="291">
        <f>SUM(C49:H49)</f>
        <v>64</v>
      </c>
      <c r="J49" s="242" t="s">
        <v>12</v>
      </c>
      <c r="K49" s="273">
        <f>I49*$L$4</f>
        <v>2752</v>
      </c>
      <c r="L49" s="274">
        <f>K49</f>
        <v>2752</v>
      </c>
      <c r="M49" s="53" t="s">
        <v>12</v>
      </c>
      <c r="N49" s="147">
        <f>$I$49*$O$4</f>
        <v>2752</v>
      </c>
      <c r="O49" s="148">
        <f>N49</f>
        <v>2752</v>
      </c>
      <c r="P49" s="242" t="s">
        <v>12</v>
      </c>
      <c r="Q49" s="273">
        <f>$I$49*$R$4</f>
        <v>2752</v>
      </c>
      <c r="R49" s="274">
        <f>Q49</f>
        <v>2752</v>
      </c>
      <c r="S49" s="104">
        <f>AVERAGE(L49,O49,R49)</f>
        <v>2752</v>
      </c>
      <c r="T49" s="94" t="s">
        <v>12</v>
      </c>
      <c r="U49" s="113" t="s">
        <v>12</v>
      </c>
    </row>
    <row r="50" spans="2:21" ht="13.5" thickBot="1" x14ac:dyDescent="0.35">
      <c r="B50" s="466" t="s">
        <v>8</v>
      </c>
      <c r="C50" s="29">
        <f>ROUND(C49*Labor!$D$3,0)</f>
        <v>0</v>
      </c>
      <c r="D50" s="29">
        <f>ROUND(D49*Labor!$D$4,0)</f>
        <v>0</v>
      </c>
      <c r="E50" s="29">
        <f>ROUND(E49*Labor!$D$5,0)</f>
        <v>0</v>
      </c>
      <c r="F50" s="29">
        <f>ROUND(F49*Labor!$D$6,0)</f>
        <v>1323</v>
      </c>
      <c r="G50" s="29">
        <f>ROUND(G49*Labor!$D$7,0)</f>
        <v>501</v>
      </c>
      <c r="H50" s="29">
        <f>ROUND(H49*Labor!$D$8,0)</f>
        <v>0</v>
      </c>
      <c r="I50" s="33">
        <f>SUM(C50:H50)</f>
        <v>1824</v>
      </c>
      <c r="J50" s="284">
        <f>HLOOKUP(K$2,InflationTable,2)/HLOOKUP(Labor!$B$11,InflationTable,2)*$I50</f>
        <v>3901.9714878892732</v>
      </c>
      <c r="K50" s="219">
        <f>J50*$L$4</f>
        <v>167784.77397923876</v>
      </c>
      <c r="L50" s="256">
        <f>K50</f>
        <v>167784.77397923876</v>
      </c>
      <c r="M50" s="169">
        <f>HLOOKUP(N$2,InflationTable,2)/HLOOKUP(Labor!$B$11,InflationTable,2)*$I50</f>
        <v>4058.0503474048446</v>
      </c>
      <c r="N50" s="55">
        <f>M50*$O$4</f>
        <v>174496.16493840833</v>
      </c>
      <c r="O50" s="77">
        <f>N50</f>
        <v>174496.16493840833</v>
      </c>
      <c r="P50" s="284">
        <f>HLOOKUP(Q$2,InflationTable,2)/HLOOKUP(Labor!$B$11,InflationTable,2)*$I50</f>
        <v>4139.2113543529404</v>
      </c>
      <c r="Q50" s="219">
        <f>P50*$R$4</f>
        <v>177986.08823717645</v>
      </c>
      <c r="R50" s="256">
        <f>Q50</f>
        <v>177986.08823717645</v>
      </c>
      <c r="S50" s="107">
        <f>AVERAGE(L50,O50,R50)</f>
        <v>173422.34238494118</v>
      </c>
      <c r="T50" s="121" t="s">
        <v>12</v>
      </c>
      <c r="U50" s="115" t="s">
        <v>12</v>
      </c>
    </row>
    <row r="51" spans="2:21" ht="13" x14ac:dyDescent="0.3">
      <c r="B51" s="139" t="s">
        <v>66</v>
      </c>
      <c r="C51" s="30">
        <f t="shared" ref="C51:I52" si="6">C47+C49</f>
        <v>0</v>
      </c>
      <c r="D51" s="30">
        <f t="shared" si="6"/>
        <v>0</v>
      </c>
      <c r="E51" s="30">
        <f t="shared" si="6"/>
        <v>0</v>
      </c>
      <c r="F51" s="30">
        <f t="shared" si="6"/>
        <v>72</v>
      </c>
      <c r="G51" s="30">
        <f t="shared" si="6"/>
        <v>24</v>
      </c>
      <c r="H51" s="30">
        <f t="shared" si="6"/>
        <v>0</v>
      </c>
      <c r="I51" s="39">
        <f t="shared" si="6"/>
        <v>96</v>
      </c>
      <c r="J51" s="249" t="s">
        <v>12</v>
      </c>
      <c r="K51" s="257">
        <f>K47+K49</f>
        <v>4128</v>
      </c>
      <c r="L51" s="258">
        <f>L47+L49</f>
        <v>4128</v>
      </c>
      <c r="M51" s="70" t="s">
        <v>12</v>
      </c>
      <c r="N51" s="71">
        <f>N47+N49</f>
        <v>4128</v>
      </c>
      <c r="O51" s="79">
        <f>O47+O49</f>
        <v>4128</v>
      </c>
      <c r="P51" s="249" t="s">
        <v>12</v>
      </c>
      <c r="Q51" s="257">
        <f>Q47+Q49</f>
        <v>4128</v>
      </c>
      <c r="R51" s="258">
        <f>R47+R49</f>
        <v>4128</v>
      </c>
      <c r="S51" s="96">
        <f>AVERAGE(L51,O51,R51)</f>
        <v>4128</v>
      </c>
      <c r="T51" s="42" t="s">
        <v>12</v>
      </c>
      <c r="U51" s="120" t="s">
        <v>12</v>
      </c>
    </row>
    <row r="52" spans="2:21" ht="13.5" thickBot="1" x14ac:dyDescent="0.35">
      <c r="B52" s="460" t="s">
        <v>67</v>
      </c>
      <c r="C52" s="194">
        <f t="shared" si="6"/>
        <v>0</v>
      </c>
      <c r="D52" s="194">
        <f t="shared" si="6"/>
        <v>0</v>
      </c>
      <c r="E52" s="194">
        <f t="shared" si="6"/>
        <v>0</v>
      </c>
      <c r="F52" s="194">
        <f t="shared" si="6"/>
        <v>1985</v>
      </c>
      <c r="G52" s="194">
        <f t="shared" si="6"/>
        <v>751</v>
      </c>
      <c r="H52" s="194">
        <f t="shared" si="6"/>
        <v>0</v>
      </c>
      <c r="I52" s="178">
        <f>I50+I48+C45</f>
        <v>5736</v>
      </c>
      <c r="J52" s="259">
        <f t="shared" ref="J52:R52" si="7">J50+J48+J45</f>
        <v>9479.7073296047347</v>
      </c>
      <c r="K52" s="253">
        <f t="shared" si="7"/>
        <v>407627.41517300362</v>
      </c>
      <c r="L52" s="254">
        <f t="shared" si="7"/>
        <v>407627.41517300362</v>
      </c>
      <c r="M52" s="176">
        <f t="shared" si="7"/>
        <v>9858.8956227889248</v>
      </c>
      <c r="N52" s="177">
        <f t="shared" si="7"/>
        <v>423932.51177992381</v>
      </c>
      <c r="O52" s="178">
        <f t="shared" si="7"/>
        <v>423932.51177992381</v>
      </c>
      <c r="P52" s="259">
        <f t="shared" si="7"/>
        <v>10056.073535244701</v>
      </c>
      <c r="Q52" s="253">
        <f t="shared" si="7"/>
        <v>432411.16201552225</v>
      </c>
      <c r="R52" s="254">
        <f t="shared" si="7"/>
        <v>432411.16201552225</v>
      </c>
      <c r="S52" s="202">
        <f>S50+S48</f>
        <v>260133.51357741177</v>
      </c>
      <c r="T52" s="205">
        <f>T45</f>
        <v>161190.18274540477</v>
      </c>
      <c r="U52" s="180" t="s">
        <v>12</v>
      </c>
    </row>
    <row r="53" spans="2:21" ht="13.5" thickTop="1" thickBot="1" x14ac:dyDescent="0.3">
      <c r="B53" s="144"/>
      <c r="C53" s="513"/>
      <c r="D53" s="513"/>
      <c r="E53" s="513"/>
      <c r="F53" s="513"/>
      <c r="G53" s="513"/>
      <c r="H53" s="513"/>
      <c r="I53" s="513"/>
      <c r="J53" s="513"/>
      <c r="K53" s="513"/>
      <c r="L53" s="513"/>
      <c r="M53" s="513"/>
      <c r="N53" s="513"/>
      <c r="O53" s="513"/>
      <c r="P53" s="513"/>
      <c r="Q53" s="513"/>
      <c r="R53" s="513"/>
      <c r="S53" s="513"/>
      <c r="T53" s="513"/>
      <c r="U53" s="515"/>
    </row>
    <row r="54" spans="2:21" ht="16" thickTop="1" x14ac:dyDescent="0.35">
      <c r="B54" s="463" t="s">
        <v>26</v>
      </c>
      <c r="F54" s="1" t="s">
        <v>6</v>
      </c>
      <c r="G54" s="1160"/>
      <c r="H54" s="1161"/>
      <c r="I54" s="1162"/>
      <c r="J54" s="2" t="s">
        <v>26</v>
      </c>
      <c r="L54" s="31"/>
      <c r="M54" s="199" t="s">
        <v>26</v>
      </c>
      <c r="P54" s="199" t="s">
        <v>26</v>
      </c>
      <c r="R54" s="31"/>
      <c r="S54" s="97"/>
      <c r="T54" s="31"/>
      <c r="U54" s="111"/>
    </row>
    <row r="55" spans="2:21" ht="13" x14ac:dyDescent="0.3">
      <c r="B55" s="144"/>
      <c r="I55" s="32" t="s">
        <v>61</v>
      </c>
      <c r="J55" s="227" t="s">
        <v>61</v>
      </c>
      <c r="K55" s="1167" t="s">
        <v>57</v>
      </c>
      <c r="L55" s="1168"/>
      <c r="M55" s="50" t="s">
        <v>61</v>
      </c>
      <c r="N55" s="1177" t="s">
        <v>57</v>
      </c>
      <c r="O55" s="1178"/>
      <c r="P55" s="227" t="s">
        <v>61</v>
      </c>
      <c r="Q55" s="1167" t="s">
        <v>57</v>
      </c>
      <c r="R55" s="1168"/>
      <c r="S55" s="106"/>
      <c r="T55" s="31"/>
      <c r="U55" s="111"/>
    </row>
    <row r="56" spans="2:21" ht="13" x14ac:dyDescent="0.3">
      <c r="B56" s="462" t="s">
        <v>27</v>
      </c>
      <c r="C56" s="20" t="s">
        <v>45</v>
      </c>
      <c r="D56" s="20" t="s">
        <v>46</v>
      </c>
      <c r="E56" s="20" t="s">
        <v>47</v>
      </c>
      <c r="F56" s="20" t="s">
        <v>48</v>
      </c>
      <c r="G56" s="20" t="s">
        <v>49</v>
      </c>
      <c r="H56" s="20" t="s">
        <v>50</v>
      </c>
      <c r="I56" s="32" t="s">
        <v>13</v>
      </c>
      <c r="J56" s="210" t="s">
        <v>56</v>
      </c>
      <c r="K56" s="211" t="s">
        <v>13</v>
      </c>
      <c r="L56" s="212" t="s">
        <v>68</v>
      </c>
      <c r="M56" s="66" t="s">
        <v>56</v>
      </c>
      <c r="N56" s="20" t="s">
        <v>13</v>
      </c>
      <c r="O56" s="32" t="s">
        <v>68</v>
      </c>
      <c r="P56" s="210" t="s">
        <v>56</v>
      </c>
      <c r="Q56" s="211" t="s">
        <v>13</v>
      </c>
      <c r="R56" s="212" t="s">
        <v>68</v>
      </c>
      <c r="S56" s="98"/>
      <c r="T56" s="31"/>
      <c r="U56" s="111"/>
    </row>
    <row r="57" spans="2:21" x14ac:dyDescent="0.25">
      <c r="B57" s="464" t="s">
        <v>4</v>
      </c>
      <c r="C57" s="18">
        <v>0</v>
      </c>
      <c r="D57" s="18">
        <v>0</v>
      </c>
      <c r="E57" s="18">
        <v>0</v>
      </c>
      <c r="F57" s="18">
        <v>24</v>
      </c>
      <c r="G57" s="18">
        <v>0</v>
      </c>
      <c r="H57" s="18">
        <v>0</v>
      </c>
      <c r="I57" s="45">
        <f t="shared" ref="I57:I66" si="8">SUM(C57:H57)</f>
        <v>24</v>
      </c>
      <c r="J57" s="213" t="s">
        <v>12</v>
      </c>
      <c r="K57" s="231">
        <f>I57*$L$4</f>
        <v>1032</v>
      </c>
      <c r="L57" s="239">
        <f t="shared" ref="L57:L66" si="9">K57</f>
        <v>1032</v>
      </c>
      <c r="M57" s="51" t="s">
        <v>12</v>
      </c>
      <c r="N57" s="58">
        <f>$I$57*$O$4</f>
        <v>1032</v>
      </c>
      <c r="O57" s="57">
        <f t="shared" ref="O57:O66" si="10">N57</f>
        <v>1032</v>
      </c>
      <c r="P57" s="213" t="s">
        <v>12</v>
      </c>
      <c r="Q57" s="231">
        <f>$I$57*$R$4</f>
        <v>1032</v>
      </c>
      <c r="R57" s="239">
        <f t="shared" ref="R57:R66" si="11">Q57</f>
        <v>1032</v>
      </c>
      <c r="S57" s="96">
        <f t="shared" ref="S57:S68" si="12">AVERAGE(L57,O57,R57)</f>
        <v>1032</v>
      </c>
      <c r="T57" s="94" t="s">
        <v>12</v>
      </c>
      <c r="U57" s="113" t="s">
        <v>12</v>
      </c>
    </row>
    <row r="58" spans="2:21" ht="13.5" thickBot="1" x14ac:dyDescent="0.35">
      <c r="B58" s="465" t="s">
        <v>8</v>
      </c>
      <c r="C58" s="29">
        <f>ROUND(C57*Labor!$D$3,0)</f>
        <v>0</v>
      </c>
      <c r="D58" s="29">
        <f>ROUND(D57*Labor!$D$4,0)</f>
        <v>0</v>
      </c>
      <c r="E58" s="29">
        <f>ROUND(E57*Labor!$D$5,0)</f>
        <v>0</v>
      </c>
      <c r="F58" s="29">
        <f>ROUND(F57*Labor!$D$6,0)</f>
        <v>662</v>
      </c>
      <c r="G58" s="29">
        <f>ROUND(G57*Labor!$D$7,0)</f>
        <v>0</v>
      </c>
      <c r="H58" s="29">
        <f>ROUND(H57*Labor!$D$8,0)</f>
        <v>0</v>
      </c>
      <c r="I58" s="33">
        <f t="shared" si="8"/>
        <v>662</v>
      </c>
      <c r="J58" s="284">
        <f>HLOOKUP(K$2,InflationTable,2)/HLOOKUP(Labor!$B$11,InflationTable,2)*$I58</f>
        <v>1416.1760553633217</v>
      </c>
      <c r="K58" s="219">
        <f>J58*$L$4</f>
        <v>60895.570380622834</v>
      </c>
      <c r="L58" s="256">
        <f t="shared" si="9"/>
        <v>60895.570380622834</v>
      </c>
      <c r="M58" s="169">
        <f>HLOOKUP(N$2,InflationTable,2)/HLOOKUP(Labor!$B$11,InflationTable,2)*$I58</f>
        <v>1472.8230975778547</v>
      </c>
      <c r="N58" s="55">
        <f>M58*$L$4</f>
        <v>63331.393195847755</v>
      </c>
      <c r="O58" s="77">
        <f t="shared" si="10"/>
        <v>63331.393195847755</v>
      </c>
      <c r="P58" s="284">
        <f>HLOOKUP(Q$2,InflationTable,2)/HLOOKUP(Labor!$B$11,InflationTable,2)*$I58</f>
        <v>1502.2795595294117</v>
      </c>
      <c r="Q58" s="219">
        <f>P58*$R$4</f>
        <v>64598.021059764702</v>
      </c>
      <c r="R58" s="256">
        <f t="shared" si="11"/>
        <v>64598.021059764702</v>
      </c>
      <c r="S58" s="103">
        <f t="shared" si="12"/>
        <v>62941.661545411764</v>
      </c>
      <c r="T58" s="121" t="s">
        <v>12</v>
      </c>
      <c r="U58" s="115" t="s">
        <v>12</v>
      </c>
    </row>
    <row r="59" spans="2:21" ht="13" x14ac:dyDescent="0.3">
      <c r="B59" s="459" t="s">
        <v>114</v>
      </c>
      <c r="C59" s="290">
        <v>0</v>
      </c>
      <c r="D59" s="290">
        <v>0</v>
      </c>
      <c r="E59" s="290">
        <v>0</v>
      </c>
      <c r="F59" s="290">
        <v>8</v>
      </c>
      <c r="G59" s="290">
        <v>1</v>
      </c>
      <c r="H59" s="290">
        <v>1</v>
      </c>
      <c r="I59" s="291">
        <f t="shared" si="8"/>
        <v>10</v>
      </c>
      <c r="J59" s="242" t="s">
        <v>12</v>
      </c>
      <c r="K59" s="273">
        <f>I59*$L$4</f>
        <v>430</v>
      </c>
      <c r="L59" s="274">
        <f t="shared" si="9"/>
        <v>430</v>
      </c>
      <c r="M59" s="53" t="s">
        <v>12</v>
      </c>
      <c r="N59" s="147">
        <f>$I$59*$O$4</f>
        <v>430</v>
      </c>
      <c r="O59" s="148">
        <f t="shared" si="10"/>
        <v>430</v>
      </c>
      <c r="P59" s="242" t="s">
        <v>12</v>
      </c>
      <c r="Q59" s="273">
        <f>$I$59*$R$4</f>
        <v>430</v>
      </c>
      <c r="R59" s="274">
        <f t="shared" si="11"/>
        <v>430</v>
      </c>
      <c r="S59" s="104">
        <f t="shared" si="12"/>
        <v>430</v>
      </c>
      <c r="T59" s="42" t="s">
        <v>12</v>
      </c>
      <c r="U59" s="119" t="s">
        <v>12</v>
      </c>
    </row>
    <row r="60" spans="2:21" ht="13.5" thickBot="1" x14ac:dyDescent="0.35">
      <c r="B60" s="465" t="s">
        <v>8</v>
      </c>
      <c r="C60" s="29">
        <f>ROUND(C59*Labor!$D$3,0)</f>
        <v>0</v>
      </c>
      <c r="D60" s="29">
        <f>ROUND(D59*Labor!$D$4,0)</f>
        <v>0</v>
      </c>
      <c r="E60" s="29">
        <f>ROUND(E59*Labor!$D$5,0)</f>
        <v>0</v>
      </c>
      <c r="F60" s="29">
        <f>ROUND(F59*Labor!$D$6,0)</f>
        <v>221</v>
      </c>
      <c r="G60" s="29">
        <f>ROUND(G59*Labor!$D$7,0)</f>
        <v>31</v>
      </c>
      <c r="H60" s="29">
        <f>ROUND(H59*Labor!$D$8,0)</f>
        <v>38</v>
      </c>
      <c r="I60" s="33">
        <f t="shared" si="8"/>
        <v>290</v>
      </c>
      <c r="J60" s="284">
        <f>HLOOKUP(K$2,InflationTable,2)/HLOOKUP(Labor!$B$11,InflationTable,2)*$I60</f>
        <v>620.37923875432523</v>
      </c>
      <c r="K60" s="219">
        <f>J60*$L$4</f>
        <v>26676.307266435986</v>
      </c>
      <c r="L60" s="256">
        <f t="shared" si="9"/>
        <v>26676.307266435986</v>
      </c>
      <c r="M60" s="169">
        <f>HLOOKUP(N$2,InflationTable,2)/HLOOKUP(Labor!$B$11,InflationTable,2)*$I60</f>
        <v>645.19440830449832</v>
      </c>
      <c r="N60" s="55">
        <f>M60*$O$4</f>
        <v>27743.359557093427</v>
      </c>
      <c r="O60" s="77">
        <f t="shared" si="10"/>
        <v>27743.359557093427</v>
      </c>
      <c r="P60" s="284">
        <f>HLOOKUP(Q$2,InflationTable,2)/HLOOKUP(Labor!$B$11,InflationTable,2)*$I60</f>
        <v>658.09829647058814</v>
      </c>
      <c r="Q60" s="219">
        <f>P60*$R$4</f>
        <v>28298.226748235291</v>
      </c>
      <c r="R60" s="256">
        <f t="shared" si="11"/>
        <v>28298.226748235291</v>
      </c>
      <c r="S60" s="103">
        <f t="shared" si="12"/>
        <v>27572.631190588232</v>
      </c>
      <c r="T60" s="121" t="s">
        <v>12</v>
      </c>
      <c r="U60" s="115" t="s">
        <v>12</v>
      </c>
    </row>
    <row r="61" spans="2:21" ht="13" x14ac:dyDescent="0.3">
      <c r="B61" s="459" t="s">
        <v>115</v>
      </c>
      <c r="C61" s="290">
        <v>0</v>
      </c>
      <c r="D61" s="290">
        <v>0</v>
      </c>
      <c r="E61" s="290">
        <v>0</v>
      </c>
      <c r="F61" s="290">
        <v>32</v>
      </c>
      <c r="G61" s="290">
        <v>8</v>
      </c>
      <c r="H61" s="290">
        <v>0</v>
      </c>
      <c r="I61" s="291">
        <f t="shared" si="8"/>
        <v>40</v>
      </c>
      <c r="J61" s="242" t="s">
        <v>12</v>
      </c>
      <c r="K61" s="273">
        <f>I61*$L$4</f>
        <v>1720</v>
      </c>
      <c r="L61" s="274">
        <f t="shared" si="9"/>
        <v>1720</v>
      </c>
      <c r="M61" s="53" t="s">
        <v>12</v>
      </c>
      <c r="N61" s="147">
        <f>$I$61*$O$4</f>
        <v>1720</v>
      </c>
      <c r="O61" s="148">
        <f t="shared" si="10"/>
        <v>1720</v>
      </c>
      <c r="P61" s="242" t="s">
        <v>12</v>
      </c>
      <c r="Q61" s="273">
        <f>$I$61*$R$4</f>
        <v>1720</v>
      </c>
      <c r="R61" s="274">
        <f t="shared" si="11"/>
        <v>1720</v>
      </c>
      <c r="S61" s="104">
        <f t="shared" si="12"/>
        <v>1720</v>
      </c>
      <c r="T61" s="42" t="s">
        <v>12</v>
      </c>
      <c r="U61" s="119" t="s">
        <v>12</v>
      </c>
    </row>
    <row r="62" spans="2:21" ht="13.5" thickBot="1" x14ac:dyDescent="0.35">
      <c r="B62" s="465" t="s">
        <v>8</v>
      </c>
      <c r="C62" s="29">
        <f>ROUND(C61*Labor!$D$3,0)</f>
        <v>0</v>
      </c>
      <c r="D62" s="29">
        <f>ROUND(D61*Labor!$D$4,0)</f>
        <v>0</v>
      </c>
      <c r="E62" s="29">
        <f>ROUND(E61*Labor!$D$5,0)</f>
        <v>0</v>
      </c>
      <c r="F62" s="29">
        <f>ROUND(F61*Labor!$D$6,0)</f>
        <v>882</v>
      </c>
      <c r="G62" s="29">
        <f>ROUND(G61*Labor!$D$7,0)</f>
        <v>250</v>
      </c>
      <c r="H62" s="29">
        <f>ROUND(H61*Labor!$D$8,0)</f>
        <v>0</v>
      </c>
      <c r="I62" s="33">
        <f t="shared" si="8"/>
        <v>1132</v>
      </c>
      <c r="J62" s="284">
        <f>HLOOKUP(K$2,InflationTable,2)/HLOOKUP(Labor!$B$11,InflationTable,2)*$I62</f>
        <v>2421.6182698961934</v>
      </c>
      <c r="K62" s="219">
        <f>J62*$L$4</f>
        <v>104129.58560553631</v>
      </c>
      <c r="L62" s="256">
        <f t="shared" si="9"/>
        <v>104129.58560553631</v>
      </c>
      <c r="M62" s="169">
        <f>HLOOKUP(N$2,InflationTable,2)/HLOOKUP(Labor!$B$11,InflationTable,2)*$I62</f>
        <v>2518.4830006920415</v>
      </c>
      <c r="N62" s="55">
        <f>M62*$O$4</f>
        <v>108294.76902975778</v>
      </c>
      <c r="O62" s="77">
        <f t="shared" si="10"/>
        <v>108294.76902975778</v>
      </c>
      <c r="P62" s="284">
        <f>HLOOKUP(Q$2,InflationTable,2)/HLOOKUP(Labor!$B$11,InflationTable,2)*$I62</f>
        <v>2568.852660705882</v>
      </c>
      <c r="Q62" s="219">
        <f>P62*$R$4</f>
        <v>110460.66441035293</v>
      </c>
      <c r="R62" s="256">
        <f t="shared" si="11"/>
        <v>110460.66441035293</v>
      </c>
      <c r="S62" s="103">
        <f t="shared" si="12"/>
        <v>107628.33968188234</v>
      </c>
      <c r="T62" s="121" t="s">
        <v>12</v>
      </c>
      <c r="U62" s="115" t="s">
        <v>12</v>
      </c>
    </row>
    <row r="63" spans="2:21" ht="13" x14ac:dyDescent="0.3">
      <c r="B63" s="459" t="s">
        <v>116</v>
      </c>
      <c r="C63" s="290">
        <v>0</v>
      </c>
      <c r="D63" s="290">
        <v>0</v>
      </c>
      <c r="E63" s="290">
        <v>0</v>
      </c>
      <c r="F63" s="290">
        <v>70</v>
      </c>
      <c r="G63" s="290">
        <v>30</v>
      </c>
      <c r="H63" s="290">
        <v>10</v>
      </c>
      <c r="I63" s="291">
        <f t="shared" si="8"/>
        <v>110</v>
      </c>
      <c r="J63" s="242" t="s">
        <v>12</v>
      </c>
      <c r="K63" s="273">
        <f>I63*$L$4</f>
        <v>4730</v>
      </c>
      <c r="L63" s="274">
        <f t="shared" si="9"/>
        <v>4730</v>
      </c>
      <c r="M63" s="53" t="s">
        <v>12</v>
      </c>
      <c r="N63" s="147">
        <f>$I$63*$O$4</f>
        <v>4730</v>
      </c>
      <c r="O63" s="148">
        <f t="shared" si="10"/>
        <v>4730</v>
      </c>
      <c r="P63" s="242" t="s">
        <v>12</v>
      </c>
      <c r="Q63" s="273">
        <f>$I$63*$R$4</f>
        <v>4730</v>
      </c>
      <c r="R63" s="274">
        <f t="shared" si="11"/>
        <v>4730</v>
      </c>
      <c r="S63" s="104">
        <f t="shared" si="12"/>
        <v>4730</v>
      </c>
      <c r="T63" s="42" t="s">
        <v>12</v>
      </c>
      <c r="U63" s="119" t="s">
        <v>12</v>
      </c>
    </row>
    <row r="64" spans="2:21" ht="13.5" thickBot="1" x14ac:dyDescent="0.35">
      <c r="B64" s="465" t="s">
        <v>8</v>
      </c>
      <c r="C64" s="29">
        <f>ROUND(C63*Labor!$D$3,0)</f>
        <v>0</v>
      </c>
      <c r="D64" s="29">
        <f>ROUND(D63*Labor!$D$4,0)</f>
        <v>0</v>
      </c>
      <c r="E64" s="29">
        <f>ROUND(E63*Labor!$D$5,0)</f>
        <v>0</v>
      </c>
      <c r="F64" s="29">
        <f>ROUND(F63*Labor!$D$6,0)</f>
        <v>1930</v>
      </c>
      <c r="G64" s="29">
        <f>ROUND(G63*Labor!$D$7,0)</f>
        <v>939</v>
      </c>
      <c r="H64" s="29">
        <f>ROUND(H63*Labor!$D$8,0)</f>
        <v>378</v>
      </c>
      <c r="I64" s="33">
        <f t="shared" si="8"/>
        <v>3247</v>
      </c>
      <c r="J64" s="284">
        <f>HLOOKUP(K$2,InflationTable,2)/HLOOKUP(Labor!$B$11,InflationTable,2)*$I64</f>
        <v>6946.1082352941166</v>
      </c>
      <c r="K64" s="219">
        <f>J64*$L$4</f>
        <v>298682.65411764703</v>
      </c>
      <c r="L64" s="256">
        <f t="shared" si="9"/>
        <v>298682.65411764703</v>
      </c>
      <c r="M64" s="169">
        <f>HLOOKUP(N$2,InflationTable,2)/HLOOKUP(Labor!$B$11,InflationTable,2)*$I64</f>
        <v>7223.9525647058827</v>
      </c>
      <c r="N64" s="55">
        <f>M64*$O$4</f>
        <v>310629.96028235293</v>
      </c>
      <c r="O64" s="77">
        <f t="shared" si="10"/>
        <v>310629.96028235293</v>
      </c>
      <c r="P64" s="284">
        <f>HLOOKUP(Q$2,InflationTable,2)/HLOOKUP(Labor!$B$11,InflationTable,2)*$I64</f>
        <v>7368.4316159999989</v>
      </c>
      <c r="Q64" s="219">
        <f>P64*$R$4</f>
        <v>316842.55948799994</v>
      </c>
      <c r="R64" s="256">
        <f t="shared" si="11"/>
        <v>316842.55948799994</v>
      </c>
      <c r="S64" s="103">
        <f t="shared" si="12"/>
        <v>308718.39129599999</v>
      </c>
      <c r="T64" s="110" t="s">
        <v>12</v>
      </c>
      <c r="U64" s="115" t="s">
        <v>12</v>
      </c>
    </row>
    <row r="65" spans="2:21" ht="13" x14ac:dyDescent="0.3">
      <c r="B65" s="1095" t="s">
        <v>376</v>
      </c>
      <c r="C65" s="1100">
        <v>0</v>
      </c>
      <c r="D65" s="1100">
        <v>0.25</v>
      </c>
      <c r="E65" s="1100">
        <v>0</v>
      </c>
      <c r="F65" s="1100">
        <v>0</v>
      </c>
      <c r="G65" s="1100">
        <v>0</v>
      </c>
      <c r="H65" s="1100">
        <v>0</v>
      </c>
      <c r="I65" s="291">
        <f t="shared" si="8"/>
        <v>0.25</v>
      </c>
      <c r="J65" s="242">
        <f>I65</f>
        <v>0.25</v>
      </c>
      <c r="K65" s="273">
        <f>J65*L4</f>
        <v>10.75</v>
      </c>
      <c r="L65" s="274">
        <f t="shared" si="9"/>
        <v>10.75</v>
      </c>
      <c r="M65" s="53">
        <f>I65</f>
        <v>0.25</v>
      </c>
      <c r="N65" s="147">
        <f>M65*O4</f>
        <v>10.75</v>
      </c>
      <c r="O65" s="148">
        <f t="shared" si="10"/>
        <v>10.75</v>
      </c>
      <c r="P65" s="242">
        <f>I65</f>
        <v>0.25</v>
      </c>
      <c r="Q65" s="273">
        <f>P65*R4</f>
        <v>10.75</v>
      </c>
      <c r="R65" s="274">
        <f t="shared" si="11"/>
        <v>10.75</v>
      </c>
      <c r="S65" s="104">
        <f t="shared" si="12"/>
        <v>10.75</v>
      </c>
      <c r="T65" s="42" t="s">
        <v>12</v>
      </c>
      <c r="U65" s="119" t="s">
        <v>12</v>
      </c>
    </row>
    <row r="66" spans="2:21" ht="13.5" thickBot="1" x14ac:dyDescent="0.35">
      <c r="B66" s="465" t="s">
        <v>8</v>
      </c>
      <c r="C66" s="1097">
        <f>ROUND(C65*Labor!$D$3,0)</f>
        <v>0</v>
      </c>
      <c r="D66" s="1097">
        <f>ROUND(D65*Labor!$D$3,0)</f>
        <v>6</v>
      </c>
      <c r="E66" s="1097">
        <f>ROUND(E65*Labor!$D$3,0)</f>
        <v>0</v>
      </c>
      <c r="F66" s="1097">
        <f>ROUND(F65*Labor!$D$3,0)</f>
        <v>0</v>
      </c>
      <c r="G66" s="1097">
        <f>ROUND(G65*Labor!$D$3,0)</f>
        <v>0</v>
      </c>
      <c r="H66" s="1097">
        <f>ROUND(H65*Labor!$D$3,0)</f>
        <v>0</v>
      </c>
      <c r="I66" s="1094">
        <f t="shared" si="8"/>
        <v>6</v>
      </c>
      <c r="J66" s="284">
        <f>HLOOKUP(K$2,InflationTable,2)/HLOOKUP(Labor!$B$11,InflationTable,2)*$I66</f>
        <v>12.835432525951557</v>
      </c>
      <c r="K66" s="245">
        <f>K65*J66</f>
        <v>137.98089965397924</v>
      </c>
      <c r="L66" s="246">
        <f t="shared" si="9"/>
        <v>137.98089965397924</v>
      </c>
      <c r="M66" s="169">
        <f>HLOOKUP(N$2,InflationTable,2)/HLOOKUP(Labor!$B$11,InflationTable,2)*$I66</f>
        <v>13.348849826989621</v>
      </c>
      <c r="N66" s="166">
        <f>N65*M66</f>
        <v>143.50013564013844</v>
      </c>
      <c r="O66" s="167">
        <f t="shared" si="10"/>
        <v>143.50013564013844</v>
      </c>
      <c r="P66" s="284">
        <f>HLOOKUP(Q$2,InflationTable,2)/HLOOKUP(Labor!$B$11,InflationTable,2)*$I66</f>
        <v>13.61582682352941</v>
      </c>
      <c r="Q66" s="245">
        <f>Q65*P66</f>
        <v>146.37013835294115</v>
      </c>
      <c r="R66" s="246">
        <f t="shared" si="11"/>
        <v>146.37013835294115</v>
      </c>
      <c r="S66" s="169">
        <f t="shared" si="12"/>
        <v>142.61705788235292</v>
      </c>
      <c r="T66" s="110" t="s">
        <v>12</v>
      </c>
      <c r="U66" s="115" t="s">
        <v>12</v>
      </c>
    </row>
    <row r="67" spans="2:21" ht="13" x14ac:dyDescent="0.3">
      <c r="B67" s="139" t="s">
        <v>66</v>
      </c>
      <c r="C67" s="30">
        <f>C57+C59+C61+C63+C65</f>
        <v>0</v>
      </c>
      <c r="D67" s="30">
        <f t="shared" ref="D67:I67" si="13">D57+D59+D61+D63+D65</f>
        <v>0.25</v>
      </c>
      <c r="E67" s="30">
        <f t="shared" si="13"/>
        <v>0</v>
      </c>
      <c r="F67" s="30">
        <f t="shared" si="13"/>
        <v>134</v>
      </c>
      <c r="G67" s="30">
        <f t="shared" si="13"/>
        <v>39</v>
      </c>
      <c r="H67" s="30">
        <f t="shared" si="13"/>
        <v>11</v>
      </c>
      <c r="I67" s="30">
        <f t="shared" si="13"/>
        <v>184.25</v>
      </c>
      <c r="J67" s="249" t="s">
        <v>12</v>
      </c>
      <c r="K67" s="235">
        <f>K57+K59+K61+K63+K65</f>
        <v>7922.75</v>
      </c>
      <c r="L67" s="260">
        <f>L57+L59+L61+L63+L65</f>
        <v>7922.75</v>
      </c>
      <c r="M67" s="70" t="s">
        <v>12</v>
      </c>
      <c r="N67" s="28">
        <f>N57+N59+N61+N63+N65</f>
        <v>7922.75</v>
      </c>
      <c r="O67" s="28">
        <f>O57+O59+O61+O63+O65</f>
        <v>7922.75</v>
      </c>
      <c r="P67" s="249" t="s">
        <v>12</v>
      </c>
      <c r="Q67" s="235">
        <f>Q57+Q59+Q61+Q63+Q65</f>
        <v>7922.75</v>
      </c>
      <c r="R67" s="235">
        <f>R57+R59+R61+R63+R65</f>
        <v>7922.75</v>
      </c>
      <c r="S67" s="104">
        <f t="shared" si="12"/>
        <v>7922.75</v>
      </c>
      <c r="T67" s="42" t="s">
        <v>12</v>
      </c>
      <c r="U67" s="119" t="s">
        <v>12</v>
      </c>
    </row>
    <row r="68" spans="2:21" ht="13.5" thickBot="1" x14ac:dyDescent="0.35">
      <c r="B68" s="460" t="s">
        <v>67</v>
      </c>
      <c r="C68" s="194">
        <f>C58+C60+C62+C64+C66</f>
        <v>0</v>
      </c>
      <c r="D68" s="194">
        <f t="shared" ref="D68:I68" si="14">D58+D60+D62+D64+D66</f>
        <v>6</v>
      </c>
      <c r="E68" s="194">
        <f t="shared" si="14"/>
        <v>0</v>
      </c>
      <c r="F68" s="194">
        <f t="shared" si="14"/>
        <v>3695</v>
      </c>
      <c r="G68" s="194">
        <f t="shared" si="14"/>
        <v>1220</v>
      </c>
      <c r="H68" s="194">
        <f t="shared" si="14"/>
        <v>416</v>
      </c>
      <c r="I68" s="194">
        <f t="shared" si="14"/>
        <v>5337</v>
      </c>
      <c r="J68" s="261">
        <f>J58+J60+J62+J64+J66</f>
        <v>11417.117231833909</v>
      </c>
      <c r="K68" s="261">
        <f>K58+K60+K62+K64+K66</f>
        <v>490522.09826989612</v>
      </c>
      <c r="L68" s="226">
        <f>L58+L60+L62+L64+L66</f>
        <v>490522.09826989612</v>
      </c>
      <c r="M68" s="194">
        <f t="shared" ref="M68:O68" si="15">M58+M60+M62+M64+M66</f>
        <v>11873.801921107266</v>
      </c>
      <c r="N68" s="194">
        <f>N58+N60+N62+N64+N66</f>
        <v>510142.98220069206</v>
      </c>
      <c r="O68" s="194">
        <f t="shared" si="15"/>
        <v>510142.98220069206</v>
      </c>
      <c r="P68" s="261">
        <f>P58+P60+P62+P64+P66</f>
        <v>12111.277959529411</v>
      </c>
      <c r="Q68" s="261">
        <f>Q58+Q60+Q62+Q64+Q66</f>
        <v>520345.84184470581</v>
      </c>
      <c r="R68" s="261">
        <f>R58+R60+R62+R64+R66</f>
        <v>520345.84184470581</v>
      </c>
      <c r="S68" s="206">
        <f t="shared" si="12"/>
        <v>507003.64077176462</v>
      </c>
      <c r="T68" s="203" t="s">
        <v>12</v>
      </c>
      <c r="U68" s="180" t="s">
        <v>12</v>
      </c>
    </row>
    <row r="69" spans="2:21" ht="13.5" thickTop="1" x14ac:dyDescent="0.3">
      <c r="B69" s="519"/>
      <c r="C69" s="516"/>
      <c r="D69" s="516"/>
      <c r="E69" s="516"/>
      <c r="F69" s="516"/>
      <c r="G69" s="516"/>
      <c r="H69" s="516"/>
      <c r="I69" s="517"/>
      <c r="J69" s="517"/>
      <c r="K69" s="517"/>
      <c r="L69" s="517"/>
      <c r="M69" s="517"/>
      <c r="N69" s="517"/>
      <c r="O69" s="517"/>
      <c r="P69" s="517"/>
      <c r="Q69" s="517"/>
      <c r="R69" s="517"/>
      <c r="S69" s="520"/>
      <c r="T69" s="521"/>
      <c r="U69" s="522"/>
    </row>
    <row r="70" spans="2:21" ht="13" thickBot="1" x14ac:dyDescent="0.3">
      <c r="B70" s="335"/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5"/>
      <c r="Q70" s="335"/>
      <c r="R70" s="335"/>
      <c r="S70" s="335"/>
      <c r="T70" s="335"/>
      <c r="U70" s="335"/>
    </row>
    <row r="71" spans="2:21" ht="27.5" thickTop="1" thickBot="1" x14ac:dyDescent="0.4">
      <c r="B71" s="463" t="s">
        <v>28</v>
      </c>
      <c r="F71" s="1" t="s">
        <v>6</v>
      </c>
      <c r="G71" s="1160"/>
      <c r="H71" s="1161"/>
      <c r="I71" s="1162"/>
      <c r="J71" s="2" t="s">
        <v>28</v>
      </c>
      <c r="L71" s="31"/>
      <c r="M71" s="2" t="s">
        <v>28</v>
      </c>
      <c r="O71" s="31"/>
      <c r="P71" s="2" t="s">
        <v>28</v>
      </c>
      <c r="R71" s="31"/>
      <c r="S71" s="448" t="s">
        <v>17</v>
      </c>
      <c r="T71" s="449" t="s">
        <v>103</v>
      </c>
      <c r="U71" s="523" t="s">
        <v>79</v>
      </c>
    </row>
    <row r="72" spans="2:21" ht="13" x14ac:dyDescent="0.3">
      <c r="B72" s="144"/>
      <c r="I72" s="32" t="s">
        <v>61</v>
      </c>
      <c r="J72" s="227" t="s">
        <v>61</v>
      </c>
      <c r="K72" s="1167" t="s">
        <v>57</v>
      </c>
      <c r="L72" s="1168"/>
      <c r="M72" s="50" t="s">
        <v>61</v>
      </c>
      <c r="N72" s="1177" t="s">
        <v>57</v>
      </c>
      <c r="O72" s="1181"/>
      <c r="P72" s="266" t="s">
        <v>61</v>
      </c>
      <c r="Q72" s="1167" t="s">
        <v>57</v>
      </c>
      <c r="R72" s="1168"/>
      <c r="S72" s="139"/>
      <c r="T72" s="108"/>
      <c r="U72" s="31"/>
    </row>
    <row r="73" spans="2:21" ht="13" x14ac:dyDescent="0.3">
      <c r="B73" s="457"/>
      <c r="C73" s="20" t="s">
        <v>45</v>
      </c>
      <c r="D73" s="20" t="s">
        <v>46</v>
      </c>
      <c r="E73" s="20" t="s">
        <v>47</v>
      </c>
      <c r="F73" s="20" t="s">
        <v>48</v>
      </c>
      <c r="G73" s="20" t="s">
        <v>49</v>
      </c>
      <c r="H73" s="20" t="s">
        <v>50</v>
      </c>
      <c r="I73" s="32" t="s">
        <v>13</v>
      </c>
      <c r="J73" s="210" t="s">
        <v>56</v>
      </c>
      <c r="K73" s="211" t="s">
        <v>13</v>
      </c>
      <c r="L73" s="212" t="s">
        <v>68</v>
      </c>
      <c r="M73" s="66" t="s">
        <v>56</v>
      </c>
      <c r="N73" s="20" t="s">
        <v>13</v>
      </c>
      <c r="O73" s="32" t="s">
        <v>68</v>
      </c>
      <c r="P73" s="210" t="s">
        <v>56</v>
      </c>
      <c r="Q73" s="211" t="s">
        <v>13</v>
      </c>
      <c r="R73" s="212" t="s">
        <v>68</v>
      </c>
      <c r="S73" s="95"/>
      <c r="T73" s="108"/>
      <c r="U73" s="31"/>
    </row>
    <row r="74" spans="2:21" ht="13" x14ac:dyDescent="0.3">
      <c r="B74" s="457" t="s">
        <v>111</v>
      </c>
      <c r="C74" s="18">
        <v>0</v>
      </c>
      <c r="D74" s="18">
        <v>0</v>
      </c>
      <c r="E74" s="18">
        <v>0</v>
      </c>
      <c r="F74" s="18">
        <v>8</v>
      </c>
      <c r="G74" s="18">
        <v>8</v>
      </c>
      <c r="H74" s="18">
        <v>0</v>
      </c>
      <c r="I74" s="45">
        <f>SUM(C74:H74)</f>
        <v>16</v>
      </c>
      <c r="J74" s="213" t="s">
        <v>12</v>
      </c>
      <c r="K74" s="231">
        <f>I74*$L$4</f>
        <v>688</v>
      </c>
      <c r="L74" s="239">
        <f>K74</f>
        <v>688</v>
      </c>
      <c r="M74" s="51" t="s">
        <v>12</v>
      </c>
      <c r="N74" s="58">
        <f>$I$74*$O$4</f>
        <v>688</v>
      </c>
      <c r="O74" s="57">
        <f>N74</f>
        <v>688</v>
      </c>
      <c r="P74" s="213" t="s">
        <v>12</v>
      </c>
      <c r="Q74" s="231">
        <f>$I$74*$O$4</f>
        <v>688</v>
      </c>
      <c r="R74" s="239">
        <f>Q74</f>
        <v>688</v>
      </c>
      <c r="S74" s="96">
        <f>AVERAGE(L74,O74,R74)</f>
        <v>688</v>
      </c>
      <c r="T74" s="34" t="s">
        <v>12</v>
      </c>
      <c r="U74" s="42" t="s">
        <v>12</v>
      </c>
    </row>
    <row r="75" spans="2:21" ht="13.5" thickBot="1" x14ac:dyDescent="0.35">
      <c r="B75" s="466" t="s">
        <v>8</v>
      </c>
      <c r="C75" s="29">
        <f>ROUND(C74*Labor!$D$3,0)</f>
        <v>0</v>
      </c>
      <c r="D75" s="29">
        <f>ROUND(D74*Labor!$D$4,0)</f>
        <v>0</v>
      </c>
      <c r="E75" s="29">
        <f>ROUND(E74*Labor!$D$5,0)</f>
        <v>0</v>
      </c>
      <c r="F75" s="29">
        <f>ROUND(F74*Labor!$D$6,0)</f>
        <v>221</v>
      </c>
      <c r="G75" s="29">
        <f>ROUND(G74*Labor!$D$7,0)</f>
        <v>250</v>
      </c>
      <c r="H75" s="29">
        <f>ROUND(H74*Labor!$D$8,0)</f>
        <v>0</v>
      </c>
      <c r="I75" s="33">
        <f>SUM(C75:H75)</f>
        <v>471</v>
      </c>
      <c r="J75" s="284">
        <f>HLOOKUP(K$2,InflationTable,2)/HLOOKUP(Labor!$B$11,InflationTable,2)*$I75</f>
        <v>1007.5814532871972</v>
      </c>
      <c r="K75" s="219">
        <f>J75*$L$4</f>
        <v>43326.002491349478</v>
      </c>
      <c r="L75" s="256">
        <f>K75</f>
        <v>43326.002491349478</v>
      </c>
      <c r="M75" s="169">
        <f>HLOOKUP(N$2,InflationTable,2)/HLOOKUP(Labor!$B$11,InflationTable,2)*$I75</f>
        <v>1047.8847114186851</v>
      </c>
      <c r="N75" s="55">
        <f>M75*$O$4</f>
        <v>45059.042591003461</v>
      </c>
      <c r="O75" s="77">
        <f>N75</f>
        <v>45059.042591003461</v>
      </c>
      <c r="P75" s="284">
        <f>HLOOKUP(Q$2,InflationTable,2)/HLOOKUP(Labor!$B$11,InflationTable,2)*$I75</f>
        <v>1068.8424056470587</v>
      </c>
      <c r="Q75" s="219">
        <f>P75*$R$4</f>
        <v>45960.223442823524</v>
      </c>
      <c r="R75" s="256">
        <f>Q75</f>
        <v>45960.223442823524</v>
      </c>
      <c r="S75" s="103">
        <f>AVERAGE(L75,O75,R75)</f>
        <v>44781.756175058814</v>
      </c>
      <c r="T75" s="110" t="s">
        <v>12</v>
      </c>
      <c r="U75" s="121" t="s">
        <v>12</v>
      </c>
    </row>
    <row r="76" spans="2:21" ht="13" x14ac:dyDescent="0.3">
      <c r="B76" s="459" t="s">
        <v>110</v>
      </c>
      <c r="C76" s="290">
        <v>0</v>
      </c>
      <c r="D76" s="290">
        <v>0</v>
      </c>
      <c r="E76" s="290">
        <v>0</v>
      </c>
      <c r="F76" s="290">
        <v>16</v>
      </c>
      <c r="G76" s="290">
        <v>0</v>
      </c>
      <c r="H76" s="290">
        <v>0</v>
      </c>
      <c r="I76" s="291">
        <f>SUM(C76:H76)</f>
        <v>16</v>
      </c>
      <c r="J76" s="242" t="s">
        <v>12</v>
      </c>
      <c r="K76" s="273">
        <f>I76*$L$4</f>
        <v>688</v>
      </c>
      <c r="L76" s="274">
        <f>K76</f>
        <v>688</v>
      </c>
      <c r="M76" s="53" t="s">
        <v>12</v>
      </c>
      <c r="N76" s="147">
        <f>$I$76*$O$4</f>
        <v>688</v>
      </c>
      <c r="O76" s="148">
        <f>N76</f>
        <v>688</v>
      </c>
      <c r="P76" s="242" t="s">
        <v>12</v>
      </c>
      <c r="Q76" s="273">
        <f>$I$76*$O$4</f>
        <v>688</v>
      </c>
      <c r="R76" s="274">
        <f>Q76</f>
        <v>688</v>
      </c>
      <c r="S76" s="104">
        <f>AVERAGE(L76,O76,R76)</f>
        <v>688</v>
      </c>
      <c r="T76" s="34" t="s">
        <v>12</v>
      </c>
      <c r="U76" s="42" t="s">
        <v>12</v>
      </c>
    </row>
    <row r="77" spans="2:21" ht="13.5" thickBot="1" x14ac:dyDescent="0.35">
      <c r="B77" s="466" t="s">
        <v>8</v>
      </c>
      <c r="C77" s="29">
        <f>ROUND(C76*Labor!$D$3,0)</f>
        <v>0</v>
      </c>
      <c r="D77" s="29">
        <f>ROUND(D76*Labor!$D$4,0)</f>
        <v>0</v>
      </c>
      <c r="E77" s="29">
        <f>ROUND(E76*Labor!$D$5,0)</f>
        <v>0</v>
      </c>
      <c r="F77" s="29">
        <f>ROUND(F76*Labor!$D$6,0)</f>
        <v>441</v>
      </c>
      <c r="G77" s="29">
        <f>ROUND(G76*Labor!$D$7,0)</f>
        <v>0</v>
      </c>
      <c r="H77" s="29">
        <f>ROUND(H76*Labor!$D$8,0)</f>
        <v>0</v>
      </c>
      <c r="I77" s="33">
        <f>SUM(C77:H77)</f>
        <v>441</v>
      </c>
      <c r="J77" s="284">
        <f>HLOOKUP(K$2,InflationTable,2)/HLOOKUP(Labor!$B$11,InflationTable,2)*$I77</f>
        <v>943.40429065743933</v>
      </c>
      <c r="K77" s="219">
        <f>J77*$L$4</f>
        <v>40566.384498269894</v>
      </c>
      <c r="L77" s="256">
        <f>K77</f>
        <v>40566.384498269894</v>
      </c>
      <c r="M77" s="169">
        <f>HLOOKUP(N$2,InflationTable,2)/HLOOKUP(Labor!$B$11,InflationTable,2)*$I77</f>
        <v>981.14046228373707</v>
      </c>
      <c r="N77" s="55">
        <f>M77*$O$4</f>
        <v>42189.039878200696</v>
      </c>
      <c r="O77" s="77">
        <f>N77</f>
        <v>42189.039878200696</v>
      </c>
      <c r="P77" s="284">
        <f>HLOOKUP(Q$2,InflationTable,2)/HLOOKUP(Labor!$B$11,InflationTable,2)*$I77</f>
        <v>1000.7632715294117</v>
      </c>
      <c r="Q77" s="219">
        <f>P77*$R$4</f>
        <v>43032.820675764699</v>
      </c>
      <c r="R77" s="256">
        <f>Q77</f>
        <v>43032.820675764699</v>
      </c>
      <c r="S77" s="103">
        <f>AVERAGE(L77,O77,R77)</f>
        <v>41929.41501741176</v>
      </c>
      <c r="T77" s="110" t="s">
        <v>12</v>
      </c>
      <c r="U77" s="121" t="s">
        <v>12</v>
      </c>
    </row>
    <row r="78" spans="2:21" ht="13" x14ac:dyDescent="0.3">
      <c r="B78" s="459" t="s">
        <v>20</v>
      </c>
      <c r="C78" s="86" t="s">
        <v>45</v>
      </c>
      <c r="D78" s="86" t="s">
        <v>46</v>
      </c>
      <c r="E78" s="86" t="s">
        <v>47</v>
      </c>
      <c r="F78" s="86" t="s">
        <v>48</v>
      </c>
      <c r="G78" s="86" t="s">
        <v>49</v>
      </c>
      <c r="H78" s="86" t="s">
        <v>50</v>
      </c>
      <c r="I78" s="87" t="s">
        <v>13</v>
      </c>
      <c r="J78" s="292"/>
      <c r="K78" s="293"/>
      <c r="L78" s="296"/>
      <c r="M78" s="88" t="s">
        <v>56</v>
      </c>
      <c r="N78" s="86" t="s">
        <v>13</v>
      </c>
      <c r="O78" s="87" t="s">
        <v>68</v>
      </c>
      <c r="P78" s="292" t="s">
        <v>56</v>
      </c>
      <c r="Q78" s="293" t="s">
        <v>13</v>
      </c>
      <c r="R78" s="296" t="s">
        <v>68</v>
      </c>
      <c r="S78" s="98"/>
      <c r="T78" s="108"/>
      <c r="U78" s="31"/>
    </row>
    <row r="79" spans="2:21" x14ac:dyDescent="0.25">
      <c r="B79" s="458" t="s">
        <v>4</v>
      </c>
      <c r="C79" s="18">
        <v>0</v>
      </c>
      <c r="D79" s="18">
        <v>0</v>
      </c>
      <c r="E79" s="18">
        <v>0</v>
      </c>
      <c r="F79" s="18">
        <v>4</v>
      </c>
      <c r="G79" s="18">
        <v>5</v>
      </c>
      <c r="H79" s="18">
        <v>0</v>
      </c>
      <c r="I79" s="45">
        <f t="shared" ref="I79:I84" si="16">SUM(C79:H79)</f>
        <v>9</v>
      </c>
      <c r="J79" s="213" t="s">
        <v>12</v>
      </c>
      <c r="K79" s="231">
        <f>I79*$L$4</f>
        <v>387</v>
      </c>
      <c r="L79" s="239">
        <f t="shared" ref="L79:L84" si="17">K79</f>
        <v>387</v>
      </c>
      <c r="M79" s="51" t="s">
        <v>12</v>
      </c>
      <c r="N79" s="58">
        <f>$I79*$O$4</f>
        <v>387</v>
      </c>
      <c r="O79" s="57">
        <f t="shared" ref="O79:O84" si="18">N79</f>
        <v>387</v>
      </c>
      <c r="P79" s="213" t="s">
        <v>12</v>
      </c>
      <c r="Q79" s="231">
        <f>$I79*$O$4</f>
        <v>387</v>
      </c>
      <c r="R79" s="239">
        <f t="shared" ref="R79:R84" si="19">Q79</f>
        <v>387</v>
      </c>
      <c r="S79" s="96">
        <f t="shared" ref="S79:S84" si="20">AVERAGE(L79,O79,R79)</f>
        <v>387</v>
      </c>
      <c r="T79" s="34" t="s">
        <v>12</v>
      </c>
      <c r="U79" s="42" t="s">
        <v>12</v>
      </c>
    </row>
    <row r="80" spans="2:21" ht="13.5" thickBot="1" x14ac:dyDescent="0.35">
      <c r="B80" s="466" t="s">
        <v>8</v>
      </c>
      <c r="C80" s="29">
        <f>ROUND(C79*Labor!$D$3,0)</f>
        <v>0</v>
      </c>
      <c r="D80" s="29">
        <f>ROUND(D79*Labor!$D$4,0)</f>
        <v>0</v>
      </c>
      <c r="E80" s="29">
        <f>ROUND(E79*Labor!$D$5,0)</f>
        <v>0</v>
      </c>
      <c r="F80" s="29">
        <f>ROUND(F79*Labor!$D$6,0)</f>
        <v>110</v>
      </c>
      <c r="G80" s="29">
        <f>ROUND(G79*Labor!$D$7,0)</f>
        <v>157</v>
      </c>
      <c r="H80" s="29">
        <f>ROUND(H79*Labor!$D$8,0)</f>
        <v>0</v>
      </c>
      <c r="I80" s="33">
        <f t="shared" si="16"/>
        <v>267</v>
      </c>
      <c r="J80" s="284">
        <f>HLOOKUP(K$2,InflationTable,2)/HLOOKUP(Labor!$B$11,InflationTable,2)*$I80</f>
        <v>571.17674740484426</v>
      </c>
      <c r="K80" s="219">
        <f>J80*$L$4</f>
        <v>24560.600138408303</v>
      </c>
      <c r="L80" s="256">
        <f t="shared" si="17"/>
        <v>24560.600138408303</v>
      </c>
      <c r="M80" s="169">
        <f>HLOOKUP(N$2,InflationTable,2)/HLOOKUP(Labor!$B$11,InflationTable,2)*$I80</f>
        <v>594.02381730103809</v>
      </c>
      <c r="N80" s="55">
        <f>M80*$O$4</f>
        <v>25543.024143944636</v>
      </c>
      <c r="O80" s="77">
        <f t="shared" si="18"/>
        <v>25543.024143944636</v>
      </c>
      <c r="P80" s="284">
        <f>HLOOKUP(Q$2,InflationTable,2)/HLOOKUP(Labor!$B$11,InflationTable,2)*$I80</f>
        <v>605.90429364705881</v>
      </c>
      <c r="Q80" s="219">
        <f>P80*$R$4</f>
        <v>26053.884626823528</v>
      </c>
      <c r="R80" s="256">
        <f t="shared" si="19"/>
        <v>26053.884626823528</v>
      </c>
      <c r="S80" s="103">
        <f t="shared" si="20"/>
        <v>25385.836303058823</v>
      </c>
      <c r="T80" s="110" t="s">
        <v>12</v>
      </c>
      <c r="U80" s="121" t="s">
        <v>12</v>
      </c>
    </row>
    <row r="81" spans="2:21" ht="13" x14ac:dyDescent="0.3">
      <c r="B81" s="459" t="s">
        <v>109</v>
      </c>
      <c r="C81" s="290">
        <v>0</v>
      </c>
      <c r="D81" s="290">
        <v>0</v>
      </c>
      <c r="E81" s="290">
        <v>0</v>
      </c>
      <c r="F81" s="290">
        <v>0</v>
      </c>
      <c r="G81" s="290">
        <v>20</v>
      </c>
      <c r="H81" s="290">
        <v>0</v>
      </c>
      <c r="I81" s="291">
        <f t="shared" si="16"/>
        <v>20</v>
      </c>
      <c r="J81" s="242" t="s">
        <v>12</v>
      </c>
      <c r="K81" s="273">
        <f>I81*$L$4</f>
        <v>860</v>
      </c>
      <c r="L81" s="274">
        <f t="shared" si="17"/>
        <v>860</v>
      </c>
      <c r="M81" s="53" t="s">
        <v>12</v>
      </c>
      <c r="N81" s="147">
        <f>$I81*$O$4</f>
        <v>860</v>
      </c>
      <c r="O81" s="148">
        <f t="shared" si="18"/>
        <v>860</v>
      </c>
      <c r="P81" s="242" t="s">
        <v>12</v>
      </c>
      <c r="Q81" s="273">
        <f>$I81*$O$4</f>
        <v>860</v>
      </c>
      <c r="R81" s="274">
        <f t="shared" si="19"/>
        <v>860</v>
      </c>
      <c r="S81" s="104">
        <f t="shared" si="20"/>
        <v>860</v>
      </c>
      <c r="T81" s="34" t="s">
        <v>12</v>
      </c>
      <c r="U81" s="42" t="s">
        <v>12</v>
      </c>
    </row>
    <row r="82" spans="2:21" ht="13.5" thickBot="1" x14ac:dyDescent="0.35">
      <c r="B82" s="466" t="s">
        <v>8</v>
      </c>
      <c r="C82" s="29">
        <f>ROUND(C81*Labor!$D$3,0)</f>
        <v>0</v>
      </c>
      <c r="D82" s="29">
        <f>ROUND(D81*Labor!$D$4,0)</f>
        <v>0</v>
      </c>
      <c r="E82" s="29">
        <f>ROUND(E81*Labor!$D$5,0)</f>
        <v>0</v>
      </c>
      <c r="F82" s="29">
        <f>ROUND(F81*Labor!$D$6,0)</f>
        <v>0</v>
      </c>
      <c r="G82" s="29">
        <f>ROUND(G81*Labor!$D$7,0)</f>
        <v>626</v>
      </c>
      <c r="H82" s="29">
        <f>ROUND(H81*Labor!$D$8,0)</f>
        <v>0</v>
      </c>
      <c r="I82" s="33">
        <f t="shared" si="16"/>
        <v>626</v>
      </c>
      <c r="J82" s="284">
        <f>HLOOKUP(K$2,InflationTable,2)/HLOOKUP(Labor!$B$11,InflationTable,2)*$I82</f>
        <v>1339.1634602076124</v>
      </c>
      <c r="K82" s="219">
        <f>J82*$L$4</f>
        <v>57584.028788927331</v>
      </c>
      <c r="L82" s="256">
        <f t="shared" si="17"/>
        <v>57584.028788927331</v>
      </c>
      <c r="M82" s="169">
        <f>HLOOKUP(N$2,InflationTable,2)/HLOOKUP(Labor!$B$11,InflationTable,2)*$I82</f>
        <v>1392.7299986159171</v>
      </c>
      <c r="N82" s="55">
        <f>M82*$O$4</f>
        <v>59887.389940484434</v>
      </c>
      <c r="O82" s="77">
        <f t="shared" si="18"/>
        <v>59887.389940484434</v>
      </c>
      <c r="P82" s="284">
        <f>HLOOKUP(Q$2,InflationTable,2)/HLOOKUP(Labor!$B$11,InflationTable,2)*$I82</f>
        <v>1420.5845985882352</v>
      </c>
      <c r="Q82" s="219">
        <f>P82*$R$4</f>
        <v>61085.137739294114</v>
      </c>
      <c r="R82" s="256">
        <f t="shared" si="19"/>
        <v>61085.137739294114</v>
      </c>
      <c r="S82" s="140">
        <f t="shared" si="20"/>
        <v>59518.852156235291</v>
      </c>
      <c r="T82" s="93" t="s">
        <v>12</v>
      </c>
      <c r="U82" s="94" t="s">
        <v>12</v>
      </c>
    </row>
    <row r="83" spans="2:21" ht="13" x14ac:dyDescent="0.3">
      <c r="B83" s="459" t="s">
        <v>108</v>
      </c>
      <c r="C83" s="290">
        <v>0</v>
      </c>
      <c r="D83" s="290">
        <v>0</v>
      </c>
      <c r="E83" s="290">
        <v>0</v>
      </c>
      <c r="F83" s="290">
        <v>6</v>
      </c>
      <c r="G83" s="290">
        <v>2</v>
      </c>
      <c r="H83" s="290">
        <v>0</v>
      </c>
      <c r="I83" s="291">
        <f t="shared" si="16"/>
        <v>8</v>
      </c>
      <c r="J83" s="242" t="s">
        <v>12</v>
      </c>
      <c r="K83" s="273">
        <f>I83*$L$4</f>
        <v>344</v>
      </c>
      <c r="L83" s="274">
        <f t="shared" si="17"/>
        <v>344</v>
      </c>
      <c r="M83" s="53" t="s">
        <v>12</v>
      </c>
      <c r="N83" s="147">
        <f>$I83*$O$4</f>
        <v>344</v>
      </c>
      <c r="O83" s="148">
        <f t="shared" si="18"/>
        <v>344</v>
      </c>
      <c r="P83" s="242" t="s">
        <v>12</v>
      </c>
      <c r="Q83" s="273">
        <f>$I83*$O$4</f>
        <v>344</v>
      </c>
      <c r="R83" s="274">
        <f t="shared" si="19"/>
        <v>344</v>
      </c>
      <c r="S83" s="96">
        <f t="shared" si="20"/>
        <v>344</v>
      </c>
      <c r="T83" s="34" t="s">
        <v>12</v>
      </c>
      <c r="U83" s="42" t="s">
        <v>12</v>
      </c>
    </row>
    <row r="84" spans="2:21" ht="13.5" thickBot="1" x14ac:dyDescent="0.35">
      <c r="B84" s="466" t="s">
        <v>8</v>
      </c>
      <c r="C84" s="29">
        <f>ROUND(C83*Labor!$D$3,0)</f>
        <v>0</v>
      </c>
      <c r="D84" s="29">
        <f>ROUND(D83*Labor!$D$4,0)</f>
        <v>0</v>
      </c>
      <c r="E84" s="29">
        <f>ROUND(E83*Labor!$D$5,0)</f>
        <v>0</v>
      </c>
      <c r="F84" s="29">
        <f>ROUND(F83*Labor!$D$6,0)</f>
        <v>165</v>
      </c>
      <c r="G84" s="29">
        <f>ROUND(G83*Labor!$D$7,0)</f>
        <v>63</v>
      </c>
      <c r="H84" s="29">
        <f>ROUND(H83*Labor!$D$8,0)</f>
        <v>0</v>
      </c>
      <c r="I84" s="33">
        <f t="shared" si="16"/>
        <v>228</v>
      </c>
      <c r="J84" s="284">
        <f>HLOOKUP(K$2,InflationTable,2)/HLOOKUP(Labor!$B$11,InflationTable,2)*$I84</f>
        <v>487.74643598615916</v>
      </c>
      <c r="K84" s="219">
        <f>J84*$L$4</f>
        <v>20973.096747404845</v>
      </c>
      <c r="L84" s="256">
        <f t="shared" si="17"/>
        <v>20973.096747404845</v>
      </c>
      <c r="M84" s="169">
        <f>HLOOKUP(N$2,InflationTable,2)/HLOOKUP(Labor!$B$11,InflationTable,2)*$I84</f>
        <v>507.25629342560558</v>
      </c>
      <c r="N84" s="55">
        <f>M84*$O$4</f>
        <v>21812.020617301041</v>
      </c>
      <c r="O84" s="77">
        <f t="shared" si="18"/>
        <v>21812.020617301041</v>
      </c>
      <c r="P84" s="284">
        <f>HLOOKUP(Q$2,InflationTable,2)/HLOOKUP(Labor!$B$11,InflationTable,2)*$I84</f>
        <v>517.40141929411755</v>
      </c>
      <c r="Q84" s="219">
        <f>P84*$R$4</f>
        <v>22248.261029647056</v>
      </c>
      <c r="R84" s="256">
        <f t="shared" si="19"/>
        <v>22248.261029647056</v>
      </c>
      <c r="S84" s="103">
        <f t="shared" si="20"/>
        <v>21677.792798117647</v>
      </c>
      <c r="T84" s="110" t="s">
        <v>12</v>
      </c>
      <c r="U84" s="121" t="s">
        <v>12</v>
      </c>
    </row>
    <row r="85" spans="2:21" ht="13" x14ac:dyDescent="0.3">
      <c r="B85" s="106" t="s">
        <v>29</v>
      </c>
      <c r="C85" s="86" t="s">
        <v>45</v>
      </c>
      <c r="D85" s="86" t="s">
        <v>46</v>
      </c>
      <c r="E85" s="86" t="s">
        <v>47</v>
      </c>
      <c r="F85" s="86" t="s">
        <v>48</v>
      </c>
      <c r="G85" s="86" t="s">
        <v>49</v>
      </c>
      <c r="H85" s="86" t="s">
        <v>50</v>
      </c>
      <c r="I85" s="87" t="s">
        <v>112</v>
      </c>
      <c r="J85" s="292"/>
      <c r="K85" s="293"/>
      <c r="L85" s="296"/>
      <c r="M85" s="88" t="s">
        <v>113</v>
      </c>
      <c r="N85" s="86" t="s">
        <v>13</v>
      </c>
      <c r="O85" s="87" t="s">
        <v>68</v>
      </c>
      <c r="P85" s="292" t="s">
        <v>113</v>
      </c>
      <c r="Q85" s="293" t="s">
        <v>13</v>
      </c>
      <c r="R85" s="296" t="s">
        <v>68</v>
      </c>
      <c r="S85" s="98"/>
      <c r="T85" s="108"/>
      <c r="U85" s="31"/>
    </row>
    <row r="86" spans="2:21" x14ac:dyDescent="0.25">
      <c r="B86" s="467" t="s">
        <v>51</v>
      </c>
      <c r="C86" s="18">
        <v>0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45">
        <f>SUM(C86:H86)</f>
        <v>0</v>
      </c>
      <c r="J86" s="213" t="s">
        <v>12</v>
      </c>
      <c r="K86" s="262">
        <f>I86*$J$5</f>
        <v>0</v>
      </c>
      <c r="L86" s="239">
        <f>K86</f>
        <v>0</v>
      </c>
      <c r="M86" s="51" t="s">
        <v>12</v>
      </c>
      <c r="N86" s="73">
        <f>$I86*M$5</f>
        <v>0</v>
      </c>
      <c r="O86" s="57">
        <f>N86</f>
        <v>0</v>
      </c>
      <c r="P86" s="213" t="s">
        <v>12</v>
      </c>
      <c r="Q86" s="262">
        <f>$I86*P$5</f>
        <v>0</v>
      </c>
      <c r="R86" s="239">
        <f>Q86</f>
        <v>0</v>
      </c>
      <c r="S86" s="96">
        <f>AVERAGE(L86,O86,R86)</f>
        <v>0</v>
      </c>
      <c r="T86" s="34" t="s">
        <v>12</v>
      </c>
      <c r="U86" s="42" t="s">
        <v>12</v>
      </c>
    </row>
    <row r="87" spans="2:21" ht="13.5" thickBot="1" x14ac:dyDescent="0.35">
      <c r="B87" s="465" t="s">
        <v>107</v>
      </c>
      <c r="C87" s="29">
        <f>ROUND(C86*Labor!$D$3,0)</f>
        <v>0</v>
      </c>
      <c r="D87" s="29">
        <f>ROUND(D86*Labor!$D$4,0)</f>
        <v>0</v>
      </c>
      <c r="E87" s="29">
        <f>ROUND(E86*Labor!$D$5,0)</f>
        <v>0</v>
      </c>
      <c r="F87" s="29">
        <f>ROUND(F86*Labor!$D$6,0)</f>
        <v>0</v>
      </c>
      <c r="G87" s="29">
        <f>ROUND(G86*Labor!$D$7,0)</f>
        <v>0</v>
      </c>
      <c r="H87" s="29">
        <f>ROUND(H86*Labor!$D$8,0)</f>
        <v>0</v>
      </c>
      <c r="I87" s="33">
        <f>SUM(C87:H87)</f>
        <v>0</v>
      </c>
      <c r="J87" s="284">
        <f>HLOOKUP(K$2,InflationTable,2)/HLOOKUP(Labor!$B$11,InflationTable,2)*$I87</f>
        <v>0</v>
      </c>
      <c r="K87" s="219">
        <f>J87*$J$5</f>
        <v>0</v>
      </c>
      <c r="L87" s="256">
        <f>K87</f>
        <v>0</v>
      </c>
      <c r="M87" s="169">
        <f>HLOOKUP(N$2,InflationTable,2)/HLOOKUP(Labor!$B$11,InflationTable,2)*$I87</f>
        <v>0</v>
      </c>
      <c r="N87" s="55">
        <f>M87*$M$5</f>
        <v>0</v>
      </c>
      <c r="O87" s="77">
        <f>N87</f>
        <v>0</v>
      </c>
      <c r="P87" s="284">
        <f>HLOOKUP(Q$2,InflationTable,2)/HLOOKUP(Labor!$B$11,InflationTable,2)*$I87</f>
        <v>0</v>
      </c>
      <c r="Q87" s="219">
        <f>P87*$P$5</f>
        <v>0</v>
      </c>
      <c r="R87" s="256">
        <f>Q87</f>
        <v>0</v>
      </c>
      <c r="S87" s="107">
        <f>AVERAGE(L87,O87,R87)</f>
        <v>0</v>
      </c>
      <c r="T87" s="110" t="s">
        <v>12</v>
      </c>
      <c r="U87" s="121" t="s">
        <v>12</v>
      </c>
    </row>
    <row r="88" spans="2:21" ht="13" x14ac:dyDescent="0.3">
      <c r="B88" s="106" t="s">
        <v>106</v>
      </c>
      <c r="C88" s="5"/>
      <c r="D88" s="349" t="s">
        <v>54</v>
      </c>
      <c r="E88" s="24">
        <v>5</v>
      </c>
      <c r="I88" s="87" t="s">
        <v>55</v>
      </c>
      <c r="J88" s="209"/>
      <c r="K88" s="445"/>
      <c r="L88" s="446"/>
      <c r="M88" s="130" t="s">
        <v>55</v>
      </c>
      <c r="N88" s="1179" t="s">
        <v>57</v>
      </c>
      <c r="O88" s="1180"/>
      <c r="P88" s="209" t="s">
        <v>55</v>
      </c>
      <c r="Q88" s="1176" t="s">
        <v>57</v>
      </c>
      <c r="R88" s="1184"/>
      <c r="S88" s="139"/>
      <c r="T88" s="108"/>
      <c r="U88" s="31"/>
    </row>
    <row r="89" spans="2:21" x14ac:dyDescent="0.25">
      <c r="B89" s="467" t="s">
        <v>51</v>
      </c>
      <c r="C89" s="18">
        <v>0</v>
      </c>
      <c r="D89" s="18">
        <v>0</v>
      </c>
      <c r="E89" s="18">
        <v>0</v>
      </c>
      <c r="F89" s="18">
        <v>0</v>
      </c>
      <c r="G89" s="18">
        <v>10</v>
      </c>
      <c r="H89" s="18">
        <v>5</v>
      </c>
      <c r="I89" s="45">
        <f>SUM(C89:H89)</f>
        <v>15</v>
      </c>
      <c r="J89" s="213" t="s">
        <v>12</v>
      </c>
      <c r="K89" s="233">
        <f>I89*$J$5</f>
        <v>585</v>
      </c>
      <c r="L89" s="232">
        <f>K89/$E$88</f>
        <v>117</v>
      </c>
      <c r="M89" s="51" t="s">
        <v>12</v>
      </c>
      <c r="N89" s="10">
        <f>$I$89*$M$5</f>
        <v>585</v>
      </c>
      <c r="O89" s="52">
        <f>N89/$E$88</f>
        <v>117</v>
      </c>
      <c r="P89" s="213" t="s">
        <v>12</v>
      </c>
      <c r="Q89" s="233">
        <f>$I$89*$P$5</f>
        <v>585</v>
      </c>
      <c r="R89" s="232">
        <f>Q89/$E$88</f>
        <v>117</v>
      </c>
      <c r="S89" s="96">
        <f>AVERAGE(L89,O89,R89)</f>
        <v>117</v>
      </c>
      <c r="T89" s="34" t="s">
        <v>12</v>
      </c>
      <c r="U89" s="42" t="s">
        <v>12</v>
      </c>
    </row>
    <row r="90" spans="2:21" ht="13.5" thickBot="1" x14ac:dyDescent="0.35">
      <c r="B90" s="465" t="s">
        <v>105</v>
      </c>
      <c r="C90" s="29">
        <f>ROUND(C89*Labor!$D$3,0)</f>
        <v>0</v>
      </c>
      <c r="D90" s="29">
        <f>ROUND(D89*Labor!$D$4,0)</f>
        <v>0</v>
      </c>
      <c r="E90" s="29">
        <f>ROUND(E89*Labor!$D$5,0)</f>
        <v>0</v>
      </c>
      <c r="F90" s="29">
        <f>ROUND(F89*Labor!$D$6,0)</f>
        <v>0</v>
      </c>
      <c r="G90" s="29">
        <f>ROUND(G89*Labor!$D$7,0)</f>
        <v>313</v>
      </c>
      <c r="H90" s="29">
        <f>ROUND(H89*Labor!$D$8,0)</f>
        <v>189</v>
      </c>
      <c r="I90" s="33">
        <f>SUM(C90:H90)</f>
        <v>502</v>
      </c>
      <c r="J90" s="284">
        <f>HLOOKUP(K$2,InflationTable,2)/HLOOKUP(Labor!$B$11,InflationTable,2)*$I90</f>
        <v>1073.8978546712801</v>
      </c>
      <c r="K90" s="219">
        <f>J90*$J$5</f>
        <v>41882.016332179926</v>
      </c>
      <c r="L90" s="220">
        <f>K90/$E$88</f>
        <v>8376.4032664359856</v>
      </c>
      <c r="M90" s="169">
        <f>HLOOKUP(N$2,InflationTable,2)/HLOOKUP(Labor!$B$11,InflationTable,2)*$I90</f>
        <v>1116.8537688581316</v>
      </c>
      <c r="N90" s="55">
        <f>M90*$M$5</f>
        <v>43557.296985467132</v>
      </c>
      <c r="O90" s="33">
        <f>N90/$E$88</f>
        <v>8711.4593970934257</v>
      </c>
      <c r="P90" s="284">
        <f>HLOOKUP(Q$2,InflationTable,2)/HLOOKUP(Labor!$B$11,InflationTable,2)*$I90</f>
        <v>1139.190844235294</v>
      </c>
      <c r="Q90" s="219">
        <f>P90*$P$5</f>
        <v>44428.442925176467</v>
      </c>
      <c r="R90" s="220">
        <f>Q90/$E$88</f>
        <v>8885.6885850352937</v>
      </c>
      <c r="S90" s="103">
        <f>AVERAGE(L90,O90,R90)</f>
        <v>8657.8504161882356</v>
      </c>
      <c r="T90" s="110" t="s">
        <v>12</v>
      </c>
      <c r="U90" s="121" t="s">
        <v>12</v>
      </c>
    </row>
    <row r="91" spans="2:21" ht="13" x14ac:dyDescent="0.3">
      <c r="B91" s="139" t="s">
        <v>66</v>
      </c>
      <c r="C91" s="36">
        <f t="shared" ref="C91:I92" si="21">C74+C76+C79+C81+C83+C86+C89</f>
        <v>0</v>
      </c>
      <c r="D91" s="36">
        <f t="shared" si="21"/>
        <v>0</v>
      </c>
      <c r="E91" s="36">
        <f t="shared" si="21"/>
        <v>0</v>
      </c>
      <c r="F91" s="36">
        <f t="shared" si="21"/>
        <v>34</v>
      </c>
      <c r="G91" s="36">
        <f t="shared" si="21"/>
        <v>45</v>
      </c>
      <c r="H91" s="36">
        <f t="shared" si="21"/>
        <v>5</v>
      </c>
      <c r="I91" s="46">
        <f t="shared" si="21"/>
        <v>84</v>
      </c>
      <c r="J91" s="242" t="s">
        <v>12</v>
      </c>
      <c r="K91" s="263" t="s">
        <v>12</v>
      </c>
      <c r="L91" s="264">
        <f>L89+K86+K83+K81+K79+K76+K74</f>
        <v>3084</v>
      </c>
      <c r="M91" s="75" t="s">
        <v>12</v>
      </c>
      <c r="N91" s="36" t="s">
        <v>12</v>
      </c>
      <c r="O91" s="74">
        <f>O89+N86+N83+N81+N79+N76+N74</f>
        <v>3084</v>
      </c>
      <c r="P91" s="242" t="s">
        <v>12</v>
      </c>
      <c r="Q91" s="263" t="s">
        <v>12</v>
      </c>
      <c r="R91" s="264">
        <f>R89+Q86+Q83+Q81+Q79+Q76+Q74</f>
        <v>3084</v>
      </c>
      <c r="S91" s="122">
        <f>AVERAGE(L91,O91,R91)</f>
        <v>3084</v>
      </c>
      <c r="T91" s="108"/>
      <c r="U91" s="31"/>
    </row>
    <row r="92" spans="2:21" ht="13.5" thickBot="1" x14ac:dyDescent="0.35">
      <c r="B92" s="460" t="s">
        <v>67</v>
      </c>
      <c r="C92" s="194">
        <f t="shared" si="21"/>
        <v>0</v>
      </c>
      <c r="D92" s="194">
        <f t="shared" si="21"/>
        <v>0</v>
      </c>
      <c r="E92" s="194">
        <f t="shared" si="21"/>
        <v>0</v>
      </c>
      <c r="F92" s="194">
        <f t="shared" si="21"/>
        <v>937</v>
      </c>
      <c r="G92" s="194">
        <f t="shared" si="21"/>
        <v>1409</v>
      </c>
      <c r="H92" s="194">
        <f t="shared" si="21"/>
        <v>189</v>
      </c>
      <c r="I92" s="197">
        <f t="shared" si="21"/>
        <v>2535</v>
      </c>
      <c r="J92" s="224">
        <f>J75+J77+J80+J82+J84+J87+J90</f>
        <v>5422.9702422145328</v>
      </c>
      <c r="K92" s="265" t="s">
        <v>12</v>
      </c>
      <c r="L92" s="254">
        <f>L90+K87+K84+K82+K80+K77+K75</f>
        <v>195386.51593079581</v>
      </c>
      <c r="M92" s="196">
        <f>M75+M77+M80+M82+M84+M87+M90</f>
        <v>5639.8890519031147</v>
      </c>
      <c r="N92" s="207" t="s">
        <v>12</v>
      </c>
      <c r="O92" s="178">
        <f>O90+N87+N84+N82+N80+N77+N75</f>
        <v>203201.97656802769</v>
      </c>
      <c r="P92" s="224">
        <f>P75+P77+P80+P82+P84+P87+P90</f>
        <v>5752.6868329411764</v>
      </c>
      <c r="Q92" s="265" t="s">
        <v>12</v>
      </c>
      <c r="R92" s="254">
        <f>R90+Q87+Q84+Q82+Q80+Q77+Q75</f>
        <v>207266.01609938825</v>
      </c>
      <c r="S92" s="202">
        <f>AVERAGE(L92,O92,R92)</f>
        <v>201951.50286607057</v>
      </c>
      <c r="T92" s="200"/>
      <c r="U92" s="190"/>
    </row>
    <row r="93" spans="2:21" ht="13.5" thickTop="1" thickBot="1" x14ac:dyDescent="0.3">
      <c r="B93" s="514"/>
      <c r="C93" s="513"/>
      <c r="D93" s="513"/>
      <c r="E93" s="513"/>
      <c r="F93" s="513"/>
      <c r="G93" s="513"/>
      <c r="H93" s="513"/>
      <c r="I93" s="513"/>
      <c r="J93" s="513"/>
      <c r="K93" s="513"/>
      <c r="L93" s="513"/>
      <c r="M93" s="513"/>
      <c r="N93" s="513"/>
      <c r="O93" s="513"/>
      <c r="P93" s="513"/>
      <c r="Q93" s="513"/>
      <c r="R93" s="513"/>
      <c r="S93" s="513"/>
      <c r="T93" s="513"/>
      <c r="U93" s="515"/>
    </row>
    <row r="94" spans="2:21" ht="16" thickTop="1" x14ac:dyDescent="0.35">
      <c r="B94" s="461" t="s">
        <v>30</v>
      </c>
      <c r="F94" s="1" t="s">
        <v>6</v>
      </c>
      <c r="G94" s="1160"/>
      <c r="H94" s="1161"/>
      <c r="I94" s="1162"/>
      <c r="J94" s="2" t="s">
        <v>30</v>
      </c>
      <c r="L94" s="31"/>
      <c r="M94" s="2" t="s">
        <v>30</v>
      </c>
      <c r="O94" s="31"/>
      <c r="P94" s="2" t="s">
        <v>30</v>
      </c>
      <c r="Q94" s="61"/>
      <c r="R94" s="62"/>
      <c r="S94" s="97"/>
      <c r="T94" s="108"/>
      <c r="U94" s="31"/>
    </row>
    <row r="95" spans="2:21" ht="13" x14ac:dyDescent="0.3">
      <c r="B95" s="144"/>
      <c r="I95" s="32" t="s">
        <v>61</v>
      </c>
      <c r="J95" s="227" t="s">
        <v>61</v>
      </c>
      <c r="K95" s="1167" t="s">
        <v>57</v>
      </c>
      <c r="L95" s="1168"/>
      <c r="M95" s="50" t="s">
        <v>61</v>
      </c>
      <c r="N95" s="1177" t="s">
        <v>57</v>
      </c>
      <c r="O95" s="1181"/>
      <c r="P95" s="266" t="s">
        <v>61</v>
      </c>
      <c r="Q95" s="1176" t="s">
        <v>57</v>
      </c>
      <c r="R95" s="1184"/>
      <c r="S95" s="106"/>
      <c r="T95" s="108"/>
      <c r="U95" s="31"/>
    </row>
    <row r="96" spans="2:21" ht="13" x14ac:dyDescent="0.3">
      <c r="B96" s="462" t="s">
        <v>21</v>
      </c>
      <c r="C96" s="20" t="s">
        <v>45</v>
      </c>
      <c r="D96" s="20" t="s">
        <v>46</v>
      </c>
      <c r="E96" s="20" t="s">
        <v>47</v>
      </c>
      <c r="F96" s="20" t="s">
        <v>48</v>
      </c>
      <c r="G96" s="20" t="s">
        <v>49</v>
      </c>
      <c r="H96" s="20" t="s">
        <v>50</v>
      </c>
      <c r="I96" s="32" t="s">
        <v>13</v>
      </c>
      <c r="J96" s="210" t="s">
        <v>56</v>
      </c>
      <c r="K96" s="211" t="s">
        <v>13</v>
      </c>
      <c r="L96" s="212" t="s">
        <v>68</v>
      </c>
      <c r="M96" s="66" t="s">
        <v>56</v>
      </c>
      <c r="N96" s="20" t="s">
        <v>13</v>
      </c>
      <c r="O96" s="32" t="s">
        <v>68</v>
      </c>
      <c r="P96" s="210" t="s">
        <v>56</v>
      </c>
      <c r="Q96" s="211" t="s">
        <v>13</v>
      </c>
      <c r="R96" s="212" t="s">
        <v>68</v>
      </c>
      <c r="S96" s="98"/>
      <c r="T96" s="108"/>
      <c r="U96" s="31"/>
    </row>
    <row r="97" spans="2:21" x14ac:dyDescent="0.25">
      <c r="B97" s="464" t="s">
        <v>4</v>
      </c>
      <c r="C97" s="18">
        <v>0</v>
      </c>
      <c r="D97" s="18">
        <v>0</v>
      </c>
      <c r="E97" s="18">
        <v>0</v>
      </c>
      <c r="F97" s="18">
        <v>0</v>
      </c>
      <c r="G97" s="18">
        <v>20</v>
      </c>
      <c r="H97" s="18">
        <v>0</v>
      </c>
      <c r="I97" s="45">
        <f>SUM(C97:H97)</f>
        <v>20</v>
      </c>
      <c r="J97" s="213" t="s">
        <v>12</v>
      </c>
      <c r="K97" s="231">
        <f>I97*$L$4</f>
        <v>860</v>
      </c>
      <c r="L97" s="239">
        <f>K97</f>
        <v>860</v>
      </c>
      <c r="M97" s="51" t="s">
        <v>12</v>
      </c>
      <c r="N97" s="58">
        <f>$I97*O$4</f>
        <v>860</v>
      </c>
      <c r="O97" s="52">
        <f>N97</f>
        <v>860</v>
      </c>
      <c r="P97" s="213" t="s">
        <v>12</v>
      </c>
      <c r="Q97" s="231">
        <f>$I97*R$4</f>
        <v>860</v>
      </c>
      <c r="R97" s="239">
        <f>Q97</f>
        <v>860</v>
      </c>
      <c r="S97" s="96">
        <f t="shared" ref="S97:S102" si="22">AVERAGE(L97,O97,R97)</f>
        <v>860</v>
      </c>
      <c r="T97" s="34" t="s">
        <v>12</v>
      </c>
      <c r="U97" s="42" t="s">
        <v>12</v>
      </c>
    </row>
    <row r="98" spans="2:21" ht="13.5" thickBot="1" x14ac:dyDescent="0.35">
      <c r="B98" s="465" t="s">
        <v>8</v>
      </c>
      <c r="C98" s="29">
        <f>ROUND(C97*Labor!$D$3,0)</f>
        <v>0</v>
      </c>
      <c r="D98" s="29">
        <f>ROUND(D97*Labor!$D$4,0)</f>
        <v>0</v>
      </c>
      <c r="E98" s="29">
        <f>ROUND(E97*Labor!$D$5,0)</f>
        <v>0</v>
      </c>
      <c r="F98" s="29">
        <f>ROUND(F97*Labor!$D$6,0)</f>
        <v>0</v>
      </c>
      <c r="G98" s="29">
        <f>ROUND(G97*Labor!$D$7,0)</f>
        <v>626</v>
      </c>
      <c r="H98" s="29">
        <f>ROUND(H97*Labor!$D$8,0)</f>
        <v>0</v>
      </c>
      <c r="I98" s="33">
        <f>SUM(C98:H98)</f>
        <v>626</v>
      </c>
      <c r="J98" s="284">
        <f>HLOOKUP(K$2,InflationTable,2)/HLOOKUP(Labor!$B$11,InflationTable,2)*$I98</f>
        <v>1339.1634602076124</v>
      </c>
      <c r="K98" s="219">
        <f>J98*$L$4</f>
        <v>57584.028788927331</v>
      </c>
      <c r="L98" s="256">
        <f>K98</f>
        <v>57584.028788927331</v>
      </c>
      <c r="M98" s="169">
        <f>HLOOKUP(N$2,InflationTable,2)/HLOOKUP(Labor!$B$11,InflationTable,2)*$I98</f>
        <v>1392.7299986159171</v>
      </c>
      <c r="N98" s="55">
        <f>M98*O$4</f>
        <v>59887.389940484434</v>
      </c>
      <c r="O98" s="33">
        <f>N98</f>
        <v>59887.389940484434</v>
      </c>
      <c r="P98" s="284">
        <f>HLOOKUP(Q$2,InflationTable,2)/HLOOKUP(Labor!$B$11,InflationTable,2)*$I98</f>
        <v>1420.5845985882352</v>
      </c>
      <c r="Q98" s="219">
        <f>P98*R$4</f>
        <v>61085.137739294114</v>
      </c>
      <c r="R98" s="256">
        <f>Q98</f>
        <v>61085.137739294114</v>
      </c>
      <c r="S98" s="103">
        <f t="shared" si="22"/>
        <v>59518.852156235291</v>
      </c>
      <c r="T98" s="110" t="s">
        <v>12</v>
      </c>
      <c r="U98" s="121" t="s">
        <v>12</v>
      </c>
    </row>
    <row r="99" spans="2:21" ht="13" x14ac:dyDescent="0.3">
      <c r="B99" s="459" t="s">
        <v>104</v>
      </c>
      <c r="C99" s="290">
        <v>0</v>
      </c>
      <c r="D99" s="290">
        <v>0</v>
      </c>
      <c r="E99" s="290">
        <v>0</v>
      </c>
      <c r="F99" s="290">
        <v>0</v>
      </c>
      <c r="G99" s="290">
        <v>16</v>
      </c>
      <c r="H99" s="290">
        <v>8</v>
      </c>
      <c r="I99" s="291">
        <f>SUM(C99:H99)</f>
        <v>24</v>
      </c>
      <c r="J99" s="242" t="s">
        <v>12</v>
      </c>
      <c r="K99" s="273">
        <f>I99*$L$4</f>
        <v>1032</v>
      </c>
      <c r="L99" s="274">
        <f>K99</f>
        <v>1032</v>
      </c>
      <c r="M99" s="53" t="s">
        <v>12</v>
      </c>
      <c r="N99" s="147">
        <f>$I99*O$4</f>
        <v>1032</v>
      </c>
      <c r="O99" s="148">
        <f>N99</f>
        <v>1032</v>
      </c>
      <c r="P99" s="242" t="s">
        <v>12</v>
      </c>
      <c r="Q99" s="273">
        <f>$I99*R$4</f>
        <v>1032</v>
      </c>
      <c r="R99" s="274">
        <f>Q99</f>
        <v>1032</v>
      </c>
      <c r="S99" s="96">
        <f t="shared" si="22"/>
        <v>1032</v>
      </c>
      <c r="T99" s="34" t="s">
        <v>12</v>
      </c>
      <c r="U99" s="42" t="s">
        <v>12</v>
      </c>
    </row>
    <row r="100" spans="2:21" ht="13.5" thickBot="1" x14ac:dyDescent="0.35">
      <c r="B100" s="466" t="s">
        <v>8</v>
      </c>
      <c r="C100" s="29">
        <f>ROUND(C99*Labor!$D$3,0)</f>
        <v>0</v>
      </c>
      <c r="D100" s="29">
        <f>ROUND(D99*Labor!$D$4,0)</f>
        <v>0</v>
      </c>
      <c r="E100" s="29">
        <f>ROUND(E99*Labor!$D$5,0)</f>
        <v>0</v>
      </c>
      <c r="F100" s="29">
        <f>ROUND(F99*Labor!$D$6,0)</f>
        <v>0</v>
      </c>
      <c r="G100" s="29">
        <f>ROUND(G99*Labor!$D$7,0)</f>
        <v>501</v>
      </c>
      <c r="H100" s="29">
        <f>ROUND(H99*Labor!$D$8,0)</f>
        <v>303</v>
      </c>
      <c r="I100" s="33">
        <f>SUM(C100:H100)</f>
        <v>804</v>
      </c>
      <c r="J100" s="284">
        <f>HLOOKUP(K$2,InflationTable,2)/HLOOKUP(Labor!$B$11,InflationTable,2)*$I100</f>
        <v>1719.9479584775086</v>
      </c>
      <c r="K100" s="219">
        <f>J100*$L$4</f>
        <v>73957.762214532864</v>
      </c>
      <c r="L100" s="248">
        <f>K100</f>
        <v>73957.762214532864</v>
      </c>
      <c r="M100" s="169">
        <f>HLOOKUP(N$2,InflationTable,2)/HLOOKUP(Labor!$B$11,InflationTable,2)*$I100</f>
        <v>1788.7458768166091</v>
      </c>
      <c r="N100" s="55">
        <f>M100*O$4</f>
        <v>76916.072703114187</v>
      </c>
      <c r="O100" s="33">
        <f>N100</f>
        <v>76916.072703114187</v>
      </c>
      <c r="P100" s="284">
        <f>HLOOKUP(Q$2,InflationTable,2)/HLOOKUP(Labor!$B$11,InflationTable,2)*$I100</f>
        <v>1824.520794352941</v>
      </c>
      <c r="Q100" s="219">
        <f>P100*R$4</f>
        <v>78454.394157176459</v>
      </c>
      <c r="R100" s="248">
        <f>Q100</f>
        <v>78454.394157176459</v>
      </c>
      <c r="S100" s="103">
        <f t="shared" si="22"/>
        <v>76442.74302494117</v>
      </c>
      <c r="T100" s="110" t="s">
        <v>12</v>
      </c>
      <c r="U100" s="121" t="s">
        <v>12</v>
      </c>
    </row>
    <row r="101" spans="2:21" ht="13" x14ac:dyDescent="0.3">
      <c r="B101" s="139" t="s">
        <v>66</v>
      </c>
      <c r="C101" s="30">
        <f t="shared" ref="C101:I102" si="23">C97+C99</f>
        <v>0</v>
      </c>
      <c r="D101" s="30">
        <f t="shared" si="23"/>
        <v>0</v>
      </c>
      <c r="E101" s="30">
        <f t="shared" si="23"/>
        <v>0</v>
      </c>
      <c r="F101" s="30">
        <f t="shared" si="23"/>
        <v>0</v>
      </c>
      <c r="G101" s="30">
        <f t="shared" si="23"/>
        <v>36</v>
      </c>
      <c r="H101" s="30">
        <f t="shared" si="23"/>
        <v>8</v>
      </c>
      <c r="I101" s="39">
        <f t="shared" si="23"/>
        <v>44</v>
      </c>
      <c r="J101" s="249" t="s">
        <v>12</v>
      </c>
      <c r="K101" s="267">
        <f>K97+K99</f>
        <v>1892</v>
      </c>
      <c r="L101" s="268">
        <f>L97+L99</f>
        <v>1892</v>
      </c>
      <c r="M101" s="70" t="s">
        <v>12</v>
      </c>
      <c r="N101" s="30">
        <f>N97+N99</f>
        <v>1892</v>
      </c>
      <c r="O101" s="82">
        <f>O97+O99</f>
        <v>1892</v>
      </c>
      <c r="P101" s="249" t="s">
        <v>12</v>
      </c>
      <c r="Q101" s="267">
        <f>Q97+Q99</f>
        <v>1892</v>
      </c>
      <c r="R101" s="269">
        <f>R97+R99</f>
        <v>1892</v>
      </c>
      <c r="S101" s="96">
        <f t="shared" si="22"/>
        <v>1892</v>
      </c>
      <c r="T101" s="34" t="s">
        <v>12</v>
      </c>
      <c r="U101" s="42" t="s">
        <v>12</v>
      </c>
    </row>
    <row r="102" spans="2:21" ht="13.5" thickBot="1" x14ac:dyDescent="0.35">
      <c r="B102" s="460" t="s">
        <v>67</v>
      </c>
      <c r="C102" s="194">
        <f t="shared" si="23"/>
        <v>0</v>
      </c>
      <c r="D102" s="194">
        <f t="shared" si="23"/>
        <v>0</v>
      </c>
      <c r="E102" s="194">
        <f t="shared" si="23"/>
        <v>0</v>
      </c>
      <c r="F102" s="194">
        <f t="shared" si="23"/>
        <v>0</v>
      </c>
      <c r="G102" s="194">
        <f t="shared" si="23"/>
        <v>1127</v>
      </c>
      <c r="H102" s="194">
        <f t="shared" si="23"/>
        <v>303</v>
      </c>
      <c r="I102" s="197">
        <f t="shared" si="23"/>
        <v>1430</v>
      </c>
      <c r="J102" s="224">
        <f>J98+J100</f>
        <v>3059.111418685121</v>
      </c>
      <c r="K102" s="225">
        <f>K98+K100</f>
        <v>131541.79100346018</v>
      </c>
      <c r="L102" s="226">
        <f>L98+L100</f>
        <v>131541.79100346018</v>
      </c>
      <c r="M102" s="196">
        <f>M98+M100</f>
        <v>3181.4758754325262</v>
      </c>
      <c r="N102" s="194">
        <f>N98+N100</f>
        <v>136803.46264359861</v>
      </c>
      <c r="O102" s="197">
        <f>O98+O100</f>
        <v>136803.46264359861</v>
      </c>
      <c r="P102" s="261">
        <f>P98+P100</f>
        <v>3245.1053929411764</v>
      </c>
      <c r="Q102" s="225">
        <f>Q98+Q100</f>
        <v>139539.53189647058</v>
      </c>
      <c r="R102" s="226">
        <f>R98+R100</f>
        <v>139539.53189647058</v>
      </c>
      <c r="S102" s="206">
        <f t="shared" si="22"/>
        <v>135961.59518117647</v>
      </c>
      <c r="T102" s="208" t="s">
        <v>12</v>
      </c>
      <c r="U102" s="203" t="s">
        <v>12</v>
      </c>
    </row>
    <row r="103" spans="2:21" ht="13.5" thickTop="1" thickBot="1" x14ac:dyDescent="0.3">
      <c r="B103" s="144"/>
      <c r="D103" s="513"/>
      <c r="E103" s="513"/>
      <c r="F103" s="513"/>
      <c r="G103" s="513"/>
      <c r="H103" s="513"/>
      <c r="I103" s="513"/>
      <c r="J103" s="513"/>
      <c r="K103" s="513"/>
      <c r="L103" s="513"/>
      <c r="M103" s="513"/>
      <c r="N103" s="513"/>
      <c r="O103" s="513"/>
      <c r="P103" s="513"/>
      <c r="Q103" s="513"/>
      <c r="R103" s="513"/>
      <c r="S103" s="513"/>
      <c r="T103" s="513"/>
      <c r="U103" s="515"/>
    </row>
    <row r="104" spans="2:21" ht="19" thickTop="1" thickBot="1" x14ac:dyDescent="0.45">
      <c r="B104" s="456" t="s">
        <v>121</v>
      </c>
      <c r="C104" s="540" t="str">
        <f>C2</f>
        <v>PAMSVOC</v>
      </c>
      <c r="E104" s="3"/>
      <c r="F104" s="9"/>
      <c r="G104" s="3"/>
      <c r="H104" s="3"/>
      <c r="I104" s="35"/>
      <c r="J104" s="67" t="str">
        <f>J2</f>
        <v>Year 1</v>
      </c>
      <c r="K104" s="67">
        <f>K2</f>
        <v>2023</v>
      </c>
      <c r="L104" s="35"/>
      <c r="M104" s="67" t="str">
        <f>M2</f>
        <v>Year 2</v>
      </c>
      <c r="N104" s="67">
        <f>N2</f>
        <v>2024</v>
      </c>
      <c r="O104" s="35"/>
      <c r="P104" s="67" t="str">
        <f>P2</f>
        <v>Year 3</v>
      </c>
      <c r="Q104" s="67">
        <f>Q2</f>
        <v>2025</v>
      </c>
      <c r="R104" s="35"/>
      <c r="S104" s="124"/>
      <c r="T104" s="105"/>
      <c r="U104" s="468"/>
    </row>
    <row r="105" spans="2:21" ht="13.5" thickBot="1" x14ac:dyDescent="0.35">
      <c r="B105" s="144"/>
      <c r="C105" s="152" t="s">
        <v>45</v>
      </c>
      <c r="D105" s="149" t="s">
        <v>46</v>
      </c>
      <c r="E105" s="149" t="s">
        <v>47</v>
      </c>
      <c r="F105" s="160" t="s">
        <v>48</v>
      </c>
      <c r="G105" s="151" t="s">
        <v>49</v>
      </c>
      <c r="H105" s="149" t="s">
        <v>50</v>
      </c>
      <c r="I105" s="150" t="s">
        <v>13</v>
      </c>
      <c r="J105" s="270" t="s">
        <v>56</v>
      </c>
      <c r="K105" s="271" t="s">
        <v>13</v>
      </c>
      <c r="L105" s="272" t="s">
        <v>68</v>
      </c>
      <c r="M105" s="151" t="s">
        <v>56</v>
      </c>
      <c r="N105" s="149" t="s">
        <v>13</v>
      </c>
      <c r="O105" s="150" t="s">
        <v>68</v>
      </c>
      <c r="P105" s="270" t="s">
        <v>56</v>
      </c>
      <c r="Q105" s="271" t="s">
        <v>13</v>
      </c>
      <c r="R105" s="272" t="s">
        <v>68</v>
      </c>
      <c r="S105" s="152"/>
      <c r="T105" s="153"/>
      <c r="U105" s="469"/>
    </row>
    <row r="106" spans="2:21" ht="13" x14ac:dyDescent="0.3">
      <c r="B106" s="470" t="s">
        <v>97</v>
      </c>
      <c r="C106" s="155">
        <f t="shared" ref="C106:S106" si="24">C15</f>
        <v>0</v>
      </c>
      <c r="D106" s="147">
        <f t="shared" si="24"/>
        <v>0</v>
      </c>
      <c r="E106" s="147">
        <f t="shared" si="24"/>
        <v>0</v>
      </c>
      <c r="F106" s="147">
        <f t="shared" si="24"/>
        <v>0</v>
      </c>
      <c r="G106" s="147">
        <f t="shared" si="24"/>
        <v>0</v>
      </c>
      <c r="H106" s="147">
        <f t="shared" si="24"/>
        <v>0</v>
      </c>
      <c r="I106" s="148">
        <f t="shared" si="24"/>
        <v>0</v>
      </c>
      <c r="J106" s="234" t="str">
        <f t="shared" si="24"/>
        <v>NA</v>
      </c>
      <c r="K106" s="273">
        <f t="shared" si="24"/>
        <v>0</v>
      </c>
      <c r="L106" s="274">
        <f t="shared" si="24"/>
        <v>0</v>
      </c>
      <c r="M106" s="38" t="str">
        <f t="shared" si="24"/>
        <v>NA</v>
      </c>
      <c r="N106" s="147">
        <f t="shared" si="24"/>
        <v>0</v>
      </c>
      <c r="O106" s="148">
        <f t="shared" si="24"/>
        <v>0</v>
      </c>
      <c r="P106" s="234" t="str">
        <f t="shared" si="24"/>
        <v>NA</v>
      </c>
      <c r="Q106" s="273">
        <f t="shared" si="24"/>
        <v>0</v>
      </c>
      <c r="R106" s="274">
        <f t="shared" si="24"/>
        <v>0</v>
      </c>
      <c r="S106" s="148">
        <f t="shared" si="24"/>
        <v>0</v>
      </c>
      <c r="T106" s="31"/>
      <c r="U106" s="111"/>
    </row>
    <row r="107" spans="2:21" ht="13.5" thickBot="1" x14ac:dyDescent="0.35">
      <c r="B107" s="471" t="s">
        <v>76</v>
      </c>
      <c r="C107" s="161">
        <f t="shared" ref="C107:S107" si="25">C16</f>
        <v>0</v>
      </c>
      <c r="D107" s="162">
        <f t="shared" si="25"/>
        <v>0</v>
      </c>
      <c r="E107" s="162">
        <f t="shared" si="25"/>
        <v>0</v>
      </c>
      <c r="F107" s="162">
        <f t="shared" si="25"/>
        <v>0</v>
      </c>
      <c r="G107" s="162">
        <f t="shared" si="25"/>
        <v>0</v>
      </c>
      <c r="H107" s="162">
        <f t="shared" si="25"/>
        <v>0</v>
      </c>
      <c r="I107" s="163">
        <f t="shared" si="25"/>
        <v>0</v>
      </c>
      <c r="J107" s="275">
        <f t="shared" si="25"/>
        <v>0</v>
      </c>
      <c r="K107" s="276">
        <f t="shared" si="25"/>
        <v>0</v>
      </c>
      <c r="L107" s="277">
        <f t="shared" si="25"/>
        <v>0</v>
      </c>
      <c r="M107" s="161">
        <f t="shared" si="25"/>
        <v>0</v>
      </c>
      <c r="N107" s="162">
        <f t="shared" si="25"/>
        <v>0</v>
      </c>
      <c r="O107" s="163">
        <f t="shared" si="25"/>
        <v>0</v>
      </c>
      <c r="P107" s="275">
        <f t="shared" si="25"/>
        <v>0</v>
      </c>
      <c r="Q107" s="276">
        <f t="shared" si="25"/>
        <v>0</v>
      </c>
      <c r="R107" s="277">
        <f t="shared" si="25"/>
        <v>0</v>
      </c>
      <c r="S107" s="163">
        <f t="shared" si="25"/>
        <v>0</v>
      </c>
      <c r="T107" s="164" t="str">
        <f>T16</f>
        <v>NA</v>
      </c>
      <c r="U107" s="322" t="s">
        <v>12</v>
      </c>
    </row>
    <row r="108" spans="2:21" ht="13" x14ac:dyDescent="0.3">
      <c r="B108" s="472" t="s">
        <v>98</v>
      </c>
      <c r="C108" s="155">
        <f t="shared" ref="C108:S108" si="26">C29</f>
        <v>0</v>
      </c>
      <c r="D108" s="147">
        <f t="shared" si="26"/>
        <v>0</v>
      </c>
      <c r="E108" s="147">
        <f t="shared" si="26"/>
        <v>0</v>
      </c>
      <c r="F108" s="147">
        <f t="shared" si="26"/>
        <v>18</v>
      </c>
      <c r="G108" s="147">
        <f t="shared" si="26"/>
        <v>5</v>
      </c>
      <c r="H108" s="147">
        <f t="shared" si="26"/>
        <v>0</v>
      </c>
      <c r="I108" s="148">
        <f t="shared" si="26"/>
        <v>23</v>
      </c>
      <c r="J108" s="234" t="str">
        <f t="shared" si="26"/>
        <v>NA</v>
      </c>
      <c r="K108" s="273">
        <f t="shared" si="26"/>
        <v>989</v>
      </c>
      <c r="L108" s="274">
        <f t="shared" si="26"/>
        <v>197.8</v>
      </c>
      <c r="M108" s="38" t="str">
        <f t="shared" si="26"/>
        <v>NA</v>
      </c>
      <c r="N108" s="147">
        <f t="shared" si="26"/>
        <v>989</v>
      </c>
      <c r="O108" s="148">
        <f t="shared" si="26"/>
        <v>197.8</v>
      </c>
      <c r="P108" s="234" t="str">
        <f t="shared" si="26"/>
        <v>NA</v>
      </c>
      <c r="Q108" s="273">
        <f t="shared" si="26"/>
        <v>989</v>
      </c>
      <c r="R108" s="274">
        <f t="shared" si="26"/>
        <v>197.8</v>
      </c>
      <c r="S108" s="148">
        <f t="shared" si="26"/>
        <v>197.80000000000004</v>
      </c>
      <c r="T108" s="31"/>
      <c r="U108" s="111"/>
    </row>
    <row r="109" spans="2:21" ht="13.5" thickBot="1" x14ac:dyDescent="0.35">
      <c r="B109" s="471" t="s">
        <v>76</v>
      </c>
      <c r="C109" s="165">
        <f t="shared" ref="C109:S109" si="27">C30</f>
        <v>0</v>
      </c>
      <c r="D109" s="166">
        <f t="shared" si="27"/>
        <v>0</v>
      </c>
      <c r="E109" s="166">
        <f t="shared" si="27"/>
        <v>0</v>
      </c>
      <c r="F109" s="166">
        <f t="shared" si="27"/>
        <v>497</v>
      </c>
      <c r="G109" s="166">
        <f t="shared" si="27"/>
        <v>157</v>
      </c>
      <c r="H109" s="166">
        <f t="shared" si="27"/>
        <v>0</v>
      </c>
      <c r="I109" s="167">
        <f t="shared" si="27"/>
        <v>654</v>
      </c>
      <c r="J109" s="278">
        <f t="shared" si="27"/>
        <v>1399.0621453287197</v>
      </c>
      <c r="K109" s="245">
        <f t="shared" si="27"/>
        <v>60159.672249134943</v>
      </c>
      <c r="L109" s="246">
        <f t="shared" si="27"/>
        <v>1110618.3018491231</v>
      </c>
      <c r="M109" s="165">
        <f t="shared" si="27"/>
        <v>1455.0246311418687</v>
      </c>
      <c r="N109" s="166">
        <f t="shared" si="27"/>
        <v>62566.059139100347</v>
      </c>
      <c r="O109" s="167">
        <f t="shared" si="27"/>
        <v>1328043.8492535534</v>
      </c>
      <c r="P109" s="278">
        <f t="shared" si="27"/>
        <v>1484.1251237647057</v>
      </c>
      <c r="Q109" s="245">
        <f t="shared" si="27"/>
        <v>63817.380321882345</v>
      </c>
      <c r="R109" s="246">
        <f t="shared" si="27"/>
        <v>1354604.7262386244</v>
      </c>
      <c r="S109" s="167">
        <f t="shared" si="27"/>
        <v>12436.207447341176</v>
      </c>
      <c r="T109" s="168" t="str">
        <f>T30</f>
        <v>NA</v>
      </c>
      <c r="U109" s="473">
        <f>U30</f>
        <v>1251986.0849997592</v>
      </c>
    </row>
    <row r="110" spans="2:21" ht="13" x14ac:dyDescent="0.3">
      <c r="B110" s="472" t="s">
        <v>96</v>
      </c>
      <c r="C110" s="156">
        <f t="shared" ref="C110:S110" si="28">C39</f>
        <v>0</v>
      </c>
      <c r="D110" s="21">
        <f t="shared" si="28"/>
        <v>0</v>
      </c>
      <c r="E110" s="21">
        <f t="shared" si="28"/>
        <v>0</v>
      </c>
      <c r="F110" s="21">
        <f t="shared" si="28"/>
        <v>88</v>
      </c>
      <c r="G110" s="21">
        <f t="shared" si="28"/>
        <v>0</v>
      </c>
      <c r="H110" s="21">
        <f t="shared" si="28"/>
        <v>0</v>
      </c>
      <c r="I110" s="157">
        <f t="shared" si="28"/>
        <v>88</v>
      </c>
      <c r="J110" s="279" t="str">
        <f t="shared" si="28"/>
        <v>NA</v>
      </c>
      <c r="K110" s="280">
        <f t="shared" si="28"/>
        <v>3784</v>
      </c>
      <c r="L110" s="281">
        <f t="shared" si="28"/>
        <v>3784</v>
      </c>
      <c r="M110" s="158" t="str">
        <f t="shared" si="28"/>
        <v>NA</v>
      </c>
      <c r="N110" s="21">
        <f t="shared" si="28"/>
        <v>3784</v>
      </c>
      <c r="O110" s="157">
        <f t="shared" si="28"/>
        <v>3784</v>
      </c>
      <c r="P110" s="279" t="str">
        <f t="shared" si="28"/>
        <v>NA</v>
      </c>
      <c r="Q110" s="280">
        <f t="shared" si="28"/>
        <v>3784</v>
      </c>
      <c r="R110" s="281">
        <f t="shared" si="28"/>
        <v>3784</v>
      </c>
      <c r="S110" s="157">
        <f t="shared" si="28"/>
        <v>3784</v>
      </c>
      <c r="T110" s="159" t="str">
        <f>T21</f>
        <v>NA</v>
      </c>
      <c r="U110" s="119" t="s">
        <v>12</v>
      </c>
    </row>
    <row r="111" spans="2:21" ht="13.5" thickBot="1" x14ac:dyDescent="0.35">
      <c r="B111" s="471" t="s">
        <v>76</v>
      </c>
      <c r="C111" s="169">
        <f t="shared" ref="C111:S111" si="29">C40</f>
        <v>0</v>
      </c>
      <c r="D111" s="166">
        <f t="shared" si="29"/>
        <v>0</v>
      </c>
      <c r="E111" s="166">
        <f t="shared" si="29"/>
        <v>0</v>
      </c>
      <c r="F111" s="166">
        <f t="shared" si="29"/>
        <v>2426</v>
      </c>
      <c r="G111" s="166">
        <f t="shared" si="29"/>
        <v>0</v>
      </c>
      <c r="H111" s="166">
        <f t="shared" si="29"/>
        <v>0</v>
      </c>
      <c r="I111" s="167">
        <f t="shared" si="29"/>
        <v>18426</v>
      </c>
      <c r="J111" s="278">
        <f t="shared" si="29"/>
        <v>24532.460406104146</v>
      </c>
      <c r="K111" s="245">
        <f t="shared" si="29"/>
        <v>1054895.7974624783</v>
      </c>
      <c r="L111" s="246">
        <f t="shared" si="29"/>
        <v>1054895.7974624783</v>
      </c>
      <c r="M111" s="165">
        <f t="shared" si="29"/>
        <v>25513.758822348311</v>
      </c>
      <c r="N111" s="166">
        <f t="shared" si="29"/>
        <v>1097091.6293609773</v>
      </c>
      <c r="O111" s="167">
        <f t="shared" si="29"/>
        <v>1097091.6293609773</v>
      </c>
      <c r="P111" s="278">
        <f t="shared" si="29"/>
        <v>26024.033998795276</v>
      </c>
      <c r="Q111" s="245">
        <f t="shared" si="29"/>
        <v>1119033.4619481969</v>
      </c>
      <c r="R111" s="246">
        <f t="shared" si="29"/>
        <v>1119033.4619481969</v>
      </c>
      <c r="S111" s="167">
        <f t="shared" si="29"/>
        <v>1090340.2962572176</v>
      </c>
      <c r="T111" s="167">
        <f>T40</f>
        <v>859680.97464215884</v>
      </c>
      <c r="U111" s="322" t="s">
        <v>12</v>
      </c>
    </row>
    <row r="112" spans="2:21" ht="13" x14ac:dyDescent="0.3">
      <c r="B112" s="472" t="s">
        <v>99</v>
      </c>
      <c r="C112" s="156">
        <f t="shared" ref="C112:S112" si="30">C51</f>
        <v>0</v>
      </c>
      <c r="D112" s="21">
        <f t="shared" si="30"/>
        <v>0</v>
      </c>
      <c r="E112" s="21">
        <f t="shared" si="30"/>
        <v>0</v>
      </c>
      <c r="F112" s="21">
        <f t="shared" si="30"/>
        <v>72</v>
      </c>
      <c r="G112" s="21">
        <f t="shared" si="30"/>
        <v>24</v>
      </c>
      <c r="H112" s="21">
        <f t="shared" si="30"/>
        <v>0</v>
      </c>
      <c r="I112" s="157">
        <f t="shared" si="30"/>
        <v>96</v>
      </c>
      <c r="J112" s="279" t="str">
        <f t="shared" si="30"/>
        <v>NA</v>
      </c>
      <c r="K112" s="280">
        <f t="shared" si="30"/>
        <v>4128</v>
      </c>
      <c r="L112" s="281">
        <f t="shared" si="30"/>
        <v>4128</v>
      </c>
      <c r="M112" s="158" t="str">
        <f t="shared" si="30"/>
        <v>NA</v>
      </c>
      <c r="N112" s="21">
        <f t="shared" si="30"/>
        <v>4128</v>
      </c>
      <c r="O112" s="157">
        <f t="shared" si="30"/>
        <v>4128</v>
      </c>
      <c r="P112" s="279" t="str">
        <f t="shared" si="30"/>
        <v>NA</v>
      </c>
      <c r="Q112" s="280">
        <f t="shared" si="30"/>
        <v>4128</v>
      </c>
      <c r="R112" s="281">
        <f t="shared" si="30"/>
        <v>4128</v>
      </c>
      <c r="S112" s="157">
        <f t="shared" si="30"/>
        <v>4128</v>
      </c>
      <c r="T112" s="31"/>
      <c r="U112" s="111"/>
    </row>
    <row r="113" spans="2:21" ht="13.5" thickBot="1" x14ac:dyDescent="0.35">
      <c r="B113" s="471" t="s">
        <v>76</v>
      </c>
      <c r="C113" s="165">
        <f t="shared" ref="C113:S113" si="31">C52</f>
        <v>0</v>
      </c>
      <c r="D113" s="166">
        <f t="shared" si="31"/>
        <v>0</v>
      </c>
      <c r="E113" s="166">
        <f t="shared" si="31"/>
        <v>0</v>
      </c>
      <c r="F113" s="166">
        <f t="shared" si="31"/>
        <v>1985</v>
      </c>
      <c r="G113" s="166">
        <f t="shared" si="31"/>
        <v>751</v>
      </c>
      <c r="H113" s="166">
        <f t="shared" si="31"/>
        <v>0</v>
      </c>
      <c r="I113" s="167">
        <f t="shared" si="31"/>
        <v>5736</v>
      </c>
      <c r="J113" s="278">
        <f t="shared" si="31"/>
        <v>9479.7073296047347</v>
      </c>
      <c r="K113" s="245">
        <f t="shared" si="31"/>
        <v>407627.41517300362</v>
      </c>
      <c r="L113" s="246">
        <f t="shared" si="31"/>
        <v>407627.41517300362</v>
      </c>
      <c r="M113" s="169">
        <f t="shared" si="31"/>
        <v>9858.8956227889248</v>
      </c>
      <c r="N113" s="166">
        <f t="shared" si="31"/>
        <v>423932.51177992381</v>
      </c>
      <c r="O113" s="167">
        <f t="shared" si="31"/>
        <v>423932.51177992381</v>
      </c>
      <c r="P113" s="278">
        <f t="shared" si="31"/>
        <v>10056.073535244701</v>
      </c>
      <c r="Q113" s="245">
        <f t="shared" si="31"/>
        <v>432411.16201552225</v>
      </c>
      <c r="R113" s="246">
        <f t="shared" si="31"/>
        <v>432411.16201552225</v>
      </c>
      <c r="S113" s="167">
        <f t="shared" si="31"/>
        <v>260133.51357741177</v>
      </c>
      <c r="T113" s="167">
        <f>T52</f>
        <v>161190.18274540477</v>
      </c>
      <c r="U113" s="474" t="s">
        <v>12</v>
      </c>
    </row>
    <row r="114" spans="2:21" ht="13" x14ac:dyDescent="0.3">
      <c r="B114" s="472" t="s">
        <v>100</v>
      </c>
      <c r="C114" s="156">
        <f t="shared" ref="C114:U115" si="32">C67</f>
        <v>0</v>
      </c>
      <c r="D114" s="21">
        <f t="shared" si="32"/>
        <v>0.25</v>
      </c>
      <c r="E114" s="21">
        <f t="shared" si="32"/>
        <v>0</v>
      </c>
      <c r="F114" s="21">
        <f t="shared" si="32"/>
        <v>134</v>
      </c>
      <c r="G114" s="21">
        <f t="shared" si="32"/>
        <v>39</v>
      </c>
      <c r="H114" s="21">
        <f t="shared" si="32"/>
        <v>11</v>
      </c>
      <c r="I114" s="157">
        <f t="shared" si="32"/>
        <v>184.25</v>
      </c>
      <c r="J114" s="279" t="str">
        <f t="shared" si="32"/>
        <v>NA</v>
      </c>
      <c r="K114" s="280">
        <f t="shared" si="32"/>
        <v>7922.75</v>
      </c>
      <c r="L114" s="281">
        <f t="shared" si="32"/>
        <v>7922.75</v>
      </c>
      <c r="M114" s="158" t="str">
        <f t="shared" si="32"/>
        <v>NA</v>
      </c>
      <c r="N114" s="21">
        <f t="shared" si="32"/>
        <v>7922.75</v>
      </c>
      <c r="O114" s="157">
        <f t="shared" si="32"/>
        <v>7922.75</v>
      </c>
      <c r="P114" s="279" t="str">
        <f t="shared" si="32"/>
        <v>NA</v>
      </c>
      <c r="Q114" s="280">
        <f t="shared" si="32"/>
        <v>7922.75</v>
      </c>
      <c r="R114" s="281">
        <f t="shared" si="32"/>
        <v>7922.75</v>
      </c>
      <c r="S114" s="157">
        <f t="shared" si="32"/>
        <v>7922.75</v>
      </c>
      <c r="T114" s="170" t="str">
        <f t="shared" si="32"/>
        <v>NA</v>
      </c>
      <c r="U114" s="475" t="str">
        <f t="shared" si="32"/>
        <v>NA</v>
      </c>
    </row>
    <row r="115" spans="2:21" ht="13.5" thickBot="1" x14ac:dyDescent="0.35">
      <c r="B115" s="471" t="s">
        <v>76</v>
      </c>
      <c r="C115" s="165">
        <f t="shared" si="32"/>
        <v>0</v>
      </c>
      <c r="D115" s="166">
        <f t="shared" si="32"/>
        <v>6</v>
      </c>
      <c r="E115" s="166">
        <f t="shared" si="32"/>
        <v>0</v>
      </c>
      <c r="F115" s="166">
        <f t="shared" si="32"/>
        <v>3695</v>
      </c>
      <c r="G115" s="166">
        <f t="shared" si="32"/>
        <v>1220</v>
      </c>
      <c r="H115" s="166">
        <f t="shared" si="32"/>
        <v>416</v>
      </c>
      <c r="I115" s="167">
        <f t="shared" si="32"/>
        <v>5337</v>
      </c>
      <c r="J115" s="278">
        <f t="shared" si="32"/>
        <v>11417.117231833909</v>
      </c>
      <c r="K115" s="245">
        <f t="shared" si="32"/>
        <v>490522.09826989612</v>
      </c>
      <c r="L115" s="246">
        <f t="shared" si="32"/>
        <v>490522.09826989612</v>
      </c>
      <c r="M115" s="165">
        <f t="shared" si="32"/>
        <v>11873.801921107266</v>
      </c>
      <c r="N115" s="166">
        <f t="shared" si="32"/>
        <v>510142.98220069206</v>
      </c>
      <c r="O115" s="167">
        <f t="shared" si="32"/>
        <v>510142.98220069206</v>
      </c>
      <c r="P115" s="284">
        <f t="shared" si="32"/>
        <v>12111.277959529411</v>
      </c>
      <c r="Q115" s="245">
        <f t="shared" si="32"/>
        <v>520345.84184470581</v>
      </c>
      <c r="R115" s="246">
        <f t="shared" si="32"/>
        <v>520345.84184470581</v>
      </c>
      <c r="S115" s="167">
        <f t="shared" si="32"/>
        <v>507003.64077176462</v>
      </c>
      <c r="T115" s="168" t="str">
        <f t="shared" si="32"/>
        <v>NA</v>
      </c>
      <c r="U115" s="322" t="s">
        <v>12</v>
      </c>
    </row>
    <row r="116" spans="2:21" ht="13" x14ac:dyDescent="0.3">
      <c r="B116" s="472" t="s">
        <v>101</v>
      </c>
      <c r="C116" s="171">
        <f t="shared" ref="C116:S117" si="33">C91</f>
        <v>0</v>
      </c>
      <c r="D116" s="172">
        <f t="shared" si="33"/>
        <v>0</v>
      </c>
      <c r="E116" s="172">
        <f t="shared" si="33"/>
        <v>0</v>
      </c>
      <c r="F116" s="172">
        <f t="shared" si="33"/>
        <v>34</v>
      </c>
      <c r="G116" s="172">
        <f t="shared" si="33"/>
        <v>45</v>
      </c>
      <c r="H116" s="172">
        <f t="shared" si="33"/>
        <v>5</v>
      </c>
      <c r="I116" s="54">
        <f t="shared" si="33"/>
        <v>84</v>
      </c>
      <c r="J116" s="282" t="str">
        <f t="shared" si="33"/>
        <v>NA</v>
      </c>
      <c r="K116" s="263" t="str">
        <f t="shared" si="33"/>
        <v>NA</v>
      </c>
      <c r="L116" s="243">
        <f t="shared" si="33"/>
        <v>3084</v>
      </c>
      <c r="M116" s="173" t="str">
        <f t="shared" si="33"/>
        <v>NA</v>
      </c>
      <c r="N116" s="36" t="str">
        <f t="shared" si="33"/>
        <v>NA</v>
      </c>
      <c r="O116" s="54">
        <f t="shared" si="33"/>
        <v>3084</v>
      </c>
      <c r="P116" s="282" t="str">
        <f t="shared" si="33"/>
        <v>NA</v>
      </c>
      <c r="Q116" s="263" t="str">
        <f t="shared" si="33"/>
        <v>NA</v>
      </c>
      <c r="R116" s="243">
        <f t="shared" si="33"/>
        <v>3084</v>
      </c>
      <c r="S116" s="54">
        <f t="shared" si="33"/>
        <v>3084</v>
      </c>
      <c r="T116" s="42" t="s">
        <v>12</v>
      </c>
      <c r="U116" s="119" t="s">
        <v>12</v>
      </c>
    </row>
    <row r="117" spans="2:21" ht="13.5" thickBot="1" x14ac:dyDescent="0.35">
      <c r="B117" s="471" t="s">
        <v>76</v>
      </c>
      <c r="C117" s="165">
        <f t="shared" si="33"/>
        <v>0</v>
      </c>
      <c r="D117" s="166">
        <f t="shared" si="33"/>
        <v>0</v>
      </c>
      <c r="E117" s="166">
        <f t="shared" si="33"/>
        <v>0</v>
      </c>
      <c r="F117" s="166">
        <f t="shared" si="33"/>
        <v>937</v>
      </c>
      <c r="G117" s="166">
        <f t="shared" si="33"/>
        <v>1409</v>
      </c>
      <c r="H117" s="166">
        <f t="shared" si="33"/>
        <v>189</v>
      </c>
      <c r="I117" s="167">
        <f t="shared" si="33"/>
        <v>2535</v>
      </c>
      <c r="J117" s="278">
        <f t="shared" si="33"/>
        <v>5422.9702422145328</v>
      </c>
      <c r="K117" s="283" t="str">
        <f t="shared" si="33"/>
        <v>NA</v>
      </c>
      <c r="L117" s="246">
        <f t="shared" si="33"/>
        <v>195386.51593079581</v>
      </c>
      <c r="M117" s="169">
        <f t="shared" si="33"/>
        <v>5639.8890519031147</v>
      </c>
      <c r="N117" s="175" t="str">
        <f t="shared" si="33"/>
        <v>NA</v>
      </c>
      <c r="O117" s="167">
        <f t="shared" si="33"/>
        <v>203201.97656802769</v>
      </c>
      <c r="P117" s="278">
        <f t="shared" si="33"/>
        <v>5752.6868329411764</v>
      </c>
      <c r="Q117" s="283" t="str">
        <f t="shared" si="33"/>
        <v>NA</v>
      </c>
      <c r="R117" s="246">
        <f t="shared" si="33"/>
        <v>207266.01609938825</v>
      </c>
      <c r="S117" s="167">
        <f t="shared" si="33"/>
        <v>201951.50286607057</v>
      </c>
      <c r="T117" s="167">
        <f>T92</f>
        <v>0</v>
      </c>
      <c r="U117" s="322" t="s">
        <v>12</v>
      </c>
    </row>
    <row r="118" spans="2:21" ht="13" x14ac:dyDescent="0.3">
      <c r="B118" s="472" t="s">
        <v>102</v>
      </c>
      <c r="C118" s="156">
        <f t="shared" ref="C118:S119" si="34">C101</f>
        <v>0</v>
      </c>
      <c r="D118" s="21">
        <f t="shared" si="34"/>
        <v>0</v>
      </c>
      <c r="E118" s="21">
        <f t="shared" si="34"/>
        <v>0</v>
      </c>
      <c r="F118" s="21">
        <f t="shared" si="34"/>
        <v>0</v>
      </c>
      <c r="G118" s="21">
        <f t="shared" si="34"/>
        <v>36</v>
      </c>
      <c r="H118" s="21">
        <f t="shared" si="34"/>
        <v>8</v>
      </c>
      <c r="I118" s="157">
        <f t="shared" si="34"/>
        <v>44</v>
      </c>
      <c r="J118" s="279" t="str">
        <f t="shared" si="34"/>
        <v>NA</v>
      </c>
      <c r="K118" s="280">
        <f t="shared" si="34"/>
        <v>1892</v>
      </c>
      <c r="L118" s="281">
        <f t="shared" si="34"/>
        <v>1892</v>
      </c>
      <c r="M118" s="158" t="str">
        <f t="shared" si="34"/>
        <v>NA</v>
      </c>
      <c r="N118" s="21">
        <f t="shared" si="34"/>
        <v>1892</v>
      </c>
      <c r="O118" s="157">
        <f t="shared" si="34"/>
        <v>1892</v>
      </c>
      <c r="P118" s="279" t="str">
        <f t="shared" si="34"/>
        <v>NA</v>
      </c>
      <c r="Q118" s="280">
        <f t="shared" si="34"/>
        <v>1892</v>
      </c>
      <c r="R118" s="281">
        <f t="shared" si="34"/>
        <v>1892</v>
      </c>
      <c r="S118" s="157">
        <f t="shared" si="34"/>
        <v>1892</v>
      </c>
      <c r="T118" s="42" t="s">
        <v>12</v>
      </c>
      <c r="U118" s="119" t="s">
        <v>12</v>
      </c>
    </row>
    <row r="119" spans="2:21" ht="13.5" thickBot="1" x14ac:dyDescent="0.35">
      <c r="B119" s="476" t="s">
        <v>76</v>
      </c>
      <c r="C119" s="176">
        <f t="shared" si="34"/>
        <v>0</v>
      </c>
      <c r="D119" s="177">
        <f t="shared" si="34"/>
        <v>0</v>
      </c>
      <c r="E119" s="177">
        <f t="shared" si="34"/>
        <v>0</v>
      </c>
      <c r="F119" s="177">
        <f t="shared" si="34"/>
        <v>0</v>
      </c>
      <c r="G119" s="177">
        <f t="shared" si="34"/>
        <v>1127</v>
      </c>
      <c r="H119" s="177">
        <f t="shared" si="34"/>
        <v>303</v>
      </c>
      <c r="I119" s="178">
        <f t="shared" si="34"/>
        <v>1430</v>
      </c>
      <c r="J119" s="252">
        <f t="shared" si="34"/>
        <v>3059.111418685121</v>
      </c>
      <c r="K119" s="253">
        <f t="shared" si="34"/>
        <v>131541.79100346018</v>
      </c>
      <c r="L119" s="254">
        <f t="shared" si="34"/>
        <v>131541.79100346018</v>
      </c>
      <c r="M119" s="176">
        <f t="shared" si="34"/>
        <v>3181.4758754325262</v>
      </c>
      <c r="N119" s="177">
        <f t="shared" si="34"/>
        <v>136803.46264359861</v>
      </c>
      <c r="O119" s="178">
        <f t="shared" si="34"/>
        <v>136803.46264359861</v>
      </c>
      <c r="P119" s="259">
        <f t="shared" si="34"/>
        <v>3245.1053929411764</v>
      </c>
      <c r="Q119" s="253">
        <f t="shared" si="34"/>
        <v>139539.53189647058</v>
      </c>
      <c r="R119" s="254">
        <f t="shared" si="34"/>
        <v>139539.53189647058</v>
      </c>
      <c r="S119" s="178">
        <f t="shared" si="34"/>
        <v>135961.59518117647</v>
      </c>
      <c r="T119" s="179" t="str">
        <f>T102</f>
        <v>NA</v>
      </c>
      <c r="U119" s="180" t="s">
        <v>12</v>
      </c>
    </row>
    <row r="120" spans="2:21" ht="18.5" thickTop="1" x14ac:dyDescent="0.4">
      <c r="B120" s="477" t="s">
        <v>13</v>
      </c>
      <c r="C120" s="88" t="s">
        <v>45</v>
      </c>
      <c r="D120" s="86" t="s">
        <v>46</v>
      </c>
      <c r="E120" s="86" t="s">
        <v>47</v>
      </c>
      <c r="F120" s="86" t="s">
        <v>48</v>
      </c>
      <c r="G120" s="86" t="s">
        <v>49</v>
      </c>
      <c r="H120" s="86" t="s">
        <v>50</v>
      </c>
      <c r="I120" s="87" t="s">
        <v>13</v>
      </c>
      <c r="J120" s="88" t="s">
        <v>56</v>
      </c>
      <c r="K120" s="86" t="s">
        <v>13</v>
      </c>
      <c r="L120" s="87" t="s">
        <v>68</v>
      </c>
      <c r="M120" s="88" t="s">
        <v>56</v>
      </c>
      <c r="N120" s="86" t="s">
        <v>13</v>
      </c>
      <c r="O120" s="87" t="s">
        <v>68</v>
      </c>
      <c r="P120" s="88" t="s">
        <v>56</v>
      </c>
      <c r="Q120" s="86" t="s">
        <v>13</v>
      </c>
      <c r="R120" s="87" t="s">
        <v>68</v>
      </c>
      <c r="S120" s="87"/>
      <c r="T120" s="31"/>
      <c r="U120" s="111"/>
    </row>
    <row r="121" spans="2:21" x14ac:dyDescent="0.25">
      <c r="B121" s="478" t="s">
        <v>75</v>
      </c>
      <c r="C121" s="154">
        <f t="shared" ref="C121:I122" si="35">C106+C108+C110+C112+C114+C116+C118</f>
        <v>0</v>
      </c>
      <c r="D121" s="58">
        <f t="shared" si="35"/>
        <v>0.25</v>
      </c>
      <c r="E121" s="58">
        <f t="shared" si="35"/>
        <v>0</v>
      </c>
      <c r="F121" s="58">
        <f t="shared" si="35"/>
        <v>346</v>
      </c>
      <c r="G121" s="58">
        <f t="shared" si="35"/>
        <v>149</v>
      </c>
      <c r="H121" s="58">
        <f t="shared" si="35"/>
        <v>24</v>
      </c>
      <c r="I121" s="57">
        <f t="shared" si="35"/>
        <v>519.25</v>
      </c>
      <c r="J121" s="285" t="s">
        <v>12</v>
      </c>
      <c r="K121" s="231">
        <f>K106+K108+K110+K112+K114+K118</f>
        <v>18715.75</v>
      </c>
      <c r="L121" s="239">
        <f>L106+L108+L110+L112+L114+L116+L118</f>
        <v>21008.55</v>
      </c>
      <c r="M121" s="83" t="s">
        <v>12</v>
      </c>
      <c r="N121" s="58">
        <f>N106+N108+N110+N112+N114+N118</f>
        <v>18715.75</v>
      </c>
      <c r="O121" s="57">
        <f>O106+O108+O110+O112+O114+O116+O118</f>
        <v>21008.55</v>
      </c>
      <c r="P121" s="285" t="s">
        <v>12</v>
      </c>
      <c r="Q121" s="231">
        <f>Q106+Q108+Q110+Q112+Q114+Q118</f>
        <v>18715.75</v>
      </c>
      <c r="R121" s="239">
        <f>R106+R108+R110+R112+R114+R116+R118</f>
        <v>21008.55</v>
      </c>
      <c r="S121" s="141">
        <f>S106+S108+S110+S112+S114+S116+S118</f>
        <v>21008.55</v>
      </c>
      <c r="T121" s="57"/>
      <c r="U121" s="113" t="s">
        <v>12</v>
      </c>
    </row>
    <row r="122" spans="2:21" s="189" customFormat="1" ht="16" thickBot="1" x14ac:dyDescent="0.4">
      <c r="B122" s="479" t="s">
        <v>76</v>
      </c>
      <c r="C122" s="480">
        <f t="shared" si="35"/>
        <v>0</v>
      </c>
      <c r="D122" s="481">
        <f t="shared" si="35"/>
        <v>6</v>
      </c>
      <c r="E122" s="481">
        <f t="shared" si="35"/>
        <v>0</v>
      </c>
      <c r="F122" s="481">
        <f t="shared" si="35"/>
        <v>9540</v>
      </c>
      <c r="G122" s="481">
        <f t="shared" si="35"/>
        <v>4664</v>
      </c>
      <c r="H122" s="481">
        <f t="shared" si="35"/>
        <v>908</v>
      </c>
      <c r="I122" s="482">
        <f t="shared" si="35"/>
        <v>34118</v>
      </c>
      <c r="J122" s="483">
        <f>J107+J109+J111+J113+J115+J117+J119</f>
        <v>55310.428773771164</v>
      </c>
      <c r="K122" s="484">
        <f>K107+K109+K111+K113+K115+K119</f>
        <v>2144746.774157973</v>
      </c>
      <c r="L122" s="485">
        <f>L107+L109+L111+L113+L115+L117+L119</f>
        <v>3390591.9196887566</v>
      </c>
      <c r="M122" s="480">
        <f>M107+M109+M111+M113+M115+M117+M119</f>
        <v>57522.845924722009</v>
      </c>
      <c r="N122" s="486">
        <f>N107+N109+N111+N113+N115+N119</f>
        <v>2230536.645124292</v>
      </c>
      <c r="O122" s="482">
        <f>O107+O109+O111+O113+O115+O117+O119</f>
        <v>3699216.4118067729</v>
      </c>
      <c r="P122" s="487">
        <f>P107+P109+P111+P113+P115+P117+P119</f>
        <v>58673.302843216443</v>
      </c>
      <c r="Q122" s="484">
        <f>Q107+Q109+Q111+Q113+Q115+Q119</f>
        <v>2275147.3780267779</v>
      </c>
      <c r="R122" s="485">
        <f>R107+R109+R111+R113+R115+R117+R119</f>
        <v>3773200.7400429086</v>
      </c>
      <c r="S122" s="488">
        <f>S107+S109+S111+S113+S115+S117+S119</f>
        <v>2207826.756100982</v>
      </c>
      <c r="T122" s="482">
        <f>SUM(T107,T109,T111,T113,T115,T117,T119)</f>
        <v>1020871.1573875636</v>
      </c>
      <c r="U122" s="489">
        <f>SUM(U107,U109,U111,U113,U115,U117,U119)</f>
        <v>1251986.0849997592</v>
      </c>
    </row>
  </sheetData>
  <mergeCells count="35">
    <mergeCell ref="F2:G2"/>
    <mergeCell ref="S2:T2"/>
    <mergeCell ref="C5:I5"/>
    <mergeCell ref="G7:I7"/>
    <mergeCell ref="K8:L8"/>
    <mergeCell ref="N8:O8"/>
    <mergeCell ref="Q8:R8"/>
    <mergeCell ref="G54:I54"/>
    <mergeCell ref="G18:I18"/>
    <mergeCell ref="K19:L19"/>
    <mergeCell ref="N19:O19"/>
    <mergeCell ref="Q19:R19"/>
    <mergeCell ref="G32:I32"/>
    <mergeCell ref="G33:I33"/>
    <mergeCell ref="K33:L33"/>
    <mergeCell ref="N33:O33"/>
    <mergeCell ref="Q33:R33"/>
    <mergeCell ref="G42:I42"/>
    <mergeCell ref="G43:I43"/>
    <mergeCell ref="K43:L43"/>
    <mergeCell ref="N43:O43"/>
    <mergeCell ref="Q43:R43"/>
    <mergeCell ref="K55:L55"/>
    <mergeCell ref="N55:O55"/>
    <mergeCell ref="Q55:R55"/>
    <mergeCell ref="G71:I71"/>
    <mergeCell ref="K72:L72"/>
    <mergeCell ref="N72:O72"/>
    <mergeCell ref="Q72:R72"/>
    <mergeCell ref="N88:O88"/>
    <mergeCell ref="Q88:R88"/>
    <mergeCell ref="G94:I94"/>
    <mergeCell ref="K95:L95"/>
    <mergeCell ref="N95:O95"/>
    <mergeCell ref="Q95:R95"/>
  </mergeCells>
  <dataValidations count="1">
    <dataValidation allowBlank="1" showInputMessage="1" showErrorMessage="1" sqref="D35 D21:D23" xr:uid="{00000000-0002-0000-0A00-000000000000}"/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123"/>
  <sheetViews>
    <sheetView topLeftCell="A51" zoomScaleNormal="100" workbookViewId="0">
      <selection activeCell="Q69" sqref="Q69"/>
    </sheetView>
  </sheetViews>
  <sheetFormatPr defaultRowHeight="12.5" x14ac:dyDescent="0.25"/>
  <cols>
    <col min="1" max="1" width="1.1796875" customWidth="1"/>
    <col min="2" max="2" width="31.453125" customWidth="1"/>
    <col min="3" max="3" width="12.81640625" customWidth="1"/>
    <col min="4" max="4" width="10.26953125" bestFit="1" customWidth="1"/>
    <col min="5" max="5" width="11.26953125" customWidth="1"/>
    <col min="6" max="6" width="9.7265625" style="5" customWidth="1"/>
    <col min="7" max="7" width="9.7265625" bestFit="1" customWidth="1"/>
    <col min="8" max="8" width="9.81640625" bestFit="1" customWidth="1"/>
    <col min="9" max="9" width="13.26953125" customWidth="1"/>
    <col min="10" max="10" width="15" customWidth="1"/>
    <col min="11" max="11" width="14.453125" customWidth="1"/>
    <col min="12" max="12" width="14.26953125" bestFit="1" customWidth="1"/>
    <col min="13" max="13" width="15.54296875" customWidth="1"/>
    <col min="14" max="14" width="14.54296875" customWidth="1"/>
    <col min="15" max="15" width="14.453125" customWidth="1"/>
    <col min="16" max="16" width="15" customWidth="1"/>
    <col min="17" max="17" width="13.81640625" customWidth="1"/>
    <col min="18" max="18" width="14" customWidth="1"/>
    <col min="19" max="19" width="14.54296875" customWidth="1"/>
    <col min="20" max="20" width="14" customWidth="1"/>
    <col min="21" max="21" width="13.26953125" bestFit="1" customWidth="1"/>
  </cols>
  <sheetData>
    <row r="1" spans="1:21" ht="4.5" customHeight="1" thickBot="1" x14ac:dyDescent="0.3">
      <c r="B1" s="335"/>
      <c r="C1" s="335"/>
      <c r="D1" s="335"/>
      <c r="E1" s="335"/>
      <c r="F1" s="336"/>
      <c r="G1" s="335"/>
      <c r="H1" s="335"/>
      <c r="I1" s="335"/>
      <c r="J1" s="335"/>
      <c r="K1" s="335"/>
      <c r="L1" s="335"/>
      <c r="M1" s="335"/>
    </row>
    <row r="2" spans="1:21" ht="18.5" thickTop="1" x14ac:dyDescent="0.4">
      <c r="A2" s="510"/>
      <c r="B2" s="494" t="s">
        <v>0</v>
      </c>
      <c r="C2" s="491" t="s">
        <v>157</v>
      </c>
      <c r="E2" s="326" t="s">
        <v>31</v>
      </c>
      <c r="F2" s="1172">
        <v>43331</v>
      </c>
      <c r="G2" s="1173"/>
      <c r="J2" s="492" t="s">
        <v>5</v>
      </c>
      <c r="K2" s="493">
        <v>2023</v>
      </c>
      <c r="M2" s="490" t="s">
        <v>10</v>
      </c>
      <c r="N2" s="452">
        <f>K2+1</f>
        <v>2024</v>
      </c>
      <c r="O2" s="451"/>
      <c r="P2" s="453" t="s">
        <v>11</v>
      </c>
      <c r="Q2" s="452">
        <f>N2+1</f>
        <v>2025</v>
      </c>
      <c r="R2" s="454"/>
      <c r="S2" s="1165" t="s">
        <v>77</v>
      </c>
      <c r="T2" s="1166"/>
      <c r="U2" s="455" t="s">
        <v>79</v>
      </c>
    </row>
    <row r="3" spans="1:21" ht="15.5" x14ac:dyDescent="0.35">
      <c r="A3" s="510"/>
      <c r="C3" s="1"/>
      <c r="D3" s="25"/>
      <c r="E3" s="2"/>
      <c r="I3" s="326" t="s">
        <v>59</v>
      </c>
      <c r="J3" s="144"/>
      <c r="L3" s="145"/>
      <c r="O3" s="31"/>
      <c r="R3" s="31"/>
      <c r="S3" s="90" t="s">
        <v>71</v>
      </c>
      <c r="T3" s="91">
        <f>AVERAGE(J6,M6,P6)</f>
        <v>39</v>
      </c>
      <c r="U3" s="31"/>
    </row>
    <row r="4" spans="1:21" ht="13" x14ac:dyDescent="0.3">
      <c r="A4" s="510"/>
      <c r="I4" s="43">
        <v>0</v>
      </c>
      <c r="J4" s="326" t="s">
        <v>71</v>
      </c>
      <c r="K4" s="349" t="s">
        <v>161</v>
      </c>
      <c r="L4" s="17">
        <v>43</v>
      </c>
      <c r="M4" s="326" t="s">
        <v>71</v>
      </c>
      <c r="N4" s="349" t="s">
        <v>161</v>
      </c>
      <c r="O4" s="17">
        <v>43</v>
      </c>
      <c r="P4" s="326" t="s">
        <v>71</v>
      </c>
      <c r="Q4" s="349" t="s">
        <v>161</v>
      </c>
      <c r="R4" s="17">
        <v>43</v>
      </c>
      <c r="S4" s="349" t="s">
        <v>161</v>
      </c>
      <c r="T4" s="85">
        <f>AVERAGE(L4,O4,R4)</f>
        <v>43</v>
      </c>
      <c r="U4" s="31"/>
    </row>
    <row r="5" spans="1:21" ht="13" x14ac:dyDescent="0.3">
      <c r="A5" s="510"/>
      <c r="J5" s="326"/>
      <c r="K5" s="349" t="s">
        <v>152</v>
      </c>
      <c r="L5" s="543">
        <v>0</v>
      </c>
      <c r="M5" s="326"/>
      <c r="N5" s="349" t="s">
        <v>152</v>
      </c>
      <c r="O5" s="544">
        <v>0</v>
      </c>
      <c r="P5" s="326"/>
      <c r="Q5" s="349" t="s">
        <v>152</v>
      </c>
      <c r="R5" s="543">
        <v>0</v>
      </c>
      <c r="S5" s="349" t="s">
        <v>152</v>
      </c>
      <c r="T5" s="85">
        <f>AVERAGE(L5,O5,R5)</f>
        <v>0</v>
      </c>
      <c r="U5" s="31"/>
    </row>
    <row r="6" spans="1:21" ht="12.75" customHeight="1" thickBot="1" x14ac:dyDescent="0.35">
      <c r="A6" s="510"/>
      <c r="B6" s="495" t="s">
        <v>2</v>
      </c>
      <c r="C6" s="1200"/>
      <c r="D6" s="1175"/>
      <c r="E6" s="1175"/>
      <c r="F6" s="1175"/>
      <c r="G6" s="1175"/>
      <c r="H6" s="1175"/>
      <c r="I6" s="1175"/>
      <c r="J6" s="286">
        <v>39</v>
      </c>
      <c r="K6" s="287" t="s">
        <v>70</v>
      </c>
      <c r="L6" s="288">
        <f>L4*$I$4</f>
        <v>0</v>
      </c>
      <c r="M6" s="526">
        <v>39</v>
      </c>
      <c r="N6" s="287" t="s">
        <v>70</v>
      </c>
      <c r="O6" s="289">
        <f>O4*$I$4</f>
        <v>0</v>
      </c>
      <c r="P6" s="525">
        <v>39</v>
      </c>
      <c r="Q6" s="287" t="s">
        <v>70</v>
      </c>
      <c r="R6" s="288">
        <f>R4*$I$4</f>
        <v>0</v>
      </c>
      <c r="S6" s="191" t="s">
        <v>70</v>
      </c>
      <c r="T6" s="192">
        <f>AVERAGE(L6,O6,R6)</f>
        <v>0</v>
      </c>
      <c r="U6" s="31"/>
    </row>
    <row r="7" spans="1:21" ht="30" customHeight="1" thickTop="1" thickBot="1" x14ac:dyDescent="0.45">
      <c r="A7" s="510"/>
      <c r="B7" s="496" t="s">
        <v>73</v>
      </c>
      <c r="C7" s="3"/>
      <c r="D7" s="3"/>
      <c r="E7" s="3"/>
      <c r="F7" s="9"/>
      <c r="G7" s="3"/>
      <c r="H7" s="3"/>
      <c r="I7" s="3"/>
      <c r="J7" s="447"/>
      <c r="K7" s="3"/>
      <c r="L7" s="3"/>
      <c r="M7" s="447"/>
      <c r="N7" s="3"/>
      <c r="O7" s="3"/>
      <c r="P7" s="447"/>
      <c r="Q7" s="3"/>
      <c r="R7" s="3"/>
      <c r="S7" s="448" t="s">
        <v>17</v>
      </c>
      <c r="T7" s="449" t="s">
        <v>103</v>
      </c>
      <c r="U7" s="450"/>
    </row>
    <row r="8" spans="1:21" ht="15.5" x14ac:dyDescent="0.35">
      <c r="A8" s="510"/>
      <c r="B8" s="48" t="s">
        <v>158</v>
      </c>
      <c r="C8" s="193"/>
      <c r="D8" s="349" t="s">
        <v>54</v>
      </c>
      <c r="E8" s="24">
        <v>5</v>
      </c>
      <c r="F8" s="1" t="s">
        <v>6</v>
      </c>
      <c r="G8" s="1169"/>
      <c r="H8" s="1170"/>
      <c r="I8" s="1171"/>
      <c r="J8" s="72" t="s">
        <v>3</v>
      </c>
      <c r="K8" s="146"/>
      <c r="L8" s="62"/>
      <c r="M8" s="48" t="s">
        <v>3</v>
      </c>
      <c r="O8" s="31"/>
      <c r="P8" s="48" t="s">
        <v>3</v>
      </c>
      <c r="R8" s="31"/>
      <c r="S8" s="99"/>
      <c r="T8" s="92"/>
      <c r="U8" s="114"/>
    </row>
    <row r="9" spans="1:21" ht="13" x14ac:dyDescent="0.3">
      <c r="A9" s="510"/>
      <c r="B9" s="497" t="s">
        <v>44</v>
      </c>
      <c r="C9" s="4"/>
      <c r="D9" s="4"/>
      <c r="E9" s="4"/>
      <c r="F9" s="8"/>
      <c r="G9" s="4"/>
      <c r="H9" s="4"/>
      <c r="I9" s="40" t="s">
        <v>55</v>
      </c>
      <c r="J9" s="209" t="s">
        <v>55</v>
      </c>
      <c r="K9" s="1176" t="s">
        <v>57</v>
      </c>
      <c r="L9" s="1168"/>
      <c r="M9" s="50" t="s">
        <v>55</v>
      </c>
      <c r="N9" s="1177" t="s">
        <v>57</v>
      </c>
      <c r="O9" s="1178"/>
      <c r="P9" s="227" t="s">
        <v>55</v>
      </c>
      <c r="Q9" s="1167" t="s">
        <v>57</v>
      </c>
      <c r="R9" s="1168"/>
      <c r="S9" s="100"/>
      <c r="T9" s="118"/>
      <c r="U9" s="116"/>
    </row>
    <row r="10" spans="1:21" ht="13" x14ac:dyDescent="0.3">
      <c r="A10" s="510"/>
      <c r="B10" s="498" t="s">
        <v>53</v>
      </c>
      <c r="C10" s="20" t="s">
        <v>45</v>
      </c>
      <c r="D10" s="20" t="s">
        <v>46</v>
      </c>
      <c r="E10" s="20" t="s">
        <v>47</v>
      </c>
      <c r="F10" s="20" t="s">
        <v>48</v>
      </c>
      <c r="G10" s="20" t="s">
        <v>49</v>
      </c>
      <c r="H10" s="20" t="s">
        <v>50</v>
      </c>
      <c r="I10" s="40" t="s">
        <v>13</v>
      </c>
      <c r="J10" s="210" t="s">
        <v>56</v>
      </c>
      <c r="K10" s="211" t="s">
        <v>13</v>
      </c>
      <c r="L10" s="212" t="s">
        <v>68</v>
      </c>
      <c r="M10" s="66" t="s">
        <v>56</v>
      </c>
      <c r="N10" s="20" t="s">
        <v>13</v>
      </c>
      <c r="O10" s="32" t="s">
        <v>68</v>
      </c>
      <c r="P10" s="211" t="s">
        <v>56</v>
      </c>
      <c r="Q10" s="211" t="s">
        <v>13</v>
      </c>
      <c r="R10" s="212" t="s">
        <v>68</v>
      </c>
      <c r="S10" s="98"/>
      <c r="T10" s="44"/>
      <c r="U10" s="117"/>
    </row>
    <row r="11" spans="1:21" x14ac:dyDescent="0.25">
      <c r="A11" s="510"/>
      <c r="B11" s="499" t="s">
        <v>51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41">
        <f>SUM(C11:H11)</f>
        <v>0</v>
      </c>
      <c r="J11" s="213" t="s">
        <v>12</v>
      </c>
      <c r="K11" s="214">
        <f>I11*$J$6</f>
        <v>0</v>
      </c>
      <c r="L11" s="215">
        <f>K11/$E$8</f>
        <v>0</v>
      </c>
      <c r="M11" s="51" t="s">
        <v>12</v>
      </c>
      <c r="N11" s="351">
        <f>I11*$M$6</f>
        <v>0</v>
      </c>
      <c r="O11" s="57">
        <f>N11/$E$8</f>
        <v>0</v>
      </c>
      <c r="P11" s="213" t="s">
        <v>12</v>
      </c>
      <c r="Q11" s="352">
        <f>$I11*$M$6</f>
        <v>0</v>
      </c>
      <c r="R11" s="239">
        <f>Q11/$E$8</f>
        <v>0</v>
      </c>
      <c r="S11" s="96">
        <f>AVERAGE(L11,O11,R11)</f>
        <v>0</v>
      </c>
      <c r="T11" s="94" t="s">
        <v>12</v>
      </c>
      <c r="U11" s="94" t="s">
        <v>12</v>
      </c>
    </row>
    <row r="12" spans="1:21" s="1" customFormat="1" ht="13.5" thickBot="1" x14ac:dyDescent="0.35">
      <c r="A12" s="511"/>
      <c r="B12" s="327" t="s">
        <v>52</v>
      </c>
      <c r="C12" s="20">
        <f>ROUND(C11*Labor!$D$3,0)</f>
        <v>0</v>
      </c>
      <c r="D12" s="20">
        <f>ROUND(D11*Labor!$D$4,0)</f>
        <v>0</v>
      </c>
      <c r="E12" s="20">
        <f>ROUND(E11*Labor!$D$5,0)</f>
        <v>0</v>
      </c>
      <c r="F12" s="20">
        <f>ROUND(F11*Labor!$D$6,0)</f>
        <v>0</v>
      </c>
      <c r="G12" s="20">
        <f>ROUND(G11*Labor!$D$7,0)</f>
        <v>0</v>
      </c>
      <c r="H12" s="20">
        <f>ROUND(H11*Labor!$D$8,0)</f>
        <v>0</v>
      </c>
      <c r="I12" s="314">
        <f>SUM(C12:H12)</f>
        <v>0</v>
      </c>
      <c r="J12" s="284">
        <f>HLOOKUP(K$2,InflationTable,2)/HLOOKUP(Labor!$B$11,InflationTable,2)*$I12</f>
        <v>0</v>
      </c>
      <c r="K12" s="315">
        <f>J12*$J$6</f>
        <v>0</v>
      </c>
      <c r="L12" s="316">
        <f>K12/$E$8</f>
        <v>0</v>
      </c>
      <c r="M12" s="169">
        <f>HLOOKUP(K$2,InflationTable,2)/HLOOKUP(Labor!$B$11,InflationTable,2)*$I12</f>
        <v>0</v>
      </c>
      <c r="N12" s="317">
        <f>M12*$J$6</f>
        <v>0</v>
      </c>
      <c r="O12" s="318">
        <f>N12/$E$8</f>
        <v>0</v>
      </c>
      <c r="P12" s="284">
        <f>HLOOKUP(K$2,InflationTable,2)/HLOOKUP(Labor!$B$11,InflationTable,2)*$I12</f>
        <v>0</v>
      </c>
      <c r="Q12" s="315">
        <f>P12*$J$6</f>
        <v>0</v>
      </c>
      <c r="R12" s="316">
        <f>Q12/$E$8</f>
        <v>0</v>
      </c>
      <c r="S12" s="312">
        <f>AVERAGE(L12,O12,R12)</f>
        <v>0</v>
      </c>
      <c r="T12" s="313" t="s">
        <v>12</v>
      </c>
      <c r="U12" s="313" t="s">
        <v>12</v>
      </c>
    </row>
    <row r="13" spans="1:21" ht="13.5" thickBot="1" x14ac:dyDescent="0.35">
      <c r="A13" s="510"/>
      <c r="B13" s="1" t="s">
        <v>7</v>
      </c>
      <c r="H13" s="6"/>
      <c r="I13" s="31"/>
      <c r="J13" s="216"/>
      <c r="K13" s="216"/>
      <c r="L13" s="217"/>
      <c r="O13" s="37"/>
      <c r="P13" s="284"/>
      <c r="Q13" s="330"/>
      <c r="R13" s="240"/>
      <c r="S13" s="97"/>
      <c r="T13" s="31"/>
      <c r="U13" s="31"/>
    </row>
    <row r="14" spans="1:21" x14ac:dyDescent="0.25">
      <c r="A14" s="510"/>
      <c r="B14" s="499" t="s">
        <v>51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41">
        <f>SUM(C14:H14)</f>
        <v>0</v>
      </c>
      <c r="J14" s="213" t="s">
        <v>12</v>
      </c>
      <c r="K14" s="214">
        <f>I14*$J$6</f>
        <v>0</v>
      </c>
      <c r="L14" s="215">
        <f>K14/$E$8</f>
        <v>0</v>
      </c>
      <c r="M14" s="51" t="s">
        <v>12</v>
      </c>
      <c r="N14" s="10">
        <f>I14*$M$6</f>
        <v>0</v>
      </c>
      <c r="O14" s="52">
        <f>N14/$E$8</f>
        <v>0</v>
      </c>
      <c r="P14" s="213" t="s">
        <v>12</v>
      </c>
      <c r="Q14" s="241">
        <f>$I14*$P$6</f>
        <v>0</v>
      </c>
      <c r="R14" s="232">
        <f>Q14/$E$8</f>
        <v>0</v>
      </c>
      <c r="S14" s="96">
        <f>AVERAGE(L14,O14,R14)</f>
        <v>0</v>
      </c>
      <c r="T14" s="94" t="s">
        <v>12</v>
      </c>
      <c r="U14" s="94" t="s">
        <v>12</v>
      </c>
    </row>
    <row r="15" spans="1:21" s="1" customFormat="1" ht="13.5" thickBot="1" x14ac:dyDescent="0.35">
      <c r="A15" s="511"/>
      <c r="B15" s="500" t="s">
        <v>52</v>
      </c>
      <c r="C15" s="310">
        <f>ROUND(C14*Labor!$D$3,0)</f>
        <v>0</v>
      </c>
      <c r="D15" s="310">
        <f>ROUND(D14*Labor!$D$4,0)</f>
        <v>0</v>
      </c>
      <c r="E15" s="310">
        <f>ROUND(E14*Labor!$D$5,0)</f>
        <v>0</v>
      </c>
      <c r="F15" s="310">
        <f>ROUND(F14*Labor!$D$6,0)</f>
        <v>0</v>
      </c>
      <c r="G15" s="310">
        <f>ROUND(G14*Labor!$D$7,0)</f>
        <v>0</v>
      </c>
      <c r="H15" s="310">
        <f>ROUND(H14*Labor!$D$8,0)</f>
        <v>0</v>
      </c>
      <c r="I15" s="311">
        <f>SUM(C15:H15)</f>
        <v>0</v>
      </c>
      <c r="J15" s="284">
        <f>HLOOKUP(K$2,InflationTable,2)/HLOOKUP(Labor!$B$11,InflationTable,2)*$I12</f>
        <v>0</v>
      </c>
      <c r="K15" s="245">
        <f>J15*$J$6</f>
        <v>0</v>
      </c>
      <c r="L15" s="246">
        <f>K15/$E$8</f>
        <v>0</v>
      </c>
      <c r="M15" s="169">
        <f>HLOOKUP(K$2,InflationTable,2)/HLOOKUP(Labor!$B$11,InflationTable,2)*$I12</f>
        <v>0</v>
      </c>
      <c r="N15" s="166">
        <f>M15*$J$6</f>
        <v>0</v>
      </c>
      <c r="O15" s="167">
        <f>N15/$E$8</f>
        <v>0</v>
      </c>
      <c r="P15" s="284">
        <f>HLOOKUP(K$2,InflationTable,2)/HLOOKUP(Labor!$B$11,InflationTable,2)*$I12</f>
        <v>0</v>
      </c>
      <c r="Q15" s="245">
        <f>P15*$J$6</f>
        <v>0</v>
      </c>
      <c r="R15" s="246">
        <f>Q15/$E$8</f>
        <v>0</v>
      </c>
      <c r="S15" s="312">
        <f>AVERAGE(L15,O15,R15)</f>
        <v>0</v>
      </c>
      <c r="T15" s="313" t="s">
        <v>12</v>
      </c>
      <c r="U15" s="313" t="s">
        <v>12</v>
      </c>
    </row>
    <row r="16" spans="1:21" ht="13" x14ac:dyDescent="0.3">
      <c r="A16" s="510"/>
      <c r="B16" s="501" t="s">
        <v>66</v>
      </c>
      <c r="C16" s="28">
        <f t="shared" ref="C16:I17" si="0">C11+C14</f>
        <v>0</v>
      </c>
      <c r="D16" s="28">
        <f t="shared" si="0"/>
        <v>0</v>
      </c>
      <c r="E16" s="28">
        <f t="shared" si="0"/>
        <v>0</v>
      </c>
      <c r="F16" s="28">
        <f t="shared" si="0"/>
        <v>0</v>
      </c>
      <c r="G16" s="28">
        <f t="shared" si="0"/>
        <v>0</v>
      </c>
      <c r="H16" s="28">
        <f t="shared" si="0"/>
        <v>0</v>
      </c>
      <c r="I16" s="42">
        <f t="shared" si="0"/>
        <v>0</v>
      </c>
      <c r="J16" s="221" t="s">
        <v>12</v>
      </c>
      <c r="K16" s="222">
        <f>K11+K14</f>
        <v>0</v>
      </c>
      <c r="L16" s="223">
        <f>L11+L14</f>
        <v>0</v>
      </c>
      <c r="M16" s="53" t="s">
        <v>12</v>
      </c>
      <c r="N16">
        <f>I16*$M$6</f>
        <v>0</v>
      </c>
      <c r="O16" s="54">
        <f>N16/$E$8</f>
        <v>0</v>
      </c>
      <c r="P16" s="242" t="s">
        <v>12</v>
      </c>
      <c r="Q16" s="352">
        <f>$I16*$P$6</f>
        <v>0</v>
      </c>
      <c r="R16" s="243">
        <f>Q16/$E$8</f>
        <v>0</v>
      </c>
      <c r="S16" s="96">
        <f>AVERAGE(L16,O16,R16)</f>
        <v>0</v>
      </c>
      <c r="T16" s="94" t="s">
        <v>12</v>
      </c>
      <c r="U16" s="94" t="s">
        <v>12</v>
      </c>
    </row>
    <row r="17" spans="1:21" ht="13.5" thickBot="1" x14ac:dyDescent="0.35">
      <c r="A17" s="510"/>
      <c r="B17" s="502" t="s">
        <v>67</v>
      </c>
      <c r="C17" s="194">
        <f t="shared" si="0"/>
        <v>0</v>
      </c>
      <c r="D17" s="194">
        <f t="shared" si="0"/>
        <v>0</v>
      </c>
      <c r="E17" s="194">
        <f t="shared" si="0"/>
        <v>0</v>
      </c>
      <c r="F17" s="194">
        <f t="shared" si="0"/>
        <v>0</v>
      </c>
      <c r="G17" s="194">
        <f t="shared" si="0"/>
        <v>0</v>
      </c>
      <c r="H17" s="194">
        <f t="shared" si="0"/>
        <v>0</v>
      </c>
      <c r="I17" s="195">
        <f t="shared" si="0"/>
        <v>0</v>
      </c>
      <c r="J17" s="224">
        <f>J12+J15</f>
        <v>0</v>
      </c>
      <c r="K17" s="225">
        <f>K12+K15</f>
        <v>0</v>
      </c>
      <c r="L17" s="226">
        <f>L12+L15</f>
        <v>0</v>
      </c>
      <c r="M17" s="196">
        <f>M12+M15</f>
        <v>0</v>
      </c>
      <c r="N17" s="194">
        <f>N12+N15</f>
        <v>0</v>
      </c>
      <c r="O17" s="197">
        <f>O12+O15</f>
        <v>0</v>
      </c>
      <c r="P17" s="244">
        <f>P12+P15</f>
        <v>0</v>
      </c>
      <c r="Q17" s="245">
        <f>P17*$P$6</f>
        <v>0</v>
      </c>
      <c r="R17" s="246">
        <f>Q17/$E$8</f>
        <v>0</v>
      </c>
      <c r="S17" s="169">
        <f>AVERAGE(L17,O17,R17)</f>
        <v>0</v>
      </c>
      <c r="T17" s="174" t="s">
        <v>12</v>
      </c>
      <c r="U17" s="174" t="s">
        <v>12</v>
      </c>
    </row>
    <row r="18" spans="1:21" ht="13.5" thickTop="1" thickBot="1" x14ac:dyDescent="0.3">
      <c r="A18" s="510"/>
      <c r="B18" s="512"/>
      <c r="C18" s="513"/>
      <c r="D18" s="513"/>
      <c r="E18" s="513"/>
      <c r="F18" s="513"/>
      <c r="G18" s="513"/>
      <c r="H18" s="513"/>
      <c r="I18" s="513"/>
      <c r="J18" s="513"/>
      <c r="K18" s="513"/>
      <c r="L18" s="513"/>
      <c r="M18" s="513"/>
      <c r="N18" s="335"/>
      <c r="O18" s="335"/>
      <c r="P18" s="335"/>
      <c r="Q18" s="335"/>
      <c r="R18" s="335"/>
      <c r="S18" s="335"/>
      <c r="T18" s="335"/>
      <c r="U18" s="190"/>
    </row>
    <row r="19" spans="1:21" ht="16" thickTop="1" x14ac:dyDescent="0.35">
      <c r="A19" s="510"/>
      <c r="B19" s="2" t="s">
        <v>160</v>
      </c>
      <c r="C19" s="61"/>
      <c r="D19" s="349" t="s">
        <v>54</v>
      </c>
      <c r="E19" s="59">
        <v>5</v>
      </c>
      <c r="F19" s="1" t="s">
        <v>6</v>
      </c>
      <c r="G19" s="1160"/>
      <c r="H19" s="1161"/>
      <c r="I19" s="1162"/>
      <c r="J19" s="2" t="s">
        <v>16</v>
      </c>
      <c r="L19" s="62"/>
      <c r="M19" s="2" t="s">
        <v>16</v>
      </c>
      <c r="O19" s="31"/>
      <c r="P19" s="2" t="s">
        <v>16</v>
      </c>
      <c r="R19" s="62"/>
      <c r="S19" s="97"/>
      <c r="T19" s="31"/>
      <c r="U19" s="111"/>
    </row>
    <row r="20" spans="1:21" ht="13" x14ac:dyDescent="0.3">
      <c r="A20" s="510"/>
      <c r="C20" s="86" t="s">
        <v>60</v>
      </c>
      <c r="D20" s="20" t="s">
        <v>62</v>
      </c>
      <c r="F20"/>
      <c r="H20" s="4"/>
      <c r="I20" s="37"/>
      <c r="J20" s="227" t="s">
        <v>61</v>
      </c>
      <c r="K20" s="1167" t="s">
        <v>57</v>
      </c>
      <c r="L20" s="1168"/>
      <c r="M20" s="50" t="s">
        <v>61</v>
      </c>
      <c r="N20" s="1177" t="s">
        <v>57</v>
      </c>
      <c r="O20" s="1178"/>
      <c r="P20" s="212" t="s">
        <v>61</v>
      </c>
      <c r="Q20" s="1167" t="s">
        <v>57</v>
      </c>
      <c r="R20" s="1168"/>
      <c r="S20" s="106"/>
      <c r="T20" s="31"/>
      <c r="U20" s="111"/>
    </row>
    <row r="21" spans="1:21" ht="13" x14ac:dyDescent="0.3">
      <c r="A21" s="510"/>
      <c r="B21" s="503" t="s">
        <v>58</v>
      </c>
      <c r="C21" s="20"/>
      <c r="D21" s="20"/>
      <c r="E21" s="7"/>
      <c r="F21" s="61"/>
      <c r="G21" s="61"/>
      <c r="H21" s="61"/>
      <c r="I21" s="62"/>
      <c r="J21" s="210" t="s">
        <v>56</v>
      </c>
      <c r="K21" s="211" t="s">
        <v>13</v>
      </c>
      <c r="L21" s="212" t="s">
        <v>68</v>
      </c>
      <c r="M21" s="66" t="s">
        <v>56</v>
      </c>
      <c r="N21" s="20" t="s">
        <v>13</v>
      </c>
      <c r="O21" s="32" t="s">
        <v>68</v>
      </c>
      <c r="P21" s="210" t="s">
        <v>56</v>
      </c>
      <c r="Q21" s="211" t="s">
        <v>13</v>
      </c>
      <c r="R21" s="212" t="s">
        <v>68</v>
      </c>
      <c r="S21" s="98"/>
      <c r="T21" s="31"/>
      <c r="U21" s="111"/>
    </row>
    <row r="22" spans="1:21" x14ac:dyDescent="0.25">
      <c r="A22" s="510"/>
      <c r="B22" s="504" t="s">
        <v>14</v>
      </c>
      <c r="C22" s="23">
        <f>VLOOKUP(C$2,Monitor_Costs,2,FALSE)</f>
        <v>20500</v>
      </c>
      <c r="D22" s="19">
        <f>VLOOKUP(C$2,Monitor_Costs,3,FALSE)</f>
        <v>2019</v>
      </c>
      <c r="E22" s="63"/>
      <c r="F22" s="64"/>
      <c r="G22" s="65"/>
      <c r="H22" s="65"/>
      <c r="I22" s="31"/>
      <c r="J22" s="229">
        <f>HLOOKUP(K$2,InflationTable,2)/HLOOKUP($D22,InflationTable,2)*$C22</f>
        <v>24782.792334767306</v>
      </c>
      <c r="K22" s="229">
        <f>J22*$L$4</f>
        <v>1065660.0703949942</v>
      </c>
      <c r="L22" s="230">
        <f>K22/$E$19</f>
        <v>213132.01407899885</v>
      </c>
      <c r="M22" s="23">
        <f>HLOOKUP(N$2,InflationTable,2)/HLOOKUP($D22,InflationTable,2)*$C22</f>
        <v>25774.104028157999</v>
      </c>
      <c r="N22" s="23">
        <f>M22*$L$4</f>
        <v>1108286.4732107939</v>
      </c>
      <c r="O22" s="80">
        <f>N22/$E$19</f>
        <v>221657.29464215878</v>
      </c>
      <c r="P22" s="229">
        <f>HLOOKUP(Q$2,InflationTable,2)/HLOOKUP($D22,InflationTable,2)*$C22</f>
        <v>26289.586108721156</v>
      </c>
      <c r="Q22" s="229">
        <f>P22*$L$4</f>
        <v>1130452.2026750096</v>
      </c>
      <c r="R22" s="230">
        <f>Q22/$E$19</f>
        <v>226090.44053500192</v>
      </c>
      <c r="S22" s="102" t="s">
        <v>12</v>
      </c>
      <c r="T22" s="94" t="s">
        <v>12</v>
      </c>
      <c r="U22" s="112">
        <f>AVERAGE(L22,O22,R22)</f>
        <v>220293.24975205318</v>
      </c>
    </row>
    <row r="23" spans="1:21" ht="13.5" thickBot="1" x14ac:dyDescent="0.35">
      <c r="A23" s="510"/>
      <c r="B23" s="505" t="s">
        <v>15</v>
      </c>
      <c r="C23" s="3"/>
      <c r="D23" s="3"/>
      <c r="E23" s="3"/>
      <c r="F23" s="9"/>
      <c r="G23" s="3"/>
      <c r="H23" s="3"/>
      <c r="I23" s="305"/>
      <c r="J23" s="306"/>
      <c r="K23" s="295">
        <f>J22*$L$6</f>
        <v>0</v>
      </c>
      <c r="L23" s="256">
        <f>K23/$E$19</f>
        <v>0</v>
      </c>
      <c r="M23" s="3"/>
      <c r="N23" s="84">
        <f>M22*$L$6</f>
        <v>0</v>
      </c>
      <c r="O23" s="307">
        <f>N23/$E$19</f>
        <v>0</v>
      </c>
      <c r="P23" s="308"/>
      <c r="Q23" s="295">
        <f>P22*$L$6</f>
        <v>0</v>
      </c>
      <c r="R23" s="256">
        <f>Q23/$E$19</f>
        <v>0</v>
      </c>
      <c r="S23" s="298" t="s">
        <v>12</v>
      </c>
      <c r="T23" s="121" t="s">
        <v>12</v>
      </c>
      <c r="U23" s="309">
        <f>AVERAGE(L23,O23,R23)</f>
        <v>0</v>
      </c>
    </row>
    <row r="24" spans="1:21" ht="13" x14ac:dyDescent="0.3">
      <c r="A24" s="510"/>
      <c r="B24" s="1" t="s">
        <v>17</v>
      </c>
      <c r="C24" s="86" t="s">
        <v>45</v>
      </c>
      <c r="D24" s="86" t="s">
        <v>46</v>
      </c>
      <c r="E24" s="86" t="s">
        <v>47</v>
      </c>
      <c r="F24" s="86" t="s">
        <v>48</v>
      </c>
      <c r="G24" s="86" t="s">
        <v>49</v>
      </c>
      <c r="H24" s="86" t="s">
        <v>50</v>
      </c>
      <c r="I24" s="145" t="s">
        <v>74</v>
      </c>
      <c r="J24" s="292"/>
      <c r="K24" s="293"/>
      <c r="L24" s="296"/>
      <c r="M24" s="88"/>
      <c r="N24" s="86"/>
      <c r="O24" s="87"/>
      <c r="P24" s="293"/>
      <c r="Q24" s="293"/>
      <c r="R24" s="296"/>
      <c r="S24" s="100"/>
      <c r="T24" s="31"/>
      <c r="U24" s="111"/>
    </row>
    <row r="25" spans="1:21" ht="13" x14ac:dyDescent="0.3">
      <c r="A25" s="510"/>
      <c r="B25" s="506" t="s">
        <v>119</v>
      </c>
      <c r="C25" s="27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41">
        <f>SUM(C25:H25)</f>
        <v>0</v>
      </c>
      <c r="J25" s="213" t="s">
        <v>12</v>
      </c>
      <c r="K25" s="231">
        <f>I25*($L$4+$L$6)</f>
        <v>0</v>
      </c>
      <c r="L25" s="232">
        <f>K25/$E$19</f>
        <v>0</v>
      </c>
      <c r="M25" s="51" t="s">
        <v>12</v>
      </c>
      <c r="N25" s="58">
        <f>$I$25*($O$4+$O$6)</f>
        <v>0</v>
      </c>
      <c r="O25" s="52">
        <f>N25/$E$19</f>
        <v>0</v>
      </c>
      <c r="P25" s="213" t="s">
        <v>12</v>
      </c>
      <c r="Q25" s="231">
        <f>$I$25*($R$4+$R$6)</f>
        <v>0</v>
      </c>
      <c r="R25" s="232">
        <f>Q25/$E$19</f>
        <v>0</v>
      </c>
      <c r="S25" s="123">
        <f>AVERAGE(L25,O25,R25)</f>
        <v>0</v>
      </c>
      <c r="T25" s="94" t="s">
        <v>12</v>
      </c>
      <c r="U25" s="113" t="s">
        <v>12</v>
      </c>
    </row>
    <row r="26" spans="1:21" s="1" customFormat="1" ht="13.5" thickBot="1" x14ac:dyDescent="0.35">
      <c r="A26" s="511"/>
      <c r="B26" s="500" t="s">
        <v>8</v>
      </c>
      <c r="C26" s="319">
        <f>ROUND(C25*Labor!$D$3,0)</f>
        <v>0</v>
      </c>
      <c r="D26" s="310">
        <f>ROUND(D25*Labor!$D$4,0)</f>
        <v>0</v>
      </c>
      <c r="E26" s="310">
        <f>ROUND(E25*Labor!$D$5,0)</f>
        <v>0</v>
      </c>
      <c r="F26" s="310">
        <f>ROUND(F25*Labor!$D$6,0)</f>
        <v>0</v>
      </c>
      <c r="G26" s="310">
        <f>ROUND(G25*Labor!$D$7,0)</f>
        <v>0</v>
      </c>
      <c r="H26" s="310">
        <f>ROUND(H25*Labor!$D$8,0)</f>
        <v>0</v>
      </c>
      <c r="I26" s="311">
        <f>SUM(C26:H26)</f>
        <v>0</v>
      </c>
      <c r="J26" s="284">
        <f>HLOOKUP(K$2,InflationTable,2)/HLOOKUP(Labor!$B$11,InflationTable,2)*$I12</f>
        <v>0</v>
      </c>
      <c r="K26" s="245">
        <f>J26*($L$4+$L$6)</f>
        <v>0</v>
      </c>
      <c r="L26" s="246">
        <f>K26/$E$19</f>
        <v>0</v>
      </c>
      <c r="M26" s="169">
        <f>HLOOKUP(K$2,InflationTable,2)/HLOOKUP(Labor!$B$11,InflationTable,2)*$I12</f>
        <v>0</v>
      </c>
      <c r="N26" s="166">
        <f>M26*$L$4</f>
        <v>0</v>
      </c>
      <c r="O26" s="167">
        <f>N26/$E$19</f>
        <v>0</v>
      </c>
      <c r="P26" s="1124">
        <f>HLOOKUP(K$2,InflationTable,2)/HLOOKUP(Labor!$B$11,InflationTable,2)*$I12</f>
        <v>0</v>
      </c>
      <c r="Q26" s="245">
        <f>P26*$L$4</f>
        <v>0</v>
      </c>
      <c r="R26" s="320">
        <f>Q26/$E$19</f>
        <v>0</v>
      </c>
      <c r="S26" s="321">
        <f>AVERAGE(L26,O26,R26)</f>
        <v>0</v>
      </c>
      <c r="T26" s="174" t="s">
        <v>12</v>
      </c>
      <c r="U26" s="322" t="s">
        <v>12</v>
      </c>
    </row>
    <row r="27" spans="1:21" ht="13" x14ac:dyDescent="0.3">
      <c r="A27" s="510"/>
      <c r="B27" s="1" t="s">
        <v>118</v>
      </c>
      <c r="C27" s="290">
        <v>0</v>
      </c>
      <c r="D27" s="302">
        <v>0</v>
      </c>
      <c r="E27" s="302">
        <v>0</v>
      </c>
      <c r="F27" s="302">
        <v>0</v>
      </c>
      <c r="G27" s="302">
        <v>0</v>
      </c>
      <c r="H27" s="302">
        <v>0</v>
      </c>
      <c r="I27" s="303">
        <f>SUM(C27:H27)</f>
        <v>0</v>
      </c>
      <c r="J27" s="242" t="s">
        <v>12</v>
      </c>
      <c r="K27" s="280">
        <f>I27*$L$4</f>
        <v>0</v>
      </c>
      <c r="L27" s="243">
        <f>K27/$E$19</f>
        <v>0</v>
      </c>
      <c r="M27" s="53" t="s">
        <v>12</v>
      </c>
      <c r="N27" s="147">
        <f>I27*$O$4</f>
        <v>0</v>
      </c>
      <c r="O27" s="54">
        <f>N27/$E$19</f>
        <v>0</v>
      </c>
      <c r="P27" s="242" t="s">
        <v>12</v>
      </c>
      <c r="Q27" s="273">
        <f>$I27*$O$4</f>
        <v>0</v>
      </c>
      <c r="R27" s="304">
        <f>Q27/$E$19</f>
        <v>0</v>
      </c>
      <c r="S27" s="104">
        <f>AVERAGE(L27,O27,R27)</f>
        <v>0</v>
      </c>
      <c r="T27" s="42" t="s">
        <v>12</v>
      </c>
      <c r="U27" s="119" t="s">
        <v>12</v>
      </c>
    </row>
    <row r="28" spans="1:21" s="1" customFormat="1" ht="13.5" thickBot="1" x14ac:dyDescent="0.35">
      <c r="A28" s="511"/>
      <c r="B28" s="507" t="s">
        <v>8</v>
      </c>
      <c r="C28" s="310">
        <f>ROUND(C27*Labor!$D$3,0)</f>
        <v>0</v>
      </c>
      <c r="D28" s="310">
        <f>ROUND(D27*Labor!$D$4,0)</f>
        <v>0</v>
      </c>
      <c r="E28" s="310">
        <f>ROUND(E27*Labor!$D$5,0)</f>
        <v>0</v>
      </c>
      <c r="F28" s="310">
        <f>ROUND(F27*Labor!$D$6,0)</f>
        <v>0</v>
      </c>
      <c r="G28" s="310">
        <f>ROUND(G27*Labor!$D$7,0)</f>
        <v>0</v>
      </c>
      <c r="H28" s="310">
        <f>ROUND(H27*Labor!$D$8,0)</f>
        <v>0</v>
      </c>
      <c r="I28" s="311">
        <f>SUM(C28:H28)</f>
        <v>0</v>
      </c>
      <c r="J28" s="284">
        <f>HLOOKUP(K$2,InflationTable,2)/HLOOKUP(Labor!$B$11,InflationTable,2)*$I12</f>
        <v>0</v>
      </c>
      <c r="K28" s="245">
        <f>J28*$L$4</f>
        <v>0</v>
      </c>
      <c r="L28" s="246">
        <f>K28/$E$19</f>
        <v>0</v>
      </c>
      <c r="M28" s="169">
        <f>HLOOKUP(K$2,InflationTable,2)/HLOOKUP(Labor!$B$11,InflationTable,2)*$I12</f>
        <v>0</v>
      </c>
      <c r="N28" s="166">
        <f>M28*$O$4</f>
        <v>0</v>
      </c>
      <c r="O28" s="167">
        <f>N28/$E$19</f>
        <v>0</v>
      </c>
      <c r="P28" s="284">
        <f>HLOOKUP(K$2,InflationTable,2)/HLOOKUP(Labor!$B$11,InflationTable,2)*$I12</f>
        <v>0</v>
      </c>
      <c r="Q28" s="245">
        <f>P28*$R$4</f>
        <v>0</v>
      </c>
      <c r="R28" s="246">
        <f>Q28/$E$19</f>
        <v>0</v>
      </c>
      <c r="S28" s="169">
        <f>AVERAGE(L28,O28,R28)</f>
        <v>0</v>
      </c>
      <c r="T28" s="323" t="s">
        <v>12</v>
      </c>
      <c r="U28" s="322" t="s">
        <v>12</v>
      </c>
    </row>
    <row r="29" spans="1:21" ht="13" x14ac:dyDescent="0.3">
      <c r="A29" s="510"/>
      <c r="B29" s="501" t="s">
        <v>66</v>
      </c>
      <c r="C29" s="28">
        <f t="shared" ref="C29:I29" si="1">C25+C27</f>
        <v>0</v>
      </c>
      <c r="D29" s="28">
        <f t="shared" si="1"/>
        <v>0</v>
      </c>
      <c r="E29" s="28">
        <f t="shared" si="1"/>
        <v>0</v>
      </c>
      <c r="F29" s="28">
        <f t="shared" si="1"/>
        <v>0</v>
      </c>
      <c r="G29" s="28">
        <f t="shared" si="1"/>
        <v>0</v>
      </c>
      <c r="H29" s="28">
        <f t="shared" si="1"/>
        <v>0</v>
      </c>
      <c r="I29" s="42">
        <f t="shared" si="1"/>
        <v>0</v>
      </c>
      <c r="J29" s="234" t="s">
        <v>12</v>
      </c>
      <c r="K29" s="235">
        <f>K25+K27</f>
        <v>0</v>
      </c>
      <c r="L29" s="236">
        <f>L25+L27</f>
        <v>0</v>
      </c>
      <c r="M29" s="38" t="s">
        <v>12</v>
      </c>
      <c r="N29" s="28">
        <f>N25+N27</f>
        <v>0</v>
      </c>
      <c r="O29" s="34">
        <f>O25+O27</f>
        <v>0</v>
      </c>
      <c r="P29" s="234" t="s">
        <v>12</v>
      </c>
      <c r="Q29" s="235">
        <f>Q25+Q27</f>
        <v>0</v>
      </c>
      <c r="R29" s="236">
        <f>R25+R27</f>
        <v>0</v>
      </c>
      <c r="S29" s="142">
        <f>AVERAGE(L29,O29,R29)</f>
        <v>0</v>
      </c>
      <c r="T29" s="42" t="s">
        <v>12</v>
      </c>
      <c r="U29" s="119" t="s">
        <v>12</v>
      </c>
    </row>
    <row r="30" spans="1:21" ht="13.5" thickBot="1" x14ac:dyDescent="0.35">
      <c r="A30" s="510"/>
      <c r="B30" s="502" t="s">
        <v>67</v>
      </c>
      <c r="C30" s="194">
        <f t="shared" ref="C30:J30" si="2">C28+C26</f>
        <v>0</v>
      </c>
      <c r="D30" s="194">
        <f t="shared" si="2"/>
        <v>0</v>
      </c>
      <c r="E30" s="194">
        <f t="shared" si="2"/>
        <v>0</v>
      </c>
      <c r="F30" s="194">
        <f t="shared" si="2"/>
        <v>0</v>
      </c>
      <c r="G30" s="194">
        <f t="shared" si="2"/>
        <v>0</v>
      </c>
      <c r="H30" s="194">
        <f t="shared" si="2"/>
        <v>0</v>
      </c>
      <c r="I30" s="195">
        <f t="shared" si="2"/>
        <v>0</v>
      </c>
      <c r="J30" s="224">
        <f t="shared" si="2"/>
        <v>0</v>
      </c>
      <c r="K30" s="237"/>
      <c r="L30" s="226">
        <f>L28+L26+L23+L22</f>
        <v>213132.01407899885</v>
      </c>
      <c r="M30" s="196">
        <f>M28+M26</f>
        <v>0</v>
      </c>
      <c r="N30" s="201"/>
      <c r="O30" s="197">
        <f>O28+O26+O23+O22</f>
        <v>221657.29464215878</v>
      </c>
      <c r="P30" s="224">
        <f>P28+P26</f>
        <v>0</v>
      </c>
      <c r="Q30" s="237"/>
      <c r="R30" s="226">
        <f>R28+R26+R23+R22</f>
        <v>226090.44053500192</v>
      </c>
      <c r="S30" s="202">
        <f>SUM(S28,S26)</f>
        <v>0</v>
      </c>
      <c r="T30" s="203" t="s">
        <v>12</v>
      </c>
      <c r="U30" s="204">
        <f>SUM(U22:U23)</f>
        <v>220293.24975205318</v>
      </c>
    </row>
    <row r="31" spans="1:21" ht="13.5" thickTop="1" thickBot="1" x14ac:dyDescent="0.3">
      <c r="A31" s="510"/>
      <c r="C31" s="513"/>
      <c r="D31" s="513"/>
      <c r="E31" s="513"/>
      <c r="F31" s="513"/>
      <c r="G31" s="513"/>
      <c r="H31" s="513"/>
      <c r="I31" s="513"/>
      <c r="J31" s="513"/>
      <c r="K31" s="513"/>
      <c r="L31" s="513"/>
      <c r="M31" s="513"/>
      <c r="N31" s="513"/>
      <c r="O31" s="513"/>
      <c r="P31" s="513"/>
      <c r="Q31" s="513"/>
      <c r="R31" s="513"/>
      <c r="S31" s="513"/>
      <c r="T31" s="513"/>
      <c r="U31" s="515"/>
    </row>
    <row r="32" spans="1:21" ht="16" thickTop="1" x14ac:dyDescent="0.35">
      <c r="A32" s="510"/>
      <c r="B32" s="508" t="s">
        <v>146</v>
      </c>
      <c r="F32" s="1" t="s">
        <v>6</v>
      </c>
      <c r="G32" s="1160"/>
      <c r="H32" s="1161"/>
      <c r="I32" s="1162"/>
      <c r="J32" s="198" t="s">
        <v>22</v>
      </c>
      <c r="L32" s="62"/>
      <c r="M32" s="198" t="s">
        <v>22</v>
      </c>
      <c r="O32" s="31"/>
      <c r="P32" s="198" t="s">
        <v>22</v>
      </c>
      <c r="R32" s="31"/>
      <c r="S32" s="97"/>
      <c r="T32" s="31"/>
      <c r="U32" s="111"/>
    </row>
    <row r="33" spans="1:21" ht="13" x14ac:dyDescent="0.3">
      <c r="A33" s="510"/>
      <c r="F33" s="1"/>
      <c r="G33" s="1163"/>
      <c r="H33" s="1163"/>
      <c r="I33" s="1164"/>
      <c r="J33" s="227" t="s">
        <v>61</v>
      </c>
      <c r="K33" s="1182" t="s">
        <v>57</v>
      </c>
      <c r="L33" s="1183"/>
      <c r="M33" s="50" t="s">
        <v>61</v>
      </c>
      <c r="N33" s="1177" t="s">
        <v>57</v>
      </c>
      <c r="O33" s="1178"/>
      <c r="P33" s="227" t="s">
        <v>61</v>
      </c>
      <c r="Q33" s="1167" t="s">
        <v>57</v>
      </c>
      <c r="R33" s="1168"/>
      <c r="S33" s="106"/>
      <c r="T33" s="31"/>
      <c r="U33" s="111"/>
    </row>
    <row r="34" spans="1:21" ht="13" x14ac:dyDescent="0.3">
      <c r="A34" s="510"/>
      <c r="B34" s="506" t="s">
        <v>18</v>
      </c>
      <c r="C34" s="20" t="s">
        <v>60</v>
      </c>
      <c r="D34" s="20" t="s">
        <v>62</v>
      </c>
      <c r="E34" s="7"/>
      <c r="F34" s="61"/>
      <c r="G34" s="61"/>
      <c r="H34" s="61"/>
      <c r="I34" s="31"/>
      <c r="J34" s="211" t="s">
        <v>56</v>
      </c>
      <c r="K34" s="211" t="s">
        <v>13</v>
      </c>
      <c r="L34" s="212" t="s">
        <v>68</v>
      </c>
      <c r="M34" s="66" t="s">
        <v>56</v>
      </c>
      <c r="N34" s="20" t="s">
        <v>13</v>
      </c>
      <c r="O34" s="32" t="s">
        <v>68</v>
      </c>
      <c r="P34" s="210" t="s">
        <v>56</v>
      </c>
      <c r="Q34" s="211" t="s">
        <v>13</v>
      </c>
      <c r="R34" s="212" t="s">
        <v>68</v>
      </c>
      <c r="S34" s="98"/>
      <c r="T34" s="31"/>
      <c r="U34" s="111"/>
    </row>
    <row r="35" spans="1:21" ht="13.5" thickBot="1" x14ac:dyDescent="0.35">
      <c r="A35" s="510"/>
      <c r="B35" s="300"/>
      <c r="C35" s="84">
        <f>VLOOKUP(C$2,Monitor_Costs,4,FALSE)</f>
        <v>800</v>
      </c>
      <c r="D35" s="29">
        <f>VLOOKUP(C$2,Monitor_Costs,5,FALSE)</f>
        <v>2019</v>
      </c>
      <c r="E35" s="3"/>
      <c r="F35" s="9"/>
      <c r="G35" s="3"/>
      <c r="H35" s="300"/>
      <c r="I35" s="301"/>
      <c r="J35" s="297">
        <f>HLOOKUP(K$2,InflationTable,2)/HLOOKUP($D35,InflationTable,2)*$C35</f>
        <v>967.13335940555339</v>
      </c>
      <c r="K35" s="295">
        <f>J35*$L$4</f>
        <v>41586.734454438796</v>
      </c>
      <c r="L35" s="256">
        <f>K35</f>
        <v>41586.734454438796</v>
      </c>
      <c r="M35" s="103">
        <f>HLOOKUP(N$2,InflationTable,2)/HLOOKUP($D35,InflationTable,2)*$C35</f>
        <v>1005.8186937817756</v>
      </c>
      <c r="N35" s="84">
        <f>M35*$O$4</f>
        <v>43250.203832616346</v>
      </c>
      <c r="O35" s="77">
        <f>N35</f>
        <v>43250.203832616346</v>
      </c>
      <c r="P35" s="297">
        <f>HLOOKUP(Q$2,InflationTable,2)/HLOOKUP($D35,InflationTable,2)*$C35</f>
        <v>1025.9350676574111</v>
      </c>
      <c r="Q35" s="295">
        <f>P35*$R$4</f>
        <v>44115.207909268676</v>
      </c>
      <c r="R35" s="256">
        <f>Q35</f>
        <v>44115.207909268676</v>
      </c>
      <c r="S35" s="298" t="s">
        <v>12</v>
      </c>
      <c r="T35" s="299">
        <f>AVERAGE(L35,O35,R35)</f>
        <v>42984.048732107942</v>
      </c>
      <c r="U35" s="115" t="s">
        <v>12</v>
      </c>
    </row>
    <row r="36" spans="1:21" ht="13" x14ac:dyDescent="0.3">
      <c r="A36" s="510"/>
      <c r="B36" s="378" t="s">
        <v>23</v>
      </c>
      <c r="C36" s="86" t="s">
        <v>45</v>
      </c>
      <c r="D36" s="86" t="s">
        <v>46</v>
      </c>
      <c r="E36" s="86" t="s">
        <v>47</v>
      </c>
      <c r="F36" s="86" t="s">
        <v>48</v>
      </c>
      <c r="G36" s="86" t="s">
        <v>49</v>
      </c>
      <c r="H36" s="86" t="s">
        <v>50</v>
      </c>
      <c r="I36" s="145" t="s">
        <v>74</v>
      </c>
      <c r="J36" s="293"/>
      <c r="K36" s="293"/>
      <c r="L36" s="296"/>
      <c r="M36" s="88"/>
      <c r="N36" s="86"/>
      <c r="O36" s="87"/>
      <c r="P36" s="293"/>
      <c r="Q36" s="293"/>
      <c r="R36" s="296"/>
      <c r="S36" s="98"/>
      <c r="T36" s="31"/>
      <c r="U36" s="111"/>
    </row>
    <row r="37" spans="1:21" x14ac:dyDescent="0.25">
      <c r="A37" s="510"/>
      <c r="B37" s="509" t="s">
        <v>4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41">
        <f>SUM(C37:H37)</f>
        <v>0</v>
      </c>
      <c r="J37" s="247" t="s">
        <v>12</v>
      </c>
      <c r="K37" s="231">
        <f>I37*$L$4</f>
        <v>0</v>
      </c>
      <c r="L37" s="239">
        <f>K37</f>
        <v>0</v>
      </c>
      <c r="M37" s="51" t="s">
        <v>12</v>
      </c>
      <c r="N37" s="58">
        <f>$I$37*$O$4</f>
        <v>0</v>
      </c>
      <c r="O37" s="57">
        <f>N37</f>
        <v>0</v>
      </c>
      <c r="P37" s="247" t="s">
        <v>12</v>
      </c>
      <c r="Q37" s="231">
        <f>$I$37*$R$4</f>
        <v>0</v>
      </c>
      <c r="R37" s="239">
        <f>Q37</f>
        <v>0</v>
      </c>
      <c r="S37" s="96">
        <f>AVERAGE(L37,O37,R37)</f>
        <v>0</v>
      </c>
      <c r="T37" s="94" t="s">
        <v>12</v>
      </c>
      <c r="U37" s="113" t="s">
        <v>12</v>
      </c>
    </row>
    <row r="38" spans="1:21" s="1" customFormat="1" ht="13.5" thickBot="1" x14ac:dyDescent="0.35">
      <c r="A38" s="511"/>
      <c r="B38" s="500" t="s">
        <v>8</v>
      </c>
      <c r="C38" s="310">
        <f>ROUND(C37*Labor!$D$3,0)</f>
        <v>0</v>
      </c>
      <c r="D38" s="310">
        <f>ROUND(D37*Labor!$D$4,0)</f>
        <v>0</v>
      </c>
      <c r="E38" s="310">
        <f>ROUND(E37*Labor!$D$5,0)</f>
        <v>0</v>
      </c>
      <c r="F38" s="310">
        <f>ROUND(F37*Labor!$D$6,0)</f>
        <v>0</v>
      </c>
      <c r="G38" s="310">
        <f>ROUND(G37*Labor!$D$7,0)</f>
        <v>0</v>
      </c>
      <c r="H38" s="310">
        <f>ROUND(H37*Labor!$D$8,0)</f>
        <v>0</v>
      </c>
      <c r="I38" s="311">
        <f>SUM(C38:H38)</f>
        <v>0</v>
      </c>
      <c r="J38" s="284">
        <f>HLOOKUP(K$2,InflationTable,2)/HLOOKUP(Labor!$B$11,InflationTable,2)*$I12</f>
        <v>0</v>
      </c>
      <c r="K38" s="245">
        <f>J38*$L$4</f>
        <v>0</v>
      </c>
      <c r="L38" s="320">
        <f>K38</f>
        <v>0</v>
      </c>
      <c r="M38" s="169">
        <f>HLOOKUP(K$2,InflationTable,2)/HLOOKUP(Labor!$B$11,InflationTable,2)*$I12</f>
        <v>0</v>
      </c>
      <c r="N38" s="166">
        <f>M38*$O$4</f>
        <v>0</v>
      </c>
      <c r="O38" s="167">
        <f>N38</f>
        <v>0</v>
      </c>
      <c r="P38" s="284">
        <f>HLOOKUP(K$2,InflationTable,2)/HLOOKUP(Labor!$B$11,InflationTable,2)*$I12</f>
        <v>0</v>
      </c>
      <c r="Q38" s="245">
        <f>P38*$R$4</f>
        <v>0</v>
      </c>
      <c r="R38" s="320">
        <f>Q38</f>
        <v>0</v>
      </c>
      <c r="S38" s="169">
        <f>AVERAGE(L38,O38,R38)</f>
        <v>0</v>
      </c>
      <c r="T38" s="323" t="s">
        <v>12</v>
      </c>
      <c r="U38" s="322" t="s">
        <v>12</v>
      </c>
    </row>
    <row r="39" spans="1:21" ht="13" x14ac:dyDescent="0.3">
      <c r="A39" s="510"/>
      <c r="B39" s="501" t="s">
        <v>66</v>
      </c>
      <c r="C39" s="30">
        <f t="shared" ref="C39:I40" si="3">C37</f>
        <v>0</v>
      </c>
      <c r="D39" s="30">
        <f t="shared" si="3"/>
        <v>0</v>
      </c>
      <c r="E39" s="30">
        <f t="shared" si="3"/>
        <v>0</v>
      </c>
      <c r="F39" s="30">
        <f t="shared" si="3"/>
        <v>0</v>
      </c>
      <c r="G39" s="30">
        <f t="shared" si="3"/>
        <v>0</v>
      </c>
      <c r="H39" s="30">
        <f t="shared" si="3"/>
        <v>0</v>
      </c>
      <c r="I39" s="44">
        <f t="shared" si="3"/>
        <v>0</v>
      </c>
      <c r="J39" s="255" t="s">
        <v>12</v>
      </c>
      <c r="K39" s="250">
        <f>K37</f>
        <v>0</v>
      </c>
      <c r="L39" s="251">
        <f>L37</f>
        <v>0</v>
      </c>
      <c r="M39" s="70" t="s">
        <v>12</v>
      </c>
      <c r="N39" s="69">
        <f>N37</f>
        <v>0</v>
      </c>
      <c r="O39" s="78">
        <f>O37</f>
        <v>0</v>
      </c>
      <c r="P39" s="249" t="s">
        <v>12</v>
      </c>
      <c r="Q39" s="250">
        <f>Q37</f>
        <v>0</v>
      </c>
      <c r="R39" s="251">
        <f>R37</f>
        <v>0</v>
      </c>
      <c r="S39" s="78">
        <f>S37</f>
        <v>0</v>
      </c>
      <c r="T39" s="42" t="s">
        <v>12</v>
      </c>
      <c r="U39" s="119" t="s">
        <v>12</v>
      </c>
    </row>
    <row r="40" spans="1:21" ht="13.5" thickBot="1" x14ac:dyDescent="0.35">
      <c r="A40" s="510"/>
      <c r="B40" s="502" t="s">
        <v>67</v>
      </c>
      <c r="C40" s="194">
        <f t="shared" ref="C40:H40" si="4">C39</f>
        <v>0</v>
      </c>
      <c r="D40" s="194">
        <f t="shared" si="4"/>
        <v>0</v>
      </c>
      <c r="E40" s="194">
        <f t="shared" si="4"/>
        <v>0</v>
      </c>
      <c r="F40" s="194">
        <f t="shared" si="4"/>
        <v>0</v>
      </c>
      <c r="G40" s="194">
        <f t="shared" si="4"/>
        <v>0</v>
      </c>
      <c r="H40" s="194">
        <f t="shared" si="4"/>
        <v>0</v>
      </c>
      <c r="I40" s="44">
        <f t="shared" si="3"/>
        <v>0</v>
      </c>
      <c r="J40" s="253">
        <f t="shared" ref="J40:R40" si="5">J38+J35</f>
        <v>967.13335940555339</v>
      </c>
      <c r="K40" s="253">
        <f t="shared" si="5"/>
        <v>41586.734454438796</v>
      </c>
      <c r="L40" s="254">
        <f t="shared" si="5"/>
        <v>41586.734454438796</v>
      </c>
      <c r="M40" s="176">
        <f t="shared" si="5"/>
        <v>1005.8186937817756</v>
      </c>
      <c r="N40" s="177">
        <f t="shared" si="5"/>
        <v>43250.203832616346</v>
      </c>
      <c r="O40" s="178">
        <f t="shared" si="5"/>
        <v>43250.203832616346</v>
      </c>
      <c r="P40" s="252">
        <f t="shared" si="5"/>
        <v>1025.9350676574111</v>
      </c>
      <c r="Q40" s="253">
        <f t="shared" si="5"/>
        <v>44115.207909268676</v>
      </c>
      <c r="R40" s="254">
        <f t="shared" si="5"/>
        <v>44115.207909268676</v>
      </c>
      <c r="S40" s="206">
        <f>AVERAGE(L40,O40,R40)</f>
        <v>42984.048732107942</v>
      </c>
      <c r="T40" s="205">
        <f>T35</f>
        <v>42984.048732107942</v>
      </c>
      <c r="U40" s="180" t="s">
        <v>12</v>
      </c>
    </row>
    <row r="41" spans="1:21" ht="13.5" thickTop="1" thickBot="1" x14ac:dyDescent="0.3">
      <c r="A41" s="510"/>
      <c r="B41" s="512"/>
      <c r="C41" s="513"/>
      <c r="D41" s="513"/>
      <c r="E41" s="513"/>
      <c r="F41" s="513"/>
      <c r="G41" s="513"/>
      <c r="H41" s="513"/>
      <c r="I41" s="513"/>
      <c r="J41" s="513"/>
      <c r="K41" s="513"/>
      <c r="L41" s="513"/>
      <c r="M41" s="513"/>
      <c r="N41" s="512"/>
      <c r="O41" s="513"/>
      <c r="P41" s="513"/>
      <c r="Q41" s="513"/>
      <c r="R41" s="513"/>
      <c r="S41" s="513"/>
      <c r="T41" s="513"/>
      <c r="U41" s="515"/>
    </row>
    <row r="42" spans="1:21" ht="16" thickTop="1" x14ac:dyDescent="0.35">
      <c r="A42" s="510"/>
      <c r="B42" s="2" t="s">
        <v>147</v>
      </c>
      <c r="F42" s="1" t="s">
        <v>6</v>
      </c>
      <c r="G42" s="1160"/>
      <c r="H42" s="1161"/>
      <c r="I42" s="1162"/>
      <c r="J42" s="2" t="s">
        <v>24</v>
      </c>
      <c r="L42" s="62"/>
      <c r="M42" s="2" t="s">
        <v>24</v>
      </c>
      <c r="N42" s="61"/>
      <c r="O42" s="31"/>
      <c r="P42" s="2" t="s">
        <v>24</v>
      </c>
      <c r="R42" s="31"/>
      <c r="S42" s="97"/>
      <c r="T42" s="31"/>
      <c r="U42" s="111"/>
    </row>
    <row r="43" spans="1:21" ht="13" x14ac:dyDescent="0.3">
      <c r="A43" s="510"/>
      <c r="F43" s="1"/>
      <c r="G43" s="1163"/>
      <c r="H43" s="1163"/>
      <c r="I43" s="1164"/>
      <c r="J43" s="227" t="s">
        <v>61</v>
      </c>
      <c r="K43" s="1167" t="s">
        <v>57</v>
      </c>
      <c r="L43" s="1168"/>
      <c r="M43" s="50" t="s">
        <v>61</v>
      </c>
      <c r="N43" s="1177" t="s">
        <v>57</v>
      </c>
      <c r="O43" s="1178"/>
      <c r="P43" s="227" t="s">
        <v>61</v>
      </c>
      <c r="Q43" s="1167" t="s">
        <v>57</v>
      </c>
      <c r="R43" s="1168"/>
      <c r="S43" s="106"/>
      <c r="T43" s="31"/>
      <c r="U43" s="111"/>
    </row>
    <row r="44" spans="1:21" ht="13" x14ac:dyDescent="0.3">
      <c r="A44" s="510"/>
      <c r="B44" s="506" t="s">
        <v>19</v>
      </c>
      <c r="C44" s="20" t="s">
        <v>60</v>
      </c>
      <c r="D44" s="20" t="s">
        <v>62</v>
      </c>
      <c r="E44" s="7"/>
      <c r="F44" s="61"/>
      <c r="G44" s="61"/>
      <c r="H44" s="61"/>
      <c r="I44" s="62"/>
      <c r="J44" s="210" t="s">
        <v>56</v>
      </c>
      <c r="K44" s="211" t="s">
        <v>13</v>
      </c>
      <c r="L44" s="212" t="s">
        <v>68</v>
      </c>
      <c r="M44" s="66" t="s">
        <v>56</v>
      </c>
      <c r="N44" s="20" t="s">
        <v>13</v>
      </c>
      <c r="O44" s="32" t="s">
        <v>68</v>
      </c>
      <c r="P44" s="210" t="s">
        <v>56</v>
      </c>
      <c r="Q44" s="211" t="s">
        <v>13</v>
      </c>
      <c r="R44" s="212" t="s">
        <v>68</v>
      </c>
      <c r="S44" s="98"/>
      <c r="T44" s="62"/>
      <c r="U44" s="111"/>
    </row>
    <row r="45" spans="1:21" ht="13" thickBot="1" x14ac:dyDescent="0.3">
      <c r="A45" s="510"/>
      <c r="B45" s="300"/>
      <c r="C45" s="84">
        <f>VLOOKUP(C$2,Monitor_Costs,6,FALSE)</f>
        <v>1000</v>
      </c>
      <c r="D45" s="29">
        <f>VLOOKUP(C$2,Monitor_Costs,7,FALSE)</f>
        <v>2019</v>
      </c>
      <c r="E45" s="294"/>
      <c r="F45" s="60"/>
      <c r="G45" s="49"/>
      <c r="H45" s="49"/>
      <c r="I45" s="47"/>
      <c r="J45" s="297">
        <f>HLOOKUP(K$2,InflationTable,2)/HLOOKUP($D45,InflationTable,2)*$C45</f>
        <v>1208.9166992569417</v>
      </c>
      <c r="K45" s="295">
        <f>J45*$L$4</f>
        <v>51983.418068048493</v>
      </c>
      <c r="L45" s="256">
        <f>K45</f>
        <v>51983.418068048493</v>
      </c>
      <c r="M45" s="103">
        <f>HLOOKUP(N$2,InflationTable,2)/HLOOKUP($D45,InflationTable,2)*$C45</f>
        <v>1257.2733672272193</v>
      </c>
      <c r="N45" s="84">
        <f>M45*$O$4</f>
        <v>54062.754790770428</v>
      </c>
      <c r="O45" s="77">
        <f>N45</f>
        <v>54062.754790770428</v>
      </c>
      <c r="P45" s="297">
        <f>HLOOKUP(Q$2,InflationTable,2)/HLOOKUP($D45,InflationTable,2)*$C45</f>
        <v>1282.4188345717637</v>
      </c>
      <c r="Q45" s="295">
        <f>P45*$R$4</f>
        <v>55144.009886585838</v>
      </c>
      <c r="R45" s="256">
        <f>Q45</f>
        <v>55144.009886585838</v>
      </c>
      <c r="S45" s="298" t="s">
        <v>12</v>
      </c>
      <c r="T45" s="299">
        <f>AVERAGE(L45,O45,R45)</f>
        <v>53730.060915134927</v>
      </c>
      <c r="U45" s="115" t="s">
        <v>12</v>
      </c>
    </row>
    <row r="46" spans="1:21" ht="13" x14ac:dyDescent="0.3">
      <c r="A46" s="510"/>
      <c r="B46" s="378" t="s">
        <v>25</v>
      </c>
      <c r="C46" s="86" t="s">
        <v>45</v>
      </c>
      <c r="D46" s="86" t="s">
        <v>46</v>
      </c>
      <c r="E46" s="86" t="s">
        <v>47</v>
      </c>
      <c r="F46" s="86" t="s">
        <v>48</v>
      </c>
      <c r="G46" s="86" t="s">
        <v>49</v>
      </c>
      <c r="H46" s="86" t="s">
        <v>50</v>
      </c>
      <c r="I46" s="145" t="s">
        <v>74</v>
      </c>
      <c r="J46" s="292"/>
      <c r="K46" s="293"/>
      <c r="L46" s="296"/>
      <c r="M46" s="88"/>
      <c r="N46" s="86"/>
      <c r="O46" s="87"/>
      <c r="P46" s="292"/>
      <c r="Q46" s="293"/>
      <c r="R46" s="296"/>
      <c r="S46" s="109"/>
      <c r="T46" s="42"/>
      <c r="U46" s="111"/>
    </row>
    <row r="47" spans="1:21" x14ac:dyDescent="0.25">
      <c r="B47" s="464" t="s">
        <v>4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45">
        <f>SUM(C47:H47)</f>
        <v>0</v>
      </c>
      <c r="J47" s="213" t="s">
        <v>12</v>
      </c>
      <c r="K47" s="231">
        <f>I47*$L$4</f>
        <v>0</v>
      </c>
      <c r="L47" s="239">
        <f>K47</f>
        <v>0</v>
      </c>
      <c r="M47" s="51" t="s">
        <v>12</v>
      </c>
      <c r="N47" s="58">
        <f>$I$47*$O$4</f>
        <v>0</v>
      </c>
      <c r="O47" s="57">
        <f>N47</f>
        <v>0</v>
      </c>
      <c r="P47" s="213" t="s">
        <v>12</v>
      </c>
      <c r="Q47" s="231">
        <f>$I$47*$R$4</f>
        <v>0</v>
      </c>
      <c r="R47" s="239">
        <f>Q47</f>
        <v>0</v>
      </c>
      <c r="S47" s="96">
        <f>AVERAGE(L47,O47,R47)</f>
        <v>0</v>
      </c>
      <c r="T47" s="94" t="s">
        <v>12</v>
      </c>
      <c r="U47" s="113" t="s">
        <v>12</v>
      </c>
    </row>
    <row r="48" spans="1:21" ht="13.5" thickBot="1" x14ac:dyDescent="0.35">
      <c r="B48" s="465" t="s">
        <v>8</v>
      </c>
      <c r="C48" s="29">
        <f>ROUND(C47*Labor!$D$3,0)</f>
        <v>0</v>
      </c>
      <c r="D48" s="29">
        <f>ROUND(D47*Labor!$D$4,0)</f>
        <v>0</v>
      </c>
      <c r="E48" s="29">
        <f>ROUND(E47*Labor!$D$5,0)</f>
        <v>0</v>
      </c>
      <c r="F48" s="29">
        <f>ROUND(F47*Labor!$D$6,0)</f>
        <v>0</v>
      </c>
      <c r="G48" s="29">
        <f>ROUND(G47*Labor!$D$7,0)</f>
        <v>0</v>
      </c>
      <c r="H48" s="29">
        <f>ROUND(H47*Labor!$D$8,0)</f>
        <v>0</v>
      </c>
      <c r="I48" s="33">
        <f>SUM(C48:H48)</f>
        <v>0</v>
      </c>
      <c r="J48" s="284">
        <f>HLOOKUP(K$2,InflationTable,2)/HLOOKUP(Labor!$B$11,InflationTable,2)*$I12</f>
        <v>0</v>
      </c>
      <c r="K48" s="219">
        <f>J48*$L$4</f>
        <v>0</v>
      </c>
      <c r="L48" s="256">
        <f>K48</f>
        <v>0</v>
      </c>
      <c r="M48" s="169">
        <f>HLOOKUP(K$2,InflationTable,2)/HLOOKUP(Labor!$B$11,InflationTable,2)*$I12</f>
        <v>0</v>
      </c>
      <c r="N48" s="55">
        <f>M48*$O$4</f>
        <v>0</v>
      </c>
      <c r="O48" s="77">
        <f>N48</f>
        <v>0</v>
      </c>
      <c r="P48" s="284">
        <f>HLOOKUP(K$2,InflationTable,2)/HLOOKUP(Labor!$B$11,InflationTable,2)*$I12</f>
        <v>0</v>
      </c>
      <c r="Q48" s="219">
        <f>P48*$O$4</f>
        <v>0</v>
      </c>
      <c r="R48" s="256">
        <f>Q48</f>
        <v>0</v>
      </c>
      <c r="S48" s="103">
        <f>AVERAGE(L48,O48,R48)</f>
        <v>0</v>
      </c>
      <c r="T48" s="121" t="s">
        <v>12</v>
      </c>
      <c r="U48" s="115" t="s">
        <v>12</v>
      </c>
    </row>
    <row r="49" spans="2:21" ht="13" x14ac:dyDescent="0.3">
      <c r="B49" s="106" t="s">
        <v>117</v>
      </c>
      <c r="C49" s="290">
        <v>0</v>
      </c>
      <c r="D49" s="290">
        <v>0</v>
      </c>
      <c r="E49" s="290">
        <v>0</v>
      </c>
      <c r="F49" s="290">
        <v>0</v>
      </c>
      <c r="G49" s="290">
        <v>0</v>
      </c>
      <c r="H49" s="290">
        <v>0</v>
      </c>
      <c r="I49" s="291">
        <f>SUM(C49:H49)</f>
        <v>0</v>
      </c>
      <c r="J49" s="242" t="s">
        <v>12</v>
      </c>
      <c r="K49" s="273">
        <f>I49*$L$4</f>
        <v>0</v>
      </c>
      <c r="L49" s="274">
        <f>K49</f>
        <v>0</v>
      </c>
      <c r="M49" s="53" t="s">
        <v>12</v>
      </c>
      <c r="N49" s="147">
        <f>$I$49*$O$4</f>
        <v>0</v>
      </c>
      <c r="O49" s="148">
        <f>N49</f>
        <v>0</v>
      </c>
      <c r="P49" s="242" t="s">
        <v>12</v>
      </c>
      <c r="Q49" s="273">
        <f>$I$49*$R$4</f>
        <v>0</v>
      </c>
      <c r="R49" s="274">
        <f>Q49</f>
        <v>0</v>
      </c>
      <c r="S49" s="104">
        <f>AVERAGE(L49,O49,R49)</f>
        <v>0</v>
      </c>
      <c r="T49" s="94" t="s">
        <v>12</v>
      </c>
      <c r="U49" s="113" t="s">
        <v>12</v>
      </c>
    </row>
    <row r="50" spans="2:21" ht="13.5" thickBot="1" x14ac:dyDescent="0.35">
      <c r="B50" s="466" t="s">
        <v>8</v>
      </c>
      <c r="C50" s="29">
        <f>ROUND(C49*Labor!$D$3,0)</f>
        <v>0</v>
      </c>
      <c r="D50" s="29">
        <f>ROUND(D49*Labor!$D$4,0)</f>
        <v>0</v>
      </c>
      <c r="E50" s="29">
        <f>ROUND(E49*Labor!$D$5,0)</f>
        <v>0</v>
      </c>
      <c r="F50" s="29">
        <f>ROUND(F49*Labor!$D$6,0)</f>
        <v>0</v>
      </c>
      <c r="G50" s="29">
        <f>ROUND(G49*Labor!$D$7,0)</f>
        <v>0</v>
      </c>
      <c r="H50" s="29">
        <f>ROUND(H49*Labor!$D$8,0)</f>
        <v>0</v>
      </c>
      <c r="I50" s="33">
        <f>SUM(C50:H50)</f>
        <v>0</v>
      </c>
      <c r="J50" s="284">
        <f>HLOOKUP(K$2,InflationTable,2)/HLOOKUP(Labor!$B$11,InflationTable,2)*$I12</f>
        <v>0</v>
      </c>
      <c r="K50" s="219">
        <f>J50*$L$4</f>
        <v>0</v>
      </c>
      <c r="L50" s="256">
        <f>K50</f>
        <v>0</v>
      </c>
      <c r="M50" s="169">
        <f>HLOOKUP(K$2,InflationTable,2)/HLOOKUP(Labor!$B$11,InflationTable,2)*$I12</f>
        <v>0</v>
      </c>
      <c r="N50" s="55">
        <f>M50*$O$4</f>
        <v>0</v>
      </c>
      <c r="O50" s="77">
        <f>N50</f>
        <v>0</v>
      </c>
      <c r="P50" s="284">
        <f>HLOOKUP(K$2,InflationTable,2)/HLOOKUP(Labor!$B$11,InflationTable,2)*$I12</f>
        <v>0</v>
      </c>
      <c r="Q50" s="219">
        <f>P50*$R$4</f>
        <v>0</v>
      </c>
      <c r="R50" s="256">
        <f>Q50</f>
        <v>0</v>
      </c>
      <c r="S50" s="107">
        <f>AVERAGE(L50,O50,R50)</f>
        <v>0</v>
      </c>
      <c r="T50" s="121" t="s">
        <v>12</v>
      </c>
      <c r="U50" s="115" t="s">
        <v>12</v>
      </c>
    </row>
    <row r="51" spans="2:21" ht="13" x14ac:dyDescent="0.3">
      <c r="B51" s="139" t="s">
        <v>66</v>
      </c>
      <c r="C51" s="30">
        <f t="shared" ref="C51:I52" si="6">C47+C49</f>
        <v>0</v>
      </c>
      <c r="D51" s="30">
        <f t="shared" si="6"/>
        <v>0</v>
      </c>
      <c r="E51" s="30">
        <f t="shared" si="6"/>
        <v>0</v>
      </c>
      <c r="F51" s="30">
        <f t="shared" si="6"/>
        <v>0</v>
      </c>
      <c r="G51" s="30">
        <f t="shared" si="6"/>
        <v>0</v>
      </c>
      <c r="H51" s="30">
        <f t="shared" si="6"/>
        <v>0</v>
      </c>
      <c r="I51" s="39">
        <f t="shared" si="6"/>
        <v>0</v>
      </c>
      <c r="J51" s="249" t="s">
        <v>12</v>
      </c>
      <c r="K51" s="257">
        <f>K47+K49</f>
        <v>0</v>
      </c>
      <c r="L51" s="258">
        <f>L47+L49</f>
        <v>0</v>
      </c>
      <c r="M51" s="70" t="s">
        <v>12</v>
      </c>
      <c r="N51" s="71">
        <f>N47+N49</f>
        <v>0</v>
      </c>
      <c r="O51" s="79">
        <f>O47+O49</f>
        <v>0</v>
      </c>
      <c r="P51" s="249" t="s">
        <v>12</v>
      </c>
      <c r="Q51" s="257">
        <f>Q47+Q49</f>
        <v>0</v>
      </c>
      <c r="R51" s="258">
        <f>R47+R49</f>
        <v>0</v>
      </c>
      <c r="S51" s="96">
        <f>AVERAGE(L51,O51,R51)</f>
        <v>0</v>
      </c>
      <c r="T51" s="42" t="s">
        <v>12</v>
      </c>
      <c r="U51" s="120" t="s">
        <v>12</v>
      </c>
    </row>
    <row r="52" spans="2:21" ht="13.5" thickBot="1" x14ac:dyDescent="0.35">
      <c r="B52" s="460" t="s">
        <v>67</v>
      </c>
      <c r="C52" s="194">
        <f t="shared" ref="C52:H52" si="7">C48+C50</f>
        <v>0</v>
      </c>
      <c r="D52" s="194">
        <f t="shared" si="7"/>
        <v>0</v>
      </c>
      <c r="E52" s="194">
        <f t="shared" si="7"/>
        <v>0</v>
      </c>
      <c r="F52" s="194">
        <f t="shared" si="7"/>
        <v>0</v>
      </c>
      <c r="G52" s="194">
        <f t="shared" si="7"/>
        <v>0</v>
      </c>
      <c r="H52" s="194">
        <f t="shared" si="7"/>
        <v>0</v>
      </c>
      <c r="I52" s="39">
        <f t="shared" si="6"/>
        <v>0</v>
      </c>
      <c r="J52" s="259">
        <f t="shared" ref="J52:R52" si="8">J50+J48+J45</f>
        <v>1208.9166992569417</v>
      </c>
      <c r="K52" s="253">
        <f t="shared" si="8"/>
        <v>51983.418068048493</v>
      </c>
      <c r="L52" s="254">
        <f t="shared" si="8"/>
        <v>51983.418068048493</v>
      </c>
      <c r="M52" s="176">
        <f t="shared" si="8"/>
        <v>1257.2733672272193</v>
      </c>
      <c r="N52" s="177">
        <f t="shared" si="8"/>
        <v>54062.754790770428</v>
      </c>
      <c r="O52" s="178">
        <f t="shared" si="8"/>
        <v>54062.754790770428</v>
      </c>
      <c r="P52" s="259">
        <f t="shared" si="8"/>
        <v>1282.4188345717637</v>
      </c>
      <c r="Q52" s="253">
        <f t="shared" si="8"/>
        <v>55144.009886585838</v>
      </c>
      <c r="R52" s="254">
        <f t="shared" si="8"/>
        <v>55144.009886585838</v>
      </c>
      <c r="S52" s="202">
        <f>S50+S48</f>
        <v>0</v>
      </c>
      <c r="T52" s="205">
        <f>T45</f>
        <v>53730.060915134927</v>
      </c>
      <c r="U52" s="180" t="s">
        <v>12</v>
      </c>
    </row>
    <row r="53" spans="2:21" ht="13.5" thickTop="1" thickBot="1" x14ac:dyDescent="0.3">
      <c r="B53" s="144"/>
      <c r="C53" s="513"/>
      <c r="D53" s="513"/>
      <c r="E53" s="513"/>
      <c r="F53" s="513"/>
      <c r="G53" s="513"/>
      <c r="H53" s="513"/>
      <c r="I53" s="513"/>
      <c r="J53" s="513"/>
      <c r="K53" s="513"/>
      <c r="L53" s="513"/>
      <c r="M53" s="513"/>
      <c r="N53" s="513"/>
      <c r="O53" s="513"/>
      <c r="P53" s="513"/>
      <c r="Q53" s="513"/>
      <c r="R53" s="513"/>
      <c r="S53" s="513"/>
      <c r="T53" s="513"/>
      <c r="U53" s="515"/>
    </row>
    <row r="54" spans="2:21" ht="16" thickTop="1" x14ac:dyDescent="0.35">
      <c r="B54" s="463" t="s">
        <v>26</v>
      </c>
      <c r="F54" s="1" t="s">
        <v>6</v>
      </c>
      <c r="G54" s="1160"/>
      <c r="H54" s="1161"/>
      <c r="I54" s="1162"/>
      <c r="J54" s="2" t="s">
        <v>26</v>
      </c>
      <c r="L54" s="31"/>
      <c r="M54" s="199" t="s">
        <v>26</v>
      </c>
      <c r="P54" s="199" t="s">
        <v>26</v>
      </c>
      <c r="R54" s="31"/>
      <c r="S54" s="97"/>
      <c r="T54" s="31"/>
      <c r="U54" s="111"/>
    </row>
    <row r="55" spans="2:21" ht="13" x14ac:dyDescent="0.3">
      <c r="B55" s="144"/>
      <c r="I55" s="32" t="s">
        <v>61</v>
      </c>
      <c r="J55" s="227" t="s">
        <v>61</v>
      </c>
      <c r="K55" s="1167" t="s">
        <v>57</v>
      </c>
      <c r="L55" s="1168"/>
      <c r="M55" s="50" t="s">
        <v>61</v>
      </c>
      <c r="N55" s="1177" t="s">
        <v>57</v>
      </c>
      <c r="O55" s="1178"/>
      <c r="P55" s="227" t="s">
        <v>61</v>
      </c>
      <c r="Q55" s="1167" t="s">
        <v>57</v>
      </c>
      <c r="R55" s="1168"/>
      <c r="S55" s="106"/>
      <c r="T55" s="31"/>
      <c r="U55" s="111"/>
    </row>
    <row r="56" spans="2:21" ht="13" x14ac:dyDescent="0.3">
      <c r="B56" s="462" t="s">
        <v>27</v>
      </c>
      <c r="C56" s="20" t="s">
        <v>45</v>
      </c>
      <c r="D56" s="20" t="s">
        <v>46</v>
      </c>
      <c r="E56" s="20" t="s">
        <v>47</v>
      </c>
      <c r="F56" s="20" t="s">
        <v>48</v>
      </c>
      <c r="G56" s="20" t="s">
        <v>49</v>
      </c>
      <c r="H56" s="20" t="s">
        <v>50</v>
      </c>
      <c r="I56" s="32" t="s">
        <v>13</v>
      </c>
      <c r="J56" s="210" t="s">
        <v>56</v>
      </c>
      <c r="K56" s="211" t="s">
        <v>13</v>
      </c>
      <c r="L56" s="212" t="s">
        <v>68</v>
      </c>
      <c r="M56" s="66" t="s">
        <v>56</v>
      </c>
      <c r="N56" s="20" t="s">
        <v>13</v>
      </c>
      <c r="O56" s="32" t="s">
        <v>68</v>
      </c>
      <c r="P56" s="210" t="s">
        <v>56</v>
      </c>
      <c r="Q56" s="211" t="s">
        <v>13</v>
      </c>
      <c r="R56" s="212" t="s">
        <v>68</v>
      </c>
      <c r="S56" s="98"/>
      <c r="T56" s="31"/>
      <c r="U56" s="111"/>
    </row>
    <row r="57" spans="2:21" x14ac:dyDescent="0.25">
      <c r="B57" s="464" t="s">
        <v>4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45">
        <f t="shared" ref="I57:I66" si="9">SUM(C57:H57)</f>
        <v>0</v>
      </c>
      <c r="J57" s="213" t="s">
        <v>12</v>
      </c>
      <c r="K57" s="231">
        <f>I57*(L$5+L$4)</f>
        <v>0</v>
      </c>
      <c r="L57" s="239">
        <f t="shared" ref="L57:L66" si="10">K57</f>
        <v>0</v>
      </c>
      <c r="M57" s="51" t="s">
        <v>12</v>
      </c>
      <c r="N57" s="58">
        <f>I57*(O$5+O$4)</f>
        <v>0</v>
      </c>
      <c r="O57" s="57">
        <f t="shared" ref="O57:O66" si="11">N57</f>
        <v>0</v>
      </c>
      <c r="P57" s="213" t="s">
        <v>12</v>
      </c>
      <c r="Q57" s="231">
        <f>$I57*(R$5+R$4)</f>
        <v>0</v>
      </c>
      <c r="R57" s="239">
        <f t="shared" ref="R57:R66" si="12">Q57</f>
        <v>0</v>
      </c>
      <c r="S57" s="96">
        <f t="shared" ref="S57:S68" si="13">AVERAGE(L57,O57,R57)</f>
        <v>0</v>
      </c>
      <c r="T57" s="94" t="s">
        <v>12</v>
      </c>
      <c r="U57" s="113" t="s">
        <v>12</v>
      </c>
    </row>
    <row r="58" spans="2:21" ht="13.5" thickBot="1" x14ac:dyDescent="0.35">
      <c r="B58" s="465" t="s">
        <v>8</v>
      </c>
      <c r="C58" s="29">
        <f>ROUND(C57*Labor!$D$3,0)</f>
        <v>0</v>
      </c>
      <c r="D58" s="29">
        <f>ROUND(D57*Labor!$D$4,0)</f>
        <v>0</v>
      </c>
      <c r="E58" s="29">
        <f>ROUND(E57*Labor!$D$5,0)</f>
        <v>0</v>
      </c>
      <c r="F58" s="29">
        <f>ROUND(F57*Labor!$D$6,0)</f>
        <v>0</v>
      </c>
      <c r="G58" s="29">
        <f>ROUND(G57*Labor!$D$7,0)</f>
        <v>0</v>
      </c>
      <c r="H58" s="29">
        <f>ROUND(H57*Labor!$D$8,0)</f>
        <v>0</v>
      </c>
      <c r="I58" s="33">
        <f t="shared" si="9"/>
        <v>0</v>
      </c>
      <c r="J58" s="284">
        <f>HLOOKUP(K$2,InflationTable,2)/HLOOKUP(Labor!$B$11,InflationTable,2)*$I12</f>
        <v>0</v>
      </c>
      <c r="K58" s="295">
        <f>J58*(L$4+L$5)</f>
        <v>0</v>
      </c>
      <c r="L58" s="256">
        <f t="shared" si="10"/>
        <v>0</v>
      </c>
      <c r="M58" s="169">
        <f>HLOOKUP(K$2,InflationTable,2)/HLOOKUP(Labor!$B$11,InflationTable,2)*$I12</f>
        <v>0</v>
      </c>
      <c r="N58" s="84">
        <f>M58*(O$4+O$5)</f>
        <v>0</v>
      </c>
      <c r="O58" s="77">
        <f t="shared" si="11"/>
        <v>0</v>
      </c>
      <c r="P58" s="284">
        <f>HLOOKUP(Q$2,InflationTable,2)/HLOOKUP(Labor!$B$11,InflationTable,2)*$I58</f>
        <v>0</v>
      </c>
      <c r="Q58" s="295">
        <f>P58*(R$4+R$5)</f>
        <v>0</v>
      </c>
      <c r="R58" s="256">
        <f t="shared" si="12"/>
        <v>0</v>
      </c>
      <c r="S58" s="103">
        <f t="shared" si="13"/>
        <v>0</v>
      </c>
      <c r="T58" s="121" t="s">
        <v>12</v>
      </c>
      <c r="U58" s="115" t="s">
        <v>12</v>
      </c>
    </row>
    <row r="59" spans="2:21" ht="13" x14ac:dyDescent="0.3">
      <c r="B59" s="459" t="s">
        <v>114</v>
      </c>
      <c r="C59" s="290">
        <v>0</v>
      </c>
      <c r="D59" s="290">
        <v>0</v>
      </c>
      <c r="E59" s="290">
        <v>0</v>
      </c>
      <c r="F59" s="290">
        <v>0</v>
      </c>
      <c r="G59" s="290">
        <v>0</v>
      </c>
      <c r="H59" s="290">
        <v>0</v>
      </c>
      <c r="I59" s="291">
        <f t="shared" si="9"/>
        <v>0</v>
      </c>
      <c r="J59" s="242" t="s">
        <v>12</v>
      </c>
      <c r="K59" s="231">
        <f>I59*(L$5+L$4)</f>
        <v>0</v>
      </c>
      <c r="L59" s="274">
        <f t="shared" si="10"/>
        <v>0</v>
      </c>
      <c r="M59" s="53" t="s">
        <v>12</v>
      </c>
      <c r="N59" s="58">
        <f>I59*(O$5+O$4)</f>
        <v>0</v>
      </c>
      <c r="O59" s="148">
        <f t="shared" si="11"/>
        <v>0</v>
      </c>
      <c r="P59" s="242" t="s">
        <v>12</v>
      </c>
      <c r="Q59" s="231">
        <f>$I59*(R$5+R$4)</f>
        <v>0</v>
      </c>
      <c r="R59" s="274">
        <f t="shared" si="12"/>
        <v>0</v>
      </c>
      <c r="S59" s="104">
        <f t="shared" si="13"/>
        <v>0</v>
      </c>
      <c r="T59" s="42" t="s">
        <v>12</v>
      </c>
      <c r="U59" s="119" t="s">
        <v>12</v>
      </c>
    </row>
    <row r="60" spans="2:21" ht="13.5" thickBot="1" x14ac:dyDescent="0.35">
      <c r="B60" s="465" t="s">
        <v>8</v>
      </c>
      <c r="C60" s="29">
        <f>ROUND(C59*Labor!$D$3,0)</f>
        <v>0</v>
      </c>
      <c r="D60" s="29">
        <f>ROUND(D59*Labor!$D$4,0)</f>
        <v>0</v>
      </c>
      <c r="E60" s="29">
        <f>ROUND(E59*Labor!$D$5,0)</f>
        <v>0</v>
      </c>
      <c r="F60" s="29">
        <f>ROUND(F59*Labor!$D$6,0)</f>
        <v>0</v>
      </c>
      <c r="G60" s="29">
        <f>ROUND(G59*Labor!$D$7,0)</f>
        <v>0</v>
      </c>
      <c r="H60" s="29">
        <f>ROUND(H59*Labor!$D$8,0)</f>
        <v>0</v>
      </c>
      <c r="I60" s="33">
        <f t="shared" si="9"/>
        <v>0</v>
      </c>
      <c r="J60" s="284">
        <f>HLOOKUP(K$2,InflationTable,2)/HLOOKUP(Labor!$B$11,InflationTable,2)*$I60</f>
        <v>0</v>
      </c>
      <c r="K60" s="295">
        <f>J60*(L$4+L$5)</f>
        <v>0</v>
      </c>
      <c r="L60" s="256">
        <f t="shared" si="10"/>
        <v>0</v>
      </c>
      <c r="M60" s="169">
        <f>HLOOKUP(N$2,InflationTable,2)/HLOOKUP(Labor!$B$11,InflationTable,2)*$I60</f>
        <v>0</v>
      </c>
      <c r="N60" s="84">
        <f>M60*(O$4+O$5)</f>
        <v>0</v>
      </c>
      <c r="O60" s="77">
        <f t="shared" si="11"/>
        <v>0</v>
      </c>
      <c r="P60" s="284">
        <f>HLOOKUP(Q$2,InflationTable,2)/HLOOKUP(Labor!$B$11,InflationTable,2)*$I60</f>
        <v>0</v>
      </c>
      <c r="Q60" s="295">
        <f>P60*(R$4+R$5)</f>
        <v>0</v>
      </c>
      <c r="R60" s="256">
        <f t="shared" si="12"/>
        <v>0</v>
      </c>
      <c r="S60" s="103">
        <f t="shared" si="13"/>
        <v>0</v>
      </c>
      <c r="T60" s="121" t="s">
        <v>12</v>
      </c>
      <c r="U60" s="115" t="s">
        <v>12</v>
      </c>
    </row>
    <row r="61" spans="2:21" ht="13" x14ac:dyDescent="0.3">
      <c r="B61" s="459" t="s">
        <v>115</v>
      </c>
      <c r="C61" s="290">
        <v>0</v>
      </c>
      <c r="D61" s="290">
        <v>0</v>
      </c>
      <c r="E61" s="290">
        <v>5</v>
      </c>
      <c r="F61" s="290">
        <v>10</v>
      </c>
      <c r="G61" s="290">
        <v>0</v>
      </c>
      <c r="H61" s="290">
        <v>0</v>
      </c>
      <c r="I61" s="291">
        <f t="shared" si="9"/>
        <v>15</v>
      </c>
      <c r="J61" s="242" t="s">
        <v>12</v>
      </c>
      <c r="K61" s="231">
        <f>I61*(L$5+L$4)</f>
        <v>645</v>
      </c>
      <c r="L61" s="274">
        <f t="shared" si="10"/>
        <v>645</v>
      </c>
      <c r="M61" s="53" t="s">
        <v>12</v>
      </c>
      <c r="N61" s="58">
        <f>I61*(O$5+O$4)</f>
        <v>645</v>
      </c>
      <c r="O61" s="148">
        <f t="shared" si="11"/>
        <v>645</v>
      </c>
      <c r="P61" s="242" t="s">
        <v>12</v>
      </c>
      <c r="Q61" s="231">
        <f>$I61*(R$5+R$4)</f>
        <v>645</v>
      </c>
      <c r="R61" s="274">
        <f t="shared" si="12"/>
        <v>645</v>
      </c>
      <c r="S61" s="104">
        <f t="shared" si="13"/>
        <v>645</v>
      </c>
      <c r="T61" s="42" t="s">
        <v>12</v>
      </c>
      <c r="U61" s="119" t="s">
        <v>12</v>
      </c>
    </row>
    <row r="62" spans="2:21" ht="13.5" thickBot="1" x14ac:dyDescent="0.35">
      <c r="B62" s="465" t="s">
        <v>8</v>
      </c>
      <c r="C62" s="29">
        <f>ROUND(C61*Labor!$D$3,0)</f>
        <v>0</v>
      </c>
      <c r="D62" s="29">
        <f>ROUND(D61*Labor!$D$4,0)</f>
        <v>0</v>
      </c>
      <c r="E62" s="29">
        <f>ROUND(E61*Labor!$D$5,0)</f>
        <v>126</v>
      </c>
      <c r="F62" s="29">
        <f>ROUND(F61*Labor!$D$6,0)</f>
        <v>276</v>
      </c>
      <c r="G62" s="29">
        <f>ROUND(G61*Labor!$D$7,0)</f>
        <v>0</v>
      </c>
      <c r="H62" s="29">
        <f>ROUND(H61*Labor!$D$8,0)</f>
        <v>0</v>
      </c>
      <c r="I62" s="33">
        <f t="shared" si="9"/>
        <v>402</v>
      </c>
      <c r="J62" s="284">
        <f>HLOOKUP(K$2,InflationTable,2)/HLOOKUP(Labor!$B$11,InflationTable,2)*$I62</f>
        <v>859.97397923875428</v>
      </c>
      <c r="K62" s="295">
        <f>J62*(L$4+L$5)</f>
        <v>36978.881107266432</v>
      </c>
      <c r="L62" s="256">
        <f t="shared" si="10"/>
        <v>36978.881107266432</v>
      </c>
      <c r="M62" s="169">
        <f>HLOOKUP(N$2,InflationTable,2)/HLOOKUP(Labor!$B$11,InflationTable,2)*$I62</f>
        <v>894.37293840830455</v>
      </c>
      <c r="N62" s="84">
        <f>M62*(O$4+O$5)</f>
        <v>38458.036351557093</v>
      </c>
      <c r="O62" s="77">
        <f t="shared" si="11"/>
        <v>38458.036351557093</v>
      </c>
      <c r="P62" s="284">
        <f>HLOOKUP(Q$2,InflationTable,2)/HLOOKUP(Labor!$B$11,InflationTable,2)*$I62</f>
        <v>912.26039717647052</v>
      </c>
      <c r="Q62" s="295">
        <f>P62*(R$4+R$5)</f>
        <v>39227.197078588229</v>
      </c>
      <c r="R62" s="256">
        <f t="shared" si="12"/>
        <v>39227.197078588229</v>
      </c>
      <c r="S62" s="103">
        <f t="shared" si="13"/>
        <v>38221.371512470585</v>
      </c>
      <c r="T62" s="121" t="s">
        <v>12</v>
      </c>
      <c r="U62" s="115" t="s">
        <v>12</v>
      </c>
    </row>
    <row r="63" spans="2:21" ht="13" x14ac:dyDescent="0.3">
      <c r="B63" s="459" t="s">
        <v>116</v>
      </c>
      <c r="C63" s="290">
        <v>0</v>
      </c>
      <c r="D63" s="290">
        <v>0</v>
      </c>
      <c r="E63" s="290">
        <v>2</v>
      </c>
      <c r="F63" s="290">
        <v>3</v>
      </c>
      <c r="G63" s="290">
        <v>0</v>
      </c>
      <c r="H63" s="290">
        <v>0</v>
      </c>
      <c r="I63" s="291">
        <f t="shared" si="9"/>
        <v>5</v>
      </c>
      <c r="J63" s="242" t="s">
        <v>12</v>
      </c>
      <c r="K63" s="231">
        <f>I63*(L$5+L$4)</f>
        <v>215</v>
      </c>
      <c r="L63" s="274">
        <f t="shared" si="10"/>
        <v>215</v>
      </c>
      <c r="M63" s="53" t="s">
        <v>12</v>
      </c>
      <c r="N63" s="58">
        <f>I63*(O$5+O$4)</f>
        <v>215</v>
      </c>
      <c r="O63" s="148">
        <f t="shared" si="11"/>
        <v>215</v>
      </c>
      <c r="P63" s="242" t="s">
        <v>12</v>
      </c>
      <c r="Q63" s="231">
        <f>$I63*(R$5+R$4)</f>
        <v>215</v>
      </c>
      <c r="R63" s="274">
        <f t="shared" si="12"/>
        <v>215</v>
      </c>
      <c r="S63" s="104">
        <f t="shared" si="13"/>
        <v>215</v>
      </c>
      <c r="T63" s="42" t="s">
        <v>12</v>
      </c>
      <c r="U63" s="119" t="s">
        <v>12</v>
      </c>
    </row>
    <row r="64" spans="2:21" ht="13.5" thickBot="1" x14ac:dyDescent="0.35">
      <c r="B64" s="465" t="s">
        <v>8</v>
      </c>
      <c r="C64" s="29">
        <f>ROUND(C63*Labor!$D$3,0)</f>
        <v>0</v>
      </c>
      <c r="D64" s="29">
        <f>ROUND(D63*Labor!$D$4,0)</f>
        <v>0</v>
      </c>
      <c r="E64" s="29">
        <f>ROUND(E63*Labor!$D$5,0)</f>
        <v>50</v>
      </c>
      <c r="F64" s="29">
        <f>ROUND(F63*Labor!$D$6,0)</f>
        <v>83</v>
      </c>
      <c r="G64" s="29">
        <f>ROUND(G63*Labor!$D$7,0)</f>
        <v>0</v>
      </c>
      <c r="H64" s="29">
        <f>ROUND(H63*Labor!$D$8,0)</f>
        <v>0</v>
      </c>
      <c r="I64" s="33">
        <f t="shared" si="9"/>
        <v>133</v>
      </c>
      <c r="J64" s="284">
        <f>HLOOKUP(K$2,InflationTable,2)/HLOOKUP(Labor!$B$11,InflationTable,2)*$I64</f>
        <v>284.51875432525947</v>
      </c>
      <c r="K64" s="295">
        <f>J64*(L$4+L$5)</f>
        <v>12234.306435986156</v>
      </c>
      <c r="L64" s="256">
        <f t="shared" si="10"/>
        <v>12234.306435986156</v>
      </c>
      <c r="M64" s="169">
        <f>HLOOKUP(N$2,InflationTable,2)/HLOOKUP(Labor!$B$11,InflationTable,2)*$I64</f>
        <v>295.89950449826989</v>
      </c>
      <c r="N64" s="84">
        <f>M64*(O$4+O$5)</f>
        <v>12723.678693425605</v>
      </c>
      <c r="O64" s="77">
        <f t="shared" si="11"/>
        <v>12723.678693425605</v>
      </c>
      <c r="P64" s="284">
        <f>HLOOKUP(Q$2,InflationTable,2)/HLOOKUP(Labor!$B$11,InflationTable,2)*$I64</f>
        <v>301.81749458823526</v>
      </c>
      <c r="Q64" s="295">
        <f>P64*(R$4+R$5)</f>
        <v>12978.152267294116</v>
      </c>
      <c r="R64" s="256">
        <f t="shared" si="12"/>
        <v>12978.152267294116</v>
      </c>
      <c r="S64" s="103">
        <f t="shared" si="13"/>
        <v>12645.379132235292</v>
      </c>
      <c r="T64" s="110" t="s">
        <v>12</v>
      </c>
      <c r="U64" s="115" t="s">
        <v>12</v>
      </c>
    </row>
    <row r="65" spans="2:21" ht="13" x14ac:dyDescent="0.3">
      <c r="B65" s="1095" t="s">
        <v>376</v>
      </c>
      <c r="C65" s="1100">
        <v>0</v>
      </c>
      <c r="D65" s="1100">
        <v>0.25</v>
      </c>
      <c r="E65" s="1100">
        <v>0</v>
      </c>
      <c r="F65" s="1100">
        <v>0</v>
      </c>
      <c r="G65" s="1100">
        <v>0</v>
      </c>
      <c r="H65" s="1100">
        <v>0</v>
      </c>
      <c r="I65" s="291">
        <f t="shared" si="9"/>
        <v>0.25</v>
      </c>
      <c r="J65" s="242">
        <f>I65</f>
        <v>0.25</v>
      </c>
      <c r="K65" s="273">
        <f>J65*L4</f>
        <v>10.75</v>
      </c>
      <c r="L65" s="274">
        <f t="shared" si="10"/>
        <v>10.75</v>
      </c>
      <c r="M65" s="53">
        <f>I65</f>
        <v>0.25</v>
      </c>
      <c r="N65" s="147">
        <f>M65*O4</f>
        <v>10.75</v>
      </c>
      <c r="O65" s="148">
        <f t="shared" si="11"/>
        <v>10.75</v>
      </c>
      <c r="P65" s="242">
        <f>I65</f>
        <v>0.25</v>
      </c>
      <c r="Q65" s="273">
        <f>P65*R4</f>
        <v>10.75</v>
      </c>
      <c r="R65" s="274">
        <f t="shared" si="12"/>
        <v>10.75</v>
      </c>
      <c r="S65" s="104">
        <f t="shared" si="13"/>
        <v>10.75</v>
      </c>
      <c r="T65" s="42" t="s">
        <v>12</v>
      </c>
      <c r="U65" s="119" t="s">
        <v>12</v>
      </c>
    </row>
    <row r="66" spans="2:21" ht="13.5" thickBot="1" x14ac:dyDescent="0.35">
      <c r="B66" s="465" t="s">
        <v>8</v>
      </c>
      <c r="C66" s="1097">
        <f>ROUND(C65*Labor!$D$3,0)</f>
        <v>0</v>
      </c>
      <c r="D66" s="1097">
        <f>ROUND(D65*Labor!$D$3,0)</f>
        <v>6</v>
      </c>
      <c r="E66" s="1097">
        <f>ROUND(E65*Labor!$D$3,0)</f>
        <v>0</v>
      </c>
      <c r="F66" s="1097">
        <f>ROUND(F65*Labor!$D$3,0)</f>
        <v>0</v>
      </c>
      <c r="G66" s="1097">
        <f>ROUND(G65*Labor!$D$3,0)</f>
        <v>0</v>
      </c>
      <c r="H66" s="1097">
        <f>ROUND(H65*Labor!$D$3,0)</f>
        <v>0</v>
      </c>
      <c r="I66" s="1094">
        <f t="shared" si="9"/>
        <v>6</v>
      </c>
      <c r="J66" s="284">
        <f>HLOOKUP(K$2,InflationTable,2)/HLOOKUP(Labor!$B$11,InflationTable,2)*$I66</f>
        <v>12.835432525951557</v>
      </c>
      <c r="K66" s="245">
        <f>K65*J66</f>
        <v>137.98089965397924</v>
      </c>
      <c r="L66" s="246">
        <f t="shared" si="10"/>
        <v>137.98089965397924</v>
      </c>
      <c r="M66" s="169">
        <f>HLOOKUP(N$2,InflationTable,2)/HLOOKUP(Labor!$B$11,InflationTable,2)*$I66</f>
        <v>13.348849826989621</v>
      </c>
      <c r="N66" s="166">
        <f>N65*M66</f>
        <v>143.50013564013844</v>
      </c>
      <c r="O66" s="167">
        <f t="shared" si="11"/>
        <v>143.50013564013844</v>
      </c>
      <c r="P66" s="284">
        <f>HLOOKUP(Q$2,InflationTable,2)/HLOOKUP(Labor!$B$11,InflationTable,2)*$I66</f>
        <v>13.61582682352941</v>
      </c>
      <c r="Q66" s="245">
        <f>Q65*P66</f>
        <v>146.37013835294115</v>
      </c>
      <c r="R66" s="246">
        <f t="shared" si="12"/>
        <v>146.37013835294115</v>
      </c>
      <c r="S66" s="169">
        <f t="shared" si="13"/>
        <v>142.61705788235292</v>
      </c>
      <c r="T66" s="110" t="s">
        <v>12</v>
      </c>
      <c r="U66" s="115" t="s">
        <v>12</v>
      </c>
    </row>
    <row r="67" spans="2:21" ht="13" x14ac:dyDescent="0.3">
      <c r="B67" s="139" t="s">
        <v>66</v>
      </c>
      <c r="C67" s="30">
        <f>C57+C59+C61+C63+C65</f>
        <v>0</v>
      </c>
      <c r="D67" s="30">
        <f t="shared" ref="D67:I68" si="14">D57+D59+D61+D63+D65</f>
        <v>0.25</v>
      </c>
      <c r="E67" s="30">
        <f t="shared" si="14"/>
        <v>7</v>
      </c>
      <c r="F67" s="30">
        <f t="shared" si="14"/>
        <v>13</v>
      </c>
      <c r="G67" s="30">
        <f t="shared" si="14"/>
        <v>0</v>
      </c>
      <c r="H67" s="30">
        <f t="shared" si="14"/>
        <v>0</v>
      </c>
      <c r="I67" s="30">
        <f t="shared" si="14"/>
        <v>20.25</v>
      </c>
      <c r="J67" s="249" t="s">
        <v>12</v>
      </c>
      <c r="K67" s="235">
        <f>K57+K59+K61+K63+K65</f>
        <v>870.75</v>
      </c>
      <c r="L67" s="260">
        <f>L57+L59+L61+L63+L65</f>
        <v>870.75</v>
      </c>
      <c r="M67" s="70" t="s">
        <v>12</v>
      </c>
      <c r="N67" s="28">
        <f>N57+N59+N61+N63+N65</f>
        <v>870.75</v>
      </c>
      <c r="O67" s="28">
        <f>O57+O59+O61+O63+O65</f>
        <v>870.75</v>
      </c>
      <c r="P67" s="249" t="s">
        <v>12</v>
      </c>
      <c r="Q67" s="235">
        <f>Q57+Q59+Q61+Q63+Q65</f>
        <v>870.75</v>
      </c>
      <c r="R67" s="235">
        <f>R57+R59+R61+R63+R65</f>
        <v>870.75</v>
      </c>
      <c r="S67" s="104">
        <f t="shared" si="13"/>
        <v>870.75</v>
      </c>
      <c r="T67" s="42" t="s">
        <v>12</v>
      </c>
      <c r="U67" s="119" t="s">
        <v>12</v>
      </c>
    </row>
    <row r="68" spans="2:21" ht="13.5" thickBot="1" x14ac:dyDescent="0.35">
      <c r="B68" s="460" t="s">
        <v>67</v>
      </c>
      <c r="C68" s="194">
        <f>C58+C60+C62+C64+C66</f>
        <v>0</v>
      </c>
      <c r="D68" s="194">
        <f t="shared" si="14"/>
        <v>6</v>
      </c>
      <c r="E68" s="194">
        <f t="shared" si="14"/>
        <v>176</v>
      </c>
      <c r="F68" s="194">
        <f t="shared" si="14"/>
        <v>359</v>
      </c>
      <c r="G68" s="194">
        <f t="shared" si="14"/>
        <v>0</v>
      </c>
      <c r="H68" s="194">
        <f t="shared" si="14"/>
        <v>0</v>
      </c>
      <c r="I68" s="194">
        <f t="shared" si="14"/>
        <v>541</v>
      </c>
      <c r="J68" s="261">
        <f>J58+J60+J62+J64+J66</f>
        <v>1157.3281660899652</v>
      </c>
      <c r="K68" s="261">
        <f>K58+K60+K62+K64+K66</f>
        <v>49351.168442906564</v>
      </c>
      <c r="L68" s="226">
        <f>L58+L60+L62+L64+L66</f>
        <v>49351.168442906564</v>
      </c>
      <c r="M68" s="194">
        <f>M58+M60+M62+M64+M66</f>
        <v>1203.6212927335641</v>
      </c>
      <c r="N68" s="194">
        <f>N58+N60+N62+N64+N66</f>
        <v>51325.215180622843</v>
      </c>
      <c r="O68" s="194">
        <f>O58+O60+O62+O64+O66</f>
        <v>51325.215180622843</v>
      </c>
      <c r="P68" s="261">
        <f>P58+P60+P62+P64+P66</f>
        <v>1227.6937185882352</v>
      </c>
      <c r="Q68" s="261">
        <f>Q58+Q60+Q62+Q64+Q66</f>
        <v>52351.719484235284</v>
      </c>
      <c r="R68" s="261">
        <f>R58+R60+R62+R64+R66</f>
        <v>52351.719484235284</v>
      </c>
      <c r="S68" s="206">
        <f t="shared" si="13"/>
        <v>51009.367702588228</v>
      </c>
      <c r="T68" s="203" t="s">
        <v>12</v>
      </c>
      <c r="U68" s="180" t="s">
        <v>12</v>
      </c>
    </row>
    <row r="69" spans="2:21" ht="13.5" thickTop="1" x14ac:dyDescent="0.3">
      <c r="B69" s="519"/>
      <c r="C69" s="516"/>
      <c r="D69" s="516"/>
      <c r="E69" s="516"/>
      <c r="F69" s="516"/>
      <c r="G69" s="516"/>
      <c r="H69" s="516"/>
      <c r="I69" s="517"/>
      <c r="J69" s="517"/>
      <c r="K69" s="517"/>
      <c r="L69" s="517"/>
      <c r="M69" s="517"/>
      <c r="N69" s="517"/>
      <c r="O69" s="517"/>
      <c r="P69" s="517"/>
      <c r="Q69" s="517"/>
      <c r="R69" s="517"/>
      <c r="S69" s="520"/>
      <c r="T69" s="521"/>
      <c r="U69" s="522"/>
    </row>
    <row r="70" spans="2:21" ht="13" thickBot="1" x14ac:dyDescent="0.3">
      <c r="B70" s="335"/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5"/>
      <c r="Q70" s="335"/>
      <c r="R70" s="335"/>
      <c r="S70" s="335"/>
      <c r="T70" s="335"/>
      <c r="U70" s="335"/>
    </row>
    <row r="71" spans="2:21" ht="27.5" thickTop="1" thickBot="1" x14ac:dyDescent="0.4">
      <c r="B71" s="463" t="s">
        <v>149</v>
      </c>
      <c r="F71" s="1" t="s">
        <v>6</v>
      </c>
      <c r="G71" s="1160"/>
      <c r="H71" s="1161"/>
      <c r="I71" s="1162"/>
      <c r="J71" s="2" t="s">
        <v>28</v>
      </c>
      <c r="L71" s="31"/>
      <c r="M71" s="2" t="s">
        <v>28</v>
      </c>
      <c r="O71" s="31"/>
      <c r="P71" s="2" t="s">
        <v>28</v>
      </c>
      <c r="R71" s="31"/>
      <c r="S71" s="448" t="s">
        <v>17</v>
      </c>
      <c r="T71" s="449" t="s">
        <v>103</v>
      </c>
      <c r="U71" s="523" t="s">
        <v>79</v>
      </c>
    </row>
    <row r="72" spans="2:21" ht="13" x14ac:dyDescent="0.3">
      <c r="B72" s="144"/>
      <c r="I72" s="32" t="s">
        <v>61</v>
      </c>
      <c r="J72" s="227" t="s">
        <v>61</v>
      </c>
      <c r="K72" s="1167" t="s">
        <v>57</v>
      </c>
      <c r="L72" s="1168"/>
      <c r="M72" s="50" t="s">
        <v>61</v>
      </c>
      <c r="N72" s="1177" t="s">
        <v>57</v>
      </c>
      <c r="O72" s="1181"/>
      <c r="P72" s="266" t="s">
        <v>61</v>
      </c>
      <c r="Q72" s="1167" t="s">
        <v>57</v>
      </c>
      <c r="R72" s="1168"/>
      <c r="S72" s="139"/>
      <c r="T72" s="108"/>
      <c r="U72" s="31"/>
    </row>
    <row r="73" spans="2:21" ht="13" x14ac:dyDescent="0.3">
      <c r="B73" s="457"/>
      <c r="C73" s="20" t="s">
        <v>45</v>
      </c>
      <c r="D73" s="20" t="s">
        <v>46</v>
      </c>
      <c r="E73" s="20" t="s">
        <v>47</v>
      </c>
      <c r="F73" s="20" t="s">
        <v>48</v>
      </c>
      <c r="G73" s="20" t="s">
        <v>49</v>
      </c>
      <c r="H73" s="20" t="s">
        <v>50</v>
      </c>
      <c r="I73" s="32" t="s">
        <v>13</v>
      </c>
      <c r="J73" s="210" t="s">
        <v>56</v>
      </c>
      <c r="K73" s="211" t="s">
        <v>13</v>
      </c>
      <c r="L73" s="212" t="s">
        <v>68</v>
      </c>
      <c r="M73" s="66" t="s">
        <v>56</v>
      </c>
      <c r="N73" s="20" t="s">
        <v>13</v>
      </c>
      <c r="O73" s="32" t="s">
        <v>68</v>
      </c>
      <c r="P73" s="210" t="s">
        <v>56</v>
      </c>
      <c r="Q73" s="211" t="s">
        <v>13</v>
      </c>
      <c r="R73" s="212" t="s">
        <v>68</v>
      </c>
      <c r="S73" s="95"/>
      <c r="T73" s="108"/>
      <c r="U73" s="31"/>
    </row>
    <row r="74" spans="2:21" ht="13" x14ac:dyDescent="0.3">
      <c r="B74" s="457" t="s">
        <v>111</v>
      </c>
      <c r="C74" s="18">
        <v>0</v>
      </c>
      <c r="D74" s="18">
        <v>0</v>
      </c>
      <c r="E74" s="18">
        <v>36</v>
      </c>
      <c r="F74" s="18">
        <v>36</v>
      </c>
      <c r="G74" s="18">
        <v>0</v>
      </c>
      <c r="H74" s="18">
        <v>0</v>
      </c>
      <c r="I74" s="45">
        <f>SUM(C74:H74)</f>
        <v>72</v>
      </c>
      <c r="J74" s="213" t="s">
        <v>12</v>
      </c>
      <c r="K74" s="231">
        <f>I74*$L$4</f>
        <v>3096</v>
      </c>
      <c r="L74" s="239">
        <f>K74</f>
        <v>3096</v>
      </c>
      <c r="M74" s="51" t="s">
        <v>12</v>
      </c>
      <c r="N74" s="58">
        <f>$I$74*$O$4</f>
        <v>3096</v>
      </c>
      <c r="O74" s="57">
        <f>N74</f>
        <v>3096</v>
      </c>
      <c r="P74" s="213" t="s">
        <v>12</v>
      </c>
      <c r="Q74" s="231">
        <f>$I$74*$O$4</f>
        <v>3096</v>
      </c>
      <c r="R74" s="239">
        <f>Q74</f>
        <v>3096</v>
      </c>
      <c r="S74" s="96">
        <f>AVERAGE(L74,O74,R74)</f>
        <v>3096</v>
      </c>
      <c r="T74" s="34" t="s">
        <v>12</v>
      </c>
      <c r="U74" s="42" t="s">
        <v>12</v>
      </c>
    </row>
    <row r="75" spans="2:21" ht="13.5" thickBot="1" x14ac:dyDescent="0.35">
      <c r="B75" s="466" t="s">
        <v>8</v>
      </c>
      <c r="C75" s="29">
        <f>ROUND(C74*Labor!$D$3,0)</f>
        <v>0</v>
      </c>
      <c r="D75" s="29">
        <f>ROUND(D74*Labor!$D$4,0)</f>
        <v>0</v>
      </c>
      <c r="E75" s="29">
        <f>ROUND(E74*Labor!$D$5,0)</f>
        <v>908</v>
      </c>
      <c r="F75" s="29">
        <f>ROUND(F74*Labor!$D$6,0)</f>
        <v>992</v>
      </c>
      <c r="G75" s="29">
        <f>ROUND(G74*Labor!$D$7,0)</f>
        <v>0</v>
      </c>
      <c r="H75" s="29">
        <f>ROUND(H74*Labor!$D$8,0)</f>
        <v>0</v>
      </c>
      <c r="I75" s="33">
        <f>SUM(C75:H75)</f>
        <v>1900</v>
      </c>
      <c r="J75" s="284">
        <f>HLOOKUP(K$2,InflationTable,2)/HLOOKUP(Labor!$B$11,InflationTable,2)*$I75</f>
        <v>4064.5536332179927</v>
      </c>
      <c r="K75" s="219">
        <f>J75*$L$4</f>
        <v>174775.80622837369</v>
      </c>
      <c r="L75" s="256">
        <f>K75</f>
        <v>174775.80622837369</v>
      </c>
      <c r="M75" s="169">
        <f>HLOOKUP(N$2,InflationTable,2)/HLOOKUP(Labor!$B$11,InflationTable,2)*$I75</f>
        <v>4227.1357785467135</v>
      </c>
      <c r="N75" s="55">
        <f>M75*$O$4</f>
        <v>181766.83847750869</v>
      </c>
      <c r="O75" s="77">
        <f>N75</f>
        <v>181766.83847750869</v>
      </c>
      <c r="P75" s="284">
        <f>HLOOKUP(Q$2,InflationTable,2)/HLOOKUP(Labor!$B$11,InflationTable,2)*$I75</f>
        <v>4311.6784941176466</v>
      </c>
      <c r="Q75" s="219">
        <f>P75*$R$4</f>
        <v>185402.1752470588</v>
      </c>
      <c r="R75" s="256">
        <f>Q75</f>
        <v>185402.1752470588</v>
      </c>
      <c r="S75" s="103">
        <f>AVERAGE(L75,O75,R75)</f>
        <v>180648.27331764708</v>
      </c>
      <c r="T75" s="110" t="s">
        <v>12</v>
      </c>
      <c r="U75" s="121" t="s">
        <v>12</v>
      </c>
    </row>
    <row r="76" spans="2:21" ht="13" x14ac:dyDescent="0.3">
      <c r="B76" s="459" t="s">
        <v>110</v>
      </c>
      <c r="C76" s="290">
        <v>0</v>
      </c>
      <c r="D76" s="290">
        <v>24</v>
      </c>
      <c r="E76" s="290">
        <v>24</v>
      </c>
      <c r="F76" s="290">
        <v>0</v>
      </c>
      <c r="G76" s="290">
        <v>0</v>
      </c>
      <c r="H76" s="290">
        <v>0</v>
      </c>
      <c r="I76" s="291">
        <f>SUM(C76:H76)</f>
        <v>48</v>
      </c>
      <c r="J76" s="242" t="s">
        <v>12</v>
      </c>
      <c r="K76" s="273">
        <f>I76*$L$4</f>
        <v>2064</v>
      </c>
      <c r="L76" s="274">
        <f>K76</f>
        <v>2064</v>
      </c>
      <c r="M76" s="53" t="s">
        <v>12</v>
      </c>
      <c r="N76" s="147">
        <f>$I$76*$O$4</f>
        <v>2064</v>
      </c>
      <c r="O76" s="148">
        <f>N76</f>
        <v>2064</v>
      </c>
      <c r="P76" s="242" t="s">
        <v>12</v>
      </c>
      <c r="Q76" s="273">
        <f>$I$76*$O$4</f>
        <v>2064</v>
      </c>
      <c r="R76" s="274">
        <f>Q76</f>
        <v>2064</v>
      </c>
      <c r="S76" s="104">
        <f>AVERAGE(L76,O76,R76)</f>
        <v>2064</v>
      </c>
      <c r="T76" s="34" t="s">
        <v>12</v>
      </c>
      <c r="U76" s="42" t="s">
        <v>12</v>
      </c>
    </row>
    <row r="77" spans="2:21" ht="13.5" thickBot="1" x14ac:dyDescent="0.35">
      <c r="B77" s="466" t="s">
        <v>8</v>
      </c>
      <c r="C77" s="29">
        <f>ROUND(C76*Labor!$D$3,0)</f>
        <v>0</v>
      </c>
      <c r="D77" s="29">
        <f>ROUND(D76*Labor!$D$4,0)</f>
        <v>581</v>
      </c>
      <c r="E77" s="29">
        <f>ROUND(E76*Labor!$D$5,0)</f>
        <v>605</v>
      </c>
      <c r="F77" s="29">
        <f>ROUND(F76*Labor!$D$6,0)</f>
        <v>0</v>
      </c>
      <c r="G77" s="29">
        <f>ROUND(G76*Labor!$D$7,0)</f>
        <v>0</v>
      </c>
      <c r="H77" s="29">
        <f>ROUND(H76*Labor!$D$8,0)</f>
        <v>0</v>
      </c>
      <c r="I77" s="33">
        <f>SUM(C77:H77)</f>
        <v>1186</v>
      </c>
      <c r="J77" s="284">
        <f>HLOOKUP(K$2,InflationTable,2)/HLOOKUP(Labor!$B$11,InflationTable,2)*$I77</f>
        <v>2537.1371626297578</v>
      </c>
      <c r="K77" s="219">
        <f>J77*$L$4</f>
        <v>109096.89799307959</v>
      </c>
      <c r="L77" s="256">
        <f>K77</f>
        <v>109096.89799307959</v>
      </c>
      <c r="M77" s="169">
        <f>HLOOKUP(N$2,InflationTable,2)/HLOOKUP(Labor!$B$11,InflationTable,2)*$I77</f>
        <v>2638.6226491349485</v>
      </c>
      <c r="N77" s="55">
        <f>M77*$O$4</f>
        <v>113460.77391280279</v>
      </c>
      <c r="O77" s="77">
        <f>N77</f>
        <v>113460.77391280279</v>
      </c>
      <c r="P77" s="284">
        <f>HLOOKUP(Q$2,InflationTable,2)/HLOOKUP(Labor!$B$11,InflationTable,2)*$I77</f>
        <v>2691.3951021176467</v>
      </c>
      <c r="Q77" s="219">
        <f>P77*$R$4</f>
        <v>115729.98939105881</v>
      </c>
      <c r="R77" s="256">
        <f>Q77</f>
        <v>115729.98939105881</v>
      </c>
      <c r="S77" s="103">
        <f>AVERAGE(L77,O77,R77)</f>
        <v>112762.55376564706</v>
      </c>
      <c r="T77" s="110" t="s">
        <v>12</v>
      </c>
      <c r="U77" s="121" t="s">
        <v>12</v>
      </c>
    </row>
    <row r="78" spans="2:21" ht="13" x14ac:dyDescent="0.3">
      <c r="B78" s="459" t="s">
        <v>20</v>
      </c>
      <c r="C78" s="86" t="s">
        <v>45</v>
      </c>
      <c r="D78" s="86" t="s">
        <v>46</v>
      </c>
      <c r="E78" s="86" t="s">
        <v>47</v>
      </c>
      <c r="F78" s="86" t="s">
        <v>48</v>
      </c>
      <c r="G78" s="86" t="s">
        <v>49</v>
      </c>
      <c r="H78" s="86" t="s">
        <v>50</v>
      </c>
      <c r="I78" s="87" t="s">
        <v>13</v>
      </c>
      <c r="J78" s="292"/>
      <c r="K78" s="293"/>
      <c r="L78" s="296"/>
      <c r="M78" s="88" t="s">
        <v>56</v>
      </c>
      <c r="N78" s="86" t="s">
        <v>13</v>
      </c>
      <c r="O78" s="87" t="s">
        <v>68</v>
      </c>
      <c r="P78" s="292" t="s">
        <v>56</v>
      </c>
      <c r="Q78" s="293" t="s">
        <v>13</v>
      </c>
      <c r="R78" s="296" t="s">
        <v>68</v>
      </c>
      <c r="S78" s="98"/>
      <c r="T78" s="108"/>
      <c r="U78" s="31"/>
    </row>
    <row r="79" spans="2:21" x14ac:dyDescent="0.25">
      <c r="B79" s="458" t="s">
        <v>4</v>
      </c>
      <c r="C79" s="18">
        <v>0</v>
      </c>
      <c r="D79" s="18">
        <v>0</v>
      </c>
      <c r="E79" s="18">
        <v>0</v>
      </c>
      <c r="F79" s="18">
        <v>2</v>
      </c>
      <c r="G79" s="18">
        <v>2</v>
      </c>
      <c r="H79" s="18">
        <v>0</v>
      </c>
      <c r="I79" s="45">
        <f t="shared" ref="I79:I84" si="15">SUM(C79:H79)</f>
        <v>4</v>
      </c>
      <c r="J79" s="213" t="s">
        <v>12</v>
      </c>
      <c r="K79" s="231">
        <f>I79*$L$4</f>
        <v>172</v>
      </c>
      <c r="L79" s="239">
        <f t="shared" ref="L79:L84" si="16">K79</f>
        <v>172</v>
      </c>
      <c r="M79" s="51" t="s">
        <v>12</v>
      </c>
      <c r="N79" s="58">
        <f>$I79*$O$4</f>
        <v>172</v>
      </c>
      <c r="O79" s="57">
        <f t="shared" ref="O79:O84" si="17">N79</f>
        <v>172</v>
      </c>
      <c r="P79" s="213" t="s">
        <v>12</v>
      </c>
      <c r="Q79" s="231">
        <f>$I79*$O$4</f>
        <v>172</v>
      </c>
      <c r="R79" s="239">
        <f t="shared" ref="R79:R84" si="18">Q79</f>
        <v>172</v>
      </c>
      <c r="S79" s="96">
        <f t="shared" ref="S79:S84" si="19">AVERAGE(L79,O79,R79)</f>
        <v>172</v>
      </c>
      <c r="T79" s="34" t="s">
        <v>12</v>
      </c>
      <c r="U79" s="42" t="s">
        <v>12</v>
      </c>
    </row>
    <row r="80" spans="2:21" ht="13.5" thickBot="1" x14ac:dyDescent="0.35">
      <c r="B80" s="466" t="s">
        <v>8</v>
      </c>
      <c r="C80" s="29">
        <f>ROUND(C79*Labor!$D$3,0)</f>
        <v>0</v>
      </c>
      <c r="D80" s="29">
        <f>ROUND(D79*Labor!$D$4,0)</f>
        <v>0</v>
      </c>
      <c r="E80" s="29">
        <f>ROUND(E79*Labor!$D$5,0)</f>
        <v>0</v>
      </c>
      <c r="F80" s="29">
        <f>ROUND(F79*Labor!$D$6,0)</f>
        <v>55</v>
      </c>
      <c r="G80" s="29">
        <f>ROUND(G79*Labor!$D$7,0)</f>
        <v>63</v>
      </c>
      <c r="H80" s="29">
        <f>ROUND(H79*Labor!$D$8,0)</f>
        <v>0</v>
      </c>
      <c r="I80" s="33">
        <f t="shared" si="15"/>
        <v>118</v>
      </c>
      <c r="J80" s="284">
        <f>HLOOKUP(K$2,InflationTable,2)/HLOOKUP(Labor!$B$11,InflationTable,2)*$I80</f>
        <v>252.4301730103806</v>
      </c>
      <c r="K80" s="219">
        <f>J80*$L$4</f>
        <v>10854.497439446366</v>
      </c>
      <c r="L80" s="256">
        <f t="shared" si="16"/>
        <v>10854.497439446366</v>
      </c>
      <c r="M80" s="169">
        <f>HLOOKUP(N$2,InflationTable,2)/HLOOKUP(Labor!$B$11,InflationTable,2)*$I80</f>
        <v>262.52737993079586</v>
      </c>
      <c r="N80" s="55">
        <f>M80*$O$4</f>
        <v>11288.677337024223</v>
      </c>
      <c r="O80" s="77">
        <f t="shared" si="17"/>
        <v>11288.677337024223</v>
      </c>
      <c r="P80" s="284">
        <f>HLOOKUP(Q$2,InflationTable,2)/HLOOKUP(Labor!$B$11,InflationTable,2)*$I80</f>
        <v>267.77792752941173</v>
      </c>
      <c r="Q80" s="219">
        <f>P80*$R$4</f>
        <v>11514.450883764704</v>
      </c>
      <c r="R80" s="256">
        <f t="shared" si="18"/>
        <v>11514.450883764704</v>
      </c>
      <c r="S80" s="103">
        <f t="shared" si="19"/>
        <v>11219.208553411765</v>
      </c>
      <c r="T80" s="110" t="s">
        <v>12</v>
      </c>
      <c r="U80" s="121" t="s">
        <v>12</v>
      </c>
    </row>
    <row r="81" spans="2:21" ht="13" x14ac:dyDescent="0.3">
      <c r="B81" s="459" t="s">
        <v>109</v>
      </c>
      <c r="C81" s="290">
        <v>0</v>
      </c>
      <c r="D81" s="290">
        <v>1</v>
      </c>
      <c r="E81" s="290">
        <v>1</v>
      </c>
      <c r="F81" s="290">
        <v>2</v>
      </c>
      <c r="G81" s="290">
        <v>1</v>
      </c>
      <c r="H81" s="290">
        <v>0</v>
      </c>
      <c r="I81" s="291">
        <f t="shared" si="15"/>
        <v>5</v>
      </c>
      <c r="J81" s="242" t="s">
        <v>12</v>
      </c>
      <c r="K81" s="273">
        <f>I81*$L$4</f>
        <v>215</v>
      </c>
      <c r="L81" s="274">
        <f t="shared" si="16"/>
        <v>215</v>
      </c>
      <c r="M81" s="53" t="s">
        <v>12</v>
      </c>
      <c r="N81" s="147">
        <f>$I81*$O$4</f>
        <v>215</v>
      </c>
      <c r="O81" s="148">
        <f t="shared" si="17"/>
        <v>215</v>
      </c>
      <c r="P81" s="242" t="s">
        <v>12</v>
      </c>
      <c r="Q81" s="273">
        <f>$I81*$O$4</f>
        <v>215</v>
      </c>
      <c r="R81" s="274">
        <f t="shared" si="18"/>
        <v>215</v>
      </c>
      <c r="S81" s="104">
        <f t="shared" si="19"/>
        <v>215</v>
      </c>
      <c r="T81" s="34" t="s">
        <v>12</v>
      </c>
      <c r="U81" s="42" t="s">
        <v>12</v>
      </c>
    </row>
    <row r="82" spans="2:21" ht="13.5" thickBot="1" x14ac:dyDescent="0.35">
      <c r="B82" s="466" t="s">
        <v>8</v>
      </c>
      <c r="C82" s="29">
        <f>ROUND(C81*Labor!$D$3,0)</f>
        <v>0</v>
      </c>
      <c r="D82" s="29">
        <f>ROUND(D81*Labor!$D$4,0)</f>
        <v>24</v>
      </c>
      <c r="E82" s="29">
        <f>ROUND(E81*Labor!$D$5,0)</f>
        <v>25</v>
      </c>
      <c r="F82" s="29">
        <f>ROUND(F81*Labor!$D$6,0)</f>
        <v>55</v>
      </c>
      <c r="G82" s="29">
        <f>ROUND(G81*Labor!$D$7,0)</f>
        <v>31</v>
      </c>
      <c r="H82" s="29">
        <f>ROUND(H81*Labor!$D$8,0)</f>
        <v>0</v>
      </c>
      <c r="I82" s="33">
        <f t="shared" si="15"/>
        <v>135</v>
      </c>
      <c r="J82" s="284">
        <f>HLOOKUP(K$2,InflationTable,2)/HLOOKUP(Labor!$B$11,InflationTable,2)*$I82</f>
        <v>288.79723183391002</v>
      </c>
      <c r="K82" s="219">
        <f>J82*$L$4</f>
        <v>12418.280968858131</v>
      </c>
      <c r="L82" s="256">
        <f t="shared" si="16"/>
        <v>12418.280968858131</v>
      </c>
      <c r="M82" s="169">
        <f>HLOOKUP(N$2,InflationTable,2)/HLOOKUP(Labor!$B$11,InflationTable,2)*$I82</f>
        <v>300.34912110726646</v>
      </c>
      <c r="N82" s="55">
        <f>M82*$O$4</f>
        <v>12915.012207612457</v>
      </c>
      <c r="O82" s="77">
        <f t="shared" si="17"/>
        <v>12915.012207612457</v>
      </c>
      <c r="P82" s="284">
        <f>HLOOKUP(Q$2,InflationTable,2)/HLOOKUP(Labor!$B$11,InflationTable,2)*$I82</f>
        <v>306.35610352941171</v>
      </c>
      <c r="Q82" s="219">
        <f>P82*$R$4</f>
        <v>13173.312451764703</v>
      </c>
      <c r="R82" s="256">
        <f t="shared" si="18"/>
        <v>13173.312451764703</v>
      </c>
      <c r="S82" s="140">
        <f t="shared" si="19"/>
        <v>12835.535209411762</v>
      </c>
      <c r="T82" s="93" t="s">
        <v>12</v>
      </c>
      <c r="U82" s="94" t="s">
        <v>12</v>
      </c>
    </row>
    <row r="83" spans="2:21" ht="13" x14ac:dyDescent="0.3">
      <c r="B83" s="459" t="s">
        <v>108</v>
      </c>
      <c r="C83" s="290">
        <v>0</v>
      </c>
      <c r="D83" s="290">
        <v>0</v>
      </c>
      <c r="E83" s="290">
        <v>3</v>
      </c>
      <c r="F83" s="290">
        <v>3</v>
      </c>
      <c r="G83" s="290">
        <v>0</v>
      </c>
      <c r="H83" s="290">
        <v>0</v>
      </c>
      <c r="I83" s="291">
        <f t="shared" si="15"/>
        <v>6</v>
      </c>
      <c r="J83" s="242" t="s">
        <v>12</v>
      </c>
      <c r="K83" s="273">
        <f>I83*$L$4</f>
        <v>258</v>
      </c>
      <c r="L83" s="274">
        <f t="shared" si="16"/>
        <v>258</v>
      </c>
      <c r="M83" s="53" t="s">
        <v>12</v>
      </c>
      <c r="N83" s="147">
        <f>$I83*$O$4</f>
        <v>258</v>
      </c>
      <c r="O83" s="148">
        <f t="shared" si="17"/>
        <v>258</v>
      </c>
      <c r="P83" s="242" t="s">
        <v>12</v>
      </c>
      <c r="Q83" s="273">
        <f>$I83*$O$4</f>
        <v>258</v>
      </c>
      <c r="R83" s="274">
        <f t="shared" si="18"/>
        <v>258</v>
      </c>
      <c r="S83" s="96">
        <f t="shared" si="19"/>
        <v>258</v>
      </c>
      <c r="T83" s="34" t="s">
        <v>12</v>
      </c>
      <c r="U83" s="42" t="s">
        <v>12</v>
      </c>
    </row>
    <row r="84" spans="2:21" ht="13.5" thickBot="1" x14ac:dyDescent="0.35">
      <c r="B84" s="466" t="s">
        <v>8</v>
      </c>
      <c r="C84" s="29">
        <f>ROUND(C83*Labor!$D$3,0)</f>
        <v>0</v>
      </c>
      <c r="D84" s="29">
        <f>ROUND(D83*Labor!$D$4,0)</f>
        <v>0</v>
      </c>
      <c r="E84" s="29">
        <f>ROUND(E83*Labor!$D$5,0)</f>
        <v>76</v>
      </c>
      <c r="F84" s="29">
        <f>ROUND(F83*Labor!$D$6,0)</f>
        <v>83</v>
      </c>
      <c r="G84" s="29">
        <f>ROUND(G83*Labor!$D$7,0)</f>
        <v>0</v>
      </c>
      <c r="H84" s="29">
        <f>ROUND(H83*Labor!$D$8,0)</f>
        <v>0</v>
      </c>
      <c r="I84" s="33">
        <f t="shared" si="15"/>
        <v>159</v>
      </c>
      <c r="J84" s="284">
        <f>HLOOKUP(K$2,InflationTable,2)/HLOOKUP(Labor!$B$11,InflationTable,2)*$I84</f>
        <v>340.13896193771626</v>
      </c>
      <c r="K84" s="219">
        <f>J84*$L$4</f>
        <v>14625.975363321799</v>
      </c>
      <c r="L84" s="256">
        <f t="shared" si="16"/>
        <v>14625.975363321799</v>
      </c>
      <c r="M84" s="169">
        <f>HLOOKUP(N$2,InflationTable,2)/HLOOKUP(Labor!$B$11,InflationTable,2)*$I84</f>
        <v>353.74452041522494</v>
      </c>
      <c r="N84" s="55">
        <f>M84*$O$4</f>
        <v>15211.014377854672</v>
      </c>
      <c r="O84" s="77">
        <f t="shared" si="17"/>
        <v>15211.014377854672</v>
      </c>
      <c r="P84" s="284">
        <f>HLOOKUP(Q$2,InflationTable,2)/HLOOKUP(Labor!$B$11,InflationTable,2)*$I84</f>
        <v>360.81941082352938</v>
      </c>
      <c r="Q84" s="219">
        <f>P84*$R$4</f>
        <v>15515.234665411763</v>
      </c>
      <c r="R84" s="256">
        <f t="shared" si="18"/>
        <v>15515.234665411763</v>
      </c>
      <c r="S84" s="103">
        <f t="shared" si="19"/>
        <v>15117.408135529411</v>
      </c>
      <c r="T84" s="110" t="s">
        <v>12</v>
      </c>
      <c r="U84" s="121" t="s">
        <v>12</v>
      </c>
    </row>
    <row r="85" spans="2:21" ht="13" x14ac:dyDescent="0.3">
      <c r="B85" s="106" t="s">
        <v>29</v>
      </c>
      <c r="C85" s="86" t="s">
        <v>45</v>
      </c>
      <c r="D85" s="86" t="s">
        <v>46</v>
      </c>
      <c r="E85" s="86" t="s">
        <v>47</v>
      </c>
      <c r="F85" s="86" t="s">
        <v>48</v>
      </c>
      <c r="G85" s="86" t="s">
        <v>49</v>
      </c>
      <c r="H85" s="86" t="s">
        <v>50</v>
      </c>
      <c r="I85" s="87" t="s">
        <v>112</v>
      </c>
      <c r="J85" s="292"/>
      <c r="K85" s="293"/>
      <c r="L85" s="296"/>
      <c r="M85" s="88" t="s">
        <v>113</v>
      </c>
      <c r="N85" s="86" t="s">
        <v>13</v>
      </c>
      <c r="O85" s="87" t="s">
        <v>68</v>
      </c>
      <c r="P85" s="292" t="s">
        <v>113</v>
      </c>
      <c r="Q85" s="293" t="s">
        <v>13</v>
      </c>
      <c r="R85" s="296" t="s">
        <v>68</v>
      </c>
      <c r="S85" s="98"/>
      <c r="T85" s="108"/>
      <c r="U85" s="31"/>
    </row>
    <row r="86" spans="2:21" x14ac:dyDescent="0.25">
      <c r="B86" s="467" t="s">
        <v>51</v>
      </c>
      <c r="C86" s="18">
        <v>0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45">
        <f>SUM(C86:H86)</f>
        <v>0</v>
      </c>
      <c r="J86" s="213" t="s">
        <v>12</v>
      </c>
      <c r="K86" s="262">
        <f>I86*$J$6</f>
        <v>0</v>
      </c>
      <c r="L86" s="239">
        <f>K86</f>
        <v>0</v>
      </c>
      <c r="M86" s="51" t="s">
        <v>12</v>
      </c>
      <c r="N86" s="73">
        <f>$I86*M$6</f>
        <v>0</v>
      </c>
      <c r="O86" s="57">
        <f>N86</f>
        <v>0</v>
      </c>
      <c r="P86" s="213" t="s">
        <v>12</v>
      </c>
      <c r="Q86" s="262">
        <f>$I86*P$6</f>
        <v>0</v>
      </c>
      <c r="R86" s="239">
        <f>Q86</f>
        <v>0</v>
      </c>
      <c r="S86" s="96">
        <f>AVERAGE(L86,O86,R86)</f>
        <v>0</v>
      </c>
      <c r="T86" s="34" t="s">
        <v>12</v>
      </c>
      <c r="U86" s="42" t="s">
        <v>12</v>
      </c>
    </row>
    <row r="87" spans="2:21" ht="13.5" thickBot="1" x14ac:dyDescent="0.35">
      <c r="B87" s="465" t="s">
        <v>107</v>
      </c>
      <c r="C87" s="29">
        <f>ROUND(C86*Labor!$D$3,0)</f>
        <v>0</v>
      </c>
      <c r="D87" s="29">
        <f>ROUND(D86*Labor!$D$4,0)</f>
        <v>0</v>
      </c>
      <c r="E87" s="29">
        <f>ROUND(E86*Labor!$D$5,0)</f>
        <v>0</v>
      </c>
      <c r="F87" s="29">
        <f>ROUND(F86*Labor!$D$6,0)</f>
        <v>0</v>
      </c>
      <c r="G87" s="29">
        <f>ROUND(G86*Labor!$D$7,0)</f>
        <v>0</v>
      </c>
      <c r="H87" s="29">
        <f>ROUND(H86*Labor!$D$8,0)</f>
        <v>0</v>
      </c>
      <c r="I87" s="33">
        <f>SUM(C87:H87)</f>
        <v>0</v>
      </c>
      <c r="J87" s="284">
        <f>HLOOKUP(K$2,InflationTable,2)/HLOOKUP(Labor!$B$11,InflationTable,2)*$I87</f>
        <v>0</v>
      </c>
      <c r="K87" s="219">
        <f>J87*$J$6</f>
        <v>0</v>
      </c>
      <c r="L87" s="256">
        <f>K87</f>
        <v>0</v>
      </c>
      <c r="M87" s="169">
        <f>HLOOKUP(N$2,InflationTable,2)/HLOOKUP(Labor!$B$11,InflationTable,2)*$I87</f>
        <v>0</v>
      </c>
      <c r="N87" s="55">
        <f>M87*$M$6</f>
        <v>0</v>
      </c>
      <c r="O87" s="77">
        <f>N87</f>
        <v>0</v>
      </c>
      <c r="P87" s="284">
        <f>HLOOKUP(Q$2,InflationTable,2)/HLOOKUP(Labor!$B$11,InflationTable,2)*$I87</f>
        <v>0</v>
      </c>
      <c r="Q87" s="219">
        <f>P87*$P$6</f>
        <v>0</v>
      </c>
      <c r="R87" s="256">
        <f>Q87</f>
        <v>0</v>
      </c>
      <c r="S87" s="107">
        <f>AVERAGE(L87,O87,R87)</f>
        <v>0</v>
      </c>
      <c r="T87" s="110" t="s">
        <v>12</v>
      </c>
      <c r="U87" s="121" t="s">
        <v>12</v>
      </c>
    </row>
    <row r="88" spans="2:21" ht="13" x14ac:dyDescent="0.3">
      <c r="B88" s="106" t="s">
        <v>106</v>
      </c>
      <c r="C88" s="5"/>
      <c r="D88" s="349" t="s">
        <v>54</v>
      </c>
      <c r="E88" s="24">
        <v>5</v>
      </c>
      <c r="I88" s="87" t="s">
        <v>55</v>
      </c>
      <c r="J88" s="209"/>
      <c r="K88" s="445"/>
      <c r="L88" s="446"/>
      <c r="M88" s="130" t="s">
        <v>55</v>
      </c>
      <c r="N88" s="1179" t="s">
        <v>57</v>
      </c>
      <c r="O88" s="1180"/>
      <c r="P88" s="209" t="s">
        <v>55</v>
      </c>
      <c r="Q88" s="1176" t="s">
        <v>57</v>
      </c>
      <c r="R88" s="1184"/>
      <c r="S88" s="139"/>
      <c r="T88" s="108"/>
      <c r="U88" s="31"/>
    </row>
    <row r="89" spans="2:21" x14ac:dyDescent="0.25">
      <c r="B89" s="467" t="s">
        <v>51</v>
      </c>
      <c r="C89" s="18">
        <v>0</v>
      </c>
      <c r="D89" s="18">
        <v>0</v>
      </c>
      <c r="E89" s="18">
        <v>5</v>
      </c>
      <c r="F89" s="18">
        <v>5</v>
      </c>
      <c r="G89" s="18">
        <v>5</v>
      </c>
      <c r="H89" s="18">
        <v>0</v>
      </c>
      <c r="I89" s="45">
        <f>SUM(C89:H89)</f>
        <v>15</v>
      </c>
      <c r="J89" s="213" t="s">
        <v>12</v>
      </c>
      <c r="K89" s="233">
        <f>I89*$J$6</f>
        <v>585</v>
      </c>
      <c r="L89" s="232">
        <f>K89/$E$88</f>
        <v>117</v>
      </c>
      <c r="M89" s="51" t="s">
        <v>12</v>
      </c>
      <c r="N89" s="10">
        <f>$I$89*$M$6</f>
        <v>585</v>
      </c>
      <c r="O89" s="52">
        <f>N89/$E$88</f>
        <v>117</v>
      </c>
      <c r="P89" s="213" t="s">
        <v>12</v>
      </c>
      <c r="Q89" s="233">
        <f>$I$89*$P$6</f>
        <v>585</v>
      </c>
      <c r="R89" s="232">
        <f>Q89/$E$88</f>
        <v>117</v>
      </c>
      <c r="S89" s="96">
        <f>AVERAGE(L89,O89,R89)</f>
        <v>117</v>
      </c>
      <c r="T89" s="34" t="s">
        <v>12</v>
      </c>
      <c r="U89" s="42" t="s">
        <v>12</v>
      </c>
    </row>
    <row r="90" spans="2:21" ht="13.5" thickBot="1" x14ac:dyDescent="0.35">
      <c r="B90" s="465" t="s">
        <v>105</v>
      </c>
      <c r="C90" s="29">
        <f>ROUND(C89*Labor!$D$3,0)</f>
        <v>0</v>
      </c>
      <c r="D90" s="29">
        <f>ROUND(D89*Labor!$D$4,0)</f>
        <v>0</v>
      </c>
      <c r="E90" s="29">
        <f>ROUND(E89*Labor!$D$5,0)</f>
        <v>126</v>
      </c>
      <c r="F90" s="29">
        <f>ROUND(F89*Labor!$D$6,0)</f>
        <v>138</v>
      </c>
      <c r="G90" s="29">
        <f>ROUND(G89*Labor!$D$7,0)</f>
        <v>157</v>
      </c>
      <c r="H90" s="29">
        <f>ROUND(H89*Labor!$D$8,0)</f>
        <v>0</v>
      </c>
      <c r="I90" s="33">
        <f>SUM(C90:H90)</f>
        <v>421</v>
      </c>
      <c r="J90" s="284">
        <f>HLOOKUP(K$2,InflationTable,2)/HLOOKUP(Labor!$B$11,InflationTable,2)*$I90</f>
        <v>900.61951557093414</v>
      </c>
      <c r="K90" s="219">
        <f>J90*$J$6</f>
        <v>35124.161107266431</v>
      </c>
      <c r="L90" s="220">
        <f>K90/$E$88</f>
        <v>7024.8322214532864</v>
      </c>
      <c r="M90" s="169">
        <f>HLOOKUP(N$2,InflationTable,2)/HLOOKUP(Labor!$B$11,InflationTable,2)*$I90</f>
        <v>936.64429619377165</v>
      </c>
      <c r="N90" s="55">
        <f>M90*$M$6</f>
        <v>36529.127551557096</v>
      </c>
      <c r="O90" s="33">
        <f>N90/$E$88</f>
        <v>7305.8255103114188</v>
      </c>
      <c r="P90" s="284">
        <f>HLOOKUP(Q$2,InflationTable,2)/HLOOKUP(Labor!$B$11,InflationTable,2)*$I90</f>
        <v>955.37718211764695</v>
      </c>
      <c r="Q90" s="219">
        <f>P90*$P$6</f>
        <v>37259.710102588229</v>
      </c>
      <c r="R90" s="220">
        <f>Q90/$E$88</f>
        <v>7451.9420205176457</v>
      </c>
      <c r="S90" s="103">
        <f>AVERAGE(L90,O90,R90)</f>
        <v>7260.8665840941176</v>
      </c>
      <c r="T90" s="110" t="s">
        <v>12</v>
      </c>
      <c r="U90" s="121" t="s">
        <v>12</v>
      </c>
    </row>
    <row r="91" spans="2:21" ht="13" x14ac:dyDescent="0.3">
      <c r="B91" s="139" t="s">
        <v>66</v>
      </c>
      <c r="C91" s="36">
        <f t="shared" ref="C91:I92" si="20">C74+C76+C79+C81+C83+C86+C89</f>
        <v>0</v>
      </c>
      <c r="D91" s="36">
        <f t="shared" si="20"/>
        <v>25</v>
      </c>
      <c r="E91" s="36">
        <f t="shared" si="20"/>
        <v>69</v>
      </c>
      <c r="F91" s="36">
        <f t="shared" si="20"/>
        <v>48</v>
      </c>
      <c r="G91" s="36">
        <f t="shared" si="20"/>
        <v>8</v>
      </c>
      <c r="H91" s="36">
        <f t="shared" si="20"/>
        <v>0</v>
      </c>
      <c r="I91" s="46">
        <f t="shared" si="20"/>
        <v>150</v>
      </c>
      <c r="J91" s="242" t="s">
        <v>12</v>
      </c>
      <c r="K91" s="263" t="s">
        <v>12</v>
      </c>
      <c r="L91" s="264">
        <f>L89+K86+K83+K81+K79+K76+K74</f>
        <v>5922</v>
      </c>
      <c r="M91" s="75" t="s">
        <v>12</v>
      </c>
      <c r="N91" s="36" t="s">
        <v>12</v>
      </c>
      <c r="O91" s="74">
        <f>O89+N86+N83+N81+N79+N76+N74</f>
        <v>5922</v>
      </c>
      <c r="P91" s="242" t="s">
        <v>12</v>
      </c>
      <c r="Q91" s="263" t="s">
        <v>12</v>
      </c>
      <c r="R91" s="264">
        <f>R89+Q86+Q83+Q81+Q79+Q76+Q74</f>
        <v>5922</v>
      </c>
      <c r="S91" s="122">
        <f>AVERAGE(L91,O91,R91)</f>
        <v>5922</v>
      </c>
      <c r="T91" s="108"/>
      <c r="U91" s="31"/>
    </row>
    <row r="92" spans="2:21" ht="13.5" thickBot="1" x14ac:dyDescent="0.35">
      <c r="B92" s="460" t="s">
        <v>67</v>
      </c>
      <c r="C92" s="194">
        <f t="shared" si="20"/>
        <v>0</v>
      </c>
      <c r="D92" s="194">
        <f t="shared" si="20"/>
        <v>605</v>
      </c>
      <c r="E92" s="194">
        <f t="shared" si="20"/>
        <v>1740</v>
      </c>
      <c r="F92" s="194">
        <f t="shared" si="20"/>
        <v>1323</v>
      </c>
      <c r="G92" s="194">
        <f t="shared" si="20"/>
        <v>251</v>
      </c>
      <c r="H92" s="194">
        <f t="shared" si="20"/>
        <v>0</v>
      </c>
      <c r="I92" s="197">
        <f t="shared" si="20"/>
        <v>3919</v>
      </c>
      <c r="J92" s="224">
        <f>J75+J77+J80+J82+J84+J87+J90</f>
        <v>8383.6766782006907</v>
      </c>
      <c r="K92" s="265" t="s">
        <v>12</v>
      </c>
      <c r="L92" s="254">
        <f>L90+K87+K84+K82+K80+K77+K75</f>
        <v>328796.29021453287</v>
      </c>
      <c r="M92" s="196">
        <f>M75+M77+M80+M82+M84+M87+M90</f>
        <v>8719.0237453287209</v>
      </c>
      <c r="N92" s="207" t="s">
        <v>12</v>
      </c>
      <c r="O92" s="178">
        <f>O90+N87+N84+N82+N80+N77+N75</f>
        <v>341948.14182311425</v>
      </c>
      <c r="P92" s="224">
        <f>P75+P77+P80+P82+P84+P87+P90</f>
        <v>8893.4042202352939</v>
      </c>
      <c r="Q92" s="265" t="s">
        <v>12</v>
      </c>
      <c r="R92" s="254">
        <f>R90+Q87+Q84+Q82+Q80+Q77+Q75</f>
        <v>348787.10465957643</v>
      </c>
      <c r="S92" s="202">
        <f>AVERAGE(L92,O92,R92)</f>
        <v>339843.84556574118</v>
      </c>
      <c r="T92" s="200"/>
      <c r="U92" s="190"/>
    </row>
    <row r="93" spans="2:21" ht="13.5" thickTop="1" thickBot="1" x14ac:dyDescent="0.3">
      <c r="B93" s="514"/>
      <c r="C93" s="513"/>
      <c r="D93" s="513"/>
      <c r="E93" s="513"/>
      <c r="F93" s="513"/>
      <c r="G93" s="513"/>
      <c r="H93" s="513"/>
      <c r="I93" s="513"/>
      <c r="J93" s="513"/>
      <c r="K93" s="513"/>
      <c r="L93" s="513"/>
      <c r="M93" s="513"/>
      <c r="N93" s="513"/>
      <c r="O93" s="513"/>
      <c r="P93" s="513"/>
      <c r="Q93" s="513"/>
      <c r="R93" s="513"/>
      <c r="S93" s="513"/>
      <c r="T93" s="513"/>
      <c r="U93" s="515"/>
    </row>
    <row r="94" spans="2:21" ht="16" thickTop="1" x14ac:dyDescent="0.35">
      <c r="B94" s="542" t="s">
        <v>30</v>
      </c>
      <c r="F94" s="1" t="s">
        <v>6</v>
      </c>
      <c r="G94" s="1160"/>
      <c r="H94" s="1161"/>
      <c r="I94" s="1162"/>
      <c r="J94" s="2" t="s">
        <v>30</v>
      </c>
      <c r="L94" s="31"/>
      <c r="M94" s="2" t="s">
        <v>30</v>
      </c>
      <c r="O94" s="31"/>
      <c r="P94" s="2" t="s">
        <v>30</v>
      </c>
      <c r="Q94" s="61"/>
      <c r="R94" s="62"/>
      <c r="S94" s="97"/>
      <c r="T94" s="108"/>
      <c r="U94" s="31"/>
    </row>
    <row r="95" spans="2:21" ht="13" x14ac:dyDescent="0.3">
      <c r="B95" s="144"/>
      <c r="I95" s="32" t="s">
        <v>61</v>
      </c>
      <c r="J95" s="227" t="s">
        <v>61</v>
      </c>
      <c r="K95" s="1167" t="s">
        <v>57</v>
      </c>
      <c r="L95" s="1168"/>
      <c r="M95" s="50" t="s">
        <v>61</v>
      </c>
      <c r="N95" s="1177" t="s">
        <v>57</v>
      </c>
      <c r="O95" s="1181"/>
      <c r="P95" s="266" t="s">
        <v>61</v>
      </c>
      <c r="Q95" s="1176" t="s">
        <v>57</v>
      </c>
      <c r="R95" s="1184"/>
      <c r="S95" s="106"/>
      <c r="T95" s="108"/>
      <c r="U95" s="31"/>
    </row>
    <row r="96" spans="2:21" ht="13" x14ac:dyDescent="0.3">
      <c r="B96" s="462" t="s">
        <v>21</v>
      </c>
      <c r="C96" s="20" t="s">
        <v>45</v>
      </c>
      <c r="D96" s="20" t="s">
        <v>46</v>
      </c>
      <c r="E96" s="20" t="s">
        <v>47</v>
      </c>
      <c r="F96" s="20" t="s">
        <v>48</v>
      </c>
      <c r="G96" s="20" t="s">
        <v>49</v>
      </c>
      <c r="H96" s="20" t="s">
        <v>50</v>
      </c>
      <c r="I96" s="32" t="s">
        <v>13</v>
      </c>
      <c r="J96" s="210" t="s">
        <v>56</v>
      </c>
      <c r="K96" s="211" t="s">
        <v>13</v>
      </c>
      <c r="L96" s="212" t="s">
        <v>68</v>
      </c>
      <c r="M96" s="66" t="s">
        <v>56</v>
      </c>
      <c r="N96" s="20" t="s">
        <v>13</v>
      </c>
      <c r="O96" s="32" t="s">
        <v>68</v>
      </c>
      <c r="P96" s="210" t="s">
        <v>56</v>
      </c>
      <c r="Q96" s="211" t="s">
        <v>13</v>
      </c>
      <c r="R96" s="212" t="s">
        <v>68</v>
      </c>
      <c r="S96" s="98"/>
      <c r="T96" s="108"/>
      <c r="U96" s="31"/>
    </row>
    <row r="97" spans="2:21" x14ac:dyDescent="0.25">
      <c r="B97" s="464" t="s">
        <v>4</v>
      </c>
      <c r="C97" s="18">
        <v>0</v>
      </c>
      <c r="D97" s="18">
        <v>0</v>
      </c>
      <c r="E97" s="18">
        <v>0</v>
      </c>
      <c r="F97" s="18">
        <v>0</v>
      </c>
      <c r="G97" s="18">
        <v>8</v>
      </c>
      <c r="H97" s="18">
        <v>4</v>
      </c>
      <c r="I97" s="45">
        <f>SUM(C97:H97)</f>
        <v>12</v>
      </c>
      <c r="J97" s="213" t="s">
        <v>12</v>
      </c>
      <c r="K97" s="231">
        <f>I97*(L$5+L$4)</f>
        <v>516</v>
      </c>
      <c r="L97" s="239">
        <f>K97</f>
        <v>516</v>
      </c>
      <c r="M97" s="51" t="s">
        <v>12</v>
      </c>
      <c r="N97" s="58">
        <f>I97*(O$5+O$4)</f>
        <v>516</v>
      </c>
      <c r="O97" s="52">
        <f>N97</f>
        <v>516</v>
      </c>
      <c r="P97" s="213" t="s">
        <v>12</v>
      </c>
      <c r="Q97" s="231">
        <f>$I97*(R$5+R$4)</f>
        <v>516</v>
      </c>
      <c r="R97" s="239">
        <f>Q97</f>
        <v>516</v>
      </c>
      <c r="S97" s="96">
        <f t="shared" ref="S97:S102" si="21">AVERAGE(L97,O97,R97)</f>
        <v>516</v>
      </c>
      <c r="T97" s="34" t="s">
        <v>12</v>
      </c>
      <c r="U97" s="42" t="s">
        <v>12</v>
      </c>
    </row>
    <row r="98" spans="2:21" ht="13.5" thickBot="1" x14ac:dyDescent="0.35">
      <c r="B98" s="465" t="s">
        <v>8</v>
      </c>
      <c r="C98" s="29">
        <f>ROUND(C97*Labor!$D$3,0)</f>
        <v>0</v>
      </c>
      <c r="D98" s="29">
        <f>ROUND(D97*Labor!$D$4,0)</f>
        <v>0</v>
      </c>
      <c r="E98" s="29">
        <f>ROUND(E97*Labor!$D$5,0)</f>
        <v>0</v>
      </c>
      <c r="F98" s="29">
        <f>ROUND(F97*Labor!$D$6,0)</f>
        <v>0</v>
      </c>
      <c r="G98" s="29">
        <f>ROUND(G97*Labor!$D$7,0)</f>
        <v>250</v>
      </c>
      <c r="H98" s="29">
        <f>ROUND(H97*Labor!$D$8,0)</f>
        <v>151</v>
      </c>
      <c r="I98" s="33">
        <f>SUM(C98:H98)</f>
        <v>401</v>
      </c>
      <c r="J98" s="284">
        <f>HLOOKUP(K$2,InflationTable,2)/HLOOKUP(Labor!$B$11,InflationTable,2)*$I98</f>
        <v>857.83474048442895</v>
      </c>
      <c r="K98" s="295">
        <f>J98*(L$4+L$5)</f>
        <v>36886.893840830446</v>
      </c>
      <c r="L98" s="256">
        <f>K98</f>
        <v>36886.893840830446</v>
      </c>
      <c r="M98" s="169">
        <f>HLOOKUP(N$2,InflationTable,2)/HLOOKUP(Labor!$B$11,InflationTable,2)*$I98</f>
        <v>892.14813010380624</v>
      </c>
      <c r="N98" s="84">
        <f>M98*(O$4+O$5)</f>
        <v>38362.369594463671</v>
      </c>
      <c r="O98" s="33">
        <f>N98</f>
        <v>38362.369594463671</v>
      </c>
      <c r="P98" s="284">
        <f>HLOOKUP(Q$2,InflationTable,2)/HLOOKUP(Labor!$B$11,InflationTable,2)*$I98</f>
        <v>909.99109270588224</v>
      </c>
      <c r="Q98" s="295">
        <f>P98*(R$4+R$5)</f>
        <v>39129.616986352936</v>
      </c>
      <c r="R98" s="256">
        <f>Q98</f>
        <v>39129.616986352936</v>
      </c>
      <c r="S98" s="103">
        <f t="shared" si="21"/>
        <v>38126.293473882353</v>
      </c>
      <c r="T98" s="110" t="s">
        <v>12</v>
      </c>
      <c r="U98" s="121" t="s">
        <v>12</v>
      </c>
    </row>
    <row r="99" spans="2:21" ht="13" x14ac:dyDescent="0.3">
      <c r="B99" s="459" t="s">
        <v>104</v>
      </c>
      <c r="C99" s="290">
        <v>0</v>
      </c>
      <c r="D99" s="290">
        <v>0</v>
      </c>
      <c r="E99" s="290">
        <v>16</v>
      </c>
      <c r="F99" s="290">
        <v>8</v>
      </c>
      <c r="G99" s="290">
        <v>4</v>
      </c>
      <c r="H99" s="290">
        <v>2</v>
      </c>
      <c r="I99" s="291">
        <f>SUM(C99:H99)</f>
        <v>30</v>
      </c>
      <c r="J99" s="242" t="s">
        <v>12</v>
      </c>
      <c r="K99" s="231">
        <f>I99*(L$5+L$4)</f>
        <v>1290</v>
      </c>
      <c r="L99" s="274">
        <f>K99</f>
        <v>1290</v>
      </c>
      <c r="M99" s="53" t="s">
        <v>12</v>
      </c>
      <c r="N99" s="58">
        <f>I99*(O$5+O$4)</f>
        <v>1290</v>
      </c>
      <c r="O99" s="148">
        <f>N99</f>
        <v>1290</v>
      </c>
      <c r="P99" s="242" t="s">
        <v>12</v>
      </c>
      <c r="Q99" s="231">
        <f>$I99*(R$5+R$4)</f>
        <v>1290</v>
      </c>
      <c r="R99" s="274">
        <f>Q99</f>
        <v>1290</v>
      </c>
      <c r="S99" s="96">
        <f t="shared" si="21"/>
        <v>1290</v>
      </c>
      <c r="T99" s="34" t="s">
        <v>12</v>
      </c>
      <c r="U99" s="42" t="s">
        <v>12</v>
      </c>
    </row>
    <row r="100" spans="2:21" ht="13.5" thickBot="1" x14ac:dyDescent="0.35">
      <c r="B100" s="466" t="s">
        <v>8</v>
      </c>
      <c r="C100" s="29">
        <f>ROUND(C99*Labor!$D$3,0)</f>
        <v>0</v>
      </c>
      <c r="D100" s="29">
        <f>ROUND(D99*Labor!$D$4,0)</f>
        <v>0</v>
      </c>
      <c r="E100" s="29">
        <f>ROUND(E99*Labor!$D$5,0)</f>
        <v>404</v>
      </c>
      <c r="F100" s="29">
        <f>ROUND(F99*Labor!$D$6,0)</f>
        <v>221</v>
      </c>
      <c r="G100" s="29">
        <f>ROUND(G99*Labor!$D$7,0)</f>
        <v>125</v>
      </c>
      <c r="H100" s="29">
        <f>ROUND(H99*Labor!$D$8,0)</f>
        <v>76</v>
      </c>
      <c r="I100" s="33">
        <f>SUM(C100:H100)</f>
        <v>826</v>
      </c>
      <c r="J100" s="284">
        <f>HLOOKUP(K$2,InflationTable,2)/HLOOKUP(Labor!$B$11,InflationTable,2)*$I100</f>
        <v>1767.0112110726643</v>
      </c>
      <c r="K100" s="295">
        <f>J100*(L$4+L$5)</f>
        <v>75981.482076124565</v>
      </c>
      <c r="L100" s="248">
        <f>K100</f>
        <v>75981.482076124565</v>
      </c>
      <c r="M100" s="169">
        <f>HLOOKUP(N$2,InflationTable,2)/HLOOKUP(Labor!$B$11,InflationTable,2)*$I100</f>
        <v>1837.691659515571</v>
      </c>
      <c r="N100" s="84">
        <f>M100*(O$4+O$5)</f>
        <v>79020.741359169551</v>
      </c>
      <c r="O100" s="33">
        <f>N100</f>
        <v>79020.741359169551</v>
      </c>
      <c r="P100" s="284">
        <f>HLOOKUP(Q$2,InflationTable,2)/HLOOKUP(Labor!$B$11,InflationTable,2)*$I100</f>
        <v>1874.4454927058821</v>
      </c>
      <c r="Q100" s="295">
        <f>P100*(R$4+R$5)</f>
        <v>80601.156186352935</v>
      </c>
      <c r="R100" s="248">
        <f>Q100</f>
        <v>80601.156186352935</v>
      </c>
      <c r="S100" s="103">
        <f t="shared" si="21"/>
        <v>78534.459873882355</v>
      </c>
      <c r="T100" s="110" t="s">
        <v>12</v>
      </c>
      <c r="U100" s="121" t="s">
        <v>12</v>
      </c>
    </row>
    <row r="101" spans="2:21" ht="13" x14ac:dyDescent="0.3">
      <c r="B101" s="139" t="s">
        <v>66</v>
      </c>
      <c r="C101" s="30">
        <f t="shared" ref="C101:I102" si="22">C97+C99</f>
        <v>0</v>
      </c>
      <c r="D101" s="30">
        <f t="shared" si="22"/>
        <v>0</v>
      </c>
      <c r="E101" s="30">
        <f t="shared" si="22"/>
        <v>16</v>
      </c>
      <c r="F101" s="30">
        <f t="shared" si="22"/>
        <v>8</v>
      </c>
      <c r="G101" s="30">
        <f t="shared" si="22"/>
        <v>12</v>
      </c>
      <c r="H101" s="30">
        <f t="shared" si="22"/>
        <v>6</v>
      </c>
      <c r="I101" s="39">
        <f t="shared" si="22"/>
        <v>42</v>
      </c>
      <c r="J101" s="249" t="s">
        <v>12</v>
      </c>
      <c r="K101" s="267">
        <f>K97+K99</f>
        <v>1806</v>
      </c>
      <c r="L101" s="268">
        <f>L97+L99</f>
        <v>1806</v>
      </c>
      <c r="M101" s="70" t="s">
        <v>12</v>
      </c>
      <c r="N101" s="30">
        <f>N97+N99</f>
        <v>1806</v>
      </c>
      <c r="O101" s="82">
        <f>O97+O99</f>
        <v>1806</v>
      </c>
      <c r="P101" s="249" t="s">
        <v>12</v>
      </c>
      <c r="Q101" s="267">
        <f>Q97+Q99</f>
        <v>1806</v>
      </c>
      <c r="R101" s="269">
        <f>R97+R99</f>
        <v>1806</v>
      </c>
      <c r="S101" s="96">
        <f t="shared" si="21"/>
        <v>1806</v>
      </c>
      <c r="T101" s="34" t="s">
        <v>12</v>
      </c>
      <c r="U101" s="42" t="s">
        <v>12</v>
      </c>
    </row>
    <row r="102" spans="2:21" ht="13.5" thickBot="1" x14ac:dyDescent="0.35">
      <c r="B102" s="460" t="s">
        <v>67</v>
      </c>
      <c r="C102" s="194">
        <f t="shared" si="22"/>
        <v>0</v>
      </c>
      <c r="D102" s="194">
        <f t="shared" si="22"/>
        <v>0</v>
      </c>
      <c r="E102" s="194">
        <f t="shared" si="22"/>
        <v>404</v>
      </c>
      <c r="F102" s="194">
        <f t="shared" si="22"/>
        <v>221</v>
      </c>
      <c r="G102" s="194">
        <f t="shared" si="22"/>
        <v>375</v>
      </c>
      <c r="H102" s="194">
        <f t="shared" si="22"/>
        <v>227</v>
      </c>
      <c r="I102" s="197">
        <f t="shared" si="22"/>
        <v>1227</v>
      </c>
      <c r="J102" s="224">
        <f>J98+J100</f>
        <v>2624.845951557093</v>
      </c>
      <c r="K102" s="225">
        <f>K98+K100</f>
        <v>112868.375916955</v>
      </c>
      <c r="L102" s="226">
        <f>L98+L100</f>
        <v>112868.375916955</v>
      </c>
      <c r="M102" s="196">
        <f>M98+M100</f>
        <v>2729.8397896193774</v>
      </c>
      <c r="N102" s="194">
        <f>N98+N100</f>
        <v>117383.11095363322</v>
      </c>
      <c r="O102" s="197">
        <f>O98+O100</f>
        <v>117383.11095363322</v>
      </c>
      <c r="P102" s="261">
        <f>P98+P100</f>
        <v>2784.4365854117641</v>
      </c>
      <c r="Q102" s="225">
        <f>Q98+Q100</f>
        <v>119730.77317270587</v>
      </c>
      <c r="R102" s="226">
        <f>R98+R100</f>
        <v>119730.77317270587</v>
      </c>
      <c r="S102" s="206">
        <f t="shared" si="21"/>
        <v>116660.75334776468</v>
      </c>
      <c r="T102" s="208" t="s">
        <v>12</v>
      </c>
      <c r="U102" s="203" t="s">
        <v>12</v>
      </c>
    </row>
    <row r="103" spans="2:21" ht="13.5" thickTop="1" thickBot="1" x14ac:dyDescent="0.3">
      <c r="B103" s="144"/>
      <c r="D103" s="513"/>
      <c r="E103" s="513"/>
      <c r="F103" s="513"/>
      <c r="G103" s="513"/>
      <c r="H103" s="513"/>
      <c r="I103" s="513"/>
      <c r="J103" s="513"/>
      <c r="K103" s="513"/>
      <c r="L103" s="513"/>
      <c r="M103" s="513"/>
      <c r="N103" s="513"/>
      <c r="O103" s="513"/>
      <c r="P103" s="513"/>
      <c r="Q103" s="513"/>
      <c r="R103" s="513"/>
      <c r="S103" s="513"/>
      <c r="T103" s="513"/>
      <c r="U103" s="515"/>
    </row>
    <row r="104" spans="2:21" ht="19" thickTop="1" thickBot="1" x14ac:dyDescent="0.45">
      <c r="B104" s="456" t="s">
        <v>121</v>
      </c>
      <c r="C104" s="188" t="str">
        <f>C2</f>
        <v>PAMSNOx</v>
      </c>
      <c r="E104" s="3"/>
      <c r="F104" s="9"/>
      <c r="G104" s="3"/>
      <c r="H104" s="3"/>
      <c r="I104" s="35"/>
      <c r="J104" s="67" t="str">
        <f>J2</f>
        <v>Year 1</v>
      </c>
      <c r="K104" s="67">
        <f>K2</f>
        <v>2023</v>
      </c>
      <c r="L104" s="35"/>
      <c r="M104" s="67" t="str">
        <f>M2</f>
        <v>Year 2</v>
      </c>
      <c r="N104" s="67">
        <f>N2</f>
        <v>2024</v>
      </c>
      <c r="O104" s="35"/>
      <c r="P104" s="67" t="str">
        <f>P2</f>
        <v>Year 3</v>
      </c>
      <c r="Q104" s="67">
        <f>Q2</f>
        <v>2025</v>
      </c>
      <c r="R104" s="35"/>
      <c r="S104" s="124"/>
      <c r="T104" s="105"/>
      <c r="U104" s="468"/>
    </row>
    <row r="105" spans="2:21" ht="13.5" thickBot="1" x14ac:dyDescent="0.35">
      <c r="B105" s="144"/>
      <c r="C105" s="152" t="s">
        <v>45</v>
      </c>
      <c r="D105" s="149" t="s">
        <v>46</v>
      </c>
      <c r="E105" s="149" t="s">
        <v>47</v>
      </c>
      <c r="F105" s="160" t="s">
        <v>48</v>
      </c>
      <c r="G105" s="151" t="s">
        <v>49</v>
      </c>
      <c r="H105" s="149" t="s">
        <v>50</v>
      </c>
      <c r="I105" s="150" t="s">
        <v>13</v>
      </c>
      <c r="J105" s="270" t="s">
        <v>56</v>
      </c>
      <c r="K105" s="271" t="s">
        <v>13</v>
      </c>
      <c r="L105" s="272" t="s">
        <v>68</v>
      </c>
      <c r="M105" s="151" t="s">
        <v>56</v>
      </c>
      <c r="N105" s="149" t="s">
        <v>13</v>
      </c>
      <c r="O105" s="150" t="s">
        <v>68</v>
      </c>
      <c r="P105" s="270" t="s">
        <v>56</v>
      </c>
      <c r="Q105" s="271" t="s">
        <v>13</v>
      </c>
      <c r="R105" s="272" t="s">
        <v>68</v>
      </c>
      <c r="S105" s="152"/>
      <c r="T105" s="153"/>
      <c r="U105" s="469"/>
    </row>
    <row r="106" spans="2:21" ht="13" x14ac:dyDescent="0.3">
      <c r="B106" s="470" t="s">
        <v>97</v>
      </c>
      <c r="C106" s="155">
        <f t="shared" ref="C106:S106" si="23">C16</f>
        <v>0</v>
      </c>
      <c r="D106" s="147">
        <f t="shared" si="23"/>
        <v>0</v>
      </c>
      <c r="E106" s="147">
        <f t="shared" si="23"/>
        <v>0</v>
      </c>
      <c r="F106" s="147">
        <f t="shared" si="23"/>
        <v>0</v>
      </c>
      <c r="G106" s="147">
        <f t="shared" si="23"/>
        <v>0</v>
      </c>
      <c r="H106" s="147">
        <f t="shared" si="23"/>
        <v>0</v>
      </c>
      <c r="I106" s="148">
        <f t="shared" si="23"/>
        <v>0</v>
      </c>
      <c r="J106" s="234" t="str">
        <f t="shared" si="23"/>
        <v>NA</v>
      </c>
      <c r="K106" s="273">
        <f t="shared" si="23"/>
        <v>0</v>
      </c>
      <c r="L106" s="274">
        <f t="shared" si="23"/>
        <v>0</v>
      </c>
      <c r="M106" s="38" t="str">
        <f t="shared" si="23"/>
        <v>NA</v>
      </c>
      <c r="N106" s="147">
        <f t="shared" si="23"/>
        <v>0</v>
      </c>
      <c r="O106" s="148">
        <f t="shared" si="23"/>
        <v>0</v>
      </c>
      <c r="P106" s="234" t="str">
        <f t="shared" si="23"/>
        <v>NA</v>
      </c>
      <c r="Q106" s="273">
        <f t="shared" si="23"/>
        <v>0</v>
      </c>
      <c r="R106" s="274">
        <f t="shared" si="23"/>
        <v>0</v>
      </c>
      <c r="S106" s="148">
        <f t="shared" si="23"/>
        <v>0</v>
      </c>
      <c r="T106" s="31"/>
      <c r="U106" s="111"/>
    </row>
    <row r="107" spans="2:21" ht="13.5" thickBot="1" x14ac:dyDescent="0.35">
      <c r="B107" s="471" t="s">
        <v>76</v>
      </c>
      <c r="C107" s="161">
        <f t="shared" ref="C107:S107" si="24">C17</f>
        <v>0</v>
      </c>
      <c r="D107" s="162">
        <f t="shared" si="24"/>
        <v>0</v>
      </c>
      <c r="E107" s="162">
        <f t="shared" si="24"/>
        <v>0</v>
      </c>
      <c r="F107" s="162">
        <f t="shared" si="24"/>
        <v>0</v>
      </c>
      <c r="G107" s="162">
        <f t="shared" si="24"/>
        <v>0</v>
      </c>
      <c r="H107" s="162">
        <f t="shared" si="24"/>
        <v>0</v>
      </c>
      <c r="I107" s="163">
        <f t="shared" si="24"/>
        <v>0</v>
      </c>
      <c r="J107" s="275">
        <f t="shared" si="24"/>
        <v>0</v>
      </c>
      <c r="K107" s="276">
        <f t="shared" si="24"/>
        <v>0</v>
      </c>
      <c r="L107" s="277">
        <f t="shared" si="24"/>
        <v>0</v>
      </c>
      <c r="M107" s="161">
        <f t="shared" si="24"/>
        <v>0</v>
      </c>
      <c r="N107" s="162">
        <f t="shared" si="24"/>
        <v>0</v>
      </c>
      <c r="O107" s="163">
        <f t="shared" si="24"/>
        <v>0</v>
      </c>
      <c r="P107" s="275">
        <f t="shared" si="24"/>
        <v>0</v>
      </c>
      <c r="Q107" s="276">
        <f t="shared" si="24"/>
        <v>0</v>
      </c>
      <c r="R107" s="277">
        <f t="shared" si="24"/>
        <v>0</v>
      </c>
      <c r="S107" s="163">
        <f t="shared" si="24"/>
        <v>0</v>
      </c>
      <c r="T107" s="164" t="str">
        <f>T17</f>
        <v>NA</v>
      </c>
      <c r="U107" s="322" t="s">
        <v>12</v>
      </c>
    </row>
    <row r="108" spans="2:21" ht="13" x14ac:dyDescent="0.3">
      <c r="B108" s="472" t="s">
        <v>98</v>
      </c>
      <c r="C108" s="155">
        <f t="shared" ref="C108:S108" si="25">C29</f>
        <v>0</v>
      </c>
      <c r="D108" s="147">
        <f t="shared" si="25"/>
        <v>0</v>
      </c>
      <c r="E108" s="147">
        <f t="shared" si="25"/>
        <v>0</v>
      </c>
      <c r="F108" s="147">
        <f t="shared" si="25"/>
        <v>0</v>
      </c>
      <c r="G108" s="147">
        <f t="shared" si="25"/>
        <v>0</v>
      </c>
      <c r="H108" s="147">
        <f t="shared" si="25"/>
        <v>0</v>
      </c>
      <c r="I108" s="148">
        <f t="shared" si="25"/>
        <v>0</v>
      </c>
      <c r="J108" s="234" t="str">
        <f t="shared" si="25"/>
        <v>NA</v>
      </c>
      <c r="K108" s="273">
        <f t="shared" si="25"/>
        <v>0</v>
      </c>
      <c r="L108" s="274">
        <f t="shared" si="25"/>
        <v>0</v>
      </c>
      <c r="M108" s="38" t="str">
        <f t="shared" si="25"/>
        <v>NA</v>
      </c>
      <c r="N108" s="147">
        <f t="shared" si="25"/>
        <v>0</v>
      </c>
      <c r="O108" s="148">
        <f t="shared" si="25"/>
        <v>0</v>
      </c>
      <c r="P108" s="234" t="str">
        <f t="shared" si="25"/>
        <v>NA</v>
      </c>
      <c r="Q108" s="273">
        <f t="shared" si="25"/>
        <v>0</v>
      </c>
      <c r="R108" s="274">
        <f t="shared" si="25"/>
        <v>0</v>
      </c>
      <c r="S108" s="148">
        <f t="shared" si="25"/>
        <v>0</v>
      </c>
      <c r="T108" s="31"/>
      <c r="U108" s="111"/>
    </row>
    <row r="109" spans="2:21" ht="13.5" thickBot="1" x14ac:dyDescent="0.35">
      <c r="B109" s="471" t="s">
        <v>76</v>
      </c>
      <c r="C109" s="165">
        <f t="shared" ref="C109:S109" si="26">C30</f>
        <v>0</v>
      </c>
      <c r="D109" s="166">
        <f t="shared" si="26"/>
        <v>0</v>
      </c>
      <c r="E109" s="166">
        <f t="shared" si="26"/>
        <v>0</v>
      </c>
      <c r="F109" s="166">
        <f t="shared" si="26"/>
        <v>0</v>
      </c>
      <c r="G109" s="166">
        <f t="shared" si="26"/>
        <v>0</v>
      </c>
      <c r="H109" s="166">
        <f t="shared" si="26"/>
        <v>0</v>
      </c>
      <c r="I109" s="167">
        <f t="shared" si="26"/>
        <v>0</v>
      </c>
      <c r="J109" s="278">
        <f t="shared" si="26"/>
        <v>0</v>
      </c>
      <c r="K109" s="245">
        <f t="shared" si="26"/>
        <v>0</v>
      </c>
      <c r="L109" s="246">
        <f t="shared" si="26"/>
        <v>213132.01407899885</v>
      </c>
      <c r="M109" s="165">
        <f t="shared" si="26"/>
        <v>0</v>
      </c>
      <c r="N109" s="166">
        <f t="shared" si="26"/>
        <v>0</v>
      </c>
      <c r="O109" s="167">
        <f t="shared" si="26"/>
        <v>221657.29464215878</v>
      </c>
      <c r="P109" s="278">
        <f t="shared" si="26"/>
        <v>0</v>
      </c>
      <c r="Q109" s="245">
        <f t="shared" si="26"/>
        <v>0</v>
      </c>
      <c r="R109" s="246">
        <f t="shared" si="26"/>
        <v>226090.44053500192</v>
      </c>
      <c r="S109" s="167">
        <f t="shared" si="26"/>
        <v>0</v>
      </c>
      <c r="T109" s="168" t="str">
        <f>T30</f>
        <v>NA</v>
      </c>
      <c r="U109" s="473">
        <f>U30</f>
        <v>220293.24975205318</v>
      </c>
    </row>
    <row r="110" spans="2:21" ht="13" x14ac:dyDescent="0.3">
      <c r="B110" s="472" t="s">
        <v>96</v>
      </c>
      <c r="C110" s="156">
        <f t="shared" ref="C110:S110" si="27">C39</f>
        <v>0</v>
      </c>
      <c r="D110" s="21">
        <f t="shared" si="27"/>
        <v>0</v>
      </c>
      <c r="E110" s="21">
        <f t="shared" si="27"/>
        <v>0</v>
      </c>
      <c r="F110" s="21">
        <f t="shared" si="27"/>
        <v>0</v>
      </c>
      <c r="G110" s="21">
        <f t="shared" si="27"/>
        <v>0</v>
      </c>
      <c r="H110" s="21">
        <f t="shared" si="27"/>
        <v>0</v>
      </c>
      <c r="I110" s="157">
        <f t="shared" si="27"/>
        <v>0</v>
      </c>
      <c r="J110" s="279" t="str">
        <f t="shared" si="27"/>
        <v>NA</v>
      </c>
      <c r="K110" s="280">
        <f t="shared" si="27"/>
        <v>0</v>
      </c>
      <c r="L110" s="281">
        <f t="shared" si="27"/>
        <v>0</v>
      </c>
      <c r="M110" s="158" t="str">
        <f t="shared" si="27"/>
        <v>NA</v>
      </c>
      <c r="N110" s="21">
        <f t="shared" si="27"/>
        <v>0</v>
      </c>
      <c r="O110" s="157">
        <f t="shared" si="27"/>
        <v>0</v>
      </c>
      <c r="P110" s="279" t="str">
        <f t="shared" si="27"/>
        <v>NA</v>
      </c>
      <c r="Q110" s="280">
        <f t="shared" si="27"/>
        <v>0</v>
      </c>
      <c r="R110" s="281">
        <f t="shared" si="27"/>
        <v>0</v>
      </c>
      <c r="S110" s="157">
        <f t="shared" si="27"/>
        <v>0</v>
      </c>
      <c r="T110" s="159" t="str">
        <f>T22</f>
        <v>NA</v>
      </c>
      <c r="U110" s="119" t="s">
        <v>12</v>
      </c>
    </row>
    <row r="111" spans="2:21" ht="13.5" thickBot="1" x14ac:dyDescent="0.35">
      <c r="B111" s="471" t="s">
        <v>76</v>
      </c>
      <c r="C111" s="169">
        <f t="shared" ref="C111:S111" si="28">C40</f>
        <v>0</v>
      </c>
      <c r="D111" s="166">
        <f t="shared" si="28"/>
        <v>0</v>
      </c>
      <c r="E111" s="166">
        <f t="shared" si="28"/>
        <v>0</v>
      </c>
      <c r="F111" s="166">
        <f t="shared" si="28"/>
        <v>0</v>
      </c>
      <c r="G111" s="166">
        <f t="shared" si="28"/>
        <v>0</v>
      </c>
      <c r="H111" s="166">
        <f t="shared" si="28"/>
        <v>0</v>
      </c>
      <c r="I111" s="167">
        <f t="shared" si="28"/>
        <v>0</v>
      </c>
      <c r="J111" s="278">
        <f t="shared" si="28"/>
        <v>967.13335940555339</v>
      </c>
      <c r="K111" s="245">
        <f t="shared" si="28"/>
        <v>41586.734454438796</v>
      </c>
      <c r="L111" s="246">
        <f t="shared" si="28"/>
        <v>41586.734454438796</v>
      </c>
      <c r="M111" s="165">
        <f t="shared" si="28"/>
        <v>1005.8186937817756</v>
      </c>
      <c r="N111" s="166">
        <f t="shared" si="28"/>
        <v>43250.203832616346</v>
      </c>
      <c r="O111" s="167">
        <f t="shared" si="28"/>
        <v>43250.203832616346</v>
      </c>
      <c r="P111" s="278">
        <f t="shared" si="28"/>
        <v>1025.9350676574111</v>
      </c>
      <c r="Q111" s="245">
        <f t="shared" si="28"/>
        <v>44115.207909268676</v>
      </c>
      <c r="R111" s="246">
        <f t="shared" si="28"/>
        <v>44115.207909268676</v>
      </c>
      <c r="S111" s="167">
        <f t="shared" si="28"/>
        <v>42984.048732107942</v>
      </c>
      <c r="T111" s="167">
        <f>T40</f>
        <v>42984.048732107942</v>
      </c>
      <c r="U111" s="322" t="s">
        <v>12</v>
      </c>
    </row>
    <row r="112" spans="2:21" ht="13" x14ac:dyDescent="0.3">
      <c r="B112" s="472" t="s">
        <v>99</v>
      </c>
      <c r="C112" s="156">
        <f t="shared" ref="C112:S112" si="29">C51</f>
        <v>0</v>
      </c>
      <c r="D112" s="21">
        <f t="shared" si="29"/>
        <v>0</v>
      </c>
      <c r="E112" s="21">
        <f t="shared" si="29"/>
        <v>0</v>
      </c>
      <c r="F112" s="21">
        <f t="shared" si="29"/>
        <v>0</v>
      </c>
      <c r="G112" s="21">
        <f t="shared" si="29"/>
        <v>0</v>
      </c>
      <c r="H112" s="21">
        <f t="shared" si="29"/>
        <v>0</v>
      </c>
      <c r="I112" s="157">
        <f t="shared" si="29"/>
        <v>0</v>
      </c>
      <c r="J112" s="279" t="str">
        <f t="shared" si="29"/>
        <v>NA</v>
      </c>
      <c r="K112" s="280">
        <f t="shared" si="29"/>
        <v>0</v>
      </c>
      <c r="L112" s="281">
        <f t="shared" si="29"/>
        <v>0</v>
      </c>
      <c r="M112" s="158" t="str">
        <f t="shared" si="29"/>
        <v>NA</v>
      </c>
      <c r="N112" s="21">
        <f t="shared" si="29"/>
        <v>0</v>
      </c>
      <c r="O112" s="157">
        <f t="shared" si="29"/>
        <v>0</v>
      </c>
      <c r="P112" s="279" t="str">
        <f t="shared" si="29"/>
        <v>NA</v>
      </c>
      <c r="Q112" s="280">
        <f t="shared" si="29"/>
        <v>0</v>
      </c>
      <c r="R112" s="281">
        <f t="shared" si="29"/>
        <v>0</v>
      </c>
      <c r="S112" s="157">
        <f t="shared" si="29"/>
        <v>0</v>
      </c>
      <c r="T112" s="31"/>
      <c r="U112" s="111"/>
    </row>
    <row r="113" spans="2:21" ht="13.5" thickBot="1" x14ac:dyDescent="0.35">
      <c r="B113" s="471" t="s">
        <v>76</v>
      </c>
      <c r="C113" s="165">
        <f t="shared" ref="C113:S113" si="30">C52</f>
        <v>0</v>
      </c>
      <c r="D113" s="166">
        <f t="shared" si="30"/>
        <v>0</v>
      </c>
      <c r="E113" s="166">
        <f t="shared" si="30"/>
        <v>0</v>
      </c>
      <c r="F113" s="166">
        <f t="shared" si="30"/>
        <v>0</v>
      </c>
      <c r="G113" s="166">
        <f t="shared" si="30"/>
        <v>0</v>
      </c>
      <c r="H113" s="166">
        <f t="shared" si="30"/>
        <v>0</v>
      </c>
      <c r="I113" s="167">
        <f t="shared" si="30"/>
        <v>0</v>
      </c>
      <c r="J113" s="278">
        <f t="shared" si="30"/>
        <v>1208.9166992569417</v>
      </c>
      <c r="K113" s="245">
        <f t="shared" si="30"/>
        <v>51983.418068048493</v>
      </c>
      <c r="L113" s="246">
        <f t="shared" si="30"/>
        <v>51983.418068048493</v>
      </c>
      <c r="M113" s="169">
        <f t="shared" si="30"/>
        <v>1257.2733672272193</v>
      </c>
      <c r="N113" s="166">
        <f t="shared" si="30"/>
        <v>54062.754790770428</v>
      </c>
      <c r="O113" s="167">
        <f t="shared" si="30"/>
        <v>54062.754790770428</v>
      </c>
      <c r="P113" s="278">
        <f t="shared" si="30"/>
        <v>1282.4188345717637</v>
      </c>
      <c r="Q113" s="245">
        <f t="shared" si="30"/>
        <v>55144.009886585838</v>
      </c>
      <c r="R113" s="246">
        <f t="shared" si="30"/>
        <v>55144.009886585838</v>
      </c>
      <c r="S113" s="167">
        <f t="shared" si="30"/>
        <v>0</v>
      </c>
      <c r="T113" s="167">
        <f>T52</f>
        <v>53730.060915134927</v>
      </c>
      <c r="U113" s="474" t="s">
        <v>12</v>
      </c>
    </row>
    <row r="114" spans="2:21" ht="13" x14ac:dyDescent="0.3">
      <c r="B114" s="472" t="s">
        <v>100</v>
      </c>
      <c r="C114" s="156">
        <f t="shared" ref="C114:U114" si="31">C67</f>
        <v>0</v>
      </c>
      <c r="D114" s="21">
        <f t="shared" si="31"/>
        <v>0.25</v>
      </c>
      <c r="E114" s="21">
        <f t="shared" si="31"/>
        <v>7</v>
      </c>
      <c r="F114" s="21">
        <f t="shared" si="31"/>
        <v>13</v>
      </c>
      <c r="G114" s="21">
        <f t="shared" si="31"/>
        <v>0</v>
      </c>
      <c r="H114" s="21">
        <f t="shared" si="31"/>
        <v>0</v>
      </c>
      <c r="I114" s="157">
        <f t="shared" si="31"/>
        <v>20.25</v>
      </c>
      <c r="J114" s="279" t="str">
        <f t="shared" si="31"/>
        <v>NA</v>
      </c>
      <c r="K114" s="280">
        <f t="shared" si="31"/>
        <v>870.75</v>
      </c>
      <c r="L114" s="281">
        <f t="shared" si="31"/>
        <v>870.75</v>
      </c>
      <c r="M114" s="158" t="str">
        <f t="shared" si="31"/>
        <v>NA</v>
      </c>
      <c r="N114" s="21">
        <f t="shared" si="31"/>
        <v>870.75</v>
      </c>
      <c r="O114" s="157">
        <f t="shared" si="31"/>
        <v>870.75</v>
      </c>
      <c r="P114" s="279" t="str">
        <f t="shared" si="31"/>
        <v>NA</v>
      </c>
      <c r="Q114" s="280">
        <f t="shared" si="31"/>
        <v>870.75</v>
      </c>
      <c r="R114" s="281">
        <f t="shared" si="31"/>
        <v>870.75</v>
      </c>
      <c r="S114" s="157">
        <f t="shared" si="31"/>
        <v>870.75</v>
      </c>
      <c r="T114" s="170" t="str">
        <f t="shared" si="31"/>
        <v>NA</v>
      </c>
      <c r="U114" s="475" t="str">
        <f t="shared" si="31"/>
        <v>NA</v>
      </c>
    </row>
    <row r="115" spans="2:21" ht="13.5" thickBot="1" x14ac:dyDescent="0.35">
      <c r="B115" s="471" t="s">
        <v>76</v>
      </c>
      <c r="C115" s="165">
        <f t="shared" ref="C115:T115" si="32">C68</f>
        <v>0</v>
      </c>
      <c r="D115" s="166">
        <f t="shared" si="32"/>
        <v>6</v>
      </c>
      <c r="E115" s="166">
        <f t="shared" si="32"/>
        <v>176</v>
      </c>
      <c r="F115" s="166">
        <f t="shared" si="32"/>
        <v>359</v>
      </c>
      <c r="G115" s="166">
        <f t="shared" si="32"/>
        <v>0</v>
      </c>
      <c r="H115" s="166">
        <f t="shared" si="32"/>
        <v>0</v>
      </c>
      <c r="I115" s="167">
        <f t="shared" si="32"/>
        <v>541</v>
      </c>
      <c r="J115" s="278">
        <f t="shared" si="32"/>
        <v>1157.3281660899652</v>
      </c>
      <c r="K115" s="245">
        <f t="shared" si="32"/>
        <v>49351.168442906564</v>
      </c>
      <c r="L115" s="246">
        <f t="shared" si="32"/>
        <v>49351.168442906564</v>
      </c>
      <c r="M115" s="165">
        <f t="shared" si="32"/>
        <v>1203.6212927335641</v>
      </c>
      <c r="N115" s="166">
        <f t="shared" si="32"/>
        <v>51325.215180622843</v>
      </c>
      <c r="O115" s="167">
        <f t="shared" si="32"/>
        <v>51325.215180622843</v>
      </c>
      <c r="P115" s="284">
        <f t="shared" si="32"/>
        <v>1227.6937185882352</v>
      </c>
      <c r="Q115" s="245">
        <f t="shared" si="32"/>
        <v>52351.719484235284</v>
      </c>
      <c r="R115" s="246">
        <f t="shared" si="32"/>
        <v>52351.719484235284</v>
      </c>
      <c r="S115" s="167">
        <f t="shared" si="32"/>
        <v>51009.367702588228</v>
      </c>
      <c r="T115" s="168" t="str">
        <f t="shared" si="32"/>
        <v>NA</v>
      </c>
      <c r="U115" s="322" t="s">
        <v>12</v>
      </c>
    </row>
    <row r="116" spans="2:21" ht="13" x14ac:dyDescent="0.3">
      <c r="B116" s="472" t="s">
        <v>101</v>
      </c>
      <c r="C116" s="171">
        <f t="shared" ref="C116:S116" si="33">C91</f>
        <v>0</v>
      </c>
      <c r="D116" s="172">
        <f t="shared" si="33"/>
        <v>25</v>
      </c>
      <c r="E116" s="172">
        <f t="shared" si="33"/>
        <v>69</v>
      </c>
      <c r="F116" s="172">
        <f t="shared" si="33"/>
        <v>48</v>
      </c>
      <c r="G116" s="172">
        <f t="shared" si="33"/>
        <v>8</v>
      </c>
      <c r="H116" s="172">
        <f t="shared" si="33"/>
        <v>0</v>
      </c>
      <c r="I116" s="54">
        <f t="shared" si="33"/>
        <v>150</v>
      </c>
      <c r="J116" s="282" t="str">
        <f t="shared" si="33"/>
        <v>NA</v>
      </c>
      <c r="K116" s="263" t="str">
        <f t="shared" si="33"/>
        <v>NA</v>
      </c>
      <c r="L116" s="243">
        <f t="shared" si="33"/>
        <v>5922</v>
      </c>
      <c r="M116" s="173" t="str">
        <f t="shared" si="33"/>
        <v>NA</v>
      </c>
      <c r="N116" s="36" t="str">
        <f t="shared" si="33"/>
        <v>NA</v>
      </c>
      <c r="O116" s="54">
        <f t="shared" si="33"/>
        <v>5922</v>
      </c>
      <c r="P116" s="282" t="str">
        <f t="shared" si="33"/>
        <v>NA</v>
      </c>
      <c r="Q116" s="263" t="str">
        <f t="shared" si="33"/>
        <v>NA</v>
      </c>
      <c r="R116" s="243">
        <f t="shared" si="33"/>
        <v>5922</v>
      </c>
      <c r="S116" s="54">
        <f t="shared" si="33"/>
        <v>5922</v>
      </c>
      <c r="T116" s="42" t="s">
        <v>12</v>
      </c>
      <c r="U116" s="119" t="s">
        <v>12</v>
      </c>
    </row>
    <row r="117" spans="2:21" ht="13.5" thickBot="1" x14ac:dyDescent="0.35">
      <c r="B117" s="471" t="s">
        <v>76</v>
      </c>
      <c r="C117" s="165">
        <f t="shared" ref="C117:S117" si="34">C92</f>
        <v>0</v>
      </c>
      <c r="D117" s="166">
        <f t="shared" si="34"/>
        <v>605</v>
      </c>
      <c r="E117" s="166">
        <f t="shared" si="34"/>
        <v>1740</v>
      </c>
      <c r="F117" s="166">
        <f t="shared" si="34"/>
        <v>1323</v>
      </c>
      <c r="G117" s="166">
        <f t="shared" si="34"/>
        <v>251</v>
      </c>
      <c r="H117" s="166">
        <f t="shared" si="34"/>
        <v>0</v>
      </c>
      <c r="I117" s="167">
        <f t="shared" si="34"/>
        <v>3919</v>
      </c>
      <c r="J117" s="278">
        <f t="shared" si="34"/>
        <v>8383.6766782006907</v>
      </c>
      <c r="K117" s="283" t="str">
        <f t="shared" si="34"/>
        <v>NA</v>
      </c>
      <c r="L117" s="246">
        <f t="shared" si="34"/>
        <v>328796.29021453287</v>
      </c>
      <c r="M117" s="169">
        <f t="shared" si="34"/>
        <v>8719.0237453287209</v>
      </c>
      <c r="N117" s="175" t="str">
        <f t="shared" si="34"/>
        <v>NA</v>
      </c>
      <c r="O117" s="167">
        <f t="shared" si="34"/>
        <v>341948.14182311425</v>
      </c>
      <c r="P117" s="278">
        <f t="shared" si="34"/>
        <v>8893.4042202352939</v>
      </c>
      <c r="Q117" s="283" t="str">
        <f t="shared" si="34"/>
        <v>NA</v>
      </c>
      <c r="R117" s="246">
        <f t="shared" si="34"/>
        <v>348787.10465957643</v>
      </c>
      <c r="S117" s="167">
        <f t="shared" si="34"/>
        <v>339843.84556574118</v>
      </c>
      <c r="T117" s="167">
        <f>T92</f>
        <v>0</v>
      </c>
      <c r="U117" s="322" t="s">
        <v>12</v>
      </c>
    </row>
    <row r="118" spans="2:21" ht="13" x14ac:dyDescent="0.3">
      <c r="B118" s="472" t="s">
        <v>102</v>
      </c>
      <c r="C118" s="156">
        <f t="shared" ref="C118:S118" si="35">C101</f>
        <v>0</v>
      </c>
      <c r="D118" s="21">
        <f t="shared" si="35"/>
        <v>0</v>
      </c>
      <c r="E118" s="21">
        <f t="shared" si="35"/>
        <v>16</v>
      </c>
      <c r="F118" s="21">
        <f t="shared" si="35"/>
        <v>8</v>
      </c>
      <c r="G118" s="21">
        <f t="shared" si="35"/>
        <v>12</v>
      </c>
      <c r="H118" s="21">
        <f t="shared" si="35"/>
        <v>6</v>
      </c>
      <c r="I118" s="157">
        <f t="shared" si="35"/>
        <v>42</v>
      </c>
      <c r="J118" s="279" t="str">
        <f t="shared" si="35"/>
        <v>NA</v>
      </c>
      <c r="K118" s="280">
        <f t="shared" si="35"/>
        <v>1806</v>
      </c>
      <c r="L118" s="281">
        <f t="shared" si="35"/>
        <v>1806</v>
      </c>
      <c r="M118" s="158" t="str">
        <f t="shared" si="35"/>
        <v>NA</v>
      </c>
      <c r="N118" s="21">
        <f t="shared" si="35"/>
        <v>1806</v>
      </c>
      <c r="O118" s="157">
        <f t="shared" si="35"/>
        <v>1806</v>
      </c>
      <c r="P118" s="279" t="str">
        <f t="shared" si="35"/>
        <v>NA</v>
      </c>
      <c r="Q118" s="280">
        <f t="shared" si="35"/>
        <v>1806</v>
      </c>
      <c r="R118" s="281">
        <f t="shared" si="35"/>
        <v>1806</v>
      </c>
      <c r="S118" s="157">
        <f t="shared" si="35"/>
        <v>1806</v>
      </c>
      <c r="T118" s="42" t="s">
        <v>12</v>
      </c>
      <c r="U118" s="119" t="s">
        <v>12</v>
      </c>
    </row>
    <row r="119" spans="2:21" ht="13.5" thickBot="1" x14ac:dyDescent="0.35">
      <c r="B119" s="476" t="s">
        <v>76</v>
      </c>
      <c r="C119" s="176">
        <f t="shared" ref="C119:S119" si="36">C102</f>
        <v>0</v>
      </c>
      <c r="D119" s="177">
        <f t="shared" si="36"/>
        <v>0</v>
      </c>
      <c r="E119" s="177">
        <f t="shared" si="36"/>
        <v>404</v>
      </c>
      <c r="F119" s="177">
        <f t="shared" si="36"/>
        <v>221</v>
      </c>
      <c r="G119" s="177">
        <f t="shared" si="36"/>
        <v>375</v>
      </c>
      <c r="H119" s="177">
        <f t="shared" si="36"/>
        <v>227</v>
      </c>
      <c r="I119" s="178">
        <f t="shared" si="36"/>
        <v>1227</v>
      </c>
      <c r="J119" s="252">
        <f t="shared" si="36"/>
        <v>2624.845951557093</v>
      </c>
      <c r="K119" s="253">
        <f t="shared" si="36"/>
        <v>112868.375916955</v>
      </c>
      <c r="L119" s="254">
        <f t="shared" si="36"/>
        <v>112868.375916955</v>
      </c>
      <c r="M119" s="176">
        <f t="shared" si="36"/>
        <v>2729.8397896193774</v>
      </c>
      <c r="N119" s="177">
        <f t="shared" si="36"/>
        <v>117383.11095363322</v>
      </c>
      <c r="O119" s="178">
        <f t="shared" si="36"/>
        <v>117383.11095363322</v>
      </c>
      <c r="P119" s="259">
        <f t="shared" si="36"/>
        <v>2784.4365854117641</v>
      </c>
      <c r="Q119" s="253">
        <f t="shared" si="36"/>
        <v>119730.77317270587</v>
      </c>
      <c r="R119" s="254">
        <f t="shared" si="36"/>
        <v>119730.77317270587</v>
      </c>
      <c r="S119" s="178">
        <f t="shared" si="36"/>
        <v>116660.75334776468</v>
      </c>
      <c r="T119" s="179" t="str">
        <f>T102</f>
        <v>NA</v>
      </c>
      <c r="U119" s="180" t="s">
        <v>12</v>
      </c>
    </row>
    <row r="120" spans="2:21" ht="18.5" thickTop="1" x14ac:dyDescent="0.4">
      <c r="B120" s="477" t="s">
        <v>13</v>
      </c>
      <c r="C120" s="88" t="s">
        <v>45</v>
      </c>
      <c r="D120" s="86" t="s">
        <v>46</v>
      </c>
      <c r="E120" s="86" t="s">
        <v>47</v>
      </c>
      <c r="F120" s="86" t="s">
        <v>48</v>
      </c>
      <c r="G120" s="86" t="s">
        <v>49</v>
      </c>
      <c r="H120" s="86" t="s">
        <v>50</v>
      </c>
      <c r="I120" s="87" t="s">
        <v>13</v>
      </c>
      <c r="J120" s="88" t="s">
        <v>56</v>
      </c>
      <c r="K120" s="86" t="s">
        <v>13</v>
      </c>
      <c r="L120" s="87" t="s">
        <v>68</v>
      </c>
      <c r="M120" s="88" t="s">
        <v>56</v>
      </c>
      <c r="N120" s="86" t="s">
        <v>13</v>
      </c>
      <c r="O120" s="87" t="s">
        <v>68</v>
      </c>
      <c r="P120" s="88" t="s">
        <v>56</v>
      </c>
      <c r="Q120" s="86" t="s">
        <v>13</v>
      </c>
      <c r="R120" s="87" t="s">
        <v>68</v>
      </c>
      <c r="S120" s="87"/>
      <c r="T120" s="31"/>
      <c r="U120" s="111"/>
    </row>
    <row r="121" spans="2:21" x14ac:dyDescent="0.25">
      <c r="B121" s="478" t="s">
        <v>75</v>
      </c>
      <c r="C121" s="154">
        <f t="shared" ref="C121:I122" si="37">C106+C108+C110+C112+C114+C116+C118</f>
        <v>0</v>
      </c>
      <c r="D121" s="58">
        <f t="shared" si="37"/>
        <v>25.25</v>
      </c>
      <c r="E121" s="58">
        <f t="shared" si="37"/>
        <v>92</v>
      </c>
      <c r="F121" s="58">
        <f t="shared" si="37"/>
        <v>69</v>
      </c>
      <c r="G121" s="58">
        <f t="shared" si="37"/>
        <v>20</v>
      </c>
      <c r="H121" s="58">
        <f t="shared" si="37"/>
        <v>6</v>
      </c>
      <c r="I121" s="57">
        <f t="shared" si="37"/>
        <v>212.25</v>
      </c>
      <c r="J121" s="285" t="s">
        <v>12</v>
      </c>
      <c r="K121" s="231">
        <f>K106+K108+K110+K112+K114+K118</f>
        <v>2676.75</v>
      </c>
      <c r="L121" s="239">
        <f>L106+L108+L110+L112+L114+L116+L118</f>
        <v>8598.75</v>
      </c>
      <c r="M121" s="83" t="s">
        <v>12</v>
      </c>
      <c r="N121" s="58">
        <f>N106+N108+N110+N112+N114+N118</f>
        <v>2676.75</v>
      </c>
      <c r="O121" s="57">
        <f>O106+O108+O110+O112+O114+O116+O118</f>
        <v>8598.75</v>
      </c>
      <c r="P121" s="285" t="s">
        <v>12</v>
      </c>
      <c r="Q121" s="231">
        <f>Q106+Q108+Q110+Q112+Q114+Q118</f>
        <v>2676.75</v>
      </c>
      <c r="R121" s="239">
        <f>R106+R108+R110+R112+R114+R116+R118</f>
        <v>8598.75</v>
      </c>
      <c r="S121" s="141">
        <f>S106+S108+S110+S112+S114+S116+S118</f>
        <v>8598.75</v>
      </c>
      <c r="T121" s="57"/>
      <c r="U121" s="113" t="s">
        <v>12</v>
      </c>
    </row>
    <row r="122" spans="2:21" s="189" customFormat="1" ht="16" thickBot="1" x14ac:dyDescent="0.4">
      <c r="B122" s="479" t="s">
        <v>76</v>
      </c>
      <c r="C122" s="480">
        <f t="shared" si="37"/>
        <v>0</v>
      </c>
      <c r="D122" s="481">
        <f t="shared" si="37"/>
        <v>611</v>
      </c>
      <c r="E122" s="481">
        <f t="shared" si="37"/>
        <v>2320</v>
      </c>
      <c r="F122" s="481">
        <f t="shared" si="37"/>
        <v>1903</v>
      </c>
      <c r="G122" s="481">
        <f t="shared" si="37"/>
        <v>626</v>
      </c>
      <c r="H122" s="481">
        <f t="shared" si="37"/>
        <v>227</v>
      </c>
      <c r="I122" s="482">
        <f t="shared" si="37"/>
        <v>5687</v>
      </c>
      <c r="J122" s="483">
        <f>J107+J109+J111+J113+J115+J117+J119</f>
        <v>14341.900854510244</v>
      </c>
      <c r="K122" s="484">
        <f>K107+K109+K111+K113+K115+K119</f>
        <v>255789.69688234886</v>
      </c>
      <c r="L122" s="485">
        <f>L107+L109+L111+L113+L115+L117+L119</f>
        <v>797718.00117588066</v>
      </c>
      <c r="M122" s="480">
        <f>M107+M109+M111+M113+M115+M117+M119</f>
        <v>14915.576888690659</v>
      </c>
      <c r="N122" s="486">
        <f>N107+N109+N111+N113+N115+N119</f>
        <v>266021.28475764283</v>
      </c>
      <c r="O122" s="482">
        <f>O107+O109+O111+O113+O115+O117+O119</f>
        <v>829626.7212229158</v>
      </c>
      <c r="P122" s="487">
        <f>P107+P109+P111+P113+P115+P117+P119</f>
        <v>15213.888426464468</v>
      </c>
      <c r="Q122" s="484">
        <f>Q107+Q109+Q111+Q113+Q115+Q119</f>
        <v>271341.71045279567</v>
      </c>
      <c r="R122" s="485">
        <f>R107+R109+R111+R113+R115+R117+R119</f>
        <v>846219.25564737408</v>
      </c>
      <c r="S122" s="488">
        <f>S107+S109+S111+S113+S115+S117+S119</f>
        <v>550498.01534820208</v>
      </c>
      <c r="T122" s="482">
        <f>SUM(T107,T109,T111,T113,T115,T117,T119)</f>
        <v>96714.109647242876</v>
      </c>
      <c r="U122" s="489">
        <f>SUM(U107,U109,U111,U113,U115,U117,U119)</f>
        <v>220293.24975205318</v>
      </c>
    </row>
    <row r="123" spans="2:21" ht="13" x14ac:dyDescent="0.3">
      <c r="B123" s="1" t="s">
        <v>159</v>
      </c>
    </row>
  </sheetData>
  <mergeCells count="35">
    <mergeCell ref="Q95:R95"/>
    <mergeCell ref="Q33:R33"/>
    <mergeCell ref="Q43:R43"/>
    <mergeCell ref="Q55:R55"/>
    <mergeCell ref="Q88:R88"/>
    <mergeCell ref="Q72:R72"/>
    <mergeCell ref="G71:I71"/>
    <mergeCell ref="N88:O88"/>
    <mergeCell ref="K95:L95"/>
    <mergeCell ref="N33:O33"/>
    <mergeCell ref="N43:O43"/>
    <mergeCell ref="N72:O72"/>
    <mergeCell ref="N95:O95"/>
    <mergeCell ref="N55:O55"/>
    <mergeCell ref="K33:L33"/>
    <mergeCell ref="G94:I94"/>
    <mergeCell ref="K72:L72"/>
    <mergeCell ref="K55:L55"/>
    <mergeCell ref="G54:I54"/>
    <mergeCell ref="G33:I33"/>
    <mergeCell ref="K43:L43"/>
    <mergeCell ref="G19:I19"/>
    <mergeCell ref="G32:I32"/>
    <mergeCell ref="G43:I43"/>
    <mergeCell ref="G42:I42"/>
    <mergeCell ref="S2:T2"/>
    <mergeCell ref="Q20:R20"/>
    <mergeCell ref="G8:I8"/>
    <mergeCell ref="K20:L20"/>
    <mergeCell ref="F2:G2"/>
    <mergeCell ref="C6:I6"/>
    <mergeCell ref="Q9:R9"/>
    <mergeCell ref="K9:L9"/>
    <mergeCell ref="N9:O9"/>
    <mergeCell ref="N20:O20"/>
  </mergeCells>
  <phoneticPr fontId="2" type="noConversion"/>
  <dataValidations disablePrompts="1" count="1">
    <dataValidation allowBlank="1" showInputMessage="1" showErrorMessage="1" sqref="D35 D22" xr:uid="{00000000-0002-0000-0C00-000000000000}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18"/>
  <sheetViews>
    <sheetView topLeftCell="E45" zoomScaleNormal="100" workbookViewId="0">
      <selection activeCell="P65" sqref="P65"/>
    </sheetView>
  </sheetViews>
  <sheetFormatPr defaultRowHeight="12.5" x14ac:dyDescent="0.25"/>
  <cols>
    <col min="1" max="1" width="1.1796875" customWidth="1"/>
    <col min="2" max="2" width="31.453125" customWidth="1"/>
    <col min="3" max="3" width="12.81640625" customWidth="1"/>
    <col min="4" max="4" width="10.26953125" bestFit="1" customWidth="1"/>
    <col min="5" max="5" width="11.26953125" customWidth="1"/>
    <col min="6" max="6" width="9.7265625" style="5" customWidth="1"/>
    <col min="7" max="7" width="9.7265625" bestFit="1" customWidth="1"/>
    <col min="8" max="8" width="9.81640625" bestFit="1" customWidth="1"/>
    <col min="9" max="9" width="13.26953125" customWidth="1"/>
    <col min="10" max="10" width="15" customWidth="1"/>
    <col min="11" max="11" width="14.453125" customWidth="1"/>
    <col min="12" max="12" width="14.26953125" bestFit="1" customWidth="1"/>
    <col min="13" max="13" width="15.54296875" customWidth="1"/>
    <col min="14" max="14" width="14.54296875" customWidth="1"/>
    <col min="15" max="15" width="14.453125" customWidth="1"/>
    <col min="16" max="16" width="15" customWidth="1"/>
    <col min="17" max="17" width="13.81640625" customWidth="1"/>
    <col min="18" max="18" width="14" customWidth="1"/>
    <col min="19" max="19" width="14.54296875" customWidth="1"/>
    <col min="20" max="20" width="14" customWidth="1"/>
    <col min="21" max="21" width="13.26953125" bestFit="1" customWidth="1"/>
  </cols>
  <sheetData>
    <row r="1" spans="1:21" ht="4.5" customHeight="1" thickBot="1" x14ac:dyDescent="0.3">
      <c r="B1" s="335"/>
      <c r="C1" s="335"/>
      <c r="D1" s="335"/>
      <c r="E1" s="335"/>
      <c r="F1" s="336"/>
      <c r="G1" s="335"/>
      <c r="H1" s="335"/>
      <c r="I1" s="335"/>
      <c r="J1" s="335"/>
      <c r="K1" s="335"/>
      <c r="L1" s="335"/>
      <c r="M1" s="335"/>
    </row>
    <row r="2" spans="1:21" ht="18.5" thickTop="1" x14ac:dyDescent="0.4">
      <c r="A2" s="510"/>
      <c r="B2" s="494" t="s">
        <v>0</v>
      </c>
      <c r="C2" s="537" t="s">
        <v>163</v>
      </c>
      <c r="E2" s="326" t="s">
        <v>31</v>
      </c>
      <c r="F2" s="1172">
        <v>43331</v>
      </c>
      <c r="G2" s="1173"/>
      <c r="J2" s="492" t="s">
        <v>5</v>
      </c>
      <c r="K2" s="493">
        <v>2023</v>
      </c>
      <c r="M2" s="490" t="s">
        <v>10</v>
      </c>
      <c r="N2" s="452">
        <f>K2+1</f>
        <v>2024</v>
      </c>
      <c r="O2" s="451"/>
      <c r="P2" s="453" t="s">
        <v>11</v>
      </c>
      <c r="Q2" s="452">
        <f>N2+1</f>
        <v>2025</v>
      </c>
      <c r="R2" s="454"/>
      <c r="S2" s="1165" t="s">
        <v>77</v>
      </c>
      <c r="T2" s="1166"/>
      <c r="U2" s="455" t="s">
        <v>79</v>
      </c>
    </row>
    <row r="3" spans="1:21" ht="15.5" x14ac:dyDescent="0.35">
      <c r="A3" s="510"/>
      <c r="C3" s="1"/>
      <c r="D3" s="25"/>
      <c r="E3" s="2"/>
      <c r="I3" s="326" t="s">
        <v>59</v>
      </c>
      <c r="J3" s="144"/>
      <c r="L3" s="145"/>
      <c r="O3" s="31"/>
      <c r="R3" s="31"/>
      <c r="S3" s="90" t="s">
        <v>71</v>
      </c>
      <c r="T3" s="91">
        <f>AVERAGE(J5,M5,P5)</f>
        <v>39</v>
      </c>
      <c r="U3" s="31"/>
    </row>
    <row r="4" spans="1:21" ht="13" x14ac:dyDescent="0.3">
      <c r="A4" s="510"/>
      <c r="I4" s="43">
        <v>0.05</v>
      </c>
      <c r="J4" s="326" t="s">
        <v>71</v>
      </c>
      <c r="K4" s="349" t="s">
        <v>72</v>
      </c>
      <c r="L4" s="17">
        <v>43</v>
      </c>
      <c r="M4" s="326" t="s">
        <v>71</v>
      </c>
      <c r="N4" s="349" t="s">
        <v>69</v>
      </c>
      <c r="O4" s="17">
        <v>43</v>
      </c>
      <c r="P4" s="326" t="s">
        <v>71</v>
      </c>
      <c r="Q4" s="349" t="s">
        <v>69</v>
      </c>
      <c r="R4" s="17">
        <v>43</v>
      </c>
      <c r="S4" s="90" t="s">
        <v>69</v>
      </c>
      <c r="T4" s="85">
        <f>AVERAGE(L4,O4,R4)</f>
        <v>43</v>
      </c>
      <c r="U4" s="31"/>
    </row>
    <row r="5" spans="1:21" ht="12.75" customHeight="1" thickBot="1" x14ac:dyDescent="0.35">
      <c r="A5" s="510"/>
      <c r="B5" s="495" t="s">
        <v>2</v>
      </c>
      <c r="C5" s="1174"/>
      <c r="D5" s="1175"/>
      <c r="E5" s="1175"/>
      <c r="F5" s="1175"/>
      <c r="G5" s="1175"/>
      <c r="H5" s="1175"/>
      <c r="I5" s="1175"/>
      <c r="J5" s="286">
        <v>39</v>
      </c>
      <c r="K5" s="287" t="s">
        <v>70</v>
      </c>
      <c r="L5" s="288">
        <f>L4*$I$4</f>
        <v>2.15</v>
      </c>
      <c r="M5" s="526">
        <v>39</v>
      </c>
      <c r="N5" s="287" t="s">
        <v>70</v>
      </c>
      <c r="O5" s="289">
        <f>O4*$I$4</f>
        <v>2.15</v>
      </c>
      <c r="P5" s="525">
        <v>39</v>
      </c>
      <c r="Q5" s="287" t="s">
        <v>70</v>
      </c>
      <c r="R5" s="288">
        <f>R4*$I$4</f>
        <v>2.15</v>
      </c>
      <c r="S5" s="191" t="s">
        <v>70</v>
      </c>
      <c r="T5" s="192">
        <f>AVERAGE(L5,O5,R5)</f>
        <v>2.15</v>
      </c>
      <c r="U5" s="31"/>
    </row>
    <row r="6" spans="1:21" ht="30" customHeight="1" thickTop="1" thickBot="1" x14ac:dyDescent="0.45">
      <c r="A6" s="510"/>
      <c r="B6" s="496" t="s">
        <v>73</v>
      </c>
      <c r="C6" s="3"/>
      <c r="D6" s="3"/>
      <c r="E6" s="3"/>
      <c r="F6" s="9"/>
      <c r="G6" s="3"/>
      <c r="H6" s="3"/>
      <c r="I6" s="3"/>
      <c r="J6" s="447"/>
      <c r="K6" s="3"/>
      <c r="L6" s="3"/>
      <c r="M6" s="447"/>
      <c r="N6" s="3"/>
      <c r="O6" s="3"/>
      <c r="P6" s="447"/>
      <c r="Q6" s="3"/>
      <c r="R6" s="3"/>
      <c r="S6" s="448" t="s">
        <v>17</v>
      </c>
      <c r="T6" s="449" t="s">
        <v>103</v>
      </c>
      <c r="U6" s="450"/>
    </row>
    <row r="7" spans="1:21" ht="15.5" x14ac:dyDescent="0.35">
      <c r="A7" s="510"/>
      <c r="B7" s="48" t="s">
        <v>3</v>
      </c>
      <c r="C7" s="193"/>
      <c r="D7" s="349" t="s">
        <v>54</v>
      </c>
      <c r="E7" s="24">
        <v>5</v>
      </c>
      <c r="F7" s="1" t="s">
        <v>6</v>
      </c>
      <c r="G7" s="1169"/>
      <c r="H7" s="1170"/>
      <c r="I7" s="1171"/>
      <c r="J7" s="72" t="s">
        <v>3</v>
      </c>
      <c r="K7" s="146"/>
      <c r="L7" s="62"/>
      <c r="M7" s="48" t="s">
        <v>3</v>
      </c>
      <c r="O7" s="31"/>
      <c r="P7" s="48" t="s">
        <v>3</v>
      </c>
      <c r="R7" s="31"/>
      <c r="S7" s="99"/>
      <c r="T7" s="92"/>
      <c r="U7" s="114"/>
    </row>
    <row r="8" spans="1:21" ht="13" x14ac:dyDescent="0.3">
      <c r="A8" s="510"/>
      <c r="B8" s="497" t="s">
        <v>162</v>
      </c>
      <c r="C8" s="4"/>
      <c r="D8" s="4"/>
      <c r="E8" s="4"/>
      <c r="F8" s="8"/>
      <c r="G8" s="4"/>
      <c r="H8" s="4"/>
      <c r="I8" s="40" t="s">
        <v>55</v>
      </c>
      <c r="J8" s="209" t="s">
        <v>55</v>
      </c>
      <c r="K8" s="1176" t="s">
        <v>57</v>
      </c>
      <c r="L8" s="1168"/>
      <c r="M8" s="50" t="s">
        <v>55</v>
      </c>
      <c r="N8" s="1177" t="s">
        <v>57</v>
      </c>
      <c r="O8" s="1178"/>
      <c r="P8" s="227" t="s">
        <v>55</v>
      </c>
      <c r="Q8" s="1167" t="s">
        <v>57</v>
      </c>
      <c r="R8" s="1168"/>
      <c r="S8" s="100"/>
      <c r="T8" s="118"/>
      <c r="U8" s="116"/>
    </row>
    <row r="9" spans="1:21" ht="13" x14ac:dyDescent="0.3">
      <c r="A9" s="510"/>
      <c r="B9" s="498" t="s">
        <v>53</v>
      </c>
      <c r="C9" s="20" t="s">
        <v>45</v>
      </c>
      <c r="D9" s="20" t="s">
        <v>46</v>
      </c>
      <c r="E9" s="20" t="s">
        <v>47</v>
      </c>
      <c r="F9" s="20" t="s">
        <v>48</v>
      </c>
      <c r="G9" s="20" t="s">
        <v>49</v>
      </c>
      <c r="H9" s="20" t="s">
        <v>50</v>
      </c>
      <c r="I9" s="40" t="s">
        <v>13</v>
      </c>
      <c r="J9" s="210" t="s">
        <v>56</v>
      </c>
      <c r="K9" s="211" t="s">
        <v>13</v>
      </c>
      <c r="L9" s="212" t="s">
        <v>68</v>
      </c>
      <c r="M9" s="66" t="s">
        <v>56</v>
      </c>
      <c r="N9" s="20" t="s">
        <v>13</v>
      </c>
      <c r="O9" s="32" t="s">
        <v>68</v>
      </c>
      <c r="P9" s="211" t="s">
        <v>56</v>
      </c>
      <c r="Q9" s="211" t="s">
        <v>13</v>
      </c>
      <c r="R9" s="212" t="s">
        <v>68</v>
      </c>
      <c r="S9" s="98"/>
      <c r="T9" s="44"/>
      <c r="U9" s="117"/>
    </row>
    <row r="10" spans="1:21" x14ac:dyDescent="0.25">
      <c r="A10" s="510"/>
      <c r="B10" s="499" t="s">
        <v>51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41">
        <f>SUM(C10:H10)</f>
        <v>0</v>
      </c>
      <c r="J10" s="213" t="s">
        <v>12</v>
      </c>
      <c r="K10" s="214">
        <f>I10*$J$5</f>
        <v>0</v>
      </c>
      <c r="L10" s="215">
        <f>K10/$E$7</f>
        <v>0</v>
      </c>
      <c r="M10" s="51" t="s">
        <v>12</v>
      </c>
      <c r="N10" s="351">
        <f>I10*$M$5</f>
        <v>0</v>
      </c>
      <c r="O10" s="57">
        <f>N10/$E$7</f>
        <v>0</v>
      </c>
      <c r="P10" s="213" t="s">
        <v>12</v>
      </c>
      <c r="Q10" s="352">
        <f>$I10*$M$5</f>
        <v>0</v>
      </c>
      <c r="R10" s="239">
        <f>Q10/$E$7</f>
        <v>0</v>
      </c>
      <c r="S10" s="96">
        <f>AVERAGE(L10,O10,R10)</f>
        <v>0</v>
      </c>
      <c r="T10" s="94" t="s">
        <v>12</v>
      </c>
      <c r="U10" s="94" t="s">
        <v>12</v>
      </c>
    </row>
    <row r="11" spans="1:21" s="1" customFormat="1" ht="13.5" thickBot="1" x14ac:dyDescent="0.35">
      <c r="A11" s="511"/>
      <c r="B11" s="327" t="s">
        <v>52</v>
      </c>
      <c r="C11" s="20">
        <f>ROUND(C10*Labor!$D$3,0)</f>
        <v>0</v>
      </c>
      <c r="D11" s="20">
        <f>ROUND(D10*Labor!$D$4,0)</f>
        <v>0</v>
      </c>
      <c r="E11" s="20">
        <f>ROUND(E10*Labor!$D$5,0)</f>
        <v>0</v>
      </c>
      <c r="F11" s="20">
        <f>ROUND(F10*Labor!$D$6,0)</f>
        <v>0</v>
      </c>
      <c r="G11" s="20">
        <f>ROUND(G10*Labor!$D$7,0)</f>
        <v>0</v>
      </c>
      <c r="H11" s="20">
        <f>ROUND(H10*Labor!$D$8,0)</f>
        <v>0</v>
      </c>
      <c r="I11" s="314">
        <f>SUM(C11:H11)</f>
        <v>0</v>
      </c>
      <c r="J11" s="284">
        <f>HLOOKUP(K$2,InflationTable,2)/HLOOKUP(Labor!$B$11,InflationTable,2)*$I11</f>
        <v>0</v>
      </c>
      <c r="K11" s="315">
        <f>J11*$J$5</f>
        <v>0</v>
      </c>
      <c r="L11" s="316">
        <f>K11/$E$7</f>
        <v>0</v>
      </c>
      <c r="M11" s="169">
        <f>HLOOKUP(N$2,InflationTable,2)/HLOOKUP(Labor!$B$11,InflationTable,2)*$I11</f>
        <v>0</v>
      </c>
      <c r="N11" s="317">
        <f>M11*$J$5</f>
        <v>0</v>
      </c>
      <c r="O11" s="318">
        <f>N11/$E$7</f>
        <v>0</v>
      </c>
      <c r="P11" s="284">
        <f>HLOOKUP(Q$2,InflationTable,2)/HLOOKUP(Labor!$B$11,InflationTable,2)*$I11</f>
        <v>0</v>
      </c>
      <c r="Q11" s="315">
        <f>P11*$J$5</f>
        <v>0</v>
      </c>
      <c r="R11" s="316">
        <f>Q11/$E$7</f>
        <v>0</v>
      </c>
      <c r="S11" s="312">
        <f>AVERAGE(L11,O11,R11)</f>
        <v>0</v>
      </c>
      <c r="T11" s="313" t="s">
        <v>12</v>
      </c>
      <c r="U11" s="313" t="s">
        <v>12</v>
      </c>
    </row>
    <row r="12" spans="1:21" ht="13" x14ac:dyDescent="0.3">
      <c r="A12" s="510"/>
      <c r="B12" s="501" t="s">
        <v>66</v>
      </c>
      <c r="C12" s="28">
        <f>C10</f>
        <v>0</v>
      </c>
      <c r="D12" s="28">
        <f t="shared" ref="D12:I12" si="0">D10</f>
        <v>0</v>
      </c>
      <c r="E12" s="28">
        <f t="shared" si="0"/>
        <v>0</v>
      </c>
      <c r="F12" s="28">
        <f t="shared" si="0"/>
        <v>0</v>
      </c>
      <c r="G12" s="28">
        <f t="shared" si="0"/>
        <v>0</v>
      </c>
      <c r="H12" s="28">
        <f t="shared" si="0"/>
        <v>0</v>
      </c>
      <c r="I12" s="28">
        <f t="shared" si="0"/>
        <v>0</v>
      </c>
      <c r="J12" s="221" t="str">
        <f t="shared" ref="J12:O12" si="1">J10</f>
        <v>NA</v>
      </c>
      <c r="K12" s="221">
        <f t="shared" si="1"/>
        <v>0</v>
      </c>
      <c r="L12" s="221">
        <f t="shared" si="1"/>
        <v>0</v>
      </c>
      <c r="M12" s="28" t="str">
        <f t="shared" si="1"/>
        <v>NA</v>
      </c>
      <c r="N12" s="28">
        <f t="shared" si="1"/>
        <v>0</v>
      </c>
      <c r="O12" s="28">
        <f t="shared" si="1"/>
        <v>0</v>
      </c>
      <c r="P12" s="221" t="str">
        <f t="shared" ref="P12:R13" si="2">P10</f>
        <v>NA</v>
      </c>
      <c r="Q12" s="221">
        <f t="shared" si="2"/>
        <v>0</v>
      </c>
      <c r="R12" s="221">
        <f t="shared" si="2"/>
        <v>0</v>
      </c>
      <c r="S12" s="96">
        <f>AVERAGE(L12,O12,R12)</f>
        <v>0</v>
      </c>
      <c r="T12" s="94" t="s">
        <v>12</v>
      </c>
      <c r="U12" s="94" t="s">
        <v>12</v>
      </c>
    </row>
    <row r="13" spans="1:21" ht="13.5" thickBot="1" x14ac:dyDescent="0.35">
      <c r="A13" s="510"/>
      <c r="B13" s="502" t="s">
        <v>67</v>
      </c>
      <c r="C13" s="194">
        <f>C11</f>
        <v>0</v>
      </c>
      <c r="D13" s="194">
        <f t="shared" ref="D13:I13" si="3">D11</f>
        <v>0</v>
      </c>
      <c r="E13" s="194">
        <f t="shared" si="3"/>
        <v>0</v>
      </c>
      <c r="F13" s="194">
        <f t="shared" si="3"/>
        <v>0</v>
      </c>
      <c r="G13" s="194">
        <f t="shared" si="3"/>
        <v>0</v>
      </c>
      <c r="H13" s="194">
        <f t="shared" si="3"/>
        <v>0</v>
      </c>
      <c r="I13" s="194">
        <f t="shared" si="3"/>
        <v>0</v>
      </c>
      <c r="J13" s="224">
        <f t="shared" ref="J13:O13" si="4">J11</f>
        <v>0</v>
      </c>
      <c r="K13" s="224">
        <f t="shared" si="4"/>
        <v>0</v>
      </c>
      <c r="L13" s="224">
        <f t="shared" si="4"/>
        <v>0</v>
      </c>
      <c r="M13" s="194">
        <f t="shared" si="4"/>
        <v>0</v>
      </c>
      <c r="N13" s="194">
        <f t="shared" si="4"/>
        <v>0</v>
      </c>
      <c r="O13" s="194">
        <f t="shared" si="4"/>
        <v>0</v>
      </c>
      <c r="P13" s="224">
        <f t="shared" si="2"/>
        <v>0</v>
      </c>
      <c r="Q13" s="224">
        <f t="shared" si="2"/>
        <v>0</v>
      </c>
      <c r="R13" s="224">
        <f t="shared" si="2"/>
        <v>0</v>
      </c>
      <c r="S13" s="169">
        <f>AVERAGE(L13,O13,R13)</f>
        <v>0</v>
      </c>
      <c r="T13" s="174" t="s">
        <v>12</v>
      </c>
      <c r="U13" s="174" t="s">
        <v>12</v>
      </c>
    </row>
    <row r="14" spans="1:21" ht="13.5" thickTop="1" thickBot="1" x14ac:dyDescent="0.3">
      <c r="A14" s="510"/>
      <c r="B14" s="512"/>
      <c r="C14" s="513"/>
      <c r="D14" s="513"/>
      <c r="E14" s="513"/>
      <c r="F14" s="513"/>
      <c r="G14" s="513"/>
      <c r="H14" s="513"/>
      <c r="I14" s="513"/>
      <c r="J14" s="513"/>
      <c r="K14" s="513"/>
      <c r="L14" s="513"/>
      <c r="M14" s="513"/>
      <c r="N14" s="335"/>
      <c r="O14" s="335"/>
      <c r="P14" s="335"/>
      <c r="Q14" s="335"/>
      <c r="R14" s="335"/>
      <c r="S14" s="335"/>
      <c r="T14" s="335"/>
      <c r="U14" s="190"/>
    </row>
    <row r="15" spans="1:21" ht="16" thickTop="1" x14ac:dyDescent="0.35">
      <c r="A15" s="510"/>
      <c r="B15" s="2" t="s">
        <v>16</v>
      </c>
      <c r="C15" s="61"/>
      <c r="D15" s="349" t="s">
        <v>54</v>
      </c>
      <c r="E15" s="59">
        <v>5</v>
      </c>
      <c r="F15" s="1" t="s">
        <v>6</v>
      </c>
      <c r="G15" s="1160"/>
      <c r="H15" s="1161"/>
      <c r="I15" s="1162"/>
      <c r="J15" s="2" t="s">
        <v>16</v>
      </c>
      <c r="L15" s="62"/>
      <c r="M15" s="2" t="s">
        <v>16</v>
      </c>
      <c r="O15" s="31"/>
      <c r="P15" s="2" t="s">
        <v>16</v>
      </c>
      <c r="R15" s="62"/>
      <c r="S15" s="97"/>
      <c r="T15" s="31"/>
      <c r="U15" s="111"/>
    </row>
    <row r="16" spans="1:21" ht="13" x14ac:dyDescent="0.3">
      <c r="A16" s="510"/>
      <c r="C16" s="86" t="s">
        <v>60</v>
      </c>
      <c r="D16" s="20" t="s">
        <v>62</v>
      </c>
      <c r="F16"/>
      <c r="H16" s="4"/>
      <c r="I16" s="37"/>
      <c r="J16" s="227" t="s">
        <v>61</v>
      </c>
      <c r="K16" s="1167" t="s">
        <v>57</v>
      </c>
      <c r="L16" s="1168"/>
      <c r="M16" s="50" t="s">
        <v>61</v>
      </c>
      <c r="N16" s="1177" t="s">
        <v>57</v>
      </c>
      <c r="O16" s="1178"/>
      <c r="P16" s="212" t="s">
        <v>61</v>
      </c>
      <c r="Q16" s="1167" t="s">
        <v>57</v>
      </c>
      <c r="R16" s="1168"/>
      <c r="S16" s="106"/>
      <c r="T16" s="31"/>
      <c r="U16" s="111"/>
    </row>
    <row r="17" spans="1:21" ht="13" x14ac:dyDescent="0.3">
      <c r="A17" s="510"/>
      <c r="B17" s="503" t="s">
        <v>58</v>
      </c>
      <c r="C17" s="20"/>
      <c r="D17" s="20"/>
      <c r="E17" s="7"/>
      <c r="F17" s="61"/>
      <c r="G17" s="61"/>
      <c r="H17" s="61"/>
      <c r="I17" s="62"/>
      <c r="J17" s="210" t="s">
        <v>56</v>
      </c>
      <c r="K17" s="211" t="s">
        <v>13</v>
      </c>
      <c r="L17" s="212" t="s">
        <v>68</v>
      </c>
      <c r="M17" s="66" t="s">
        <v>56</v>
      </c>
      <c r="N17" s="20" t="s">
        <v>13</v>
      </c>
      <c r="O17" s="32" t="s">
        <v>68</v>
      </c>
      <c r="P17" s="210" t="s">
        <v>56</v>
      </c>
      <c r="Q17" s="211" t="s">
        <v>13</v>
      </c>
      <c r="R17" s="212" t="s">
        <v>68</v>
      </c>
      <c r="S17" s="98"/>
      <c r="T17" s="31"/>
      <c r="U17" s="111"/>
    </row>
    <row r="18" spans="1:21" x14ac:dyDescent="0.25">
      <c r="A18" s="510"/>
      <c r="B18" s="504" t="s">
        <v>14</v>
      </c>
      <c r="C18" s="23">
        <f>VLOOKUP(C$2,Monitor_Costs,2,FALSE)</f>
        <v>17285</v>
      </c>
      <c r="D18" s="19">
        <f>VLOOKUP(C$2,Monitor_Costs,3,FALSE)</f>
        <v>2019</v>
      </c>
      <c r="E18" s="63"/>
      <c r="F18" s="64"/>
      <c r="G18" s="65"/>
      <c r="H18" s="65"/>
      <c r="I18" s="31"/>
      <c r="J18" s="229">
        <f>HLOOKUP(K$2,InflationTable,2)/HLOOKUP($D18,InflationTable,2)*$C18</f>
        <v>20896.125146656239</v>
      </c>
      <c r="K18" s="229">
        <f>J18*$L$4</f>
        <v>898533.38130621822</v>
      </c>
      <c r="L18" s="230">
        <f>K18/$E$15</f>
        <v>179706.67626124364</v>
      </c>
      <c r="M18" s="23">
        <f>HLOOKUP(N$2,InflationTable,2)/HLOOKUP($D18,InflationTable,2)*$C18</f>
        <v>21731.970152522488</v>
      </c>
      <c r="N18" s="23">
        <f>M18*$L$4</f>
        <v>934474.71655846701</v>
      </c>
      <c r="O18" s="80">
        <f>N18/$E$15</f>
        <v>186894.94331169341</v>
      </c>
      <c r="P18" s="229">
        <f>HLOOKUP(Q$2,InflationTable,2)/HLOOKUP($D18,InflationTable,2)*$C18</f>
        <v>22166.609555572937</v>
      </c>
      <c r="Q18" s="229">
        <f>P18*$L$4</f>
        <v>953164.21088963631</v>
      </c>
      <c r="R18" s="230">
        <f>Q18/$E$15</f>
        <v>190632.84217792726</v>
      </c>
      <c r="S18" s="102" t="s">
        <v>12</v>
      </c>
      <c r="T18" s="94" t="s">
        <v>12</v>
      </c>
      <c r="U18" s="112">
        <f>AVERAGE(L18,O18,R18)</f>
        <v>185744.82058362142</v>
      </c>
    </row>
    <row r="19" spans="1:21" ht="13.5" thickBot="1" x14ac:dyDescent="0.35">
      <c r="A19" s="510"/>
      <c r="B19" s="505" t="s">
        <v>15</v>
      </c>
      <c r="C19" s="3"/>
      <c r="D19" s="3"/>
      <c r="E19" s="3"/>
      <c r="F19" s="9"/>
      <c r="G19" s="3"/>
      <c r="H19" s="3"/>
      <c r="I19" s="305"/>
      <c r="J19" s="306"/>
      <c r="K19" s="295">
        <f>J18*$L$5</f>
        <v>44926.669065310911</v>
      </c>
      <c r="L19" s="256">
        <f>K19/$E$15</f>
        <v>8985.3338130621814</v>
      </c>
      <c r="M19" s="3"/>
      <c r="N19" s="84">
        <f>M18*$L$5</f>
        <v>46723.735827923345</v>
      </c>
      <c r="O19" s="307">
        <f>N19/$E$15</f>
        <v>9344.7471655846693</v>
      </c>
      <c r="P19" s="308"/>
      <c r="Q19" s="295">
        <f>P18*$L$5</f>
        <v>47658.210544481815</v>
      </c>
      <c r="R19" s="256">
        <f>Q19/$E$15</f>
        <v>9531.6421088963634</v>
      </c>
      <c r="S19" s="298" t="s">
        <v>12</v>
      </c>
      <c r="T19" s="121" t="s">
        <v>12</v>
      </c>
      <c r="U19" s="309">
        <f>AVERAGE(L19,O19,R19)</f>
        <v>9287.241029181072</v>
      </c>
    </row>
    <row r="20" spans="1:21" ht="13" x14ac:dyDescent="0.3">
      <c r="A20" s="510"/>
      <c r="B20" s="1" t="s">
        <v>17</v>
      </c>
      <c r="C20" s="86" t="s">
        <v>45</v>
      </c>
      <c r="D20" s="86" t="s">
        <v>46</v>
      </c>
      <c r="E20" s="86" t="s">
        <v>47</v>
      </c>
      <c r="F20" s="86" t="s">
        <v>48</v>
      </c>
      <c r="G20" s="86" t="s">
        <v>49</v>
      </c>
      <c r="H20" s="86" t="s">
        <v>50</v>
      </c>
      <c r="I20" s="145" t="s">
        <v>74</v>
      </c>
      <c r="J20" s="292"/>
      <c r="K20" s="293"/>
      <c r="L20" s="296"/>
      <c r="M20" s="88"/>
      <c r="N20" s="86"/>
      <c r="O20" s="87"/>
      <c r="P20" s="293"/>
      <c r="Q20" s="293"/>
      <c r="R20" s="296"/>
      <c r="S20" s="100"/>
      <c r="T20" s="31"/>
      <c r="U20" s="111"/>
    </row>
    <row r="21" spans="1:21" ht="13" x14ac:dyDescent="0.3">
      <c r="A21" s="510"/>
      <c r="B21" s="506" t="s">
        <v>119</v>
      </c>
      <c r="C21" s="27">
        <v>0</v>
      </c>
      <c r="D21" s="18">
        <v>0</v>
      </c>
      <c r="E21" s="18">
        <v>0</v>
      </c>
      <c r="F21" s="18">
        <v>4</v>
      </c>
      <c r="G21" s="18">
        <v>4</v>
      </c>
      <c r="H21" s="18">
        <v>0</v>
      </c>
      <c r="I21" s="41">
        <f>SUM(C21:H21)</f>
        <v>8</v>
      </c>
      <c r="J21" s="213" t="s">
        <v>12</v>
      </c>
      <c r="K21" s="231">
        <f>I21*($L$4+$L$5)</f>
        <v>361.2</v>
      </c>
      <c r="L21" s="232">
        <f>K21/$E$15</f>
        <v>72.239999999999995</v>
      </c>
      <c r="M21" s="51" t="s">
        <v>12</v>
      </c>
      <c r="N21" s="58">
        <f>$I$21*($O$4+$O$5)</f>
        <v>361.2</v>
      </c>
      <c r="O21" s="52">
        <f>N21/$E$15</f>
        <v>72.239999999999995</v>
      </c>
      <c r="P21" s="213" t="s">
        <v>12</v>
      </c>
      <c r="Q21" s="231">
        <f>$I$21*($R$4+$R$5)</f>
        <v>361.2</v>
      </c>
      <c r="R21" s="232">
        <f>Q21/$E$15</f>
        <v>72.239999999999995</v>
      </c>
      <c r="S21" s="96">
        <f>AVERAGE(L21,O21,R21)</f>
        <v>72.239999999999995</v>
      </c>
      <c r="T21" s="94" t="s">
        <v>12</v>
      </c>
      <c r="U21" s="113" t="s">
        <v>12</v>
      </c>
    </row>
    <row r="22" spans="1:21" s="1" customFormat="1" ht="13.5" thickBot="1" x14ac:dyDescent="0.35">
      <c r="A22" s="511"/>
      <c r="B22" s="500" t="s">
        <v>8</v>
      </c>
      <c r="C22" s="319">
        <f>ROUND(C21*Labor!$D$3,0)</f>
        <v>0</v>
      </c>
      <c r="D22" s="310">
        <f>ROUND(D21*Labor!$D$4,0)</f>
        <v>0</v>
      </c>
      <c r="E22" s="310">
        <f>ROUND(E21*Labor!$D$5,0)</f>
        <v>0</v>
      </c>
      <c r="F22" s="310">
        <f>ROUND(F21*Labor!$D$6,0)</f>
        <v>110</v>
      </c>
      <c r="G22" s="310">
        <f>ROUND(G21*Labor!$D$7,0)</f>
        <v>125</v>
      </c>
      <c r="H22" s="310">
        <f>ROUND(H21*Labor!$D$8,0)</f>
        <v>0</v>
      </c>
      <c r="I22" s="311">
        <f>SUM(C22:H22)</f>
        <v>235</v>
      </c>
      <c r="J22" s="284">
        <f>HLOOKUP(K$2,InflationTable,2)/HLOOKUP(Labor!$B$11,InflationTable,2)*$I22</f>
        <v>502.72110726643592</v>
      </c>
      <c r="K22" s="245">
        <f>J22*($L$4+$L$5)</f>
        <v>22697.857993079582</v>
      </c>
      <c r="L22" s="246">
        <f>K22/$E$15</f>
        <v>4539.5715986159166</v>
      </c>
      <c r="M22" s="169">
        <f>HLOOKUP(N$2,InflationTable,2)/HLOOKUP(Labor!$B$11,InflationTable,2)*$I22</f>
        <v>522.82995155709341</v>
      </c>
      <c r="N22" s="166">
        <f>M22*$L$4</f>
        <v>22481.687916955016</v>
      </c>
      <c r="O22" s="167">
        <f>N22/$E$15</f>
        <v>4496.3375833910031</v>
      </c>
      <c r="P22" s="284">
        <f>HLOOKUP(Q$2,InflationTable,2)/HLOOKUP(Labor!$B$11,InflationTable,2)*$I22</f>
        <v>533.28655058823529</v>
      </c>
      <c r="Q22" s="245">
        <f>P22*$L$4</f>
        <v>22931.321675294119</v>
      </c>
      <c r="R22" s="320">
        <f>Q22/$E$15</f>
        <v>4586.2643350588241</v>
      </c>
      <c r="S22" s="169">
        <f>AVERAGE(L22,O22,R22)</f>
        <v>4540.7245056885813</v>
      </c>
      <c r="T22" s="174" t="s">
        <v>12</v>
      </c>
      <c r="U22" s="322" t="s">
        <v>12</v>
      </c>
    </row>
    <row r="23" spans="1:21" ht="13" x14ac:dyDescent="0.3">
      <c r="A23" s="510"/>
      <c r="B23" s="1" t="s">
        <v>118</v>
      </c>
      <c r="C23" s="290">
        <v>0</v>
      </c>
      <c r="D23" s="302">
        <v>8</v>
      </c>
      <c r="E23" s="302">
        <v>8</v>
      </c>
      <c r="F23" s="302">
        <v>0</v>
      </c>
      <c r="G23" s="302">
        <v>0</v>
      </c>
      <c r="H23" s="302">
        <v>0</v>
      </c>
      <c r="I23" s="303">
        <f>SUM(C23:H23)</f>
        <v>16</v>
      </c>
      <c r="J23" s="242" t="s">
        <v>12</v>
      </c>
      <c r="K23" s="280">
        <f>I23*$L$4</f>
        <v>688</v>
      </c>
      <c r="L23" s="243">
        <f>K23/$E$15</f>
        <v>137.6</v>
      </c>
      <c r="M23" s="53" t="s">
        <v>12</v>
      </c>
      <c r="N23" s="147">
        <f>I23*$O$4</f>
        <v>688</v>
      </c>
      <c r="O23" s="54">
        <f>N23/$E$15</f>
        <v>137.6</v>
      </c>
      <c r="P23" s="242" t="s">
        <v>12</v>
      </c>
      <c r="Q23" s="273">
        <f>$I23*$O$4</f>
        <v>688</v>
      </c>
      <c r="R23" s="304">
        <f>Q23/$E$15</f>
        <v>137.6</v>
      </c>
      <c r="S23" s="104">
        <f>AVERAGE(L23,O23,R23)</f>
        <v>137.6</v>
      </c>
      <c r="T23" s="42" t="s">
        <v>12</v>
      </c>
      <c r="U23" s="119" t="s">
        <v>12</v>
      </c>
    </row>
    <row r="24" spans="1:21" s="1" customFormat="1" ht="13.5" thickBot="1" x14ac:dyDescent="0.35">
      <c r="A24" s="511"/>
      <c r="B24" s="507" t="s">
        <v>8</v>
      </c>
      <c r="C24" s="310">
        <f>ROUND(C23*Labor!$D$3,0)</f>
        <v>0</v>
      </c>
      <c r="D24" s="310">
        <f>ROUND(D23*Labor!$D$4,0)</f>
        <v>194</v>
      </c>
      <c r="E24" s="310">
        <f>ROUND(E23*Labor!$D$5,0)</f>
        <v>202</v>
      </c>
      <c r="F24" s="310">
        <f>ROUND(F23*Labor!$D$6,0)</f>
        <v>0</v>
      </c>
      <c r="G24" s="310">
        <f>ROUND(G23*Labor!$D$7,0)</f>
        <v>0</v>
      </c>
      <c r="H24" s="310">
        <f>ROUND(H23*Labor!$D$8,0)</f>
        <v>0</v>
      </c>
      <c r="I24" s="311">
        <f>SUM(C24:H24)</f>
        <v>396</v>
      </c>
      <c r="J24" s="284">
        <f>HLOOKUP(K$2,InflationTable,2)/HLOOKUP(Labor!$B$11,InflationTable,2)*$I24</f>
        <v>847.13854671280274</v>
      </c>
      <c r="K24" s="245">
        <f>J24*$L$4</f>
        <v>36426.957508650521</v>
      </c>
      <c r="L24" s="246">
        <f>K24/$E$15</f>
        <v>7285.3915017301042</v>
      </c>
      <c r="M24" s="169">
        <f>HLOOKUP(N$2,InflationTable,2)/HLOOKUP(Labor!$B$11,InflationTable,2)*$I24</f>
        <v>881.02408858131491</v>
      </c>
      <c r="N24" s="166">
        <f>M24*$O$4</f>
        <v>37884.035808996545</v>
      </c>
      <c r="O24" s="167">
        <f>N24/$E$15</f>
        <v>7576.8071617993091</v>
      </c>
      <c r="P24" s="284">
        <f>HLOOKUP(Q$2,InflationTable,2)/HLOOKUP(Labor!$B$11,InflationTable,2)*$I24</f>
        <v>898.64457035294106</v>
      </c>
      <c r="Q24" s="245">
        <f>P24*$R$4</f>
        <v>38641.716525176467</v>
      </c>
      <c r="R24" s="246">
        <f>Q24/$E$15</f>
        <v>7728.3433050352933</v>
      </c>
      <c r="S24" s="169">
        <f>AVERAGE(L24,O24,R24)</f>
        <v>7530.1806561882358</v>
      </c>
      <c r="T24" s="323" t="s">
        <v>12</v>
      </c>
      <c r="U24" s="322" t="s">
        <v>12</v>
      </c>
    </row>
    <row r="25" spans="1:21" ht="13" x14ac:dyDescent="0.3">
      <c r="A25" s="510"/>
      <c r="B25" s="501" t="s">
        <v>66</v>
      </c>
      <c r="C25" s="28">
        <f t="shared" ref="C25:I25" si="5">C21+C23</f>
        <v>0</v>
      </c>
      <c r="D25" s="28">
        <f t="shared" si="5"/>
        <v>8</v>
      </c>
      <c r="E25" s="28">
        <f t="shared" si="5"/>
        <v>8</v>
      </c>
      <c r="F25" s="28">
        <f t="shared" si="5"/>
        <v>4</v>
      </c>
      <c r="G25" s="28">
        <f t="shared" si="5"/>
        <v>4</v>
      </c>
      <c r="H25" s="28">
        <f t="shared" si="5"/>
        <v>0</v>
      </c>
      <c r="I25" s="42">
        <f t="shared" si="5"/>
        <v>24</v>
      </c>
      <c r="J25" s="234" t="s">
        <v>12</v>
      </c>
      <c r="K25" s="235">
        <f>K21+K23</f>
        <v>1049.2</v>
      </c>
      <c r="L25" s="236">
        <f>L21+L23</f>
        <v>209.83999999999997</v>
      </c>
      <c r="M25" s="38" t="s">
        <v>12</v>
      </c>
      <c r="N25" s="28">
        <f>N21+N23</f>
        <v>1049.2</v>
      </c>
      <c r="O25" s="34">
        <f>O21+O23</f>
        <v>209.83999999999997</v>
      </c>
      <c r="P25" s="234" t="s">
        <v>12</v>
      </c>
      <c r="Q25" s="235">
        <f>Q21+Q23</f>
        <v>1049.2</v>
      </c>
      <c r="R25" s="236">
        <f>R21+R23</f>
        <v>209.83999999999997</v>
      </c>
      <c r="S25" s="104">
        <f>AVERAGE(L25,O25,R25)</f>
        <v>209.84</v>
      </c>
      <c r="T25" s="42" t="s">
        <v>12</v>
      </c>
      <c r="U25" s="119" t="s">
        <v>12</v>
      </c>
    </row>
    <row r="26" spans="1:21" ht="13.5" thickBot="1" x14ac:dyDescent="0.35">
      <c r="A26" s="510"/>
      <c r="B26" s="502" t="s">
        <v>67</v>
      </c>
      <c r="C26" s="194">
        <f t="shared" ref="C26:J26" si="6">C24+C22</f>
        <v>0</v>
      </c>
      <c r="D26" s="194">
        <f t="shared" si="6"/>
        <v>194</v>
      </c>
      <c r="E26" s="194">
        <f t="shared" si="6"/>
        <v>202</v>
      </c>
      <c r="F26" s="194">
        <f t="shared" si="6"/>
        <v>110</v>
      </c>
      <c r="G26" s="194">
        <f t="shared" si="6"/>
        <v>125</v>
      </c>
      <c r="H26" s="194">
        <f t="shared" si="6"/>
        <v>0</v>
      </c>
      <c r="I26" s="195">
        <f t="shared" si="6"/>
        <v>631</v>
      </c>
      <c r="J26" s="224">
        <f t="shared" si="6"/>
        <v>1349.8596539792386</v>
      </c>
      <c r="K26" s="237"/>
      <c r="L26" s="226">
        <f>L24+L22+L19+L18</f>
        <v>200516.97317465185</v>
      </c>
      <c r="M26" s="196">
        <f>M24+M22</f>
        <v>1403.8540401384084</v>
      </c>
      <c r="N26" s="201"/>
      <c r="O26" s="197">
        <f>O24+O22+O19+O18</f>
        <v>208312.83522246839</v>
      </c>
      <c r="P26" s="224">
        <f>P24+P22</f>
        <v>1431.9311209411762</v>
      </c>
      <c r="Q26" s="237"/>
      <c r="R26" s="226">
        <f>R24+R22+R19+R18</f>
        <v>212479.09192691772</v>
      </c>
      <c r="S26" s="206">
        <f>SUM(S24,S22)</f>
        <v>12070.905161876817</v>
      </c>
      <c r="T26" s="203" t="s">
        <v>12</v>
      </c>
      <c r="U26" s="204">
        <f>SUM(U18:U19)</f>
        <v>195032.0616128025</v>
      </c>
    </row>
    <row r="27" spans="1:21" ht="13.5" thickTop="1" thickBot="1" x14ac:dyDescent="0.3">
      <c r="A27" s="510"/>
      <c r="C27" s="513"/>
      <c r="D27" s="513"/>
      <c r="E27" s="513"/>
      <c r="F27" s="513"/>
      <c r="G27" s="513"/>
      <c r="H27" s="513"/>
      <c r="I27" s="513"/>
      <c r="J27" s="513"/>
      <c r="K27" s="513"/>
      <c r="L27" s="513"/>
      <c r="M27" s="513"/>
      <c r="N27" s="513"/>
      <c r="O27" s="513"/>
      <c r="P27" s="513"/>
      <c r="Q27" s="513"/>
      <c r="R27" s="513"/>
      <c r="S27" s="513"/>
      <c r="T27" s="513"/>
      <c r="U27" s="515"/>
    </row>
    <row r="28" spans="1:21" ht="16" thickTop="1" x14ac:dyDescent="0.35">
      <c r="A28" s="510"/>
      <c r="B28" s="508" t="s">
        <v>22</v>
      </c>
      <c r="F28" s="1" t="s">
        <v>6</v>
      </c>
      <c r="G28" s="1160"/>
      <c r="H28" s="1161"/>
      <c r="I28" s="1162"/>
      <c r="J28" s="198" t="s">
        <v>22</v>
      </c>
      <c r="L28" s="62"/>
      <c r="M28" s="198" t="s">
        <v>22</v>
      </c>
      <c r="O28" s="31"/>
      <c r="P28" s="198" t="s">
        <v>22</v>
      </c>
      <c r="R28" s="31"/>
      <c r="S28" s="97"/>
      <c r="T28" s="31"/>
      <c r="U28" s="111"/>
    </row>
    <row r="29" spans="1:21" ht="13" x14ac:dyDescent="0.3">
      <c r="A29" s="510"/>
      <c r="F29" s="1"/>
      <c r="G29" s="1163"/>
      <c r="H29" s="1163"/>
      <c r="I29" s="1164"/>
      <c r="J29" s="227" t="s">
        <v>61</v>
      </c>
      <c r="K29" s="1182" t="s">
        <v>57</v>
      </c>
      <c r="L29" s="1183"/>
      <c r="M29" s="50" t="s">
        <v>61</v>
      </c>
      <c r="N29" s="1177" t="s">
        <v>57</v>
      </c>
      <c r="O29" s="1178"/>
      <c r="P29" s="227" t="s">
        <v>61</v>
      </c>
      <c r="Q29" s="1167" t="s">
        <v>57</v>
      </c>
      <c r="R29" s="1168"/>
      <c r="S29" s="106"/>
      <c r="T29" s="31"/>
      <c r="U29" s="111"/>
    </row>
    <row r="30" spans="1:21" ht="13" x14ac:dyDescent="0.3">
      <c r="A30" s="510"/>
      <c r="B30" s="506" t="s">
        <v>18</v>
      </c>
      <c r="C30" s="20" t="s">
        <v>60</v>
      </c>
      <c r="D30" s="20" t="s">
        <v>62</v>
      </c>
      <c r="E30" s="7"/>
      <c r="F30" s="61"/>
      <c r="G30" s="61"/>
      <c r="H30" s="61"/>
      <c r="I30" s="31"/>
      <c r="J30" s="211" t="s">
        <v>56</v>
      </c>
      <c r="K30" s="211" t="s">
        <v>13</v>
      </c>
      <c r="L30" s="212" t="s">
        <v>68</v>
      </c>
      <c r="M30" s="66" t="s">
        <v>56</v>
      </c>
      <c r="N30" s="20" t="s">
        <v>13</v>
      </c>
      <c r="O30" s="32" t="s">
        <v>68</v>
      </c>
      <c r="P30" s="210" t="s">
        <v>56</v>
      </c>
      <c r="Q30" s="211" t="s">
        <v>13</v>
      </c>
      <c r="R30" s="212" t="s">
        <v>68</v>
      </c>
      <c r="S30" s="98"/>
      <c r="T30" s="31"/>
      <c r="U30" s="111"/>
    </row>
    <row r="31" spans="1:21" ht="13.5" thickBot="1" x14ac:dyDescent="0.35">
      <c r="A31" s="510"/>
      <c r="B31" s="300"/>
      <c r="C31" s="84">
        <f>VLOOKUP(C$2,Monitor_Costs,4,FALSE)</f>
        <v>750</v>
      </c>
      <c r="D31" s="29">
        <f>VLOOKUP(C$2,Monitor_Costs,5,FALSE)</f>
        <v>2019</v>
      </c>
      <c r="E31" s="3"/>
      <c r="F31" s="9"/>
      <c r="G31" s="3"/>
      <c r="H31" s="300"/>
      <c r="I31" s="301"/>
      <c r="J31" s="229">
        <f>HLOOKUP(K$2,InflationTable,2)/HLOOKUP($D31,InflationTable,2)*$C31</f>
        <v>906.68752444270638</v>
      </c>
      <c r="K31" s="295">
        <f>J31*$L$4</f>
        <v>38987.563551036372</v>
      </c>
      <c r="L31" s="256">
        <f>K31</f>
        <v>38987.563551036372</v>
      </c>
      <c r="M31" s="23">
        <f>HLOOKUP(N$2,InflationTable,2)/HLOOKUP($D31,InflationTable,2)*$C31</f>
        <v>942.95502542041459</v>
      </c>
      <c r="N31" s="84">
        <f>M31*$O$4</f>
        <v>40547.066093077825</v>
      </c>
      <c r="O31" s="77">
        <f>N31</f>
        <v>40547.066093077825</v>
      </c>
      <c r="P31" s="229">
        <f>HLOOKUP(Q$2,InflationTable,2)/HLOOKUP($D31,InflationTable,2)*$C31</f>
        <v>961.81412592882282</v>
      </c>
      <c r="Q31" s="295">
        <f>P31*$R$4</f>
        <v>41358.007414939384</v>
      </c>
      <c r="R31" s="256">
        <f>Q31</f>
        <v>41358.007414939384</v>
      </c>
      <c r="S31" s="298" t="s">
        <v>12</v>
      </c>
      <c r="T31" s="299">
        <f>AVERAGE(L31,O31,R31)</f>
        <v>40297.545686351194</v>
      </c>
      <c r="U31" s="115" t="s">
        <v>12</v>
      </c>
    </row>
    <row r="32" spans="1:21" ht="13" x14ac:dyDescent="0.3">
      <c r="A32" s="510"/>
      <c r="B32" s="378" t="s">
        <v>23</v>
      </c>
      <c r="C32" s="86" t="s">
        <v>45</v>
      </c>
      <c r="D32" s="86" t="s">
        <v>46</v>
      </c>
      <c r="E32" s="86" t="s">
        <v>47</v>
      </c>
      <c r="F32" s="86" t="s">
        <v>48</v>
      </c>
      <c r="G32" s="86" t="s">
        <v>49</v>
      </c>
      <c r="H32" s="86" t="s">
        <v>50</v>
      </c>
      <c r="I32" s="145" t="s">
        <v>74</v>
      </c>
      <c r="J32" s="293"/>
      <c r="K32" s="293"/>
      <c r="L32" s="296"/>
      <c r="M32" s="88"/>
      <c r="N32" s="86"/>
      <c r="O32" s="87"/>
      <c r="P32" s="293"/>
      <c r="Q32" s="293"/>
      <c r="R32" s="296"/>
      <c r="S32" s="98"/>
      <c r="T32" s="31"/>
      <c r="U32" s="111"/>
    </row>
    <row r="33" spans="1:21" x14ac:dyDescent="0.25">
      <c r="A33" s="510"/>
      <c r="B33" s="509" t="s">
        <v>4</v>
      </c>
      <c r="C33" s="18">
        <v>0</v>
      </c>
      <c r="D33" s="18">
        <v>60</v>
      </c>
      <c r="E33" s="18">
        <v>60</v>
      </c>
      <c r="F33" s="18">
        <v>0</v>
      </c>
      <c r="G33" s="18">
        <v>0</v>
      </c>
      <c r="H33" s="18">
        <v>0</v>
      </c>
      <c r="I33" s="41">
        <f>SUM(C33:H33)</f>
        <v>120</v>
      </c>
      <c r="J33" s="247" t="s">
        <v>12</v>
      </c>
      <c r="K33" s="231">
        <f>I33*$L$4</f>
        <v>5160</v>
      </c>
      <c r="L33" s="239">
        <f>K33</f>
        <v>5160</v>
      </c>
      <c r="M33" s="51" t="s">
        <v>12</v>
      </c>
      <c r="N33" s="58">
        <f>$I$33*$O$4</f>
        <v>5160</v>
      </c>
      <c r="O33" s="57">
        <f>N33</f>
        <v>5160</v>
      </c>
      <c r="P33" s="247" t="s">
        <v>12</v>
      </c>
      <c r="Q33" s="231">
        <f>$I$33*$R$4</f>
        <v>5160</v>
      </c>
      <c r="R33" s="239">
        <f>Q33</f>
        <v>5160</v>
      </c>
      <c r="S33" s="96">
        <f>AVERAGE(L33,O33,R33)</f>
        <v>5160</v>
      </c>
      <c r="T33" s="94" t="s">
        <v>12</v>
      </c>
      <c r="U33" s="113" t="s">
        <v>12</v>
      </c>
    </row>
    <row r="34" spans="1:21" s="1" customFormat="1" ht="13.5" thickBot="1" x14ac:dyDescent="0.35">
      <c r="A34" s="511"/>
      <c r="B34" s="500" t="s">
        <v>8</v>
      </c>
      <c r="C34" s="310">
        <f>ROUND(C33*Labor!$D$3,0)</f>
        <v>0</v>
      </c>
      <c r="D34" s="310">
        <f>ROUND(D33*Labor!$D$4,0)</f>
        <v>1452</v>
      </c>
      <c r="E34" s="310">
        <f>ROUND(E33*Labor!$D$5,0)</f>
        <v>1513</v>
      </c>
      <c r="F34" s="310">
        <f>ROUND(F33*Labor!$D$6,0)</f>
        <v>0</v>
      </c>
      <c r="G34" s="310">
        <f>ROUND(G33*Labor!$D$7,0)</f>
        <v>0</v>
      </c>
      <c r="H34" s="310">
        <f>ROUND(H33*Labor!$D$8,0)</f>
        <v>0</v>
      </c>
      <c r="I34" s="311">
        <f>SUM(C34:H34)</f>
        <v>2965</v>
      </c>
      <c r="J34" s="284">
        <f>HLOOKUP(K$2,InflationTable,2)/HLOOKUP(Labor!$B$11,InflationTable,2)*$I34</f>
        <v>6342.842906574394</v>
      </c>
      <c r="K34" s="245">
        <f>J34*$L$4</f>
        <v>272742.24498269893</v>
      </c>
      <c r="L34" s="320">
        <f>K34</f>
        <v>272742.24498269893</v>
      </c>
      <c r="M34" s="169">
        <f>HLOOKUP(N$2,InflationTable,2)/HLOOKUP(Labor!$B$11,InflationTable,2)*$I34</f>
        <v>6596.5566228373709</v>
      </c>
      <c r="N34" s="166">
        <f>M34*$O$4</f>
        <v>283651.93478200695</v>
      </c>
      <c r="O34" s="167">
        <f>N34</f>
        <v>283651.93478200695</v>
      </c>
      <c r="P34" s="284">
        <f>HLOOKUP(Q$2,InflationTable,2)/HLOOKUP(Labor!$B$11,InflationTable,2)*$I34</f>
        <v>6728.4877552941171</v>
      </c>
      <c r="Q34" s="245">
        <f>P34*$R$4</f>
        <v>289324.97347764706</v>
      </c>
      <c r="R34" s="320">
        <f>Q34</f>
        <v>289324.97347764706</v>
      </c>
      <c r="S34" s="169">
        <f>AVERAGE(L34,O34,R34)</f>
        <v>281906.38441411767</v>
      </c>
      <c r="T34" s="323" t="s">
        <v>12</v>
      </c>
      <c r="U34" s="322" t="s">
        <v>12</v>
      </c>
    </row>
    <row r="35" spans="1:21" ht="13" x14ac:dyDescent="0.3">
      <c r="A35" s="510"/>
      <c r="B35" s="501" t="s">
        <v>66</v>
      </c>
      <c r="C35" s="30">
        <f t="shared" ref="C35:I35" si="7">C33</f>
        <v>0</v>
      </c>
      <c r="D35" s="30">
        <f t="shared" si="7"/>
        <v>60</v>
      </c>
      <c r="E35" s="30">
        <f t="shared" si="7"/>
        <v>60</v>
      </c>
      <c r="F35" s="30">
        <f t="shared" si="7"/>
        <v>0</v>
      </c>
      <c r="G35" s="30">
        <f t="shared" si="7"/>
        <v>0</v>
      </c>
      <c r="H35" s="30">
        <f t="shared" si="7"/>
        <v>0</v>
      </c>
      <c r="I35" s="44">
        <f t="shared" si="7"/>
        <v>120</v>
      </c>
      <c r="J35" s="255" t="s">
        <v>12</v>
      </c>
      <c r="K35" s="250">
        <f>K33</f>
        <v>5160</v>
      </c>
      <c r="L35" s="251">
        <f>L33</f>
        <v>5160</v>
      </c>
      <c r="M35" s="70" t="s">
        <v>12</v>
      </c>
      <c r="N35" s="69">
        <f>N33</f>
        <v>5160</v>
      </c>
      <c r="O35" s="78">
        <f>O33</f>
        <v>5160</v>
      </c>
      <c r="P35" s="249" t="s">
        <v>12</v>
      </c>
      <c r="Q35" s="250">
        <f>Q33</f>
        <v>5160</v>
      </c>
      <c r="R35" s="251">
        <f>R33</f>
        <v>5160</v>
      </c>
      <c r="S35" s="78">
        <f>S33</f>
        <v>5160</v>
      </c>
      <c r="T35" s="42" t="s">
        <v>12</v>
      </c>
      <c r="U35" s="119" t="s">
        <v>12</v>
      </c>
    </row>
    <row r="36" spans="1:21" ht="13.5" thickBot="1" x14ac:dyDescent="0.35">
      <c r="A36" s="510"/>
      <c r="B36" s="502" t="s">
        <v>67</v>
      </c>
      <c r="C36" s="194">
        <f>C34</f>
        <v>0</v>
      </c>
      <c r="D36" s="194">
        <f>D34</f>
        <v>1452</v>
      </c>
      <c r="E36" s="194">
        <f>E34</f>
        <v>1513</v>
      </c>
      <c r="F36" s="194">
        <f>F34</f>
        <v>0</v>
      </c>
      <c r="G36" s="194">
        <f>G34</f>
        <v>0</v>
      </c>
      <c r="H36" s="194">
        <f t="shared" ref="H36" si="8">H35</f>
        <v>0</v>
      </c>
      <c r="I36" s="205">
        <f>I34+C31</f>
        <v>3715</v>
      </c>
      <c r="J36" s="253">
        <f t="shared" ref="J36:R36" si="9">J34+J31</f>
        <v>7249.5304310171005</v>
      </c>
      <c r="K36" s="253">
        <f t="shared" si="9"/>
        <v>311729.80853373528</v>
      </c>
      <c r="L36" s="254">
        <f t="shared" si="9"/>
        <v>311729.80853373528</v>
      </c>
      <c r="M36" s="176">
        <f t="shared" si="9"/>
        <v>7539.5116482577851</v>
      </c>
      <c r="N36" s="177">
        <f t="shared" si="9"/>
        <v>324199.00087508478</v>
      </c>
      <c r="O36" s="178">
        <f t="shared" si="9"/>
        <v>324199.00087508478</v>
      </c>
      <c r="P36" s="252">
        <f t="shared" si="9"/>
        <v>7690.3018812229402</v>
      </c>
      <c r="Q36" s="253">
        <f t="shared" si="9"/>
        <v>330682.98089258646</v>
      </c>
      <c r="R36" s="254">
        <f t="shared" si="9"/>
        <v>330682.98089258646</v>
      </c>
      <c r="S36" s="206">
        <f>AVERAGE(L36,O36,R36)</f>
        <v>322203.93010046886</v>
      </c>
      <c r="T36" s="205">
        <f>T31</f>
        <v>40297.545686351194</v>
      </c>
      <c r="U36" s="180" t="s">
        <v>12</v>
      </c>
    </row>
    <row r="37" spans="1:21" ht="13.5" thickTop="1" thickBot="1" x14ac:dyDescent="0.3">
      <c r="A37" s="510"/>
      <c r="B37" s="512"/>
      <c r="C37" s="513"/>
      <c r="D37" s="513"/>
      <c r="E37" s="513"/>
      <c r="F37" s="513"/>
      <c r="G37" s="513"/>
      <c r="H37" s="513"/>
      <c r="I37" s="513"/>
      <c r="J37" s="513"/>
      <c r="K37" s="513"/>
      <c r="L37" s="513"/>
      <c r="M37" s="513"/>
      <c r="N37" s="512"/>
      <c r="O37" s="513"/>
      <c r="P37" s="513"/>
      <c r="Q37" s="513"/>
      <c r="R37" s="513"/>
      <c r="S37" s="513"/>
      <c r="T37" s="513"/>
      <c r="U37" s="515"/>
    </row>
    <row r="38" spans="1:21" ht="16" thickTop="1" x14ac:dyDescent="0.35">
      <c r="A38" s="510"/>
      <c r="B38" s="2" t="s">
        <v>24</v>
      </c>
      <c r="F38" s="1" t="s">
        <v>6</v>
      </c>
      <c r="G38" s="1160"/>
      <c r="H38" s="1161"/>
      <c r="I38" s="1162"/>
      <c r="J38" s="2" t="s">
        <v>24</v>
      </c>
      <c r="L38" s="62"/>
      <c r="M38" s="2" t="s">
        <v>24</v>
      </c>
      <c r="N38" s="61"/>
      <c r="O38" s="31"/>
      <c r="P38" s="2" t="s">
        <v>24</v>
      </c>
      <c r="R38" s="31"/>
      <c r="S38" s="97"/>
      <c r="T38" s="31"/>
      <c r="U38" s="111"/>
    </row>
    <row r="39" spans="1:21" ht="13" x14ac:dyDescent="0.3">
      <c r="A39" s="510"/>
      <c r="F39" s="1"/>
      <c r="G39" s="1163"/>
      <c r="H39" s="1163"/>
      <c r="I39" s="1164"/>
      <c r="J39" s="227" t="s">
        <v>61</v>
      </c>
      <c r="K39" s="1167" t="s">
        <v>57</v>
      </c>
      <c r="L39" s="1168"/>
      <c r="M39" s="50" t="s">
        <v>61</v>
      </c>
      <c r="N39" s="1177" t="s">
        <v>57</v>
      </c>
      <c r="O39" s="1178"/>
      <c r="P39" s="227" t="s">
        <v>61</v>
      </c>
      <c r="Q39" s="1167" t="s">
        <v>57</v>
      </c>
      <c r="R39" s="1168"/>
      <c r="S39" s="106"/>
      <c r="T39" s="31"/>
      <c r="U39" s="111"/>
    </row>
    <row r="40" spans="1:21" ht="13" x14ac:dyDescent="0.3">
      <c r="A40" s="510"/>
      <c r="B40" s="506" t="s">
        <v>19</v>
      </c>
      <c r="C40" s="20" t="s">
        <v>60</v>
      </c>
      <c r="D40" s="20" t="s">
        <v>62</v>
      </c>
      <c r="E40" s="7"/>
      <c r="F40" s="61"/>
      <c r="G40" s="61"/>
      <c r="H40" s="61"/>
      <c r="I40" s="62"/>
      <c r="J40" s="210" t="s">
        <v>56</v>
      </c>
      <c r="K40" s="211" t="s">
        <v>13</v>
      </c>
      <c r="L40" s="212" t="s">
        <v>68</v>
      </c>
      <c r="M40" s="66" t="s">
        <v>56</v>
      </c>
      <c r="N40" s="20" t="s">
        <v>13</v>
      </c>
      <c r="O40" s="32" t="s">
        <v>68</v>
      </c>
      <c r="P40" s="210" t="s">
        <v>56</v>
      </c>
      <c r="Q40" s="211" t="s">
        <v>13</v>
      </c>
      <c r="R40" s="212" t="s">
        <v>68</v>
      </c>
      <c r="S40" s="98"/>
      <c r="T40" s="62"/>
      <c r="U40" s="111"/>
    </row>
    <row r="41" spans="1:21" ht="13" thickBot="1" x14ac:dyDescent="0.3">
      <c r="A41" s="510"/>
      <c r="B41" s="300"/>
      <c r="C41" s="84">
        <f>VLOOKUP(C$2,Monitor_Costs,6,FALSE)</f>
        <v>2000</v>
      </c>
      <c r="D41" s="29">
        <f>VLOOKUP(C$2,Monitor_Costs,7,FALSE)</f>
        <v>2019</v>
      </c>
      <c r="E41" s="294"/>
      <c r="F41" s="60"/>
      <c r="G41" s="49"/>
      <c r="H41" s="49"/>
      <c r="I41" s="47"/>
      <c r="J41" s="229">
        <f>HLOOKUP(K$2,InflationTable,2)/HLOOKUP($D41,InflationTable,2)*$C41</f>
        <v>2417.8333985138834</v>
      </c>
      <c r="K41" s="295">
        <f>J41*$L$4</f>
        <v>103966.83613609699</v>
      </c>
      <c r="L41" s="256">
        <f>K41</f>
        <v>103966.83613609699</v>
      </c>
      <c r="M41" s="23">
        <f>HLOOKUP(N$2,InflationTable,2)/HLOOKUP($D41,InflationTable,2)*$C41</f>
        <v>2514.5467344544386</v>
      </c>
      <c r="N41" s="84">
        <f>M41*$O$4</f>
        <v>108125.50958154086</v>
      </c>
      <c r="O41" s="77">
        <f>N41</f>
        <v>108125.50958154086</v>
      </c>
      <c r="P41" s="229">
        <f>HLOOKUP(Q$2,InflationTable,2)/HLOOKUP($D41,InflationTable,2)*$C41</f>
        <v>2564.8376691435274</v>
      </c>
      <c r="Q41" s="295">
        <f>P41*$R$4</f>
        <v>110288.01977317168</v>
      </c>
      <c r="R41" s="256">
        <f>Q41</f>
        <v>110288.01977317168</v>
      </c>
      <c r="S41" s="298" t="s">
        <v>12</v>
      </c>
      <c r="T41" s="299">
        <f>AVERAGE(L41,O41,R41)</f>
        <v>107460.12183026985</v>
      </c>
      <c r="U41" s="115" t="s">
        <v>12</v>
      </c>
    </row>
    <row r="42" spans="1:21" ht="13" x14ac:dyDescent="0.3">
      <c r="A42" s="510"/>
      <c r="B42" s="378" t="s">
        <v>25</v>
      </c>
      <c r="C42" s="86" t="s">
        <v>45</v>
      </c>
      <c r="D42" s="86" t="s">
        <v>46</v>
      </c>
      <c r="E42" s="86" t="s">
        <v>47</v>
      </c>
      <c r="F42" s="86" t="s">
        <v>48</v>
      </c>
      <c r="G42" s="86" t="s">
        <v>49</v>
      </c>
      <c r="H42" s="86" t="s">
        <v>50</v>
      </c>
      <c r="I42" s="145" t="s">
        <v>74</v>
      </c>
      <c r="J42" s="292"/>
      <c r="K42" s="293"/>
      <c r="L42" s="296"/>
      <c r="M42" s="88"/>
      <c r="N42" s="86"/>
      <c r="O42" s="87"/>
      <c r="P42" s="292"/>
      <c r="Q42" s="293"/>
      <c r="R42" s="296"/>
      <c r="S42" s="109"/>
      <c r="T42" s="42"/>
      <c r="U42" s="111"/>
    </row>
    <row r="43" spans="1:21" x14ac:dyDescent="0.25">
      <c r="B43" s="464" t="s">
        <v>4</v>
      </c>
      <c r="C43" s="18">
        <v>0</v>
      </c>
      <c r="D43" s="18">
        <v>0</v>
      </c>
      <c r="E43" s="18">
        <v>8</v>
      </c>
      <c r="F43" s="18">
        <v>8</v>
      </c>
      <c r="G43" s="18">
        <v>0</v>
      </c>
      <c r="H43" s="18">
        <v>0</v>
      </c>
      <c r="I43" s="45">
        <f>SUM(C43:H43)</f>
        <v>16</v>
      </c>
      <c r="J43" s="213" t="s">
        <v>12</v>
      </c>
      <c r="K43" s="231">
        <f>I43*$L$4</f>
        <v>688</v>
      </c>
      <c r="L43" s="239">
        <f>K43</f>
        <v>688</v>
      </c>
      <c r="M43" s="51" t="s">
        <v>12</v>
      </c>
      <c r="N43" s="58">
        <f>$I$43*$O$4</f>
        <v>688</v>
      </c>
      <c r="O43" s="57">
        <f>N43</f>
        <v>688</v>
      </c>
      <c r="P43" s="213" t="s">
        <v>12</v>
      </c>
      <c r="Q43" s="231">
        <f>$I$43*$R$4</f>
        <v>688</v>
      </c>
      <c r="R43" s="239">
        <f>Q43</f>
        <v>688</v>
      </c>
      <c r="S43" s="96">
        <f>AVERAGE(L43,O43,R43)</f>
        <v>688</v>
      </c>
      <c r="T43" s="94" t="s">
        <v>12</v>
      </c>
      <c r="U43" s="113" t="s">
        <v>12</v>
      </c>
    </row>
    <row r="44" spans="1:21" ht="13.5" thickBot="1" x14ac:dyDescent="0.35">
      <c r="B44" s="465" t="s">
        <v>8</v>
      </c>
      <c r="C44" s="29">
        <f>ROUND(C43*Labor!$D$3,0)</f>
        <v>0</v>
      </c>
      <c r="D44" s="29">
        <f>ROUND(D43*Labor!$D$4,0)</f>
        <v>0</v>
      </c>
      <c r="E44" s="29">
        <f>ROUND(E43*Labor!$D$5,0)</f>
        <v>202</v>
      </c>
      <c r="F44" s="29">
        <f>ROUND(F43*Labor!$D$6,0)</f>
        <v>221</v>
      </c>
      <c r="G44" s="29">
        <f>ROUND(G43*Labor!$D$7,0)</f>
        <v>0</v>
      </c>
      <c r="H44" s="29">
        <f>ROUND(H43*Labor!$D$8,0)</f>
        <v>0</v>
      </c>
      <c r="I44" s="33">
        <f>SUM(C44:H44)</f>
        <v>423</v>
      </c>
      <c r="J44" s="284">
        <f>HLOOKUP(K$2,InflationTable,2)/HLOOKUP(Labor!$B$11,InflationTable,2)*$I44</f>
        <v>904.89799307958469</v>
      </c>
      <c r="K44" s="219">
        <f>J44*$L$4</f>
        <v>38910.613702422139</v>
      </c>
      <c r="L44" s="256">
        <f>K44</f>
        <v>38910.613702422139</v>
      </c>
      <c r="M44" s="169">
        <f>HLOOKUP(N$2,InflationTable,2)/HLOOKUP(Labor!$B$11,InflationTable,2)*$I44</f>
        <v>941.09391280276827</v>
      </c>
      <c r="N44" s="55">
        <f>M44*$O$4</f>
        <v>40467.038250519036</v>
      </c>
      <c r="O44" s="77">
        <f>N44</f>
        <v>40467.038250519036</v>
      </c>
      <c r="P44" s="284">
        <f>HLOOKUP(Q$2,InflationTable,2)/HLOOKUP(Labor!$B$11,InflationTable,2)*$I44</f>
        <v>959.9157910588234</v>
      </c>
      <c r="Q44" s="219">
        <f>P44*$O$4</f>
        <v>41276.379015529405</v>
      </c>
      <c r="R44" s="256">
        <f>Q44</f>
        <v>41276.379015529405</v>
      </c>
      <c r="S44" s="103">
        <f>AVERAGE(L44,O44,R44)</f>
        <v>40218.010322823531</v>
      </c>
      <c r="T44" s="121" t="s">
        <v>12</v>
      </c>
      <c r="U44" s="115" t="s">
        <v>12</v>
      </c>
    </row>
    <row r="45" spans="1:21" ht="13" x14ac:dyDescent="0.3">
      <c r="B45" s="106" t="s">
        <v>117</v>
      </c>
      <c r="C45" s="290">
        <v>0</v>
      </c>
      <c r="D45" s="290">
        <v>0</v>
      </c>
      <c r="E45" s="290">
        <v>30</v>
      </c>
      <c r="F45" s="290">
        <v>40</v>
      </c>
      <c r="G45" s="290">
        <v>0</v>
      </c>
      <c r="H45" s="290">
        <v>0</v>
      </c>
      <c r="I45" s="291">
        <f>SUM(C45:H45)</f>
        <v>70</v>
      </c>
      <c r="J45" s="242" t="s">
        <v>12</v>
      </c>
      <c r="K45" s="273">
        <f>I45*$L$4</f>
        <v>3010</v>
      </c>
      <c r="L45" s="274">
        <f>K45</f>
        <v>3010</v>
      </c>
      <c r="M45" s="53" t="s">
        <v>12</v>
      </c>
      <c r="N45" s="147">
        <f>$I$45*$O$4</f>
        <v>3010</v>
      </c>
      <c r="O45" s="148">
        <f>N45</f>
        <v>3010</v>
      </c>
      <c r="P45" s="242" t="s">
        <v>12</v>
      </c>
      <c r="Q45" s="273">
        <f>$I$45*$R$4</f>
        <v>3010</v>
      </c>
      <c r="R45" s="274">
        <f>Q45</f>
        <v>3010</v>
      </c>
      <c r="S45" s="104">
        <f>AVERAGE(L45,O45,R45)</f>
        <v>3010</v>
      </c>
      <c r="T45" s="94" t="s">
        <v>12</v>
      </c>
      <c r="U45" s="113" t="s">
        <v>12</v>
      </c>
    </row>
    <row r="46" spans="1:21" ht="13.5" thickBot="1" x14ac:dyDescent="0.35">
      <c r="B46" s="466" t="s">
        <v>8</v>
      </c>
      <c r="C46" s="29">
        <f>ROUND(C45*Labor!$D$3,0)</f>
        <v>0</v>
      </c>
      <c r="D46" s="29">
        <f>ROUND(D45*Labor!$D$4,0)</f>
        <v>0</v>
      </c>
      <c r="E46" s="29">
        <f>ROUND(E45*Labor!$D$5,0)</f>
        <v>757</v>
      </c>
      <c r="F46" s="29">
        <f>ROUND(F45*Labor!$D$6,0)</f>
        <v>1103</v>
      </c>
      <c r="G46" s="29">
        <f>ROUND(G45*Labor!$D$7,0)</f>
        <v>0</v>
      </c>
      <c r="H46" s="29">
        <f>ROUND(H45*Labor!$D$8,0)</f>
        <v>0</v>
      </c>
      <c r="I46" s="33">
        <f>SUM(C46:H46)</f>
        <v>1860</v>
      </c>
      <c r="J46" s="284">
        <f>HLOOKUP(K$2,InflationTable,2)/HLOOKUP(Labor!$B$11,InflationTable,2)*$I46</f>
        <v>3978.9840830449825</v>
      </c>
      <c r="K46" s="219">
        <f>J46*$L$4</f>
        <v>171096.31557093424</v>
      </c>
      <c r="L46" s="256">
        <f>K46</f>
        <v>171096.31557093424</v>
      </c>
      <c r="M46" s="169">
        <f>HLOOKUP(N$2,InflationTable,2)/HLOOKUP(Labor!$B$11,InflationTable,2)*$I46</f>
        <v>4138.143446366782</v>
      </c>
      <c r="N46" s="55">
        <f>M46*$O$4</f>
        <v>177940.16819377162</v>
      </c>
      <c r="O46" s="77">
        <f>N46</f>
        <v>177940.16819377162</v>
      </c>
      <c r="P46" s="284">
        <f>HLOOKUP(Q$2,InflationTable,2)/HLOOKUP(Labor!$B$11,InflationTable,2)*$I46</f>
        <v>4220.9063152941171</v>
      </c>
      <c r="Q46" s="219">
        <f>P46*$R$4</f>
        <v>181498.97155764705</v>
      </c>
      <c r="R46" s="256">
        <f>Q46</f>
        <v>181498.97155764705</v>
      </c>
      <c r="S46" s="103">
        <f>AVERAGE(L46,O46,R46)</f>
        <v>176845.15177411764</v>
      </c>
      <c r="T46" s="121" t="s">
        <v>12</v>
      </c>
      <c r="U46" s="115" t="s">
        <v>12</v>
      </c>
    </row>
    <row r="47" spans="1:21" ht="13" x14ac:dyDescent="0.3">
      <c r="B47" s="139" t="s">
        <v>66</v>
      </c>
      <c r="C47" s="30">
        <f t="shared" ref="C47:I47" si="10">C43+C45</f>
        <v>0</v>
      </c>
      <c r="D47" s="30">
        <f t="shared" si="10"/>
        <v>0</v>
      </c>
      <c r="E47" s="30">
        <f t="shared" si="10"/>
        <v>38</v>
      </c>
      <c r="F47" s="30">
        <f t="shared" si="10"/>
        <v>48</v>
      </c>
      <c r="G47" s="30">
        <f t="shared" si="10"/>
        <v>0</v>
      </c>
      <c r="H47" s="30">
        <f t="shared" si="10"/>
        <v>0</v>
      </c>
      <c r="I47" s="39">
        <f t="shared" si="10"/>
        <v>86</v>
      </c>
      <c r="J47" s="249" t="s">
        <v>12</v>
      </c>
      <c r="K47" s="257">
        <f>K43+K45</f>
        <v>3698</v>
      </c>
      <c r="L47" s="258">
        <f>L43+L45</f>
        <v>3698</v>
      </c>
      <c r="M47" s="70" t="s">
        <v>12</v>
      </c>
      <c r="N47" s="71">
        <f>N43+N45</f>
        <v>3698</v>
      </c>
      <c r="O47" s="79">
        <f>O43+O45</f>
        <v>3698</v>
      </c>
      <c r="P47" s="249" t="s">
        <v>12</v>
      </c>
      <c r="Q47" s="257">
        <f>Q43+Q45</f>
        <v>3698</v>
      </c>
      <c r="R47" s="258">
        <f>R43+R45</f>
        <v>3698</v>
      </c>
      <c r="S47" s="96">
        <f>AVERAGE(L47,O47,R47)</f>
        <v>3698</v>
      </c>
      <c r="T47" s="42" t="s">
        <v>12</v>
      </c>
      <c r="U47" s="120" t="s">
        <v>12</v>
      </c>
    </row>
    <row r="48" spans="1:21" ht="13.5" thickBot="1" x14ac:dyDescent="0.35">
      <c r="B48" s="460" t="s">
        <v>67</v>
      </c>
      <c r="C48" s="194">
        <f t="shared" ref="C48:H48" si="11">C44+C46</f>
        <v>0</v>
      </c>
      <c r="D48" s="194">
        <f t="shared" si="11"/>
        <v>0</v>
      </c>
      <c r="E48" s="194">
        <f t="shared" si="11"/>
        <v>959</v>
      </c>
      <c r="F48" s="194">
        <f t="shared" si="11"/>
        <v>1324</v>
      </c>
      <c r="G48" s="194">
        <f t="shared" si="11"/>
        <v>0</v>
      </c>
      <c r="H48" s="194">
        <f t="shared" si="11"/>
        <v>0</v>
      </c>
      <c r="I48" s="178">
        <f>I46+I44+C41</f>
        <v>4283</v>
      </c>
      <c r="J48" s="259">
        <f t="shared" ref="J48:R48" si="12">J46+J44+J41</f>
        <v>7301.7154746384504</v>
      </c>
      <c r="K48" s="253">
        <f t="shared" si="12"/>
        <v>313973.76540945336</v>
      </c>
      <c r="L48" s="254">
        <f t="shared" si="12"/>
        <v>313973.76540945336</v>
      </c>
      <c r="M48" s="176">
        <f t="shared" si="12"/>
        <v>7593.7840936239891</v>
      </c>
      <c r="N48" s="177">
        <f t="shared" si="12"/>
        <v>326532.71602583153</v>
      </c>
      <c r="O48" s="178">
        <f t="shared" si="12"/>
        <v>326532.71602583153</v>
      </c>
      <c r="P48" s="259">
        <f t="shared" si="12"/>
        <v>7745.6597754964678</v>
      </c>
      <c r="Q48" s="253">
        <f t="shared" si="12"/>
        <v>333063.37034634815</v>
      </c>
      <c r="R48" s="254">
        <f t="shared" si="12"/>
        <v>333063.37034634815</v>
      </c>
      <c r="S48" s="206">
        <f>S46+S44</f>
        <v>217063.16209694117</v>
      </c>
      <c r="T48" s="205">
        <f>T41</f>
        <v>107460.12183026985</v>
      </c>
      <c r="U48" s="180" t="s">
        <v>12</v>
      </c>
    </row>
    <row r="49" spans="2:21" ht="13.5" thickTop="1" thickBot="1" x14ac:dyDescent="0.3">
      <c r="B49" s="144"/>
      <c r="C49" s="513"/>
      <c r="D49" s="513"/>
      <c r="E49" s="513"/>
      <c r="F49" s="513"/>
      <c r="G49" s="513"/>
      <c r="H49" s="513"/>
      <c r="I49" s="513"/>
      <c r="J49" s="513"/>
      <c r="K49" s="513"/>
      <c r="L49" s="513"/>
      <c r="M49" s="513"/>
      <c r="N49" s="513"/>
      <c r="O49" s="513"/>
      <c r="P49" s="513"/>
      <c r="Q49" s="513"/>
      <c r="R49" s="513"/>
      <c r="S49" s="513"/>
      <c r="T49" s="513"/>
      <c r="U49" s="515"/>
    </row>
    <row r="50" spans="2:21" ht="16" thickTop="1" x14ac:dyDescent="0.35">
      <c r="B50" s="463" t="s">
        <v>26</v>
      </c>
      <c r="F50" s="1" t="s">
        <v>6</v>
      </c>
      <c r="G50" s="1160"/>
      <c r="H50" s="1161"/>
      <c r="I50" s="1162"/>
      <c r="J50" s="2" t="s">
        <v>26</v>
      </c>
      <c r="L50" s="31"/>
      <c r="M50" s="199" t="s">
        <v>26</v>
      </c>
      <c r="P50" s="199" t="s">
        <v>26</v>
      </c>
      <c r="R50" s="31"/>
      <c r="S50" s="97"/>
      <c r="T50" s="31"/>
      <c r="U50" s="111"/>
    </row>
    <row r="51" spans="2:21" ht="13" x14ac:dyDescent="0.3">
      <c r="B51" s="144"/>
      <c r="I51" s="32" t="s">
        <v>61</v>
      </c>
      <c r="J51" s="227" t="s">
        <v>61</v>
      </c>
      <c r="K51" s="1167" t="s">
        <v>57</v>
      </c>
      <c r="L51" s="1168"/>
      <c r="M51" s="50" t="s">
        <v>61</v>
      </c>
      <c r="N51" s="1177" t="s">
        <v>57</v>
      </c>
      <c r="O51" s="1178"/>
      <c r="P51" s="227" t="s">
        <v>61</v>
      </c>
      <c r="Q51" s="1167" t="s">
        <v>57</v>
      </c>
      <c r="R51" s="1168"/>
      <c r="S51" s="106"/>
      <c r="T51" s="31"/>
      <c r="U51" s="111"/>
    </row>
    <row r="52" spans="2:21" ht="13" x14ac:dyDescent="0.3">
      <c r="B52" s="462" t="s">
        <v>27</v>
      </c>
      <c r="C52" s="20" t="s">
        <v>45</v>
      </c>
      <c r="D52" s="20" t="s">
        <v>46</v>
      </c>
      <c r="E52" s="20" t="s">
        <v>47</v>
      </c>
      <c r="F52" s="20" t="s">
        <v>48</v>
      </c>
      <c r="G52" s="20" t="s">
        <v>49</v>
      </c>
      <c r="H52" s="20" t="s">
        <v>50</v>
      </c>
      <c r="I52" s="32" t="s">
        <v>13</v>
      </c>
      <c r="J52" s="210" t="s">
        <v>56</v>
      </c>
      <c r="K52" s="211" t="s">
        <v>13</v>
      </c>
      <c r="L52" s="212" t="s">
        <v>68</v>
      </c>
      <c r="M52" s="66" t="s">
        <v>56</v>
      </c>
      <c r="N52" s="20" t="s">
        <v>13</v>
      </c>
      <c r="O52" s="32" t="s">
        <v>68</v>
      </c>
      <c r="P52" s="210" t="s">
        <v>56</v>
      </c>
      <c r="Q52" s="211" t="s">
        <v>13</v>
      </c>
      <c r="R52" s="212" t="s">
        <v>68</v>
      </c>
      <c r="S52" s="98"/>
      <c r="T52" s="31"/>
      <c r="U52" s="111"/>
    </row>
    <row r="53" spans="2:21" x14ac:dyDescent="0.25">
      <c r="B53" s="464" t="s">
        <v>4</v>
      </c>
      <c r="C53" s="18">
        <v>0</v>
      </c>
      <c r="D53" s="18">
        <v>0</v>
      </c>
      <c r="E53" s="18">
        <v>8</v>
      </c>
      <c r="F53" s="18">
        <v>8</v>
      </c>
      <c r="G53" s="18">
        <v>4</v>
      </c>
      <c r="H53" s="18">
        <v>0</v>
      </c>
      <c r="I53" s="45">
        <f t="shared" ref="I53:I62" si="13">SUM(C53:H53)</f>
        <v>20</v>
      </c>
      <c r="J53" s="213" t="s">
        <v>12</v>
      </c>
      <c r="K53" s="231">
        <f>I53*$L$4</f>
        <v>860</v>
      </c>
      <c r="L53" s="239">
        <f t="shared" ref="L53:L62" si="14">K53</f>
        <v>860</v>
      </c>
      <c r="M53" s="51" t="s">
        <v>12</v>
      </c>
      <c r="N53" s="58">
        <f>$I$53*$O$4</f>
        <v>860</v>
      </c>
      <c r="O53" s="57">
        <f t="shared" ref="O53:O62" si="15">N53</f>
        <v>860</v>
      </c>
      <c r="P53" s="213" t="s">
        <v>12</v>
      </c>
      <c r="Q53" s="231">
        <f>$I$53*$R$4</f>
        <v>860</v>
      </c>
      <c r="R53" s="239">
        <f t="shared" ref="R53:R62" si="16">Q53</f>
        <v>860</v>
      </c>
      <c r="S53" s="96">
        <f t="shared" ref="S53:S64" si="17">AVERAGE(L53,O53,R53)</f>
        <v>860</v>
      </c>
      <c r="T53" s="94" t="s">
        <v>12</v>
      </c>
      <c r="U53" s="113" t="s">
        <v>12</v>
      </c>
    </row>
    <row r="54" spans="2:21" ht="13.5" thickBot="1" x14ac:dyDescent="0.35">
      <c r="B54" s="465" t="s">
        <v>8</v>
      </c>
      <c r="C54" s="29">
        <f>ROUND(C53*Labor!$D$3,0)</f>
        <v>0</v>
      </c>
      <c r="D54" s="29">
        <f>ROUND(D53*Labor!$D$4,0)</f>
        <v>0</v>
      </c>
      <c r="E54" s="29">
        <f>ROUND(E53*Labor!$D$5,0)</f>
        <v>202</v>
      </c>
      <c r="F54" s="29">
        <f>ROUND(F53*Labor!$D$6,0)</f>
        <v>221</v>
      </c>
      <c r="G54" s="29">
        <f>ROUND(G53*Labor!$D$7,0)</f>
        <v>125</v>
      </c>
      <c r="H54" s="29">
        <f>ROUND(H53*Labor!$D$8,0)</f>
        <v>0</v>
      </c>
      <c r="I54" s="33">
        <f t="shared" si="13"/>
        <v>548</v>
      </c>
      <c r="J54" s="284">
        <f>HLOOKUP(K$2,InflationTable,2)/HLOOKUP(Labor!$B$11,InflationTable,2)*$I54</f>
        <v>1172.3028373702421</v>
      </c>
      <c r="K54" s="219">
        <f>J54*$L$4</f>
        <v>50409.022006920408</v>
      </c>
      <c r="L54" s="256">
        <f t="shared" si="14"/>
        <v>50409.022006920408</v>
      </c>
      <c r="M54" s="169">
        <f>HLOOKUP(N$2,InflationTable,2)/HLOOKUP(Labor!$B$11,InflationTable,2)*$I54</f>
        <v>1219.1949508650521</v>
      </c>
      <c r="N54" s="55">
        <f>M54*$L$4</f>
        <v>52425.382887197236</v>
      </c>
      <c r="O54" s="77">
        <f t="shared" si="15"/>
        <v>52425.382887197236</v>
      </c>
      <c r="P54" s="284">
        <f>HLOOKUP(Q$2,InflationTable,2)/HLOOKUP(Labor!$B$11,InflationTable,2)*$I54</f>
        <v>1243.5788498823529</v>
      </c>
      <c r="Q54" s="219">
        <f>P54*$R$4</f>
        <v>53473.890544941176</v>
      </c>
      <c r="R54" s="256">
        <f t="shared" si="16"/>
        <v>53473.890544941176</v>
      </c>
      <c r="S54" s="103">
        <f t="shared" si="17"/>
        <v>52102.76514635294</v>
      </c>
      <c r="T54" s="121" t="s">
        <v>12</v>
      </c>
      <c r="U54" s="115" t="s">
        <v>12</v>
      </c>
    </row>
    <row r="55" spans="2:21" ht="13" x14ac:dyDescent="0.3">
      <c r="B55" s="459" t="s">
        <v>114</v>
      </c>
      <c r="C55" s="290">
        <v>0</v>
      </c>
      <c r="D55" s="290">
        <v>0</v>
      </c>
      <c r="E55" s="290">
        <v>3</v>
      </c>
      <c r="F55" s="290">
        <v>4</v>
      </c>
      <c r="G55" s="290">
        <v>3</v>
      </c>
      <c r="H55" s="290">
        <v>0</v>
      </c>
      <c r="I55" s="291">
        <f t="shared" si="13"/>
        <v>10</v>
      </c>
      <c r="J55" s="242" t="s">
        <v>12</v>
      </c>
      <c r="K55" s="273">
        <f>I55*$L$4</f>
        <v>430</v>
      </c>
      <c r="L55" s="274">
        <f t="shared" si="14"/>
        <v>430</v>
      </c>
      <c r="M55" s="53" t="s">
        <v>12</v>
      </c>
      <c r="N55" s="147">
        <f>$I$55*$O$4</f>
        <v>430</v>
      </c>
      <c r="O55" s="148">
        <f t="shared" si="15"/>
        <v>430</v>
      </c>
      <c r="P55" s="242" t="s">
        <v>12</v>
      </c>
      <c r="Q55" s="273">
        <f>$I$55*$R$4</f>
        <v>430</v>
      </c>
      <c r="R55" s="274">
        <f t="shared" si="16"/>
        <v>430</v>
      </c>
      <c r="S55" s="104">
        <f t="shared" si="17"/>
        <v>430</v>
      </c>
      <c r="T55" s="42" t="s">
        <v>12</v>
      </c>
      <c r="U55" s="119" t="s">
        <v>12</v>
      </c>
    </row>
    <row r="56" spans="2:21" ht="13.5" thickBot="1" x14ac:dyDescent="0.35">
      <c r="B56" s="465" t="s">
        <v>8</v>
      </c>
      <c r="C56" s="29">
        <f>ROUND(C55*Labor!$D$3,0)</f>
        <v>0</v>
      </c>
      <c r="D56" s="29">
        <f>ROUND(D55*Labor!$D$4,0)</f>
        <v>0</v>
      </c>
      <c r="E56" s="29">
        <f>ROUND(E55*Labor!$D$5,0)</f>
        <v>76</v>
      </c>
      <c r="F56" s="29">
        <f>ROUND(F55*Labor!$D$6,0)</f>
        <v>110</v>
      </c>
      <c r="G56" s="29">
        <f>ROUND(G55*Labor!$D$7,0)</f>
        <v>94</v>
      </c>
      <c r="H56" s="29">
        <f>ROUND(H55*Labor!$D$8,0)</f>
        <v>0</v>
      </c>
      <c r="I56" s="33">
        <f t="shared" si="13"/>
        <v>280</v>
      </c>
      <c r="J56" s="284">
        <f>HLOOKUP(K$2,InflationTable,2)/HLOOKUP(Labor!$B$11,InflationTable,2)*$I56</f>
        <v>598.98685121107258</v>
      </c>
      <c r="K56" s="219">
        <f>J56*$L$4</f>
        <v>25756.434602076122</v>
      </c>
      <c r="L56" s="256">
        <f t="shared" si="14"/>
        <v>25756.434602076122</v>
      </c>
      <c r="M56" s="169">
        <f>HLOOKUP(N$2,InflationTable,2)/HLOOKUP(Labor!$B$11,InflationTable,2)*$I56</f>
        <v>622.94632525951556</v>
      </c>
      <c r="N56" s="55">
        <f>M56*$O$4</f>
        <v>26786.69198615917</v>
      </c>
      <c r="O56" s="77">
        <f t="shared" si="15"/>
        <v>26786.69198615917</v>
      </c>
      <c r="P56" s="284">
        <f>HLOOKUP(Q$2,InflationTable,2)/HLOOKUP(Labor!$B$11,InflationTable,2)*$I56</f>
        <v>635.40525176470578</v>
      </c>
      <c r="Q56" s="219">
        <f>P56*$R$4</f>
        <v>27322.42582588235</v>
      </c>
      <c r="R56" s="256">
        <f t="shared" si="16"/>
        <v>27322.42582588235</v>
      </c>
      <c r="S56" s="103">
        <f t="shared" si="17"/>
        <v>26621.850804705882</v>
      </c>
      <c r="T56" s="121" t="s">
        <v>12</v>
      </c>
      <c r="U56" s="115" t="s">
        <v>12</v>
      </c>
    </row>
    <row r="57" spans="2:21" ht="13" x14ac:dyDescent="0.3">
      <c r="B57" s="459" t="s">
        <v>115</v>
      </c>
      <c r="C57" s="290">
        <v>0</v>
      </c>
      <c r="D57" s="290">
        <v>0</v>
      </c>
      <c r="E57" s="290">
        <v>5</v>
      </c>
      <c r="F57" s="290">
        <v>10</v>
      </c>
      <c r="G57" s="290">
        <v>0</v>
      </c>
      <c r="H57" s="290">
        <v>0</v>
      </c>
      <c r="I57" s="291">
        <f t="shared" si="13"/>
        <v>15</v>
      </c>
      <c r="J57" s="242" t="s">
        <v>12</v>
      </c>
      <c r="K57" s="273">
        <f>I57*$L$4</f>
        <v>645</v>
      </c>
      <c r="L57" s="274">
        <f t="shared" si="14"/>
        <v>645</v>
      </c>
      <c r="M57" s="53" t="s">
        <v>12</v>
      </c>
      <c r="N57" s="147">
        <f>$I$57*$O$4</f>
        <v>645</v>
      </c>
      <c r="O57" s="148">
        <f t="shared" si="15"/>
        <v>645</v>
      </c>
      <c r="P57" s="242" t="s">
        <v>12</v>
      </c>
      <c r="Q57" s="273">
        <f>$I$57*$R$4</f>
        <v>645</v>
      </c>
      <c r="R57" s="274">
        <f t="shared" si="16"/>
        <v>645</v>
      </c>
      <c r="S57" s="104">
        <f t="shared" si="17"/>
        <v>645</v>
      </c>
      <c r="T57" s="42" t="s">
        <v>12</v>
      </c>
      <c r="U57" s="119" t="s">
        <v>12</v>
      </c>
    </row>
    <row r="58" spans="2:21" ht="13.5" thickBot="1" x14ac:dyDescent="0.35">
      <c r="B58" s="465" t="s">
        <v>8</v>
      </c>
      <c r="C58" s="29">
        <f>ROUND(C57*Labor!$D$3,0)</f>
        <v>0</v>
      </c>
      <c r="D58" s="29">
        <f>ROUND(D57*Labor!$D$4,0)</f>
        <v>0</v>
      </c>
      <c r="E58" s="29">
        <f>ROUND(E57*Labor!$D$5,0)</f>
        <v>126</v>
      </c>
      <c r="F58" s="29">
        <f>ROUND(F57*Labor!$D$6,0)</f>
        <v>276</v>
      </c>
      <c r="G58" s="29">
        <f>ROUND(G57*Labor!$D$7,0)</f>
        <v>0</v>
      </c>
      <c r="H58" s="29">
        <f>ROUND(H57*Labor!$D$8,0)</f>
        <v>0</v>
      </c>
      <c r="I58" s="33">
        <f t="shared" si="13"/>
        <v>402</v>
      </c>
      <c r="J58" s="284">
        <f>HLOOKUP(K$2,InflationTable,2)/HLOOKUP(Labor!$B$11,InflationTable,2)*$I58</f>
        <v>859.97397923875428</v>
      </c>
      <c r="K58" s="219">
        <f>J58*$L$4</f>
        <v>36978.881107266432</v>
      </c>
      <c r="L58" s="256">
        <f t="shared" si="14"/>
        <v>36978.881107266432</v>
      </c>
      <c r="M58" s="169">
        <f>HLOOKUP(N$2,InflationTable,2)/HLOOKUP(Labor!$B$11,InflationTable,2)*$I58</f>
        <v>894.37293840830455</v>
      </c>
      <c r="N58" s="55">
        <f>M58*$O$4</f>
        <v>38458.036351557093</v>
      </c>
      <c r="O58" s="77">
        <f t="shared" si="15"/>
        <v>38458.036351557093</v>
      </c>
      <c r="P58" s="284">
        <f>HLOOKUP(Q$2,InflationTable,2)/HLOOKUP(Labor!$B$11,InflationTable,2)*$I58</f>
        <v>912.26039717647052</v>
      </c>
      <c r="Q58" s="219">
        <f>P58*$R$4</f>
        <v>39227.197078588229</v>
      </c>
      <c r="R58" s="256">
        <f t="shared" si="16"/>
        <v>39227.197078588229</v>
      </c>
      <c r="S58" s="103">
        <f t="shared" si="17"/>
        <v>38221.371512470585</v>
      </c>
      <c r="T58" s="121" t="s">
        <v>12</v>
      </c>
      <c r="U58" s="115" t="s">
        <v>12</v>
      </c>
    </row>
    <row r="59" spans="2:21" ht="13" x14ac:dyDescent="0.3">
      <c r="B59" s="459" t="s">
        <v>116</v>
      </c>
      <c r="C59" s="290">
        <v>0</v>
      </c>
      <c r="D59" s="290">
        <v>0</v>
      </c>
      <c r="E59" s="290">
        <v>2</v>
      </c>
      <c r="F59" s="290">
        <v>3</v>
      </c>
      <c r="G59" s="290">
        <v>0</v>
      </c>
      <c r="H59" s="290">
        <v>0</v>
      </c>
      <c r="I59" s="291">
        <f t="shared" si="13"/>
        <v>5</v>
      </c>
      <c r="J59" s="242" t="s">
        <v>12</v>
      </c>
      <c r="K59" s="273">
        <f>I59*$L$4</f>
        <v>215</v>
      </c>
      <c r="L59" s="274">
        <f t="shared" si="14"/>
        <v>215</v>
      </c>
      <c r="M59" s="53" t="s">
        <v>12</v>
      </c>
      <c r="N59" s="147">
        <f>$I$59*$O$4</f>
        <v>215</v>
      </c>
      <c r="O59" s="148">
        <f t="shared" si="15"/>
        <v>215</v>
      </c>
      <c r="P59" s="242" t="s">
        <v>12</v>
      </c>
      <c r="Q59" s="273">
        <f>$I$59*$R$4</f>
        <v>215</v>
      </c>
      <c r="R59" s="274">
        <f t="shared" si="16"/>
        <v>215</v>
      </c>
      <c r="S59" s="104">
        <f t="shared" si="17"/>
        <v>215</v>
      </c>
      <c r="T59" s="42" t="s">
        <v>12</v>
      </c>
      <c r="U59" s="119" t="s">
        <v>12</v>
      </c>
    </row>
    <row r="60" spans="2:21" ht="13.5" thickBot="1" x14ac:dyDescent="0.35">
      <c r="B60" s="465" t="s">
        <v>8</v>
      </c>
      <c r="C60" s="29">
        <f>ROUND(C59*Labor!$D$3,0)</f>
        <v>0</v>
      </c>
      <c r="D60" s="29">
        <f>ROUND(D59*Labor!$D$4,0)</f>
        <v>0</v>
      </c>
      <c r="E60" s="29">
        <f>ROUND(E59*Labor!$D$5,0)</f>
        <v>50</v>
      </c>
      <c r="F60" s="29">
        <f>ROUND(F59*Labor!$D$6,0)</f>
        <v>83</v>
      </c>
      <c r="G60" s="29">
        <f>ROUND(G59*Labor!$D$7,0)</f>
        <v>0</v>
      </c>
      <c r="H60" s="29">
        <f>ROUND(H59*Labor!$D$8,0)</f>
        <v>0</v>
      </c>
      <c r="I60" s="33">
        <f t="shared" si="13"/>
        <v>133</v>
      </c>
      <c r="J60" s="284">
        <f>HLOOKUP(K$2,InflationTable,2)/HLOOKUP(Labor!$B$11,InflationTable,2)*$I60</f>
        <v>284.51875432525947</v>
      </c>
      <c r="K60" s="219">
        <f>J60*$L$4</f>
        <v>12234.306435986156</v>
      </c>
      <c r="L60" s="256">
        <f t="shared" si="14"/>
        <v>12234.306435986156</v>
      </c>
      <c r="M60" s="169">
        <f>HLOOKUP(N$2,InflationTable,2)/HLOOKUP(Labor!$B$11,InflationTable,2)*$I60</f>
        <v>295.89950449826989</v>
      </c>
      <c r="N60" s="55">
        <f>M60*$O$4</f>
        <v>12723.678693425605</v>
      </c>
      <c r="O60" s="77">
        <f t="shared" si="15"/>
        <v>12723.678693425605</v>
      </c>
      <c r="P60" s="284">
        <f>HLOOKUP(Q$2,InflationTable,2)/HLOOKUP(Labor!$B$11,InflationTable,2)*$I60</f>
        <v>301.81749458823526</v>
      </c>
      <c r="Q60" s="219">
        <f>P60*$R$4</f>
        <v>12978.152267294116</v>
      </c>
      <c r="R60" s="256">
        <f t="shared" si="16"/>
        <v>12978.152267294116</v>
      </c>
      <c r="S60" s="103">
        <f t="shared" si="17"/>
        <v>12645.379132235292</v>
      </c>
      <c r="T60" s="110" t="s">
        <v>12</v>
      </c>
      <c r="U60" s="115" t="s">
        <v>12</v>
      </c>
    </row>
    <row r="61" spans="2:21" ht="13" x14ac:dyDescent="0.3">
      <c r="B61" s="1095" t="s">
        <v>376</v>
      </c>
      <c r="C61" s="1100">
        <v>0</v>
      </c>
      <c r="D61" s="1100">
        <v>0.5</v>
      </c>
      <c r="E61" s="1100">
        <v>0</v>
      </c>
      <c r="F61" s="1100">
        <v>0</v>
      </c>
      <c r="G61" s="1100">
        <v>0</v>
      </c>
      <c r="H61" s="1100">
        <v>0</v>
      </c>
      <c r="I61" s="291">
        <f t="shared" si="13"/>
        <v>0.5</v>
      </c>
      <c r="J61" s="242">
        <f>I61</f>
        <v>0.5</v>
      </c>
      <c r="K61" s="273">
        <f>J61*L4</f>
        <v>21.5</v>
      </c>
      <c r="L61" s="274">
        <f t="shared" si="14"/>
        <v>21.5</v>
      </c>
      <c r="M61" s="53">
        <f>I61</f>
        <v>0.5</v>
      </c>
      <c r="N61" s="147">
        <f>M61*L4</f>
        <v>21.5</v>
      </c>
      <c r="O61" s="148">
        <f t="shared" si="15"/>
        <v>21.5</v>
      </c>
      <c r="P61" s="242">
        <f>I61</f>
        <v>0.5</v>
      </c>
      <c r="Q61" s="273">
        <f>P61*R4</f>
        <v>21.5</v>
      </c>
      <c r="R61" s="274">
        <f t="shared" si="16"/>
        <v>21.5</v>
      </c>
      <c r="S61" s="104">
        <f t="shared" si="17"/>
        <v>21.5</v>
      </c>
      <c r="T61" s="42" t="s">
        <v>12</v>
      </c>
      <c r="U61" s="119" t="s">
        <v>12</v>
      </c>
    </row>
    <row r="62" spans="2:21" ht="13.5" thickBot="1" x14ac:dyDescent="0.35">
      <c r="B62" s="465" t="s">
        <v>8</v>
      </c>
      <c r="C62" s="1097">
        <f>ROUND(C61*Labor!$D$3,0)</f>
        <v>0</v>
      </c>
      <c r="D62" s="1097">
        <f>ROUND(D61*Labor!$D$3,0)</f>
        <v>11</v>
      </c>
      <c r="E62" s="1097">
        <f>ROUND(E61*Labor!$D$3,0)</f>
        <v>0</v>
      </c>
      <c r="F62" s="1097">
        <f>ROUND(F61*Labor!$D$3,0)</f>
        <v>0</v>
      </c>
      <c r="G62" s="1097">
        <f>ROUND(G61*Labor!$D$3,0)</f>
        <v>0</v>
      </c>
      <c r="H62" s="1097">
        <f>ROUND(H61*Labor!$D$3,0)</f>
        <v>0</v>
      </c>
      <c r="I62" s="1094">
        <f t="shared" si="13"/>
        <v>11</v>
      </c>
      <c r="J62" s="284">
        <f>HLOOKUP(K$2,InflationTable,2)/HLOOKUP(Labor!$B$11,InflationTable,2)*$I62</f>
        <v>23.531626297577851</v>
      </c>
      <c r="K62" s="245">
        <f>K61*J62</f>
        <v>505.92996539792381</v>
      </c>
      <c r="L62" s="246">
        <f t="shared" si="14"/>
        <v>505.92996539792381</v>
      </c>
      <c r="M62" s="169">
        <f>HLOOKUP(N$2,InflationTable,2)/HLOOKUP(Labor!$B$11,InflationTable,2)*$I62</f>
        <v>24.472891349480971</v>
      </c>
      <c r="N62" s="166">
        <f>N61*M62</f>
        <v>526.16716401384087</v>
      </c>
      <c r="O62" s="167">
        <f t="shared" si="15"/>
        <v>526.16716401384087</v>
      </c>
      <c r="P62" s="284">
        <f>HLOOKUP(Q$2,InflationTable,2)/HLOOKUP(Labor!$B$11,InflationTable,2)*$I62</f>
        <v>24.962349176470585</v>
      </c>
      <c r="Q62" s="245">
        <f>Q61*P62</f>
        <v>536.69050729411754</v>
      </c>
      <c r="R62" s="246">
        <f t="shared" si="16"/>
        <v>536.69050729411754</v>
      </c>
      <c r="S62" s="169">
        <f t="shared" si="17"/>
        <v>522.92921223529402</v>
      </c>
      <c r="T62" s="110" t="s">
        <v>12</v>
      </c>
      <c r="U62" s="115" t="s">
        <v>12</v>
      </c>
    </row>
    <row r="63" spans="2:21" ht="13" x14ac:dyDescent="0.3">
      <c r="B63" s="139" t="s">
        <v>66</v>
      </c>
      <c r="C63" s="30">
        <f>C53+C55+C57+C59+C61</f>
        <v>0</v>
      </c>
      <c r="D63" s="30">
        <f t="shared" ref="D63:I64" si="18">D53+D55+D57+D59+D61</f>
        <v>0.5</v>
      </c>
      <c r="E63" s="30">
        <f t="shared" si="18"/>
        <v>18</v>
      </c>
      <c r="F63" s="30">
        <f t="shared" si="18"/>
        <v>25</v>
      </c>
      <c r="G63" s="30">
        <f t="shared" si="18"/>
        <v>7</v>
      </c>
      <c r="H63" s="30">
        <f t="shared" si="18"/>
        <v>0</v>
      </c>
      <c r="I63" s="30">
        <f t="shared" si="18"/>
        <v>50.5</v>
      </c>
      <c r="J63" s="249" t="s">
        <v>12</v>
      </c>
      <c r="K63" s="235">
        <f>K53+K55+K57+K59+K61</f>
        <v>2171.5</v>
      </c>
      <c r="L63" s="260">
        <f>L53+L55+L57+L59+L61</f>
        <v>2171.5</v>
      </c>
      <c r="M63" s="70" t="s">
        <v>12</v>
      </c>
      <c r="N63" s="28">
        <f>N53+N55+N57+N59+N61</f>
        <v>2171.5</v>
      </c>
      <c r="O63" s="28">
        <f>O53+O55+O57+O59+O61</f>
        <v>2171.5</v>
      </c>
      <c r="P63" s="249" t="s">
        <v>12</v>
      </c>
      <c r="Q63" s="235">
        <f>Q53+Q55+Q57+Q59+Q61</f>
        <v>2171.5</v>
      </c>
      <c r="R63" s="235">
        <f>R53+R55+R57+R59+R61</f>
        <v>2171.5</v>
      </c>
      <c r="S63" s="104">
        <f t="shared" si="17"/>
        <v>2171.5</v>
      </c>
      <c r="T63" s="42" t="s">
        <v>12</v>
      </c>
      <c r="U63" s="119" t="s">
        <v>12</v>
      </c>
    </row>
    <row r="64" spans="2:21" ht="13.5" thickBot="1" x14ac:dyDescent="0.35">
      <c r="B64" s="460" t="s">
        <v>67</v>
      </c>
      <c r="C64" s="194">
        <f>C54+C56+C58+C60+C62</f>
        <v>0</v>
      </c>
      <c r="D64" s="194">
        <f t="shared" si="18"/>
        <v>11</v>
      </c>
      <c r="E64" s="194">
        <f t="shared" si="18"/>
        <v>454</v>
      </c>
      <c r="F64" s="194">
        <f t="shared" si="18"/>
        <v>690</v>
      </c>
      <c r="G64" s="194">
        <f t="shared" si="18"/>
        <v>219</v>
      </c>
      <c r="H64" s="194">
        <f t="shared" si="18"/>
        <v>0</v>
      </c>
      <c r="I64" s="194">
        <f t="shared" si="18"/>
        <v>1374</v>
      </c>
      <c r="J64" s="261">
        <f>J54+J56+J58+J60+J62</f>
        <v>2939.3140484429064</v>
      </c>
      <c r="K64" s="261">
        <f>K54+K56+K58+K60+K62</f>
        <v>125884.57411764705</v>
      </c>
      <c r="L64" s="226">
        <f>L54+L56+L58+L60+L62</f>
        <v>125884.57411764705</v>
      </c>
      <c r="M64" s="194">
        <f>M54+M56+M58+M60+M62</f>
        <v>3056.8866103806231</v>
      </c>
      <c r="N64" s="194">
        <f>N54+N56+N58+N60+N62</f>
        <v>130919.95708235295</v>
      </c>
      <c r="O64" s="194">
        <f>O54+O56+O58+O60+O62</f>
        <v>130919.95708235295</v>
      </c>
      <c r="P64" s="261">
        <f>P54+P56+P58+P60+P62</f>
        <v>3118.024342588235</v>
      </c>
      <c r="Q64" s="261">
        <f>Q54+Q56+Q58+Q60+Q62</f>
        <v>133538.35622399999</v>
      </c>
      <c r="R64" s="261">
        <f>R54+R56+R58+R60+R62</f>
        <v>133538.35622399999</v>
      </c>
      <c r="S64" s="206">
        <f t="shared" si="17"/>
        <v>130114.29580799998</v>
      </c>
      <c r="T64" s="203" t="s">
        <v>12</v>
      </c>
      <c r="U64" s="180" t="s">
        <v>12</v>
      </c>
    </row>
    <row r="65" spans="2:21" ht="13.5" thickTop="1" x14ac:dyDescent="0.3">
      <c r="B65" s="519"/>
      <c r="C65" s="516"/>
      <c r="D65" s="516"/>
      <c r="E65" s="516"/>
      <c r="F65" s="516"/>
      <c r="G65" s="516"/>
      <c r="H65" s="516"/>
      <c r="I65" s="517"/>
      <c r="J65" s="517"/>
      <c r="K65" s="517"/>
      <c r="L65" s="517"/>
      <c r="M65" s="517"/>
      <c r="N65" s="517"/>
      <c r="O65" s="517"/>
      <c r="P65" s="517"/>
      <c r="Q65" s="517"/>
      <c r="R65" s="517"/>
      <c r="S65" s="520"/>
      <c r="T65" s="521"/>
      <c r="U65" s="522"/>
    </row>
    <row r="66" spans="2:21" ht="13" thickBot="1" x14ac:dyDescent="0.3">
      <c r="B66" s="335"/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335"/>
      <c r="Q66" s="335"/>
      <c r="R66" s="335"/>
      <c r="S66" s="335"/>
      <c r="T66" s="335"/>
      <c r="U66" s="335"/>
    </row>
    <row r="67" spans="2:21" ht="27.5" thickTop="1" thickBot="1" x14ac:dyDescent="0.4">
      <c r="B67" s="463" t="s">
        <v>28</v>
      </c>
      <c r="F67" s="1" t="s">
        <v>6</v>
      </c>
      <c r="G67" s="1160"/>
      <c r="H67" s="1161"/>
      <c r="I67" s="1162"/>
      <c r="J67" s="2" t="s">
        <v>28</v>
      </c>
      <c r="L67" s="31"/>
      <c r="M67" s="2" t="s">
        <v>28</v>
      </c>
      <c r="O67" s="31"/>
      <c r="P67" s="2" t="s">
        <v>28</v>
      </c>
      <c r="R67" s="31"/>
      <c r="S67" s="448" t="s">
        <v>17</v>
      </c>
      <c r="T67" s="449" t="s">
        <v>103</v>
      </c>
      <c r="U67" s="523" t="s">
        <v>79</v>
      </c>
    </row>
    <row r="68" spans="2:21" ht="13" x14ac:dyDescent="0.3">
      <c r="B68" s="144"/>
      <c r="I68" s="32" t="s">
        <v>61</v>
      </c>
      <c r="J68" s="227" t="s">
        <v>61</v>
      </c>
      <c r="K68" s="1167" t="s">
        <v>57</v>
      </c>
      <c r="L68" s="1168"/>
      <c r="M68" s="50" t="s">
        <v>61</v>
      </c>
      <c r="N68" s="1177" t="s">
        <v>57</v>
      </c>
      <c r="O68" s="1181"/>
      <c r="P68" s="266" t="s">
        <v>61</v>
      </c>
      <c r="Q68" s="1167" t="s">
        <v>57</v>
      </c>
      <c r="R68" s="1168"/>
      <c r="S68" s="139"/>
      <c r="T68" s="108"/>
      <c r="U68" s="31"/>
    </row>
    <row r="69" spans="2:21" ht="13" x14ac:dyDescent="0.3">
      <c r="B69" s="457"/>
      <c r="C69" s="20" t="s">
        <v>45</v>
      </c>
      <c r="D69" s="20" t="s">
        <v>46</v>
      </c>
      <c r="E69" s="20" t="s">
        <v>47</v>
      </c>
      <c r="F69" s="20" t="s">
        <v>48</v>
      </c>
      <c r="G69" s="20" t="s">
        <v>49</v>
      </c>
      <c r="H69" s="20" t="s">
        <v>50</v>
      </c>
      <c r="I69" s="32" t="s">
        <v>13</v>
      </c>
      <c r="J69" s="210" t="s">
        <v>56</v>
      </c>
      <c r="K69" s="211" t="s">
        <v>13</v>
      </c>
      <c r="L69" s="212" t="s">
        <v>68</v>
      </c>
      <c r="M69" s="66" t="s">
        <v>56</v>
      </c>
      <c r="N69" s="20" t="s">
        <v>13</v>
      </c>
      <c r="O69" s="32" t="s">
        <v>68</v>
      </c>
      <c r="P69" s="210" t="s">
        <v>56</v>
      </c>
      <c r="Q69" s="211" t="s">
        <v>13</v>
      </c>
      <c r="R69" s="212" t="s">
        <v>68</v>
      </c>
      <c r="S69" s="95"/>
      <c r="T69" s="108"/>
      <c r="U69" s="31"/>
    </row>
    <row r="70" spans="2:21" ht="13" x14ac:dyDescent="0.3">
      <c r="B70" s="457" t="s">
        <v>111</v>
      </c>
      <c r="C70" s="18">
        <v>0</v>
      </c>
      <c r="D70" s="18">
        <v>0</v>
      </c>
      <c r="E70" s="18">
        <v>0</v>
      </c>
      <c r="F70" s="18">
        <v>36</v>
      </c>
      <c r="G70" s="18">
        <v>36</v>
      </c>
      <c r="H70" s="18">
        <v>0</v>
      </c>
      <c r="I70" s="45">
        <f>SUM(C70:H70)</f>
        <v>72</v>
      </c>
      <c r="J70" s="213" t="s">
        <v>12</v>
      </c>
      <c r="K70" s="231">
        <f>I70*$L$4</f>
        <v>3096</v>
      </c>
      <c r="L70" s="239">
        <f>K70</f>
        <v>3096</v>
      </c>
      <c r="M70" s="51" t="s">
        <v>12</v>
      </c>
      <c r="N70" s="58">
        <f>$I$70*$O$4</f>
        <v>3096</v>
      </c>
      <c r="O70" s="57">
        <f>N70</f>
        <v>3096</v>
      </c>
      <c r="P70" s="213" t="s">
        <v>12</v>
      </c>
      <c r="Q70" s="231">
        <f>$I$70*$O$4</f>
        <v>3096</v>
      </c>
      <c r="R70" s="239">
        <f>Q70</f>
        <v>3096</v>
      </c>
      <c r="S70" s="96">
        <f>AVERAGE(L70,O70,R70)</f>
        <v>3096</v>
      </c>
      <c r="T70" s="34" t="s">
        <v>12</v>
      </c>
      <c r="U70" s="42" t="s">
        <v>12</v>
      </c>
    </row>
    <row r="71" spans="2:21" ht="13.5" thickBot="1" x14ac:dyDescent="0.35">
      <c r="B71" s="466" t="s">
        <v>8</v>
      </c>
      <c r="C71" s="29">
        <f>ROUND(C70*Labor!$D$3,0)</f>
        <v>0</v>
      </c>
      <c r="D71" s="29">
        <f>ROUND(D70*Labor!$D$4,0)</f>
        <v>0</v>
      </c>
      <c r="E71" s="29">
        <f>ROUND(E70*Labor!$D$5,0)</f>
        <v>0</v>
      </c>
      <c r="F71" s="29">
        <f>ROUND(F70*Labor!$D$6,0)</f>
        <v>992</v>
      </c>
      <c r="G71" s="29">
        <f>ROUND(G70*Labor!$D$7,0)</f>
        <v>1127</v>
      </c>
      <c r="H71" s="29">
        <f>ROUND(H70*Labor!$D$8,0)</f>
        <v>0</v>
      </c>
      <c r="I71" s="33">
        <f>SUM(C71:H71)</f>
        <v>2119</v>
      </c>
      <c r="J71" s="284">
        <f>HLOOKUP(K$2,InflationTable,2)/HLOOKUP(Labor!$B$11,InflationTable,2)*$I71</f>
        <v>4533.0469204152241</v>
      </c>
      <c r="K71" s="219">
        <f>J71*$L$4</f>
        <v>194921.01757785463</v>
      </c>
      <c r="L71" s="256">
        <f>K71</f>
        <v>194921.01757785463</v>
      </c>
      <c r="M71" s="169">
        <f>HLOOKUP(N$2,InflationTable,2)/HLOOKUP(Labor!$B$11,InflationTable,2)*$I71</f>
        <v>4714.3687972318339</v>
      </c>
      <c r="N71" s="55">
        <f>M71*$O$4</f>
        <v>202717.85828096885</v>
      </c>
      <c r="O71" s="77">
        <f>N71</f>
        <v>202717.85828096885</v>
      </c>
      <c r="P71" s="284">
        <f>HLOOKUP(Q$2,InflationTable,2)/HLOOKUP(Labor!$B$11,InflationTable,2)*$I71</f>
        <v>4808.6561731764705</v>
      </c>
      <c r="Q71" s="219">
        <f>P71*$R$4</f>
        <v>206772.21544658823</v>
      </c>
      <c r="R71" s="256">
        <f>Q71</f>
        <v>206772.21544658823</v>
      </c>
      <c r="S71" s="103">
        <f>AVERAGE(L71,O71,R71)</f>
        <v>201470.36376847056</v>
      </c>
      <c r="T71" s="110" t="s">
        <v>12</v>
      </c>
      <c r="U71" s="121" t="s">
        <v>12</v>
      </c>
    </row>
    <row r="72" spans="2:21" ht="13" x14ac:dyDescent="0.3">
      <c r="B72" s="459" t="s">
        <v>110</v>
      </c>
      <c r="C72" s="290">
        <v>0</v>
      </c>
      <c r="D72" s="290">
        <v>24</v>
      </c>
      <c r="E72" s="290">
        <v>24</v>
      </c>
      <c r="F72" s="290">
        <v>0</v>
      </c>
      <c r="G72" s="290">
        <v>0</v>
      </c>
      <c r="H72" s="290">
        <v>0</v>
      </c>
      <c r="I72" s="291">
        <f>SUM(C72:H72)</f>
        <v>48</v>
      </c>
      <c r="J72" s="242" t="s">
        <v>12</v>
      </c>
      <c r="K72" s="273">
        <f>I72*$L$4</f>
        <v>2064</v>
      </c>
      <c r="L72" s="274">
        <f>K72</f>
        <v>2064</v>
      </c>
      <c r="M72" s="53" t="s">
        <v>12</v>
      </c>
      <c r="N72" s="147">
        <f>$I$72*$O$4</f>
        <v>2064</v>
      </c>
      <c r="O72" s="148">
        <f>N72</f>
        <v>2064</v>
      </c>
      <c r="P72" s="242" t="s">
        <v>12</v>
      </c>
      <c r="Q72" s="273">
        <f>$I$72*$O$4</f>
        <v>2064</v>
      </c>
      <c r="R72" s="274">
        <f>Q72</f>
        <v>2064</v>
      </c>
      <c r="S72" s="104">
        <f>AVERAGE(L72,O72,R72)</f>
        <v>2064</v>
      </c>
      <c r="T72" s="34" t="s">
        <v>12</v>
      </c>
      <c r="U72" s="42" t="s">
        <v>12</v>
      </c>
    </row>
    <row r="73" spans="2:21" ht="13.5" thickBot="1" x14ac:dyDescent="0.35">
      <c r="B73" s="466" t="s">
        <v>8</v>
      </c>
      <c r="C73" s="29">
        <f>ROUND(C72*Labor!$D$3,0)</f>
        <v>0</v>
      </c>
      <c r="D73" s="29">
        <f>ROUND(D72*Labor!$D$4,0)</f>
        <v>581</v>
      </c>
      <c r="E73" s="29">
        <f>ROUND(E72*Labor!$D$5,0)</f>
        <v>605</v>
      </c>
      <c r="F73" s="29">
        <f>ROUND(F72*Labor!$D$6,0)</f>
        <v>0</v>
      </c>
      <c r="G73" s="29">
        <f>ROUND(G72*Labor!$D$7,0)</f>
        <v>0</v>
      </c>
      <c r="H73" s="29">
        <f>ROUND(H72*Labor!$D$8,0)</f>
        <v>0</v>
      </c>
      <c r="I73" s="33">
        <f>SUM(C73:H73)</f>
        <v>1186</v>
      </c>
      <c r="J73" s="284">
        <f>HLOOKUP(K$2,InflationTable,2)/HLOOKUP(Labor!$B$11,InflationTable,2)*$I73</f>
        <v>2537.1371626297578</v>
      </c>
      <c r="K73" s="219">
        <f>J73*$L$4</f>
        <v>109096.89799307959</v>
      </c>
      <c r="L73" s="256">
        <f>K73</f>
        <v>109096.89799307959</v>
      </c>
      <c r="M73" s="169">
        <f>HLOOKUP(N$2,InflationTable,2)/HLOOKUP(Labor!$B$11,InflationTable,2)*$I73</f>
        <v>2638.6226491349485</v>
      </c>
      <c r="N73" s="55">
        <f>M73*$O$4</f>
        <v>113460.77391280279</v>
      </c>
      <c r="O73" s="77">
        <f>N73</f>
        <v>113460.77391280279</v>
      </c>
      <c r="P73" s="284">
        <f>HLOOKUP(Q$2,InflationTable,2)/HLOOKUP(Labor!$B$11,InflationTable,2)*$I73</f>
        <v>2691.3951021176467</v>
      </c>
      <c r="Q73" s="219">
        <f>P73*$R$4</f>
        <v>115729.98939105881</v>
      </c>
      <c r="R73" s="256">
        <f>Q73</f>
        <v>115729.98939105881</v>
      </c>
      <c r="S73" s="103">
        <f>AVERAGE(L73,O73,R73)</f>
        <v>112762.55376564706</v>
      </c>
      <c r="T73" s="110" t="s">
        <v>12</v>
      </c>
      <c r="U73" s="121" t="s">
        <v>12</v>
      </c>
    </row>
    <row r="74" spans="2:21" ht="13" x14ac:dyDescent="0.3">
      <c r="B74" s="459" t="s">
        <v>20</v>
      </c>
      <c r="C74" s="86" t="s">
        <v>45</v>
      </c>
      <c r="D74" s="86" t="s">
        <v>46</v>
      </c>
      <c r="E74" s="86" t="s">
        <v>47</v>
      </c>
      <c r="F74" s="86" t="s">
        <v>48</v>
      </c>
      <c r="G74" s="86" t="s">
        <v>49</v>
      </c>
      <c r="H74" s="86" t="s">
        <v>50</v>
      </c>
      <c r="I74" s="87" t="s">
        <v>13</v>
      </c>
      <c r="J74" s="292"/>
      <c r="K74" s="293"/>
      <c r="L74" s="296"/>
      <c r="M74" s="88" t="s">
        <v>56</v>
      </c>
      <c r="N74" s="86" t="s">
        <v>13</v>
      </c>
      <c r="O74" s="87" t="s">
        <v>68</v>
      </c>
      <c r="P74" s="292" t="s">
        <v>56</v>
      </c>
      <c r="Q74" s="293" t="s">
        <v>13</v>
      </c>
      <c r="R74" s="296" t="s">
        <v>68</v>
      </c>
      <c r="S74" s="98"/>
      <c r="T74" s="108"/>
      <c r="U74" s="31"/>
    </row>
    <row r="75" spans="2:21" x14ac:dyDescent="0.25">
      <c r="B75" s="458" t="s">
        <v>4</v>
      </c>
      <c r="C75" s="18">
        <v>0</v>
      </c>
      <c r="D75" s="18">
        <v>0</v>
      </c>
      <c r="E75" s="18">
        <v>0</v>
      </c>
      <c r="F75" s="18">
        <v>2</v>
      </c>
      <c r="G75" s="18">
        <v>2</v>
      </c>
      <c r="H75" s="18">
        <v>0</v>
      </c>
      <c r="I75" s="45">
        <f t="shared" ref="I75:I80" si="19">SUM(C75:H75)</f>
        <v>4</v>
      </c>
      <c r="J75" s="213" t="s">
        <v>12</v>
      </c>
      <c r="K75" s="231">
        <f>I75*$L$4</f>
        <v>172</v>
      </c>
      <c r="L75" s="239">
        <f t="shared" ref="L75:L80" si="20">K75</f>
        <v>172</v>
      </c>
      <c r="M75" s="51" t="s">
        <v>12</v>
      </c>
      <c r="N75" s="58">
        <f>$I75*$O$4</f>
        <v>172</v>
      </c>
      <c r="O75" s="57">
        <f t="shared" ref="O75:O80" si="21">N75</f>
        <v>172</v>
      </c>
      <c r="P75" s="213" t="s">
        <v>12</v>
      </c>
      <c r="Q75" s="231">
        <f>$I75*$O$4</f>
        <v>172</v>
      </c>
      <c r="R75" s="239">
        <f t="shared" ref="R75:R80" si="22">Q75</f>
        <v>172</v>
      </c>
      <c r="S75" s="96">
        <f t="shared" ref="S75:S80" si="23">AVERAGE(L75,O75,R75)</f>
        <v>172</v>
      </c>
      <c r="T75" s="34" t="s">
        <v>12</v>
      </c>
      <c r="U75" s="42" t="s">
        <v>12</v>
      </c>
    </row>
    <row r="76" spans="2:21" ht="13.5" thickBot="1" x14ac:dyDescent="0.35">
      <c r="B76" s="466" t="s">
        <v>8</v>
      </c>
      <c r="C76" s="29">
        <f>ROUND(C75*Labor!$D$3,0)</f>
        <v>0</v>
      </c>
      <c r="D76" s="29">
        <f>ROUND(D75*Labor!$D$4,0)</f>
        <v>0</v>
      </c>
      <c r="E76" s="29">
        <f>ROUND(E75*Labor!$D$5,0)</f>
        <v>0</v>
      </c>
      <c r="F76" s="29">
        <f>ROUND(F75*Labor!$D$6,0)</f>
        <v>55</v>
      </c>
      <c r="G76" s="29">
        <f>ROUND(G75*Labor!$D$7,0)</f>
        <v>63</v>
      </c>
      <c r="H76" s="29">
        <f>ROUND(H75*Labor!$D$8,0)</f>
        <v>0</v>
      </c>
      <c r="I76" s="33">
        <f t="shared" si="19"/>
        <v>118</v>
      </c>
      <c r="J76" s="284">
        <f>HLOOKUP(K$2,InflationTable,2)/HLOOKUP(Labor!$B$11,InflationTable,2)*$I76</f>
        <v>252.4301730103806</v>
      </c>
      <c r="K76" s="219">
        <f>J76*$L$4</f>
        <v>10854.497439446366</v>
      </c>
      <c r="L76" s="256">
        <f t="shared" si="20"/>
        <v>10854.497439446366</v>
      </c>
      <c r="M76" s="169">
        <f>HLOOKUP(N$2,InflationTable,2)/HLOOKUP(Labor!$B$11,InflationTable,2)*$I76</f>
        <v>262.52737993079586</v>
      </c>
      <c r="N76" s="55">
        <f>M76*$O$4</f>
        <v>11288.677337024223</v>
      </c>
      <c r="O76" s="77">
        <f t="shared" si="21"/>
        <v>11288.677337024223</v>
      </c>
      <c r="P76" s="284">
        <f>HLOOKUP(Q$2,InflationTable,2)/HLOOKUP(Labor!$B$11,InflationTable,2)*$I76</f>
        <v>267.77792752941173</v>
      </c>
      <c r="Q76" s="219">
        <f>P76*$R$4</f>
        <v>11514.450883764704</v>
      </c>
      <c r="R76" s="256">
        <f t="shared" si="22"/>
        <v>11514.450883764704</v>
      </c>
      <c r="S76" s="103">
        <f t="shared" si="23"/>
        <v>11219.208553411765</v>
      </c>
      <c r="T76" s="110" t="s">
        <v>12</v>
      </c>
      <c r="U76" s="121" t="s">
        <v>12</v>
      </c>
    </row>
    <row r="77" spans="2:21" ht="13" x14ac:dyDescent="0.3">
      <c r="B77" s="459" t="s">
        <v>109</v>
      </c>
      <c r="C77" s="290">
        <v>0</v>
      </c>
      <c r="D77" s="290">
        <v>1</v>
      </c>
      <c r="E77" s="290">
        <v>1</v>
      </c>
      <c r="F77" s="290">
        <v>2</v>
      </c>
      <c r="G77" s="290">
        <v>1</v>
      </c>
      <c r="H77" s="290">
        <v>0</v>
      </c>
      <c r="I77" s="291">
        <f t="shared" si="19"/>
        <v>5</v>
      </c>
      <c r="J77" s="242" t="s">
        <v>12</v>
      </c>
      <c r="K77" s="273">
        <f>I77*$L$4</f>
        <v>215</v>
      </c>
      <c r="L77" s="274">
        <f t="shared" si="20"/>
        <v>215</v>
      </c>
      <c r="M77" s="53" t="s">
        <v>12</v>
      </c>
      <c r="N77" s="147">
        <f>$I77*$O$4</f>
        <v>215</v>
      </c>
      <c r="O77" s="148">
        <f t="shared" si="21"/>
        <v>215</v>
      </c>
      <c r="P77" s="242" t="s">
        <v>12</v>
      </c>
      <c r="Q77" s="273">
        <f>$I77*$O$4</f>
        <v>215</v>
      </c>
      <c r="R77" s="274">
        <f t="shared" si="22"/>
        <v>215</v>
      </c>
      <c r="S77" s="104">
        <f t="shared" si="23"/>
        <v>215</v>
      </c>
      <c r="T77" s="34" t="s">
        <v>12</v>
      </c>
      <c r="U77" s="42" t="s">
        <v>12</v>
      </c>
    </row>
    <row r="78" spans="2:21" ht="13.5" thickBot="1" x14ac:dyDescent="0.35">
      <c r="B78" s="466" t="s">
        <v>8</v>
      </c>
      <c r="C78" s="29">
        <f>ROUND(C77*Labor!$D$3,0)</f>
        <v>0</v>
      </c>
      <c r="D78" s="29">
        <f>ROUND(D77*Labor!$D$4,0)</f>
        <v>24</v>
      </c>
      <c r="E78" s="29">
        <f>ROUND(E77*Labor!$D$5,0)</f>
        <v>25</v>
      </c>
      <c r="F78" s="29">
        <f>ROUND(F77*Labor!$D$6,0)</f>
        <v>55</v>
      </c>
      <c r="G78" s="29">
        <f>ROUND(G77*Labor!$D$7,0)</f>
        <v>31</v>
      </c>
      <c r="H78" s="29">
        <f>ROUND(H77*Labor!$D$8,0)</f>
        <v>0</v>
      </c>
      <c r="I78" s="33">
        <f t="shared" si="19"/>
        <v>135</v>
      </c>
      <c r="J78" s="284">
        <f>HLOOKUP(K$2,InflationTable,2)/HLOOKUP(Labor!$B$11,InflationTable,2)*$I78</f>
        <v>288.79723183391002</v>
      </c>
      <c r="K78" s="219">
        <f>J78*$L$4</f>
        <v>12418.280968858131</v>
      </c>
      <c r="L78" s="256">
        <f t="shared" si="20"/>
        <v>12418.280968858131</v>
      </c>
      <c r="M78" s="169">
        <f>HLOOKUP(N$2,InflationTable,2)/HLOOKUP(Labor!$B$11,InflationTable,2)*$I78</f>
        <v>300.34912110726646</v>
      </c>
      <c r="N78" s="55">
        <f>M78*$O$4</f>
        <v>12915.012207612457</v>
      </c>
      <c r="O78" s="77">
        <f t="shared" si="21"/>
        <v>12915.012207612457</v>
      </c>
      <c r="P78" s="284">
        <f>HLOOKUP(Q$2,InflationTable,2)/HLOOKUP(Labor!$B$11,InflationTable,2)*$I78</f>
        <v>306.35610352941171</v>
      </c>
      <c r="Q78" s="219">
        <f>P78*$R$4</f>
        <v>13173.312451764703</v>
      </c>
      <c r="R78" s="256">
        <f t="shared" si="22"/>
        <v>13173.312451764703</v>
      </c>
      <c r="S78" s="140">
        <f t="shared" si="23"/>
        <v>12835.535209411762</v>
      </c>
      <c r="T78" s="93" t="s">
        <v>12</v>
      </c>
      <c r="U78" s="94" t="s">
        <v>12</v>
      </c>
    </row>
    <row r="79" spans="2:21" ht="13" x14ac:dyDescent="0.3">
      <c r="B79" s="459" t="s">
        <v>108</v>
      </c>
      <c r="C79" s="290">
        <v>0</v>
      </c>
      <c r="D79" s="290">
        <v>0</v>
      </c>
      <c r="E79" s="290">
        <v>0</v>
      </c>
      <c r="F79" s="290">
        <v>3</v>
      </c>
      <c r="G79" s="290">
        <v>3</v>
      </c>
      <c r="H79" s="290">
        <v>0</v>
      </c>
      <c r="I79" s="291">
        <f t="shared" si="19"/>
        <v>6</v>
      </c>
      <c r="J79" s="242" t="s">
        <v>12</v>
      </c>
      <c r="K79" s="273">
        <f>I79*$L$4</f>
        <v>258</v>
      </c>
      <c r="L79" s="274">
        <f t="shared" si="20"/>
        <v>258</v>
      </c>
      <c r="M79" s="53" t="s">
        <v>12</v>
      </c>
      <c r="N79" s="147">
        <f>$I79*$O$4</f>
        <v>258</v>
      </c>
      <c r="O79" s="148">
        <f t="shared" si="21"/>
        <v>258</v>
      </c>
      <c r="P79" s="242" t="s">
        <v>12</v>
      </c>
      <c r="Q79" s="273">
        <f>$I79*$O$4</f>
        <v>258</v>
      </c>
      <c r="R79" s="274">
        <f t="shared" si="22"/>
        <v>258</v>
      </c>
      <c r="S79" s="96">
        <f t="shared" si="23"/>
        <v>258</v>
      </c>
      <c r="T79" s="34" t="s">
        <v>12</v>
      </c>
      <c r="U79" s="42" t="s">
        <v>12</v>
      </c>
    </row>
    <row r="80" spans="2:21" ht="13.5" thickBot="1" x14ac:dyDescent="0.35">
      <c r="B80" s="466" t="s">
        <v>8</v>
      </c>
      <c r="C80" s="29">
        <f>ROUND(C79*Labor!$D$3,0)</f>
        <v>0</v>
      </c>
      <c r="D80" s="29">
        <f>ROUND(D79*Labor!$D$4,0)</f>
        <v>0</v>
      </c>
      <c r="E80" s="29">
        <f>ROUND(E79*Labor!$D$5,0)</f>
        <v>0</v>
      </c>
      <c r="F80" s="29">
        <f>ROUND(F79*Labor!$D$6,0)</f>
        <v>83</v>
      </c>
      <c r="G80" s="29">
        <f>ROUND(G79*Labor!$D$7,0)</f>
        <v>94</v>
      </c>
      <c r="H80" s="29">
        <f>ROUND(H79*Labor!$D$8,0)</f>
        <v>0</v>
      </c>
      <c r="I80" s="33">
        <f t="shared" si="19"/>
        <v>177</v>
      </c>
      <c r="J80" s="284">
        <f>HLOOKUP(K$2,InflationTable,2)/HLOOKUP(Labor!$B$11,InflationTable,2)*$I80</f>
        <v>378.6452595155709</v>
      </c>
      <c r="K80" s="219">
        <f>J80*$L$4</f>
        <v>16281.746159169548</v>
      </c>
      <c r="L80" s="256">
        <f t="shared" si="20"/>
        <v>16281.746159169548</v>
      </c>
      <c r="M80" s="169">
        <f>HLOOKUP(N$2,InflationTable,2)/HLOOKUP(Labor!$B$11,InflationTable,2)*$I80</f>
        <v>393.79106989619379</v>
      </c>
      <c r="N80" s="55">
        <f>M80*$O$4</f>
        <v>16933.016005536334</v>
      </c>
      <c r="O80" s="77">
        <f t="shared" si="21"/>
        <v>16933.016005536334</v>
      </c>
      <c r="P80" s="284">
        <f>HLOOKUP(Q$2,InflationTable,2)/HLOOKUP(Labor!$B$11,InflationTable,2)*$I80</f>
        <v>401.66689129411759</v>
      </c>
      <c r="Q80" s="219">
        <f>P80*$R$4</f>
        <v>17271.676325647055</v>
      </c>
      <c r="R80" s="256">
        <f t="shared" si="22"/>
        <v>17271.676325647055</v>
      </c>
      <c r="S80" s="103">
        <f t="shared" si="23"/>
        <v>16828.812830117648</v>
      </c>
      <c r="T80" s="110" t="s">
        <v>12</v>
      </c>
      <c r="U80" s="121" t="s">
        <v>12</v>
      </c>
    </row>
    <row r="81" spans="2:21" ht="13" x14ac:dyDescent="0.3">
      <c r="B81" s="106" t="s">
        <v>29</v>
      </c>
      <c r="C81" s="86" t="s">
        <v>45</v>
      </c>
      <c r="D81" s="86" t="s">
        <v>46</v>
      </c>
      <c r="E81" s="86" t="s">
        <v>47</v>
      </c>
      <c r="F81" s="86" t="s">
        <v>48</v>
      </c>
      <c r="G81" s="86" t="s">
        <v>49</v>
      </c>
      <c r="H81" s="86" t="s">
        <v>50</v>
      </c>
      <c r="I81" s="87" t="s">
        <v>112</v>
      </c>
      <c r="J81" s="292"/>
      <c r="K81" s="293"/>
      <c r="L81" s="296"/>
      <c r="M81" s="88" t="s">
        <v>113</v>
      </c>
      <c r="N81" s="86" t="s">
        <v>13</v>
      </c>
      <c r="O81" s="87" t="s">
        <v>68</v>
      </c>
      <c r="P81" s="292" t="s">
        <v>113</v>
      </c>
      <c r="Q81" s="293" t="s">
        <v>13</v>
      </c>
      <c r="R81" s="296" t="s">
        <v>68</v>
      </c>
      <c r="S81" s="98"/>
      <c r="T81" s="108"/>
      <c r="U81" s="31"/>
    </row>
    <row r="82" spans="2:21" x14ac:dyDescent="0.25">
      <c r="B82" s="467" t="s">
        <v>51</v>
      </c>
      <c r="C82" s="18">
        <v>0</v>
      </c>
      <c r="D82" s="18">
        <v>0</v>
      </c>
      <c r="E82" s="18">
        <v>0.2</v>
      </c>
      <c r="F82" s="18">
        <v>0.3</v>
      </c>
      <c r="G82" s="18">
        <v>0</v>
      </c>
      <c r="H82" s="18">
        <v>0</v>
      </c>
      <c r="I82" s="45">
        <f>SUM(C82:H82)</f>
        <v>0.5</v>
      </c>
      <c r="J82" s="213" t="s">
        <v>12</v>
      </c>
      <c r="K82" s="262">
        <f>I82*$J$5</f>
        <v>19.5</v>
      </c>
      <c r="L82" s="239">
        <f>K82</f>
        <v>19.5</v>
      </c>
      <c r="M82" s="51" t="s">
        <v>12</v>
      </c>
      <c r="N82" s="73">
        <f>$I82*M$5</f>
        <v>19.5</v>
      </c>
      <c r="O82" s="57">
        <f>N82</f>
        <v>19.5</v>
      </c>
      <c r="P82" s="213" t="s">
        <v>12</v>
      </c>
      <c r="Q82" s="262">
        <f>$I82*P$5</f>
        <v>19.5</v>
      </c>
      <c r="R82" s="239">
        <f>Q82</f>
        <v>19.5</v>
      </c>
      <c r="S82" s="96">
        <f>AVERAGE(L82,O82,R82)</f>
        <v>19.5</v>
      </c>
      <c r="T82" s="34" t="s">
        <v>12</v>
      </c>
      <c r="U82" s="42" t="s">
        <v>12</v>
      </c>
    </row>
    <row r="83" spans="2:21" ht="13.5" thickBot="1" x14ac:dyDescent="0.35">
      <c r="B83" s="465" t="s">
        <v>107</v>
      </c>
      <c r="C83" s="29">
        <f>ROUND(C82*Labor!$D$3,0)</f>
        <v>0</v>
      </c>
      <c r="D83" s="29">
        <f>ROUND(D82*Labor!$D$4,0)</f>
        <v>0</v>
      </c>
      <c r="E83" s="29">
        <f>ROUND(E82*Labor!$D$5,0)</f>
        <v>5</v>
      </c>
      <c r="F83" s="29">
        <f>ROUND(F82*Labor!$D$6,0)</f>
        <v>8</v>
      </c>
      <c r="G83" s="29">
        <f>ROUND(G82*Labor!$D$7,0)</f>
        <v>0</v>
      </c>
      <c r="H83" s="29">
        <f>ROUND(H82*Labor!$D$8,0)</f>
        <v>0</v>
      </c>
      <c r="I83" s="33">
        <f>SUM(C83:H83)</f>
        <v>13</v>
      </c>
      <c r="J83" s="284">
        <f>HLOOKUP(K$2,InflationTable,2)/HLOOKUP(Labor!$B$11,InflationTable,2)*$I83</f>
        <v>27.810103806228373</v>
      </c>
      <c r="K83" s="219">
        <f>J83*$J$5</f>
        <v>1084.5940484429066</v>
      </c>
      <c r="L83" s="256">
        <f>K83</f>
        <v>1084.5940484429066</v>
      </c>
      <c r="M83" s="169">
        <f>HLOOKUP(N$2,InflationTable,2)/HLOOKUP(Labor!$B$11,InflationTable,2)*$I83</f>
        <v>28.92250795847751</v>
      </c>
      <c r="N83" s="55">
        <f>M83*$M$5</f>
        <v>1127.9778103806229</v>
      </c>
      <c r="O83" s="77">
        <f>N83</f>
        <v>1127.9778103806229</v>
      </c>
      <c r="P83" s="284">
        <f>HLOOKUP(Q$2,InflationTable,2)/HLOOKUP(Labor!$B$11,InflationTable,2)*$I83</f>
        <v>29.500958117647055</v>
      </c>
      <c r="Q83" s="219">
        <f>P83*$P$5</f>
        <v>1150.5373665882353</v>
      </c>
      <c r="R83" s="256">
        <f>Q83</f>
        <v>1150.5373665882353</v>
      </c>
      <c r="S83" s="103">
        <f>AVERAGE(L83,O83,R83)</f>
        <v>1121.0364084705882</v>
      </c>
      <c r="T83" s="110" t="s">
        <v>12</v>
      </c>
      <c r="U83" s="121" t="s">
        <v>12</v>
      </c>
    </row>
    <row r="84" spans="2:21" ht="13" x14ac:dyDescent="0.3">
      <c r="B84" s="106" t="s">
        <v>106</v>
      </c>
      <c r="C84" s="5"/>
      <c r="D84" s="349" t="s">
        <v>54</v>
      </c>
      <c r="E84" s="24">
        <v>5</v>
      </c>
      <c r="I84" s="87" t="s">
        <v>55</v>
      </c>
      <c r="J84" s="209"/>
      <c r="K84" s="445"/>
      <c r="L84" s="446"/>
      <c r="M84" s="130" t="s">
        <v>55</v>
      </c>
      <c r="N84" s="1179" t="s">
        <v>57</v>
      </c>
      <c r="O84" s="1180"/>
      <c r="P84" s="209" t="s">
        <v>55</v>
      </c>
      <c r="Q84" s="1176" t="s">
        <v>57</v>
      </c>
      <c r="R84" s="1184"/>
      <c r="S84" s="139"/>
      <c r="T84" s="108"/>
      <c r="U84" s="31"/>
    </row>
    <row r="85" spans="2:21" x14ac:dyDescent="0.25">
      <c r="B85" s="467" t="s">
        <v>51</v>
      </c>
      <c r="C85" s="18">
        <v>0</v>
      </c>
      <c r="D85" s="18">
        <v>0</v>
      </c>
      <c r="E85" s="18">
        <v>0</v>
      </c>
      <c r="F85" s="18">
        <v>5</v>
      </c>
      <c r="G85" s="18">
        <v>5</v>
      </c>
      <c r="H85" s="18">
        <v>5</v>
      </c>
      <c r="I85" s="45">
        <f>SUM(C85:H85)</f>
        <v>15</v>
      </c>
      <c r="J85" s="213" t="s">
        <v>12</v>
      </c>
      <c r="K85" s="233">
        <f>I85*$J$5</f>
        <v>585</v>
      </c>
      <c r="L85" s="232">
        <f>K85/$E$84</f>
        <v>117</v>
      </c>
      <c r="M85" s="51" t="s">
        <v>12</v>
      </c>
      <c r="N85" s="10">
        <f>$I$85*$M$5</f>
        <v>585</v>
      </c>
      <c r="O85" s="52">
        <f>N85/$E$84</f>
        <v>117</v>
      </c>
      <c r="P85" s="213" t="s">
        <v>12</v>
      </c>
      <c r="Q85" s="233">
        <f>$I$85*$P$5</f>
        <v>585</v>
      </c>
      <c r="R85" s="232">
        <f>Q85/$E$84</f>
        <v>117</v>
      </c>
      <c r="S85" s="96">
        <f>AVERAGE(L85,O85,R85)</f>
        <v>117</v>
      </c>
      <c r="T85" s="34" t="s">
        <v>12</v>
      </c>
      <c r="U85" s="42" t="s">
        <v>12</v>
      </c>
    </row>
    <row r="86" spans="2:21" ht="13.5" thickBot="1" x14ac:dyDescent="0.35">
      <c r="B86" s="465" t="s">
        <v>105</v>
      </c>
      <c r="C86" s="29">
        <f>ROUND(C85*Labor!$D$3,0)</f>
        <v>0</v>
      </c>
      <c r="D86" s="29">
        <f>ROUND(D85*Labor!$D$4,0)</f>
        <v>0</v>
      </c>
      <c r="E86" s="29">
        <f>ROUND(E85*Labor!$D$5,0)</f>
        <v>0</v>
      </c>
      <c r="F86" s="29">
        <f>ROUND(F85*Labor!$D$6,0)</f>
        <v>138</v>
      </c>
      <c r="G86" s="29">
        <f>ROUND(G85*Labor!$D$7,0)</f>
        <v>157</v>
      </c>
      <c r="H86" s="29">
        <f>ROUND(H85*Labor!$D$8,0)</f>
        <v>189</v>
      </c>
      <c r="I86" s="33">
        <f>SUM(C86:H86)</f>
        <v>484</v>
      </c>
      <c r="J86" s="284">
        <f>HLOOKUP(K$2,InflationTable,2)/HLOOKUP(Labor!$B$11,InflationTable,2)*$I86</f>
        <v>1035.3915570934255</v>
      </c>
      <c r="K86" s="219">
        <f>J86*$J$5</f>
        <v>40380.270726643597</v>
      </c>
      <c r="L86" s="220">
        <f>K86/$E$84</f>
        <v>8076.0541453287196</v>
      </c>
      <c r="M86" s="169">
        <f>HLOOKUP(N$2,InflationTable,2)/HLOOKUP(Labor!$B$11,InflationTable,2)*$I86</f>
        <v>1076.8072193771627</v>
      </c>
      <c r="N86" s="55">
        <f>M86*$M$5</f>
        <v>41995.481555709346</v>
      </c>
      <c r="O86" s="33">
        <f>N86/$E$84</f>
        <v>8399.0963111418696</v>
      </c>
      <c r="P86" s="284">
        <f>HLOOKUP(Q$2,InflationTable,2)/HLOOKUP(Labor!$B$11,InflationTable,2)*$I86</f>
        <v>1098.3433637647058</v>
      </c>
      <c r="Q86" s="219">
        <f>P86*$P$5</f>
        <v>42835.39118682353</v>
      </c>
      <c r="R86" s="220">
        <f>Q86/$E$84</f>
        <v>8567.0782373647053</v>
      </c>
      <c r="S86" s="103">
        <f>AVERAGE(L86,O86,R86)</f>
        <v>8347.4095646117657</v>
      </c>
      <c r="T86" s="110" t="s">
        <v>12</v>
      </c>
      <c r="U86" s="121" t="s">
        <v>12</v>
      </c>
    </row>
    <row r="87" spans="2:21" ht="13" x14ac:dyDescent="0.3">
      <c r="B87" s="139" t="s">
        <v>66</v>
      </c>
      <c r="C87" s="36">
        <f t="shared" ref="C87:I88" si="24">C70+C72+C75+C77+C79+C82+C85</f>
        <v>0</v>
      </c>
      <c r="D87" s="36">
        <f t="shared" si="24"/>
        <v>25</v>
      </c>
      <c r="E87" s="36">
        <f t="shared" si="24"/>
        <v>25.2</v>
      </c>
      <c r="F87" s="36">
        <f t="shared" si="24"/>
        <v>48.3</v>
      </c>
      <c r="G87" s="36">
        <f t="shared" si="24"/>
        <v>47</v>
      </c>
      <c r="H87" s="36">
        <f t="shared" si="24"/>
        <v>5</v>
      </c>
      <c r="I87" s="46">
        <f t="shared" si="24"/>
        <v>150.5</v>
      </c>
      <c r="J87" s="242" t="s">
        <v>12</v>
      </c>
      <c r="K87" s="263" t="s">
        <v>12</v>
      </c>
      <c r="L87" s="264">
        <f>L85+K82+K79+K77+K75+K72+K70</f>
        <v>5941.5</v>
      </c>
      <c r="M87" s="75" t="s">
        <v>12</v>
      </c>
      <c r="N87" s="36" t="s">
        <v>12</v>
      </c>
      <c r="O87" s="74">
        <f>O85+N82+N79+N77+N75+N72+N70</f>
        <v>5941.5</v>
      </c>
      <c r="P87" s="242" t="s">
        <v>12</v>
      </c>
      <c r="Q87" s="263" t="s">
        <v>12</v>
      </c>
      <c r="R87" s="264">
        <f>R85+Q82+Q79+Q77+Q75+Q72+Q70</f>
        <v>5941.5</v>
      </c>
      <c r="S87" s="122">
        <f>AVERAGE(L87,O87,R87)</f>
        <v>5941.5</v>
      </c>
      <c r="T87" s="108"/>
      <c r="U87" s="31"/>
    </row>
    <row r="88" spans="2:21" ht="13.5" thickBot="1" x14ac:dyDescent="0.35">
      <c r="B88" s="460" t="s">
        <v>67</v>
      </c>
      <c r="C88" s="194">
        <f t="shared" si="24"/>
        <v>0</v>
      </c>
      <c r="D88" s="194">
        <f t="shared" si="24"/>
        <v>605</v>
      </c>
      <c r="E88" s="194">
        <f t="shared" si="24"/>
        <v>635</v>
      </c>
      <c r="F88" s="194">
        <f t="shared" si="24"/>
        <v>1331</v>
      </c>
      <c r="G88" s="194">
        <f t="shared" si="24"/>
        <v>1472</v>
      </c>
      <c r="H88" s="194">
        <f t="shared" si="24"/>
        <v>189</v>
      </c>
      <c r="I88" s="197">
        <f t="shared" si="24"/>
        <v>4232</v>
      </c>
      <c r="J88" s="224">
        <f>J71+J73+J76+J78+J80+J83+J86</f>
        <v>9053.2584083044967</v>
      </c>
      <c r="K88" s="265" t="s">
        <v>12</v>
      </c>
      <c r="L88" s="254">
        <f>L86+K83+K80+K78+K76+K73+K71</f>
        <v>352733.08833217988</v>
      </c>
      <c r="M88" s="196">
        <f>M71+M73+M76+M78+M80+M83+M86</f>
        <v>9415.3887446366789</v>
      </c>
      <c r="N88" s="207" t="s">
        <v>12</v>
      </c>
      <c r="O88" s="178">
        <f>O86+N83+N80+N78+N76+N73+N71</f>
        <v>366842.41186546715</v>
      </c>
      <c r="P88" s="224">
        <f>P71+P73+P76+P78+P80+P83+P86</f>
        <v>9603.6965195294106</v>
      </c>
      <c r="Q88" s="265" t="s">
        <v>12</v>
      </c>
      <c r="R88" s="254">
        <f>R86+Q83+Q80+Q78+Q76+Q73+Q71</f>
        <v>374179.26010277646</v>
      </c>
      <c r="S88" s="206">
        <f>AVERAGE(L88,O88,R88)</f>
        <v>364584.92010014114</v>
      </c>
      <c r="T88" s="200"/>
      <c r="U88" s="190"/>
    </row>
    <row r="89" spans="2:21" ht="13.5" thickTop="1" thickBot="1" x14ac:dyDescent="0.3">
      <c r="B89" s="514"/>
      <c r="C89" s="513"/>
      <c r="D89" s="513"/>
      <c r="E89" s="513"/>
      <c r="F89" s="513"/>
      <c r="G89" s="513"/>
      <c r="H89" s="513"/>
      <c r="I89" s="513"/>
      <c r="J89" s="513"/>
      <c r="K89" s="513"/>
      <c r="L89" s="513"/>
      <c r="M89" s="513"/>
      <c r="N89" s="513"/>
      <c r="O89" s="513"/>
      <c r="P89" s="513"/>
      <c r="Q89" s="513"/>
      <c r="R89" s="513"/>
      <c r="S89" s="513"/>
      <c r="T89" s="513"/>
      <c r="U89" s="515"/>
    </row>
    <row r="90" spans="2:21" ht="16" thickTop="1" x14ac:dyDescent="0.35">
      <c r="B90" s="461" t="s">
        <v>30</v>
      </c>
      <c r="F90" s="1" t="s">
        <v>6</v>
      </c>
      <c r="G90" s="1160"/>
      <c r="H90" s="1161"/>
      <c r="I90" s="1162"/>
      <c r="J90" s="2" t="s">
        <v>30</v>
      </c>
      <c r="L90" s="31"/>
      <c r="M90" s="2" t="s">
        <v>30</v>
      </c>
      <c r="O90" s="31"/>
      <c r="P90" s="2" t="s">
        <v>30</v>
      </c>
      <c r="Q90" s="61"/>
      <c r="R90" s="62"/>
      <c r="S90" s="97"/>
      <c r="T90" s="108"/>
      <c r="U90" s="31"/>
    </row>
    <row r="91" spans="2:21" ht="13" x14ac:dyDescent="0.3">
      <c r="B91" s="144"/>
      <c r="I91" s="32" t="s">
        <v>61</v>
      </c>
      <c r="J91" s="227" t="s">
        <v>61</v>
      </c>
      <c r="K91" s="1167" t="s">
        <v>57</v>
      </c>
      <c r="L91" s="1168"/>
      <c r="M91" s="50" t="s">
        <v>61</v>
      </c>
      <c r="N91" s="1177" t="s">
        <v>57</v>
      </c>
      <c r="O91" s="1181"/>
      <c r="P91" s="266" t="s">
        <v>61</v>
      </c>
      <c r="Q91" s="1176" t="s">
        <v>57</v>
      </c>
      <c r="R91" s="1184"/>
      <c r="S91" s="106"/>
      <c r="T91" s="108"/>
      <c r="U91" s="31"/>
    </row>
    <row r="92" spans="2:21" ht="13" x14ac:dyDescent="0.3">
      <c r="B92" s="462" t="s">
        <v>21</v>
      </c>
      <c r="C92" s="20" t="s">
        <v>45</v>
      </c>
      <c r="D92" s="20" t="s">
        <v>46</v>
      </c>
      <c r="E92" s="20" t="s">
        <v>47</v>
      </c>
      <c r="F92" s="20" t="s">
        <v>48</v>
      </c>
      <c r="G92" s="20" t="s">
        <v>49</v>
      </c>
      <c r="H92" s="20" t="s">
        <v>50</v>
      </c>
      <c r="I92" s="32" t="s">
        <v>13</v>
      </c>
      <c r="J92" s="210" t="s">
        <v>56</v>
      </c>
      <c r="K92" s="211" t="s">
        <v>13</v>
      </c>
      <c r="L92" s="212" t="s">
        <v>68</v>
      </c>
      <c r="M92" s="66" t="s">
        <v>56</v>
      </c>
      <c r="N92" s="20" t="s">
        <v>13</v>
      </c>
      <c r="O92" s="32" t="s">
        <v>68</v>
      </c>
      <c r="P92" s="210" t="s">
        <v>56</v>
      </c>
      <c r="Q92" s="211" t="s">
        <v>13</v>
      </c>
      <c r="R92" s="212" t="s">
        <v>68</v>
      </c>
      <c r="S92" s="98"/>
      <c r="T92" s="108"/>
      <c r="U92" s="31"/>
    </row>
    <row r="93" spans="2:21" x14ac:dyDescent="0.25">
      <c r="B93" s="464" t="s">
        <v>4</v>
      </c>
      <c r="C93" s="18">
        <v>0</v>
      </c>
      <c r="D93" s="18">
        <v>0</v>
      </c>
      <c r="E93" s="18">
        <v>0</v>
      </c>
      <c r="F93" s="18">
        <v>0</v>
      </c>
      <c r="G93" s="18">
        <v>8</v>
      </c>
      <c r="H93" s="18">
        <v>4</v>
      </c>
      <c r="I93" s="45">
        <f>SUM(C93:H93)</f>
        <v>12</v>
      </c>
      <c r="J93" s="213" t="s">
        <v>12</v>
      </c>
      <c r="K93" s="231">
        <f>I93*$L$4</f>
        <v>516</v>
      </c>
      <c r="L93" s="239">
        <f>K93</f>
        <v>516</v>
      </c>
      <c r="M93" s="51" t="s">
        <v>12</v>
      </c>
      <c r="N93" s="58">
        <f>$I93*O$4</f>
        <v>516</v>
      </c>
      <c r="O93" s="52">
        <f>N93</f>
        <v>516</v>
      </c>
      <c r="P93" s="213" t="s">
        <v>12</v>
      </c>
      <c r="Q93" s="231">
        <f>$I93*R$4</f>
        <v>516</v>
      </c>
      <c r="R93" s="239">
        <f>Q93</f>
        <v>516</v>
      </c>
      <c r="S93" s="96">
        <f t="shared" ref="S93:S98" si="25">AVERAGE(L93,O93,R93)</f>
        <v>516</v>
      </c>
      <c r="T93" s="34" t="s">
        <v>12</v>
      </c>
      <c r="U93" s="42" t="s">
        <v>12</v>
      </c>
    </row>
    <row r="94" spans="2:21" ht="13.5" thickBot="1" x14ac:dyDescent="0.35">
      <c r="B94" s="465" t="s">
        <v>8</v>
      </c>
      <c r="C94" s="29">
        <f>ROUND(C93*Labor!$D$3,0)</f>
        <v>0</v>
      </c>
      <c r="D94" s="29">
        <f>ROUND(D93*Labor!$D$4,0)</f>
        <v>0</v>
      </c>
      <c r="E94" s="29">
        <f>ROUND(E93*Labor!$D$5,0)</f>
        <v>0</v>
      </c>
      <c r="F94" s="29">
        <f>ROUND(F93*Labor!$D$6,0)</f>
        <v>0</v>
      </c>
      <c r="G94" s="29">
        <f>ROUND(G93*Labor!$D$7,0)</f>
        <v>250</v>
      </c>
      <c r="H94" s="29">
        <f>ROUND(H93*Labor!$D$8,0)</f>
        <v>151</v>
      </c>
      <c r="I94" s="33">
        <f>SUM(C94:H94)</f>
        <v>401</v>
      </c>
      <c r="J94" s="284">
        <f>HLOOKUP(K$2,InflationTable,2)/HLOOKUP(Labor!$B$11,InflationTable,2)*$I94</f>
        <v>857.83474048442895</v>
      </c>
      <c r="K94" s="219">
        <f>J94*$L$4</f>
        <v>36886.893840830446</v>
      </c>
      <c r="L94" s="256">
        <f>K94</f>
        <v>36886.893840830446</v>
      </c>
      <c r="M94" s="169">
        <f>HLOOKUP(N$2,InflationTable,2)/HLOOKUP(Labor!$B$11,InflationTable,2)*$I94</f>
        <v>892.14813010380624</v>
      </c>
      <c r="N94" s="55">
        <f>M94*O$4</f>
        <v>38362.369594463671</v>
      </c>
      <c r="O94" s="33">
        <f>N94</f>
        <v>38362.369594463671</v>
      </c>
      <c r="P94" s="284">
        <f>HLOOKUP(Q$2,InflationTable,2)/HLOOKUP(Labor!$B$11,InflationTable,2)*$I94</f>
        <v>909.99109270588224</v>
      </c>
      <c r="Q94" s="219">
        <f>P94*R$4</f>
        <v>39129.616986352936</v>
      </c>
      <c r="R94" s="256">
        <f>Q94</f>
        <v>39129.616986352936</v>
      </c>
      <c r="S94" s="103">
        <f t="shared" si="25"/>
        <v>38126.293473882353</v>
      </c>
      <c r="T94" s="110" t="s">
        <v>12</v>
      </c>
      <c r="U94" s="121" t="s">
        <v>12</v>
      </c>
    </row>
    <row r="95" spans="2:21" ht="13" x14ac:dyDescent="0.3">
      <c r="B95" s="459" t="s">
        <v>104</v>
      </c>
      <c r="C95" s="290">
        <v>0</v>
      </c>
      <c r="D95" s="290">
        <v>0</v>
      </c>
      <c r="E95" s="290">
        <v>16</v>
      </c>
      <c r="F95" s="290">
        <v>8</v>
      </c>
      <c r="G95" s="290">
        <v>4</v>
      </c>
      <c r="H95" s="290">
        <v>2</v>
      </c>
      <c r="I95" s="291">
        <f>SUM(C95:H95)</f>
        <v>30</v>
      </c>
      <c r="J95" s="242" t="s">
        <v>12</v>
      </c>
      <c r="K95" s="273">
        <f>I95*$L$4</f>
        <v>1290</v>
      </c>
      <c r="L95" s="274">
        <f>K95</f>
        <v>1290</v>
      </c>
      <c r="M95" s="53" t="s">
        <v>12</v>
      </c>
      <c r="N95" s="147">
        <f>$I95*O$4</f>
        <v>1290</v>
      </c>
      <c r="O95" s="148">
        <f>N95</f>
        <v>1290</v>
      </c>
      <c r="P95" s="242" t="s">
        <v>12</v>
      </c>
      <c r="Q95" s="273">
        <f>$I95*R$4</f>
        <v>1290</v>
      </c>
      <c r="R95" s="274">
        <f>Q95</f>
        <v>1290</v>
      </c>
      <c r="S95" s="96">
        <f t="shared" si="25"/>
        <v>1290</v>
      </c>
      <c r="T95" s="34" t="s">
        <v>12</v>
      </c>
      <c r="U95" s="42" t="s">
        <v>12</v>
      </c>
    </row>
    <row r="96" spans="2:21" ht="13.5" thickBot="1" x14ac:dyDescent="0.35">
      <c r="B96" s="466" t="s">
        <v>8</v>
      </c>
      <c r="C96" s="29">
        <f>ROUND(C95*Labor!$D$3,0)</f>
        <v>0</v>
      </c>
      <c r="D96" s="29">
        <f>ROUND(D95*Labor!$D$4,0)</f>
        <v>0</v>
      </c>
      <c r="E96" s="29">
        <f>ROUND(E95*Labor!$D$5,0)</f>
        <v>404</v>
      </c>
      <c r="F96" s="29">
        <f>ROUND(F95*Labor!$D$6,0)</f>
        <v>221</v>
      </c>
      <c r="G96" s="29">
        <f>ROUND(G95*Labor!$D$7,0)</f>
        <v>125</v>
      </c>
      <c r="H96" s="29">
        <f>ROUND(H95*Labor!$D$8,0)</f>
        <v>76</v>
      </c>
      <c r="I96" s="33">
        <f>SUM(C96:H96)</f>
        <v>826</v>
      </c>
      <c r="J96" s="284">
        <f>HLOOKUP(K$2,InflationTable,2)/HLOOKUP(Labor!$B$11,InflationTable,2)*$I96</f>
        <v>1767.0112110726643</v>
      </c>
      <c r="K96" s="219">
        <f>J96*$L$4</f>
        <v>75981.482076124565</v>
      </c>
      <c r="L96" s="248">
        <f>K96</f>
        <v>75981.482076124565</v>
      </c>
      <c r="M96" s="169">
        <f>HLOOKUP(N$2,InflationTable,2)/HLOOKUP(Labor!$B$11,InflationTable,2)*$I96</f>
        <v>1837.691659515571</v>
      </c>
      <c r="N96" s="55">
        <f>M96*O$4</f>
        <v>79020.741359169551</v>
      </c>
      <c r="O96" s="33">
        <f>N96</f>
        <v>79020.741359169551</v>
      </c>
      <c r="P96" s="284">
        <f>HLOOKUP(Q$2,InflationTable,2)/HLOOKUP(Labor!$B$11,InflationTable,2)*$I96</f>
        <v>1874.4454927058821</v>
      </c>
      <c r="Q96" s="219">
        <f>P96*R$4</f>
        <v>80601.156186352935</v>
      </c>
      <c r="R96" s="248">
        <f>Q96</f>
        <v>80601.156186352935</v>
      </c>
      <c r="S96" s="103">
        <f t="shared" si="25"/>
        <v>78534.459873882355</v>
      </c>
      <c r="T96" s="110" t="s">
        <v>12</v>
      </c>
      <c r="U96" s="121" t="s">
        <v>12</v>
      </c>
    </row>
    <row r="97" spans="2:21" ht="13" x14ac:dyDescent="0.3">
      <c r="B97" s="139" t="s">
        <v>66</v>
      </c>
      <c r="C97" s="30">
        <f t="shared" ref="C97:I98" si="26">C93+C95</f>
        <v>0</v>
      </c>
      <c r="D97" s="30">
        <f t="shared" si="26"/>
        <v>0</v>
      </c>
      <c r="E97" s="30">
        <f t="shared" si="26"/>
        <v>16</v>
      </c>
      <c r="F97" s="30">
        <f t="shared" si="26"/>
        <v>8</v>
      </c>
      <c r="G97" s="30">
        <f t="shared" si="26"/>
        <v>12</v>
      </c>
      <c r="H97" s="30">
        <f t="shared" si="26"/>
        <v>6</v>
      </c>
      <c r="I97" s="39">
        <f t="shared" si="26"/>
        <v>42</v>
      </c>
      <c r="J97" s="249" t="s">
        <v>12</v>
      </c>
      <c r="K97" s="267">
        <f>K93+K95</f>
        <v>1806</v>
      </c>
      <c r="L97" s="268">
        <f>L93+L95</f>
        <v>1806</v>
      </c>
      <c r="M97" s="70" t="s">
        <v>12</v>
      </c>
      <c r="N97" s="30">
        <f>N93+N95</f>
        <v>1806</v>
      </c>
      <c r="O97" s="82">
        <f>O93+O95</f>
        <v>1806</v>
      </c>
      <c r="P97" s="249" t="s">
        <v>12</v>
      </c>
      <c r="Q97" s="267">
        <f>Q93+Q95</f>
        <v>1806</v>
      </c>
      <c r="R97" s="269">
        <f>R93+R95</f>
        <v>1806</v>
      </c>
      <c r="S97" s="96">
        <f t="shared" si="25"/>
        <v>1806</v>
      </c>
      <c r="T97" s="34" t="s">
        <v>12</v>
      </c>
      <c r="U97" s="42" t="s">
        <v>12</v>
      </c>
    </row>
    <row r="98" spans="2:21" ht="13.5" thickBot="1" x14ac:dyDescent="0.35">
      <c r="B98" s="460" t="s">
        <v>67</v>
      </c>
      <c r="C98" s="194">
        <f t="shared" si="26"/>
        <v>0</v>
      </c>
      <c r="D98" s="194">
        <f t="shared" si="26"/>
        <v>0</v>
      </c>
      <c r="E98" s="194">
        <f t="shared" si="26"/>
        <v>404</v>
      </c>
      <c r="F98" s="194">
        <f t="shared" si="26"/>
        <v>221</v>
      </c>
      <c r="G98" s="194">
        <f t="shared" si="26"/>
        <v>375</v>
      </c>
      <c r="H98" s="194">
        <f t="shared" si="26"/>
        <v>227</v>
      </c>
      <c r="I98" s="197">
        <f t="shared" si="26"/>
        <v>1227</v>
      </c>
      <c r="J98" s="224">
        <f>J94+J96</f>
        <v>2624.845951557093</v>
      </c>
      <c r="K98" s="225">
        <f>K94+K96</f>
        <v>112868.375916955</v>
      </c>
      <c r="L98" s="226">
        <f>L94+L96</f>
        <v>112868.375916955</v>
      </c>
      <c r="M98" s="196">
        <f>M94+M96</f>
        <v>2729.8397896193774</v>
      </c>
      <c r="N98" s="194">
        <f>N94+N96</f>
        <v>117383.11095363322</v>
      </c>
      <c r="O98" s="197">
        <f>O94+O96</f>
        <v>117383.11095363322</v>
      </c>
      <c r="P98" s="261">
        <f>P94+P96</f>
        <v>2784.4365854117641</v>
      </c>
      <c r="Q98" s="225">
        <f>Q94+Q96</f>
        <v>119730.77317270587</v>
      </c>
      <c r="R98" s="226">
        <f>R94+R96</f>
        <v>119730.77317270587</v>
      </c>
      <c r="S98" s="206">
        <f t="shared" si="25"/>
        <v>116660.75334776468</v>
      </c>
      <c r="T98" s="208" t="s">
        <v>12</v>
      </c>
      <c r="U98" s="203" t="s">
        <v>12</v>
      </c>
    </row>
    <row r="99" spans="2:21" ht="13.5" thickTop="1" thickBot="1" x14ac:dyDescent="0.3">
      <c r="B99" s="144"/>
      <c r="D99" s="513"/>
      <c r="E99" s="513"/>
      <c r="F99" s="513"/>
      <c r="G99" s="513"/>
      <c r="H99" s="513"/>
      <c r="I99" s="513"/>
      <c r="J99" s="513"/>
      <c r="K99" s="513"/>
      <c r="L99" s="513"/>
      <c r="M99" s="513"/>
      <c r="N99" s="513"/>
      <c r="O99" s="513"/>
      <c r="P99" s="513"/>
      <c r="Q99" s="513"/>
      <c r="R99" s="513"/>
      <c r="S99" s="513"/>
      <c r="T99" s="513"/>
      <c r="U99" s="515"/>
    </row>
    <row r="100" spans="2:21" ht="19" thickTop="1" thickBot="1" x14ac:dyDescent="0.45">
      <c r="B100" s="456" t="s">
        <v>121</v>
      </c>
      <c r="C100" s="188" t="str">
        <f>C2</f>
        <v>PAMSSurfMet</v>
      </c>
      <c r="E100" s="3"/>
      <c r="F100" s="9"/>
      <c r="G100" s="3"/>
      <c r="H100" s="3"/>
      <c r="I100" s="35"/>
      <c r="J100" s="67" t="str">
        <f>J2</f>
        <v>Year 1</v>
      </c>
      <c r="K100" s="67">
        <f>K2</f>
        <v>2023</v>
      </c>
      <c r="L100" s="35"/>
      <c r="M100" s="67" t="str">
        <f>M2</f>
        <v>Year 2</v>
      </c>
      <c r="N100" s="67">
        <f>N2</f>
        <v>2024</v>
      </c>
      <c r="O100" s="35"/>
      <c r="P100" s="67" t="str">
        <f>P2</f>
        <v>Year 3</v>
      </c>
      <c r="Q100" s="67">
        <f>Q2</f>
        <v>2025</v>
      </c>
      <c r="R100" s="35"/>
      <c r="S100" s="124"/>
      <c r="T100" s="105"/>
      <c r="U100" s="468"/>
    </row>
    <row r="101" spans="2:21" ht="13.5" thickBot="1" x14ac:dyDescent="0.35">
      <c r="B101" s="144"/>
      <c r="C101" s="152" t="s">
        <v>45</v>
      </c>
      <c r="D101" s="149" t="s">
        <v>46</v>
      </c>
      <c r="E101" s="149" t="s">
        <v>47</v>
      </c>
      <c r="F101" s="160" t="s">
        <v>48</v>
      </c>
      <c r="G101" s="151" t="s">
        <v>49</v>
      </c>
      <c r="H101" s="149" t="s">
        <v>50</v>
      </c>
      <c r="I101" s="150" t="s">
        <v>13</v>
      </c>
      <c r="J101" s="270" t="s">
        <v>56</v>
      </c>
      <c r="K101" s="271" t="s">
        <v>13</v>
      </c>
      <c r="L101" s="272" t="s">
        <v>68</v>
      </c>
      <c r="M101" s="151" t="s">
        <v>56</v>
      </c>
      <c r="N101" s="149" t="s">
        <v>13</v>
      </c>
      <c r="O101" s="150" t="s">
        <v>68</v>
      </c>
      <c r="P101" s="270" t="s">
        <v>56</v>
      </c>
      <c r="Q101" s="271" t="s">
        <v>13</v>
      </c>
      <c r="R101" s="272" t="s">
        <v>68</v>
      </c>
      <c r="S101" s="152"/>
      <c r="T101" s="153"/>
      <c r="U101" s="469"/>
    </row>
    <row r="102" spans="2:21" ht="13" x14ac:dyDescent="0.3">
      <c r="B102" s="470" t="s">
        <v>97</v>
      </c>
      <c r="C102" s="155">
        <f t="shared" ref="C102:S102" si="27">C12</f>
        <v>0</v>
      </c>
      <c r="D102" s="147">
        <f t="shared" si="27"/>
        <v>0</v>
      </c>
      <c r="E102" s="147">
        <f t="shared" si="27"/>
        <v>0</v>
      </c>
      <c r="F102" s="147">
        <f t="shared" si="27"/>
        <v>0</v>
      </c>
      <c r="G102" s="147">
        <f t="shared" si="27"/>
        <v>0</v>
      </c>
      <c r="H102" s="147">
        <f t="shared" si="27"/>
        <v>0</v>
      </c>
      <c r="I102" s="148">
        <f t="shared" si="27"/>
        <v>0</v>
      </c>
      <c r="J102" s="234" t="str">
        <f t="shared" si="27"/>
        <v>NA</v>
      </c>
      <c r="K102" s="273">
        <f t="shared" si="27"/>
        <v>0</v>
      </c>
      <c r="L102" s="274">
        <f t="shared" si="27"/>
        <v>0</v>
      </c>
      <c r="M102" s="38" t="str">
        <f t="shared" si="27"/>
        <v>NA</v>
      </c>
      <c r="N102" s="147">
        <f t="shared" si="27"/>
        <v>0</v>
      </c>
      <c r="O102" s="148">
        <f t="shared" si="27"/>
        <v>0</v>
      </c>
      <c r="P102" s="234" t="str">
        <f t="shared" si="27"/>
        <v>NA</v>
      </c>
      <c r="Q102" s="273">
        <f t="shared" si="27"/>
        <v>0</v>
      </c>
      <c r="R102" s="274">
        <f t="shared" si="27"/>
        <v>0</v>
      </c>
      <c r="S102" s="148">
        <f t="shared" si="27"/>
        <v>0</v>
      </c>
      <c r="T102" s="31"/>
      <c r="U102" s="111"/>
    </row>
    <row r="103" spans="2:21" ht="13.5" thickBot="1" x14ac:dyDescent="0.35">
      <c r="B103" s="471" t="s">
        <v>76</v>
      </c>
      <c r="C103" s="161">
        <f t="shared" ref="C103:S103" si="28">C13</f>
        <v>0</v>
      </c>
      <c r="D103" s="162">
        <f t="shared" si="28"/>
        <v>0</v>
      </c>
      <c r="E103" s="162">
        <f t="shared" si="28"/>
        <v>0</v>
      </c>
      <c r="F103" s="162">
        <f t="shared" si="28"/>
        <v>0</v>
      </c>
      <c r="G103" s="162">
        <f t="shared" si="28"/>
        <v>0</v>
      </c>
      <c r="H103" s="162">
        <f t="shared" si="28"/>
        <v>0</v>
      </c>
      <c r="I103" s="163">
        <f t="shared" si="28"/>
        <v>0</v>
      </c>
      <c r="J103" s="275">
        <f t="shared" si="28"/>
        <v>0</v>
      </c>
      <c r="K103" s="276">
        <f t="shared" si="28"/>
        <v>0</v>
      </c>
      <c r="L103" s="277">
        <f t="shared" si="28"/>
        <v>0</v>
      </c>
      <c r="M103" s="161">
        <f t="shared" si="28"/>
        <v>0</v>
      </c>
      <c r="N103" s="162">
        <f t="shared" si="28"/>
        <v>0</v>
      </c>
      <c r="O103" s="163">
        <f t="shared" si="28"/>
        <v>0</v>
      </c>
      <c r="P103" s="275">
        <f t="shared" si="28"/>
        <v>0</v>
      </c>
      <c r="Q103" s="276">
        <f t="shared" si="28"/>
        <v>0</v>
      </c>
      <c r="R103" s="277">
        <f t="shared" si="28"/>
        <v>0</v>
      </c>
      <c r="S103" s="163">
        <f t="shared" si="28"/>
        <v>0</v>
      </c>
      <c r="T103" s="164" t="str">
        <f>T13</f>
        <v>NA</v>
      </c>
      <c r="U103" s="322" t="s">
        <v>12</v>
      </c>
    </row>
    <row r="104" spans="2:21" ht="13" x14ac:dyDescent="0.3">
      <c r="B104" s="472" t="s">
        <v>98</v>
      </c>
      <c r="C104" s="155">
        <f t="shared" ref="C104:S104" si="29">C25</f>
        <v>0</v>
      </c>
      <c r="D104" s="147">
        <f t="shared" si="29"/>
        <v>8</v>
      </c>
      <c r="E104" s="147">
        <f t="shared" si="29"/>
        <v>8</v>
      </c>
      <c r="F104" s="147">
        <f t="shared" si="29"/>
        <v>4</v>
      </c>
      <c r="G104" s="147">
        <f t="shared" si="29"/>
        <v>4</v>
      </c>
      <c r="H104" s="147">
        <f t="shared" si="29"/>
        <v>0</v>
      </c>
      <c r="I104" s="148">
        <f t="shared" si="29"/>
        <v>24</v>
      </c>
      <c r="J104" s="234" t="str">
        <f t="shared" si="29"/>
        <v>NA</v>
      </c>
      <c r="K104" s="273">
        <f t="shared" si="29"/>
        <v>1049.2</v>
      </c>
      <c r="L104" s="274">
        <f t="shared" si="29"/>
        <v>209.83999999999997</v>
      </c>
      <c r="M104" s="38" t="str">
        <f t="shared" si="29"/>
        <v>NA</v>
      </c>
      <c r="N104" s="147">
        <f t="shared" si="29"/>
        <v>1049.2</v>
      </c>
      <c r="O104" s="148">
        <f t="shared" si="29"/>
        <v>209.83999999999997</v>
      </c>
      <c r="P104" s="234" t="str">
        <f t="shared" si="29"/>
        <v>NA</v>
      </c>
      <c r="Q104" s="273">
        <f t="shared" si="29"/>
        <v>1049.2</v>
      </c>
      <c r="R104" s="274">
        <f t="shared" si="29"/>
        <v>209.83999999999997</v>
      </c>
      <c r="S104" s="148">
        <f t="shared" si="29"/>
        <v>209.84</v>
      </c>
      <c r="T104" s="31"/>
      <c r="U104" s="111"/>
    </row>
    <row r="105" spans="2:21" ht="13.5" thickBot="1" x14ac:dyDescent="0.35">
      <c r="B105" s="471" t="s">
        <v>76</v>
      </c>
      <c r="C105" s="165">
        <f t="shared" ref="C105:S105" si="30">C26</f>
        <v>0</v>
      </c>
      <c r="D105" s="166">
        <f t="shared" si="30"/>
        <v>194</v>
      </c>
      <c r="E105" s="166">
        <f t="shared" si="30"/>
        <v>202</v>
      </c>
      <c r="F105" s="166">
        <f t="shared" si="30"/>
        <v>110</v>
      </c>
      <c r="G105" s="166">
        <f t="shared" si="30"/>
        <v>125</v>
      </c>
      <c r="H105" s="166">
        <f t="shared" si="30"/>
        <v>0</v>
      </c>
      <c r="I105" s="167">
        <f t="shared" si="30"/>
        <v>631</v>
      </c>
      <c r="J105" s="278">
        <f t="shared" si="30"/>
        <v>1349.8596539792386</v>
      </c>
      <c r="K105" s="245">
        <f t="shared" si="30"/>
        <v>0</v>
      </c>
      <c r="L105" s="246">
        <f t="shared" si="30"/>
        <v>200516.97317465185</v>
      </c>
      <c r="M105" s="165">
        <f t="shared" si="30"/>
        <v>1403.8540401384084</v>
      </c>
      <c r="N105" s="166">
        <f t="shared" si="30"/>
        <v>0</v>
      </c>
      <c r="O105" s="167">
        <f t="shared" si="30"/>
        <v>208312.83522246839</v>
      </c>
      <c r="P105" s="278">
        <f t="shared" si="30"/>
        <v>1431.9311209411762</v>
      </c>
      <c r="Q105" s="245">
        <f t="shared" si="30"/>
        <v>0</v>
      </c>
      <c r="R105" s="246">
        <f t="shared" si="30"/>
        <v>212479.09192691772</v>
      </c>
      <c r="S105" s="167">
        <f t="shared" si="30"/>
        <v>12070.905161876817</v>
      </c>
      <c r="T105" s="168" t="str">
        <f>T26</f>
        <v>NA</v>
      </c>
      <c r="U105" s="473">
        <f>U26</f>
        <v>195032.0616128025</v>
      </c>
    </row>
    <row r="106" spans="2:21" ht="13" x14ac:dyDescent="0.3">
      <c r="B106" s="472" t="s">
        <v>96</v>
      </c>
      <c r="C106" s="156">
        <f t="shared" ref="C106:S106" si="31">C35</f>
        <v>0</v>
      </c>
      <c r="D106" s="21">
        <f t="shared" si="31"/>
        <v>60</v>
      </c>
      <c r="E106" s="21">
        <f t="shared" si="31"/>
        <v>60</v>
      </c>
      <c r="F106" s="21">
        <f t="shared" si="31"/>
        <v>0</v>
      </c>
      <c r="G106" s="21">
        <f t="shared" si="31"/>
        <v>0</v>
      </c>
      <c r="H106" s="21">
        <f t="shared" si="31"/>
        <v>0</v>
      </c>
      <c r="I106" s="157">
        <f t="shared" si="31"/>
        <v>120</v>
      </c>
      <c r="J106" s="279" t="str">
        <f t="shared" si="31"/>
        <v>NA</v>
      </c>
      <c r="K106" s="280">
        <f t="shared" si="31"/>
        <v>5160</v>
      </c>
      <c r="L106" s="281">
        <f t="shared" si="31"/>
        <v>5160</v>
      </c>
      <c r="M106" s="158" t="str">
        <f t="shared" si="31"/>
        <v>NA</v>
      </c>
      <c r="N106" s="21">
        <f t="shared" si="31"/>
        <v>5160</v>
      </c>
      <c r="O106" s="157">
        <f t="shared" si="31"/>
        <v>5160</v>
      </c>
      <c r="P106" s="279" t="str">
        <f t="shared" si="31"/>
        <v>NA</v>
      </c>
      <c r="Q106" s="280">
        <f t="shared" si="31"/>
        <v>5160</v>
      </c>
      <c r="R106" s="281">
        <f t="shared" si="31"/>
        <v>5160</v>
      </c>
      <c r="S106" s="157">
        <f t="shared" si="31"/>
        <v>5160</v>
      </c>
      <c r="T106" s="159" t="str">
        <f>T18</f>
        <v>NA</v>
      </c>
      <c r="U106" s="119" t="s">
        <v>12</v>
      </c>
    </row>
    <row r="107" spans="2:21" ht="13.5" thickBot="1" x14ac:dyDescent="0.35">
      <c r="B107" s="471" t="s">
        <v>76</v>
      </c>
      <c r="C107" s="169">
        <f t="shared" ref="C107:S107" si="32">C36</f>
        <v>0</v>
      </c>
      <c r="D107" s="166">
        <f t="shared" si="32"/>
        <v>1452</v>
      </c>
      <c r="E107" s="166">
        <f t="shared" si="32"/>
        <v>1513</v>
      </c>
      <c r="F107" s="166">
        <f t="shared" si="32"/>
        <v>0</v>
      </c>
      <c r="G107" s="166">
        <f t="shared" si="32"/>
        <v>0</v>
      </c>
      <c r="H107" s="166">
        <f t="shared" si="32"/>
        <v>0</v>
      </c>
      <c r="I107" s="167">
        <f t="shared" si="32"/>
        <v>3715</v>
      </c>
      <c r="J107" s="278">
        <f t="shared" si="32"/>
        <v>7249.5304310171005</v>
      </c>
      <c r="K107" s="245">
        <f t="shared" si="32"/>
        <v>311729.80853373528</v>
      </c>
      <c r="L107" s="246">
        <f t="shared" si="32"/>
        <v>311729.80853373528</v>
      </c>
      <c r="M107" s="165">
        <f t="shared" si="32"/>
        <v>7539.5116482577851</v>
      </c>
      <c r="N107" s="166">
        <f t="shared" si="32"/>
        <v>324199.00087508478</v>
      </c>
      <c r="O107" s="167">
        <f t="shared" si="32"/>
        <v>324199.00087508478</v>
      </c>
      <c r="P107" s="278">
        <f t="shared" si="32"/>
        <v>7690.3018812229402</v>
      </c>
      <c r="Q107" s="245">
        <f t="shared" si="32"/>
        <v>330682.98089258646</v>
      </c>
      <c r="R107" s="246">
        <f t="shared" si="32"/>
        <v>330682.98089258646</v>
      </c>
      <c r="S107" s="167">
        <f t="shared" si="32"/>
        <v>322203.93010046886</v>
      </c>
      <c r="T107" s="167">
        <f>T36</f>
        <v>40297.545686351194</v>
      </c>
      <c r="U107" s="322" t="s">
        <v>12</v>
      </c>
    </row>
    <row r="108" spans="2:21" ht="13" x14ac:dyDescent="0.3">
      <c r="B108" s="472" t="s">
        <v>99</v>
      </c>
      <c r="C108" s="156">
        <f t="shared" ref="C108:S108" si="33">C47</f>
        <v>0</v>
      </c>
      <c r="D108" s="21">
        <f t="shared" si="33"/>
        <v>0</v>
      </c>
      <c r="E108" s="21">
        <f t="shared" si="33"/>
        <v>38</v>
      </c>
      <c r="F108" s="21">
        <f t="shared" si="33"/>
        <v>48</v>
      </c>
      <c r="G108" s="21">
        <f t="shared" si="33"/>
        <v>0</v>
      </c>
      <c r="H108" s="21">
        <f t="shared" si="33"/>
        <v>0</v>
      </c>
      <c r="I108" s="157">
        <f t="shared" si="33"/>
        <v>86</v>
      </c>
      <c r="J108" s="279" t="str">
        <f t="shared" si="33"/>
        <v>NA</v>
      </c>
      <c r="K108" s="280">
        <f t="shared" si="33"/>
        <v>3698</v>
      </c>
      <c r="L108" s="281">
        <f t="shared" si="33"/>
        <v>3698</v>
      </c>
      <c r="M108" s="158" t="str">
        <f t="shared" si="33"/>
        <v>NA</v>
      </c>
      <c r="N108" s="21">
        <f t="shared" si="33"/>
        <v>3698</v>
      </c>
      <c r="O108" s="157">
        <f t="shared" si="33"/>
        <v>3698</v>
      </c>
      <c r="P108" s="279" t="str">
        <f t="shared" si="33"/>
        <v>NA</v>
      </c>
      <c r="Q108" s="280">
        <f t="shared" si="33"/>
        <v>3698</v>
      </c>
      <c r="R108" s="281">
        <f t="shared" si="33"/>
        <v>3698</v>
      </c>
      <c r="S108" s="157">
        <f t="shared" si="33"/>
        <v>3698</v>
      </c>
      <c r="T108" s="31"/>
      <c r="U108" s="111"/>
    </row>
    <row r="109" spans="2:21" ht="13.5" thickBot="1" x14ac:dyDescent="0.35">
      <c r="B109" s="471" t="s">
        <v>76</v>
      </c>
      <c r="C109" s="165">
        <f t="shared" ref="C109:S109" si="34">C48</f>
        <v>0</v>
      </c>
      <c r="D109" s="166">
        <f t="shared" si="34"/>
        <v>0</v>
      </c>
      <c r="E109" s="166">
        <f t="shared" si="34"/>
        <v>959</v>
      </c>
      <c r="F109" s="166">
        <f t="shared" si="34"/>
        <v>1324</v>
      </c>
      <c r="G109" s="166">
        <f t="shared" si="34"/>
        <v>0</v>
      </c>
      <c r="H109" s="166">
        <f t="shared" si="34"/>
        <v>0</v>
      </c>
      <c r="I109" s="167">
        <f t="shared" si="34"/>
        <v>4283</v>
      </c>
      <c r="J109" s="278">
        <f t="shared" si="34"/>
        <v>7301.7154746384504</v>
      </c>
      <c r="K109" s="245">
        <f t="shared" si="34"/>
        <v>313973.76540945336</v>
      </c>
      <c r="L109" s="246">
        <f t="shared" si="34"/>
        <v>313973.76540945336</v>
      </c>
      <c r="M109" s="169">
        <f t="shared" si="34"/>
        <v>7593.7840936239891</v>
      </c>
      <c r="N109" s="166">
        <f t="shared" si="34"/>
        <v>326532.71602583153</v>
      </c>
      <c r="O109" s="167">
        <f t="shared" si="34"/>
        <v>326532.71602583153</v>
      </c>
      <c r="P109" s="278">
        <f t="shared" si="34"/>
        <v>7745.6597754964678</v>
      </c>
      <c r="Q109" s="245">
        <f t="shared" si="34"/>
        <v>333063.37034634815</v>
      </c>
      <c r="R109" s="246">
        <f t="shared" si="34"/>
        <v>333063.37034634815</v>
      </c>
      <c r="S109" s="167">
        <f t="shared" si="34"/>
        <v>217063.16209694117</v>
      </c>
      <c r="T109" s="167">
        <f>T48</f>
        <v>107460.12183026985</v>
      </c>
      <c r="U109" s="474" t="s">
        <v>12</v>
      </c>
    </row>
    <row r="110" spans="2:21" ht="13" x14ac:dyDescent="0.3">
      <c r="B110" s="472" t="s">
        <v>100</v>
      </c>
      <c r="C110" s="156">
        <f t="shared" ref="C110:U110" si="35">C63</f>
        <v>0</v>
      </c>
      <c r="D110" s="21">
        <f t="shared" si="35"/>
        <v>0.5</v>
      </c>
      <c r="E110" s="21">
        <f t="shared" si="35"/>
        <v>18</v>
      </c>
      <c r="F110" s="21">
        <f t="shared" si="35"/>
        <v>25</v>
      </c>
      <c r="G110" s="21">
        <f t="shared" si="35"/>
        <v>7</v>
      </c>
      <c r="H110" s="21">
        <f t="shared" si="35"/>
        <v>0</v>
      </c>
      <c r="I110" s="157">
        <f t="shared" si="35"/>
        <v>50.5</v>
      </c>
      <c r="J110" s="279" t="str">
        <f t="shared" si="35"/>
        <v>NA</v>
      </c>
      <c r="K110" s="280">
        <f t="shared" si="35"/>
        <v>2171.5</v>
      </c>
      <c r="L110" s="281">
        <f t="shared" si="35"/>
        <v>2171.5</v>
      </c>
      <c r="M110" s="158" t="str">
        <f t="shared" si="35"/>
        <v>NA</v>
      </c>
      <c r="N110" s="21">
        <f t="shared" si="35"/>
        <v>2171.5</v>
      </c>
      <c r="O110" s="157">
        <f t="shared" si="35"/>
        <v>2171.5</v>
      </c>
      <c r="P110" s="279" t="str">
        <f t="shared" si="35"/>
        <v>NA</v>
      </c>
      <c r="Q110" s="280">
        <f t="shared" si="35"/>
        <v>2171.5</v>
      </c>
      <c r="R110" s="281">
        <f t="shared" si="35"/>
        <v>2171.5</v>
      </c>
      <c r="S110" s="157">
        <f t="shared" si="35"/>
        <v>2171.5</v>
      </c>
      <c r="T110" s="170" t="str">
        <f t="shared" si="35"/>
        <v>NA</v>
      </c>
      <c r="U110" s="475" t="str">
        <f t="shared" si="35"/>
        <v>NA</v>
      </c>
    </row>
    <row r="111" spans="2:21" ht="13.5" thickBot="1" x14ac:dyDescent="0.35">
      <c r="B111" s="471" t="s">
        <v>76</v>
      </c>
      <c r="C111" s="165">
        <f t="shared" ref="C111:T111" si="36">C64</f>
        <v>0</v>
      </c>
      <c r="D111" s="166">
        <f t="shared" si="36"/>
        <v>11</v>
      </c>
      <c r="E111" s="166">
        <f t="shared" si="36"/>
        <v>454</v>
      </c>
      <c r="F111" s="166">
        <f t="shared" si="36"/>
        <v>690</v>
      </c>
      <c r="G111" s="166">
        <f t="shared" si="36"/>
        <v>219</v>
      </c>
      <c r="H111" s="166">
        <f t="shared" si="36"/>
        <v>0</v>
      </c>
      <c r="I111" s="167">
        <f t="shared" si="36"/>
        <v>1374</v>
      </c>
      <c r="J111" s="278">
        <f t="shared" si="36"/>
        <v>2939.3140484429064</v>
      </c>
      <c r="K111" s="245">
        <f t="shared" si="36"/>
        <v>125884.57411764705</v>
      </c>
      <c r="L111" s="246">
        <f t="shared" si="36"/>
        <v>125884.57411764705</v>
      </c>
      <c r="M111" s="165">
        <f t="shared" si="36"/>
        <v>3056.8866103806231</v>
      </c>
      <c r="N111" s="166">
        <f t="shared" si="36"/>
        <v>130919.95708235295</v>
      </c>
      <c r="O111" s="167">
        <f t="shared" si="36"/>
        <v>130919.95708235295</v>
      </c>
      <c r="P111" s="284">
        <f t="shared" si="36"/>
        <v>3118.024342588235</v>
      </c>
      <c r="Q111" s="245">
        <f t="shared" si="36"/>
        <v>133538.35622399999</v>
      </c>
      <c r="R111" s="246">
        <f t="shared" si="36"/>
        <v>133538.35622399999</v>
      </c>
      <c r="S111" s="167">
        <f t="shared" si="36"/>
        <v>130114.29580799998</v>
      </c>
      <c r="T111" s="168" t="str">
        <f t="shared" si="36"/>
        <v>NA</v>
      </c>
      <c r="U111" s="322" t="s">
        <v>12</v>
      </c>
    </row>
    <row r="112" spans="2:21" ht="13" x14ac:dyDescent="0.3">
      <c r="B112" s="472" t="s">
        <v>101</v>
      </c>
      <c r="C112" s="171">
        <f t="shared" ref="C112:S112" si="37">C87</f>
        <v>0</v>
      </c>
      <c r="D112" s="172">
        <f t="shared" si="37"/>
        <v>25</v>
      </c>
      <c r="E112" s="172">
        <f t="shared" si="37"/>
        <v>25.2</v>
      </c>
      <c r="F112" s="172">
        <f t="shared" si="37"/>
        <v>48.3</v>
      </c>
      <c r="G112" s="172">
        <f t="shared" si="37"/>
        <v>47</v>
      </c>
      <c r="H112" s="172">
        <f t="shared" si="37"/>
        <v>5</v>
      </c>
      <c r="I112" s="54">
        <f t="shared" si="37"/>
        <v>150.5</v>
      </c>
      <c r="J112" s="282" t="str">
        <f t="shared" si="37"/>
        <v>NA</v>
      </c>
      <c r="K112" s="263" t="str">
        <f t="shared" si="37"/>
        <v>NA</v>
      </c>
      <c r="L112" s="243">
        <f t="shared" si="37"/>
        <v>5941.5</v>
      </c>
      <c r="M112" s="173" t="str">
        <f t="shared" si="37"/>
        <v>NA</v>
      </c>
      <c r="N112" s="36" t="str">
        <f t="shared" si="37"/>
        <v>NA</v>
      </c>
      <c r="O112" s="54">
        <f t="shared" si="37"/>
        <v>5941.5</v>
      </c>
      <c r="P112" s="282" t="str">
        <f t="shared" si="37"/>
        <v>NA</v>
      </c>
      <c r="Q112" s="263" t="str">
        <f t="shared" si="37"/>
        <v>NA</v>
      </c>
      <c r="R112" s="243">
        <f t="shared" si="37"/>
        <v>5941.5</v>
      </c>
      <c r="S112" s="54">
        <f t="shared" si="37"/>
        <v>5941.5</v>
      </c>
      <c r="T112" s="42" t="s">
        <v>12</v>
      </c>
      <c r="U112" s="119" t="s">
        <v>12</v>
      </c>
    </row>
    <row r="113" spans="2:21" ht="13.5" thickBot="1" x14ac:dyDescent="0.35">
      <c r="B113" s="471" t="s">
        <v>76</v>
      </c>
      <c r="C113" s="165">
        <f t="shared" ref="C113:S113" si="38">C88</f>
        <v>0</v>
      </c>
      <c r="D113" s="166">
        <f t="shared" si="38"/>
        <v>605</v>
      </c>
      <c r="E113" s="166">
        <f t="shared" si="38"/>
        <v>635</v>
      </c>
      <c r="F113" s="166">
        <f t="shared" si="38"/>
        <v>1331</v>
      </c>
      <c r="G113" s="166">
        <f t="shared" si="38"/>
        <v>1472</v>
      </c>
      <c r="H113" s="166">
        <f t="shared" si="38"/>
        <v>189</v>
      </c>
      <c r="I113" s="167">
        <f t="shared" si="38"/>
        <v>4232</v>
      </c>
      <c r="J113" s="278">
        <f t="shared" si="38"/>
        <v>9053.2584083044967</v>
      </c>
      <c r="K113" s="283" t="str">
        <f t="shared" si="38"/>
        <v>NA</v>
      </c>
      <c r="L113" s="246">
        <f t="shared" si="38"/>
        <v>352733.08833217988</v>
      </c>
      <c r="M113" s="169">
        <f t="shared" si="38"/>
        <v>9415.3887446366789</v>
      </c>
      <c r="N113" s="175" t="str">
        <f t="shared" si="38"/>
        <v>NA</v>
      </c>
      <c r="O113" s="167">
        <f t="shared" si="38"/>
        <v>366842.41186546715</v>
      </c>
      <c r="P113" s="278">
        <f t="shared" si="38"/>
        <v>9603.6965195294106</v>
      </c>
      <c r="Q113" s="283" t="str">
        <f t="shared" si="38"/>
        <v>NA</v>
      </c>
      <c r="R113" s="246">
        <f t="shared" si="38"/>
        <v>374179.26010277646</v>
      </c>
      <c r="S113" s="167">
        <f t="shared" si="38"/>
        <v>364584.92010014114</v>
      </c>
      <c r="T113" s="167">
        <f>T88</f>
        <v>0</v>
      </c>
      <c r="U113" s="322" t="s">
        <v>12</v>
      </c>
    </row>
    <row r="114" spans="2:21" ht="13" x14ac:dyDescent="0.3">
      <c r="B114" s="472" t="s">
        <v>102</v>
      </c>
      <c r="C114" s="156">
        <f t="shared" ref="C114:S114" si="39">C97</f>
        <v>0</v>
      </c>
      <c r="D114" s="21">
        <f t="shared" si="39"/>
        <v>0</v>
      </c>
      <c r="E114" s="21">
        <f t="shared" si="39"/>
        <v>16</v>
      </c>
      <c r="F114" s="21">
        <f t="shared" si="39"/>
        <v>8</v>
      </c>
      <c r="G114" s="21">
        <f t="shared" si="39"/>
        <v>12</v>
      </c>
      <c r="H114" s="21">
        <f t="shared" si="39"/>
        <v>6</v>
      </c>
      <c r="I114" s="157">
        <f t="shared" si="39"/>
        <v>42</v>
      </c>
      <c r="J114" s="279" t="str">
        <f t="shared" si="39"/>
        <v>NA</v>
      </c>
      <c r="K114" s="280">
        <f t="shared" si="39"/>
        <v>1806</v>
      </c>
      <c r="L114" s="281">
        <f t="shared" si="39"/>
        <v>1806</v>
      </c>
      <c r="M114" s="158" t="str">
        <f t="shared" si="39"/>
        <v>NA</v>
      </c>
      <c r="N114" s="21">
        <f t="shared" si="39"/>
        <v>1806</v>
      </c>
      <c r="O114" s="157">
        <f t="shared" si="39"/>
        <v>1806</v>
      </c>
      <c r="P114" s="279" t="str">
        <f t="shared" si="39"/>
        <v>NA</v>
      </c>
      <c r="Q114" s="280">
        <f t="shared" si="39"/>
        <v>1806</v>
      </c>
      <c r="R114" s="281">
        <f t="shared" si="39"/>
        <v>1806</v>
      </c>
      <c r="S114" s="157">
        <f t="shared" si="39"/>
        <v>1806</v>
      </c>
      <c r="T114" s="42" t="s">
        <v>12</v>
      </c>
      <c r="U114" s="119" t="s">
        <v>12</v>
      </c>
    </row>
    <row r="115" spans="2:21" ht="13.5" thickBot="1" x14ac:dyDescent="0.35">
      <c r="B115" s="476" t="s">
        <v>76</v>
      </c>
      <c r="C115" s="176">
        <f t="shared" ref="C115:S115" si="40">C98</f>
        <v>0</v>
      </c>
      <c r="D115" s="177">
        <f t="shared" si="40"/>
        <v>0</v>
      </c>
      <c r="E115" s="177">
        <f t="shared" si="40"/>
        <v>404</v>
      </c>
      <c r="F115" s="177">
        <f t="shared" si="40"/>
        <v>221</v>
      </c>
      <c r="G115" s="177">
        <f t="shared" si="40"/>
        <v>375</v>
      </c>
      <c r="H115" s="177">
        <f t="shared" si="40"/>
        <v>227</v>
      </c>
      <c r="I115" s="178">
        <f t="shared" si="40"/>
        <v>1227</v>
      </c>
      <c r="J115" s="252">
        <f t="shared" si="40"/>
        <v>2624.845951557093</v>
      </c>
      <c r="K115" s="253">
        <f t="shared" si="40"/>
        <v>112868.375916955</v>
      </c>
      <c r="L115" s="254">
        <f t="shared" si="40"/>
        <v>112868.375916955</v>
      </c>
      <c r="M115" s="176">
        <f t="shared" si="40"/>
        <v>2729.8397896193774</v>
      </c>
      <c r="N115" s="177">
        <f t="shared" si="40"/>
        <v>117383.11095363322</v>
      </c>
      <c r="O115" s="178">
        <f t="shared" si="40"/>
        <v>117383.11095363322</v>
      </c>
      <c r="P115" s="259">
        <f t="shared" si="40"/>
        <v>2784.4365854117641</v>
      </c>
      <c r="Q115" s="253">
        <f t="shared" si="40"/>
        <v>119730.77317270587</v>
      </c>
      <c r="R115" s="254">
        <f t="shared" si="40"/>
        <v>119730.77317270587</v>
      </c>
      <c r="S115" s="178">
        <f t="shared" si="40"/>
        <v>116660.75334776468</v>
      </c>
      <c r="T115" s="179" t="str">
        <f>T98</f>
        <v>NA</v>
      </c>
      <c r="U115" s="180" t="s">
        <v>12</v>
      </c>
    </row>
    <row r="116" spans="2:21" ht="18.5" thickTop="1" x14ac:dyDescent="0.4">
      <c r="B116" s="477" t="s">
        <v>13</v>
      </c>
      <c r="C116" s="88" t="s">
        <v>45</v>
      </c>
      <c r="D116" s="86" t="s">
        <v>46</v>
      </c>
      <c r="E116" s="86" t="s">
        <v>47</v>
      </c>
      <c r="F116" s="86" t="s">
        <v>48</v>
      </c>
      <c r="G116" s="86" t="s">
        <v>49</v>
      </c>
      <c r="H116" s="86" t="s">
        <v>50</v>
      </c>
      <c r="I116" s="87" t="s">
        <v>13</v>
      </c>
      <c r="J116" s="88" t="s">
        <v>56</v>
      </c>
      <c r="K116" s="86" t="s">
        <v>13</v>
      </c>
      <c r="L116" s="87" t="s">
        <v>68</v>
      </c>
      <c r="M116" s="88" t="s">
        <v>56</v>
      </c>
      <c r="N116" s="86" t="s">
        <v>13</v>
      </c>
      <c r="O116" s="87" t="s">
        <v>68</v>
      </c>
      <c r="P116" s="88" t="s">
        <v>56</v>
      </c>
      <c r="Q116" s="86" t="s">
        <v>13</v>
      </c>
      <c r="R116" s="87" t="s">
        <v>68</v>
      </c>
      <c r="S116" s="87"/>
      <c r="T116" s="31"/>
      <c r="U116" s="111"/>
    </row>
    <row r="117" spans="2:21" x14ac:dyDescent="0.25">
      <c r="B117" s="478" t="s">
        <v>75</v>
      </c>
      <c r="C117" s="154">
        <f t="shared" ref="C117:I118" si="41">C102+C104+C106+C108+C110+C112+C114</f>
        <v>0</v>
      </c>
      <c r="D117" s="58">
        <f t="shared" si="41"/>
        <v>93.5</v>
      </c>
      <c r="E117" s="58">
        <f t="shared" si="41"/>
        <v>165.2</v>
      </c>
      <c r="F117" s="58">
        <f t="shared" si="41"/>
        <v>133.30000000000001</v>
      </c>
      <c r="G117" s="58">
        <f t="shared" si="41"/>
        <v>70</v>
      </c>
      <c r="H117" s="58">
        <f t="shared" si="41"/>
        <v>11</v>
      </c>
      <c r="I117" s="57">
        <f t="shared" si="41"/>
        <v>473</v>
      </c>
      <c r="J117" s="285" t="s">
        <v>12</v>
      </c>
      <c r="K117" s="231">
        <f>K102+K104+K106+K108+K110+K114</f>
        <v>13884.7</v>
      </c>
      <c r="L117" s="239">
        <f>L102+L104+L106+L108+L110+L112+L114</f>
        <v>18986.84</v>
      </c>
      <c r="M117" s="83" t="s">
        <v>12</v>
      </c>
      <c r="N117" s="58">
        <f>N102+N104+N106+N108+N110+N114</f>
        <v>13884.7</v>
      </c>
      <c r="O117" s="57">
        <f>O102+O104+O106+O108+O110+O112+O114</f>
        <v>18986.84</v>
      </c>
      <c r="P117" s="285" t="s">
        <v>12</v>
      </c>
      <c r="Q117" s="231">
        <f>Q102+Q104+Q106+Q108+Q110+Q114</f>
        <v>13884.7</v>
      </c>
      <c r="R117" s="239">
        <f>R102+R104+R106+R108+R110+R112+R114</f>
        <v>18986.84</v>
      </c>
      <c r="S117" s="57">
        <f>S102+S104+S106+S108+S110+S112+S114</f>
        <v>18986.84</v>
      </c>
      <c r="T117" s="57"/>
      <c r="U117" s="113" t="s">
        <v>12</v>
      </c>
    </row>
    <row r="118" spans="2:21" s="189" customFormat="1" ht="16" thickBot="1" x14ac:dyDescent="0.4">
      <c r="B118" s="479" t="s">
        <v>76</v>
      </c>
      <c r="C118" s="480">
        <f t="shared" si="41"/>
        <v>0</v>
      </c>
      <c r="D118" s="481">
        <f t="shared" si="41"/>
        <v>2262</v>
      </c>
      <c r="E118" s="481">
        <f t="shared" si="41"/>
        <v>4167</v>
      </c>
      <c r="F118" s="481">
        <f t="shared" si="41"/>
        <v>3676</v>
      </c>
      <c r="G118" s="481">
        <f t="shared" si="41"/>
        <v>2191</v>
      </c>
      <c r="H118" s="481">
        <f t="shared" si="41"/>
        <v>416</v>
      </c>
      <c r="I118" s="482">
        <f t="shared" si="41"/>
        <v>15462</v>
      </c>
      <c r="J118" s="483">
        <f>J103+J105+J107+J109+J111+J113+J115</f>
        <v>30518.523967939287</v>
      </c>
      <c r="K118" s="484">
        <f>K103+K105+K107+K109+K111+K115</f>
        <v>864456.52397779073</v>
      </c>
      <c r="L118" s="485">
        <f>L103+L105+L107+L109+L111+L113+L115</f>
        <v>1417706.5854846225</v>
      </c>
      <c r="M118" s="480">
        <f>M103+M105+M107+M109+M111+M113+M115</f>
        <v>31739.264926656862</v>
      </c>
      <c r="N118" s="486">
        <f>N103+N105+N107+N109+N111+N115</f>
        <v>899034.78493690246</v>
      </c>
      <c r="O118" s="482">
        <f>O103+O105+O107+O109+O111+O113+O115</f>
        <v>1474190.032024838</v>
      </c>
      <c r="P118" s="487">
        <f>P103+P105+P107+P109+P111+P113+P115</f>
        <v>32374.050225189996</v>
      </c>
      <c r="Q118" s="484">
        <f>Q103+Q105+Q107+Q109+Q111+Q115</f>
        <v>917015.48063564044</v>
      </c>
      <c r="R118" s="485">
        <f>R103+R105+R107+R109+R111+R113+R115</f>
        <v>1503673.8326653347</v>
      </c>
      <c r="S118" s="482">
        <f>S103+S105+S107+S109+S111+S113+S115</f>
        <v>1162697.9666151928</v>
      </c>
      <c r="T118" s="482">
        <f>SUM(T103,T105,T107,T109,T111,T113,T115)</f>
        <v>147757.66751662106</v>
      </c>
      <c r="U118" s="489">
        <f>SUM(U103,U105,U107,U109,U111,U113,U115)</f>
        <v>195032.0616128025</v>
      </c>
    </row>
  </sheetData>
  <mergeCells count="35">
    <mergeCell ref="Q91:R91"/>
    <mergeCell ref="Q29:R29"/>
    <mergeCell ref="Q39:R39"/>
    <mergeCell ref="Q51:R51"/>
    <mergeCell ref="Q84:R84"/>
    <mergeCell ref="Q68:R68"/>
    <mergeCell ref="G67:I67"/>
    <mergeCell ref="N84:O84"/>
    <mergeCell ref="K91:L91"/>
    <mergeCell ref="N29:O29"/>
    <mergeCell ref="N39:O39"/>
    <mergeCell ref="N68:O68"/>
    <mergeCell ref="N91:O91"/>
    <mergeCell ref="N51:O51"/>
    <mergeCell ref="K29:L29"/>
    <mergeCell ref="G90:I90"/>
    <mergeCell ref="K68:L68"/>
    <mergeCell ref="K51:L51"/>
    <mergeCell ref="G50:I50"/>
    <mergeCell ref="G29:I29"/>
    <mergeCell ref="K39:L39"/>
    <mergeCell ref="G15:I15"/>
    <mergeCell ref="G28:I28"/>
    <mergeCell ref="G39:I39"/>
    <mergeCell ref="G38:I38"/>
    <mergeCell ref="S2:T2"/>
    <mergeCell ref="Q16:R16"/>
    <mergeCell ref="G7:I7"/>
    <mergeCell ref="K16:L16"/>
    <mergeCell ref="F2:G2"/>
    <mergeCell ref="C5:I5"/>
    <mergeCell ref="Q8:R8"/>
    <mergeCell ref="K8:L8"/>
    <mergeCell ref="N8:O8"/>
    <mergeCell ref="N16:O16"/>
  </mergeCells>
  <phoneticPr fontId="2" type="noConversion"/>
  <dataValidations disablePrompts="1" count="1">
    <dataValidation allowBlank="1" showInputMessage="1" showErrorMessage="1" sqref="D31 D18" xr:uid="{00000000-0002-0000-0D00-000000000000}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119"/>
  <sheetViews>
    <sheetView topLeftCell="F51" zoomScaleNormal="100" workbookViewId="0">
      <selection activeCell="R66" sqref="R66"/>
    </sheetView>
  </sheetViews>
  <sheetFormatPr defaultRowHeight="12.5" x14ac:dyDescent="0.25"/>
  <cols>
    <col min="1" max="1" width="1.1796875" customWidth="1"/>
    <col min="2" max="2" width="31.453125" customWidth="1"/>
    <col min="3" max="3" width="12.81640625" customWidth="1"/>
    <col min="4" max="4" width="10.26953125" bestFit="1" customWidth="1"/>
    <col min="5" max="5" width="11.26953125" customWidth="1"/>
    <col min="6" max="6" width="9.7265625" style="5" customWidth="1"/>
    <col min="7" max="7" width="9.7265625" bestFit="1" customWidth="1"/>
    <col min="8" max="8" width="9.81640625" bestFit="1" customWidth="1"/>
    <col min="9" max="9" width="11" customWidth="1"/>
    <col min="10" max="10" width="13.26953125" customWidth="1"/>
    <col min="11" max="11" width="15" customWidth="1"/>
    <col min="12" max="12" width="14.453125" customWidth="1"/>
    <col min="13" max="13" width="15.7265625" customWidth="1"/>
    <col min="14" max="14" width="15.54296875" customWidth="1"/>
    <col min="15" max="15" width="14.54296875" customWidth="1"/>
    <col min="16" max="16" width="14.453125" customWidth="1"/>
    <col min="17" max="17" width="15" customWidth="1"/>
    <col min="18" max="18" width="13.81640625" customWidth="1"/>
    <col min="19" max="19" width="14" customWidth="1"/>
    <col min="20" max="20" width="14.54296875" customWidth="1"/>
    <col min="21" max="21" width="14" customWidth="1"/>
    <col min="22" max="22" width="13.26953125" bestFit="1" customWidth="1"/>
  </cols>
  <sheetData>
    <row r="1" spans="1:22" ht="4.5" customHeight="1" thickBot="1" x14ac:dyDescent="0.3">
      <c r="B1" s="335"/>
      <c r="C1" s="335"/>
      <c r="D1" s="335"/>
      <c r="E1" s="335"/>
      <c r="F1" s="336"/>
      <c r="G1" s="335"/>
      <c r="H1" s="335"/>
      <c r="I1" s="335"/>
      <c r="J1" s="335"/>
      <c r="K1" s="335"/>
      <c r="L1" s="335"/>
      <c r="M1" s="335"/>
      <c r="N1" s="335"/>
    </row>
    <row r="2" spans="1:22" ht="18.5" thickTop="1" x14ac:dyDescent="0.4">
      <c r="A2" s="510"/>
      <c r="B2" s="494" t="s">
        <v>0</v>
      </c>
      <c r="C2" s="537" t="s">
        <v>179</v>
      </c>
      <c r="E2" s="326" t="s">
        <v>31</v>
      </c>
      <c r="F2" s="1172">
        <v>43331</v>
      </c>
      <c r="G2" s="1173"/>
      <c r="K2" s="492" t="s">
        <v>5</v>
      </c>
      <c r="L2" s="493">
        <v>2023</v>
      </c>
      <c r="N2" s="490" t="s">
        <v>10</v>
      </c>
      <c r="O2" s="452">
        <f>L2+1</f>
        <v>2024</v>
      </c>
      <c r="P2" s="451"/>
      <c r="Q2" s="453" t="s">
        <v>11</v>
      </c>
      <c r="R2" s="452">
        <f>O2+1</f>
        <v>2025</v>
      </c>
      <c r="S2" s="454"/>
      <c r="T2" s="1165" t="s">
        <v>77</v>
      </c>
      <c r="U2" s="1166"/>
      <c r="V2" s="455" t="s">
        <v>79</v>
      </c>
    </row>
    <row r="3" spans="1:22" ht="15.5" x14ac:dyDescent="0.35">
      <c r="A3" s="510"/>
      <c r="C3" s="1"/>
      <c r="D3" s="25"/>
      <c r="E3" s="2"/>
      <c r="J3" s="326" t="s">
        <v>59</v>
      </c>
      <c r="K3" s="144"/>
      <c r="M3" s="145"/>
      <c r="P3" s="31"/>
      <c r="S3" s="31"/>
      <c r="T3" s="90" t="s">
        <v>71</v>
      </c>
      <c r="U3" s="91">
        <f>AVERAGE(K5,N5,Q5)</f>
        <v>39</v>
      </c>
      <c r="V3" s="31"/>
    </row>
    <row r="4" spans="1:22" ht="13" x14ac:dyDescent="0.3">
      <c r="A4" s="510"/>
      <c r="J4" s="43">
        <v>0</v>
      </c>
      <c r="K4" s="326" t="s">
        <v>71</v>
      </c>
      <c r="L4" s="349" t="s">
        <v>72</v>
      </c>
      <c r="M4" s="17">
        <v>43</v>
      </c>
      <c r="N4" s="326" t="s">
        <v>71</v>
      </c>
      <c r="O4" s="349" t="s">
        <v>69</v>
      </c>
      <c r="P4" s="17">
        <v>43</v>
      </c>
      <c r="Q4" s="326" t="s">
        <v>71</v>
      </c>
      <c r="R4" s="349" t="s">
        <v>69</v>
      </c>
      <c r="S4" s="17">
        <v>43</v>
      </c>
      <c r="T4" s="90" t="s">
        <v>69</v>
      </c>
      <c r="U4" s="85">
        <f>AVERAGE(M4,P4,S4)</f>
        <v>43</v>
      </c>
      <c r="V4" s="31"/>
    </row>
    <row r="5" spans="1:22" ht="12.75" customHeight="1" thickBot="1" x14ac:dyDescent="0.35">
      <c r="A5" s="510"/>
      <c r="B5" s="495" t="s">
        <v>2</v>
      </c>
      <c r="C5" s="1174"/>
      <c r="D5" s="1175"/>
      <c r="E5" s="1175"/>
      <c r="F5" s="1175"/>
      <c r="G5" s="1175"/>
      <c r="H5" s="1175"/>
      <c r="I5" s="1175"/>
      <c r="J5" s="1175"/>
      <c r="K5" s="286">
        <v>39</v>
      </c>
      <c r="L5" s="287" t="s">
        <v>70</v>
      </c>
      <c r="M5" s="288">
        <f>M4*$J$4</f>
        <v>0</v>
      </c>
      <c r="N5" s="526">
        <v>39</v>
      </c>
      <c r="O5" s="287" t="s">
        <v>70</v>
      </c>
      <c r="P5" s="289">
        <f>P4*$J$4</f>
        <v>0</v>
      </c>
      <c r="Q5" s="525">
        <v>39</v>
      </c>
      <c r="R5" s="287" t="s">
        <v>70</v>
      </c>
      <c r="S5" s="288">
        <f>S4*$J$4</f>
        <v>0</v>
      </c>
      <c r="T5" s="191" t="s">
        <v>70</v>
      </c>
      <c r="U5" s="192">
        <f>AVERAGE(M5,P5,S5)</f>
        <v>0</v>
      </c>
      <c r="V5" s="31"/>
    </row>
    <row r="6" spans="1:22" ht="30" customHeight="1" thickTop="1" thickBot="1" x14ac:dyDescent="0.45">
      <c r="A6" s="510"/>
      <c r="B6" s="496" t="s">
        <v>73</v>
      </c>
      <c r="C6" s="3"/>
      <c r="D6" s="3"/>
      <c r="E6" s="3"/>
      <c r="F6" s="9"/>
      <c r="G6" s="3"/>
      <c r="H6" s="3"/>
      <c r="I6" s="3"/>
      <c r="J6" s="3"/>
      <c r="K6" s="447"/>
      <c r="L6" s="3"/>
      <c r="M6" s="3"/>
      <c r="N6" s="447"/>
      <c r="O6" s="3"/>
      <c r="P6" s="3"/>
      <c r="Q6" s="447"/>
      <c r="R6" s="3"/>
      <c r="S6" s="3"/>
      <c r="T6" s="448" t="s">
        <v>17</v>
      </c>
      <c r="U6" s="449" t="s">
        <v>103</v>
      </c>
      <c r="V6" s="450"/>
    </row>
    <row r="7" spans="1:22" ht="15.5" x14ac:dyDescent="0.35">
      <c r="A7" s="510"/>
      <c r="B7" s="48" t="s">
        <v>3</v>
      </c>
      <c r="C7" s="193"/>
      <c r="D7" s="349" t="s">
        <v>54</v>
      </c>
      <c r="E7" s="24">
        <v>5</v>
      </c>
      <c r="F7" s="1" t="s">
        <v>6</v>
      </c>
      <c r="G7" s="1169"/>
      <c r="H7" s="1170"/>
      <c r="I7" s="1170"/>
      <c r="J7" s="1171"/>
      <c r="K7" s="72" t="s">
        <v>3</v>
      </c>
      <c r="L7" s="146"/>
      <c r="M7" s="62"/>
      <c r="N7" s="48" t="s">
        <v>3</v>
      </c>
      <c r="P7" s="31"/>
      <c r="Q7" s="48" t="s">
        <v>3</v>
      </c>
      <c r="S7" s="31"/>
      <c r="T7" s="99"/>
      <c r="U7" s="92"/>
      <c r="V7" s="114"/>
    </row>
    <row r="8" spans="1:22" ht="13" x14ac:dyDescent="0.3">
      <c r="A8" s="510"/>
      <c r="B8" s="497" t="s">
        <v>180</v>
      </c>
      <c r="C8" s="4"/>
      <c r="D8" s="4"/>
      <c r="E8" s="4"/>
      <c r="F8" s="8"/>
      <c r="G8" s="4"/>
      <c r="H8" s="4"/>
      <c r="I8" s="4"/>
      <c r="J8" s="40" t="s">
        <v>55</v>
      </c>
      <c r="K8" s="209" t="s">
        <v>55</v>
      </c>
      <c r="L8" s="1176" t="s">
        <v>57</v>
      </c>
      <c r="M8" s="1168"/>
      <c r="N8" s="50" t="s">
        <v>55</v>
      </c>
      <c r="O8" s="1177" t="s">
        <v>57</v>
      </c>
      <c r="P8" s="1178"/>
      <c r="Q8" s="227" t="s">
        <v>55</v>
      </c>
      <c r="R8" s="1167" t="s">
        <v>57</v>
      </c>
      <c r="S8" s="1168"/>
      <c r="T8" s="100"/>
      <c r="U8" s="118"/>
      <c r="V8" s="116"/>
    </row>
    <row r="9" spans="1:22" ht="13" x14ac:dyDescent="0.3">
      <c r="A9" s="510"/>
      <c r="B9" s="498" t="s">
        <v>53</v>
      </c>
      <c r="C9" s="20" t="s">
        <v>45</v>
      </c>
      <c r="D9" s="20" t="s">
        <v>46</v>
      </c>
      <c r="E9" s="20" t="s">
        <v>47</v>
      </c>
      <c r="F9" s="20" t="s">
        <v>48</v>
      </c>
      <c r="G9" s="20" t="s">
        <v>49</v>
      </c>
      <c r="H9" s="20" t="s">
        <v>50</v>
      </c>
      <c r="I9" s="50"/>
      <c r="J9" s="40" t="s">
        <v>13</v>
      </c>
      <c r="K9" s="210" t="s">
        <v>56</v>
      </c>
      <c r="L9" s="211" t="s">
        <v>13</v>
      </c>
      <c r="M9" s="212" t="s">
        <v>68</v>
      </c>
      <c r="N9" s="66" t="s">
        <v>56</v>
      </c>
      <c r="O9" s="20" t="s">
        <v>13</v>
      </c>
      <c r="P9" s="32" t="s">
        <v>68</v>
      </c>
      <c r="Q9" s="211" t="s">
        <v>56</v>
      </c>
      <c r="R9" s="211" t="s">
        <v>13</v>
      </c>
      <c r="S9" s="212" t="s">
        <v>68</v>
      </c>
      <c r="T9" s="98"/>
      <c r="U9" s="44"/>
      <c r="V9" s="117"/>
    </row>
    <row r="10" spans="1:22" x14ac:dyDescent="0.25">
      <c r="A10" s="510"/>
      <c r="B10" s="499" t="s">
        <v>51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574"/>
      <c r="J10" s="41">
        <f>SUM(C10:H10)</f>
        <v>0</v>
      </c>
      <c r="K10" s="213" t="s">
        <v>12</v>
      </c>
      <c r="L10" s="214">
        <f>J10*$K$5</f>
        <v>0</v>
      </c>
      <c r="M10" s="215">
        <f>L10/$E$7</f>
        <v>0</v>
      </c>
      <c r="N10" s="51" t="s">
        <v>12</v>
      </c>
      <c r="O10" s="351">
        <f>J10*$N$5</f>
        <v>0</v>
      </c>
      <c r="P10" s="57">
        <f>O10/$E$7</f>
        <v>0</v>
      </c>
      <c r="Q10" s="213" t="s">
        <v>12</v>
      </c>
      <c r="R10" s="352">
        <f>$J10*$N$5</f>
        <v>0</v>
      </c>
      <c r="S10" s="239">
        <f>R10/$E$7</f>
        <v>0</v>
      </c>
      <c r="T10" s="96">
        <f>AVERAGE(M10,P10,S10)</f>
        <v>0</v>
      </c>
      <c r="U10" s="94" t="s">
        <v>12</v>
      </c>
      <c r="V10" s="94" t="s">
        <v>12</v>
      </c>
    </row>
    <row r="11" spans="1:22" s="1" customFormat="1" ht="13.5" thickBot="1" x14ac:dyDescent="0.35">
      <c r="A11" s="511"/>
      <c r="B11" s="565" t="s">
        <v>52</v>
      </c>
      <c r="C11" s="310">
        <f>ROUND(C10*Labor!$D$3,0)</f>
        <v>0</v>
      </c>
      <c r="D11" s="310">
        <f>ROUND(D10*Labor!$D$4,0)</f>
        <v>0</v>
      </c>
      <c r="E11" s="310">
        <f>ROUND(E10*Labor!$D$5,0)</f>
        <v>0</v>
      </c>
      <c r="F11" s="310">
        <f>ROUND(F10*Labor!$D$6,0)</f>
        <v>0</v>
      </c>
      <c r="G11" s="310">
        <f>ROUND(G10*Labor!$D$7,0)</f>
        <v>0</v>
      </c>
      <c r="H11" s="310">
        <f>ROUND(H10*Labor!$D$8,0)</f>
        <v>0</v>
      </c>
      <c r="I11" s="382"/>
      <c r="J11" s="311">
        <f>SUM(C11:H11)</f>
        <v>0</v>
      </c>
      <c r="K11" s="284">
        <f>HLOOKUP(L$2,InflationTable,2)/HLOOKUP(Labor!$B$11,InflationTable,2)*$J11</f>
        <v>0</v>
      </c>
      <c r="L11" s="245">
        <f>K11*$K$5</f>
        <v>0</v>
      </c>
      <c r="M11" s="246">
        <f>L11/$E$7</f>
        <v>0</v>
      </c>
      <c r="N11" s="169">
        <f>HLOOKUP(O$2,InflationTable,2)/HLOOKUP(Labor!$B$11,InflationTable,2)*$J11</f>
        <v>0</v>
      </c>
      <c r="O11" s="166">
        <f>N11*$K$5</f>
        <v>0</v>
      </c>
      <c r="P11" s="167">
        <f>O11/$E$7</f>
        <v>0</v>
      </c>
      <c r="Q11" s="284">
        <f>HLOOKUP(R$2,InflationTable,2)/HLOOKUP(Labor!$B$11,InflationTable,2)*$J11</f>
        <v>0</v>
      </c>
      <c r="R11" s="245">
        <f>Q11*$K$5</f>
        <v>0</v>
      </c>
      <c r="S11" s="246">
        <f>R11/$E$7</f>
        <v>0</v>
      </c>
      <c r="T11" s="169">
        <f>AVERAGE(M11,P11,S11)</f>
        <v>0</v>
      </c>
      <c r="U11" s="174" t="s">
        <v>12</v>
      </c>
      <c r="V11" s="174" t="s">
        <v>12</v>
      </c>
    </row>
    <row r="12" spans="1:22" ht="13" x14ac:dyDescent="0.3">
      <c r="A12" s="510"/>
      <c r="B12" s="501" t="s">
        <v>66</v>
      </c>
      <c r="C12" s="28">
        <f>C10</f>
        <v>0</v>
      </c>
      <c r="D12" s="28">
        <f t="shared" ref="D12:S12" si="0">D10</f>
        <v>0</v>
      </c>
      <c r="E12" s="28">
        <f t="shared" si="0"/>
        <v>0</v>
      </c>
      <c r="F12" s="28">
        <f t="shared" si="0"/>
        <v>0</v>
      </c>
      <c r="G12" s="28">
        <f t="shared" si="0"/>
        <v>0</v>
      </c>
      <c r="H12" s="28">
        <f t="shared" si="0"/>
        <v>0</v>
      </c>
      <c r="I12" s="575"/>
      <c r="J12" s="34">
        <f t="shared" si="0"/>
        <v>0</v>
      </c>
      <c r="K12" s="234" t="str">
        <f t="shared" si="0"/>
        <v>NA</v>
      </c>
      <c r="L12" s="235">
        <f t="shared" si="0"/>
        <v>0</v>
      </c>
      <c r="M12" s="236">
        <f t="shared" si="0"/>
        <v>0</v>
      </c>
      <c r="N12" s="38" t="str">
        <f t="shared" si="0"/>
        <v>NA</v>
      </c>
      <c r="O12" s="28">
        <f t="shared" si="0"/>
        <v>0</v>
      </c>
      <c r="P12" s="34">
        <f t="shared" si="0"/>
        <v>0</v>
      </c>
      <c r="Q12" s="234" t="str">
        <f t="shared" si="0"/>
        <v>NA</v>
      </c>
      <c r="R12" s="235">
        <f t="shared" si="0"/>
        <v>0</v>
      </c>
      <c r="S12" s="235">
        <f t="shared" si="0"/>
        <v>0</v>
      </c>
      <c r="T12" s="104">
        <f>AVERAGE(M12,P12,S12)</f>
        <v>0</v>
      </c>
      <c r="U12" s="42" t="s">
        <v>12</v>
      </c>
      <c r="V12" s="42" t="s">
        <v>12</v>
      </c>
    </row>
    <row r="13" spans="1:22" ht="13.5" thickBot="1" x14ac:dyDescent="0.35">
      <c r="A13" s="510"/>
      <c r="B13" s="502" t="s">
        <v>67</v>
      </c>
      <c r="C13" s="194">
        <f>C11</f>
        <v>0</v>
      </c>
      <c r="D13" s="194">
        <f t="shared" ref="D13:S13" si="1">D11</f>
        <v>0</v>
      </c>
      <c r="E13" s="194">
        <f t="shared" si="1"/>
        <v>0</v>
      </c>
      <c r="F13" s="194">
        <f t="shared" si="1"/>
        <v>0</v>
      </c>
      <c r="G13" s="194">
        <f t="shared" si="1"/>
        <v>0</v>
      </c>
      <c r="H13" s="194">
        <f t="shared" si="1"/>
        <v>0</v>
      </c>
      <c r="I13" s="201"/>
      <c r="J13" s="197">
        <f t="shared" si="1"/>
        <v>0</v>
      </c>
      <c r="K13" s="224">
        <f t="shared" si="1"/>
        <v>0</v>
      </c>
      <c r="L13" s="225">
        <f t="shared" si="1"/>
        <v>0</v>
      </c>
      <c r="M13" s="226">
        <f t="shared" si="1"/>
        <v>0</v>
      </c>
      <c r="N13" s="196">
        <f t="shared" si="1"/>
        <v>0</v>
      </c>
      <c r="O13" s="194">
        <f t="shared" si="1"/>
        <v>0</v>
      </c>
      <c r="P13" s="197">
        <f t="shared" si="1"/>
        <v>0</v>
      </c>
      <c r="Q13" s="224">
        <f t="shared" si="1"/>
        <v>0</v>
      </c>
      <c r="R13" s="225">
        <f t="shared" si="1"/>
        <v>0</v>
      </c>
      <c r="S13" s="225">
        <f t="shared" si="1"/>
        <v>0</v>
      </c>
      <c r="T13" s="169">
        <f>AVERAGE(M13,P13,S13)</f>
        <v>0</v>
      </c>
      <c r="U13" s="174" t="s">
        <v>12</v>
      </c>
      <c r="V13" s="174" t="s">
        <v>12</v>
      </c>
    </row>
    <row r="14" spans="1:22" ht="13.5" thickTop="1" thickBot="1" x14ac:dyDescent="0.3">
      <c r="A14" s="510"/>
      <c r="B14" s="512"/>
      <c r="C14" s="513"/>
      <c r="D14" s="513"/>
      <c r="E14" s="513"/>
      <c r="F14" s="513"/>
      <c r="G14" s="513"/>
      <c r="H14" s="513"/>
      <c r="I14" s="513"/>
      <c r="J14" s="513"/>
      <c r="K14" s="513"/>
      <c r="L14" s="513"/>
      <c r="M14" s="513"/>
      <c r="N14" s="513"/>
      <c r="O14" s="335"/>
      <c r="P14" s="335"/>
      <c r="Q14" s="335"/>
      <c r="R14" s="335"/>
      <c r="S14" s="335"/>
      <c r="T14" s="335"/>
      <c r="U14" s="335"/>
      <c r="V14" s="190"/>
    </row>
    <row r="15" spans="1:22" ht="16" thickTop="1" x14ac:dyDescent="0.35">
      <c r="A15" s="510"/>
      <c r="B15" s="2" t="s">
        <v>16</v>
      </c>
      <c r="C15" s="61"/>
      <c r="D15" s="349" t="s">
        <v>54</v>
      </c>
      <c r="E15" s="59">
        <v>5</v>
      </c>
      <c r="F15" s="1" t="s">
        <v>6</v>
      </c>
      <c r="G15" s="1160"/>
      <c r="H15" s="1161"/>
      <c r="I15" s="1161"/>
      <c r="J15" s="1162"/>
      <c r="K15" s="2" t="s">
        <v>16</v>
      </c>
      <c r="M15" s="62"/>
      <c r="N15" s="2" t="s">
        <v>16</v>
      </c>
      <c r="P15" s="31"/>
      <c r="Q15" s="2" t="s">
        <v>16</v>
      </c>
      <c r="S15" s="62"/>
      <c r="T15" s="97"/>
      <c r="U15" s="31"/>
      <c r="V15" s="111"/>
    </row>
    <row r="16" spans="1:22" ht="13" x14ac:dyDescent="0.3">
      <c r="A16" s="510"/>
      <c r="C16" s="86" t="s">
        <v>60</v>
      </c>
      <c r="D16" s="20" t="s">
        <v>62</v>
      </c>
      <c r="F16"/>
      <c r="H16" s="4"/>
      <c r="I16" s="4"/>
      <c r="J16" s="37"/>
      <c r="K16" s="227" t="s">
        <v>61</v>
      </c>
      <c r="L16" s="1167" t="s">
        <v>57</v>
      </c>
      <c r="M16" s="1168"/>
      <c r="N16" s="50" t="s">
        <v>61</v>
      </c>
      <c r="O16" s="1177" t="s">
        <v>57</v>
      </c>
      <c r="P16" s="1178"/>
      <c r="Q16" s="212" t="s">
        <v>61</v>
      </c>
      <c r="R16" s="1167" t="s">
        <v>57</v>
      </c>
      <c r="S16" s="1168"/>
      <c r="T16" s="106"/>
      <c r="U16" s="31"/>
      <c r="V16" s="111"/>
    </row>
    <row r="17" spans="1:22" ht="13" x14ac:dyDescent="0.3">
      <c r="A17" s="510"/>
      <c r="B17" s="503" t="s">
        <v>58</v>
      </c>
      <c r="C17" s="20"/>
      <c r="D17" s="20"/>
      <c r="E17" s="567" t="s">
        <v>69</v>
      </c>
      <c r="F17"/>
      <c r="J17" s="31"/>
      <c r="K17" s="210" t="s">
        <v>56</v>
      </c>
      <c r="L17" s="211" t="s">
        <v>13</v>
      </c>
      <c r="M17" s="212" t="s">
        <v>68</v>
      </c>
      <c r="N17" s="66" t="s">
        <v>56</v>
      </c>
      <c r="O17" s="20" t="s">
        <v>13</v>
      </c>
      <c r="P17" s="32" t="s">
        <v>68</v>
      </c>
      <c r="Q17" s="210" t="s">
        <v>56</v>
      </c>
      <c r="R17" s="211" t="s">
        <v>13</v>
      </c>
      <c r="S17" s="212" t="s">
        <v>68</v>
      </c>
      <c r="T17" s="98"/>
      <c r="U17" s="31"/>
      <c r="V17" s="111"/>
    </row>
    <row r="18" spans="1:22" ht="13" x14ac:dyDescent="0.3">
      <c r="A18" s="510"/>
      <c r="B18" s="568" t="str">
        <f>VLOOKUP($C$2,Monitor_Costs,10,FALSE)</f>
        <v>Cielometer</v>
      </c>
      <c r="C18" s="317">
        <f>VLOOKUP($C$2,Monitor_Costs,11,FALSE)</f>
        <v>26500</v>
      </c>
      <c r="D18" s="19">
        <f>VLOOKUP(C$2,Monitor_Costs,12,FALSE)</f>
        <v>2019</v>
      </c>
      <c r="E18" s="18">
        <v>43</v>
      </c>
      <c r="J18" s="31"/>
      <c r="K18" s="229">
        <f t="shared" ref="K18:K23" si="2">HLOOKUP(L$2,InflationTable,2)/HLOOKUP($D18,InflationTable,2)*$C18</f>
        <v>32036.292530308958</v>
      </c>
      <c r="L18" s="229">
        <f>K18*$E18</f>
        <v>1377560.5788032853</v>
      </c>
      <c r="M18" s="230">
        <f t="shared" ref="M18:M23" si="3">L18/$E$15</f>
        <v>275512.11576065706</v>
      </c>
      <c r="N18" s="23">
        <f t="shared" ref="N18:N23" si="4">HLOOKUP(O$2,InflationTable,2)/HLOOKUP($D18,InflationTable,2)*$C18</f>
        <v>33317.744231521312</v>
      </c>
      <c r="O18" s="23">
        <f>N18*$E18</f>
        <v>1432663.0019554165</v>
      </c>
      <c r="P18" s="80">
        <f t="shared" ref="P18:P23" si="5">O18/$E$15</f>
        <v>286532.60039108328</v>
      </c>
      <c r="Q18" s="229">
        <f t="shared" ref="Q18:Q23" si="6">HLOOKUP(R$2,InflationTable,2)/HLOOKUP($D18,InflationTable,2)*$C18</f>
        <v>33984.099116151738</v>
      </c>
      <c r="R18" s="229">
        <f>Q18*$E18</f>
        <v>1461316.2619945246</v>
      </c>
      <c r="S18" s="230">
        <f t="shared" ref="S18:S23" si="7">R18/$E$15</f>
        <v>292263.25239890494</v>
      </c>
      <c r="T18" s="102" t="s">
        <v>12</v>
      </c>
      <c r="U18" s="94" t="s">
        <v>12</v>
      </c>
      <c r="V18" s="112">
        <f t="shared" ref="V18:V24" si="8">AVERAGE(M18,P18,S18)</f>
        <v>284769.32285021507</v>
      </c>
    </row>
    <row r="19" spans="1:22" ht="13" x14ac:dyDescent="0.3">
      <c r="A19" s="510"/>
      <c r="B19" s="568" t="str">
        <f>VLOOKUP($C$2,Monitor_Costs,13,FALSE)</f>
        <v>Radar profiler</v>
      </c>
      <c r="C19" s="317">
        <f>VLOOKUP($C$2,Monitor_Costs,14,FALSE)</f>
        <v>125000</v>
      </c>
      <c r="D19" s="19">
        <f>VLOOKUP(C$2,Monitor_Costs,15,FALSE)</f>
        <v>2019</v>
      </c>
      <c r="E19" s="18">
        <v>0</v>
      </c>
      <c r="F19" s="591"/>
      <c r="J19" s="31"/>
      <c r="K19" s="229">
        <f t="shared" si="2"/>
        <v>151114.58740711771</v>
      </c>
      <c r="L19" s="229">
        <f>K19*$E19</f>
        <v>0</v>
      </c>
      <c r="M19" s="230">
        <f t="shared" si="3"/>
        <v>0</v>
      </c>
      <c r="N19" s="23">
        <f t="shared" si="4"/>
        <v>157159.17090340241</v>
      </c>
      <c r="O19" s="23">
        <f>N19*$E19</f>
        <v>0</v>
      </c>
      <c r="P19" s="592">
        <f t="shared" si="5"/>
        <v>0</v>
      </c>
      <c r="Q19" s="229">
        <f t="shared" si="6"/>
        <v>160302.35432147046</v>
      </c>
      <c r="R19" s="229">
        <f>Q19*$E19</f>
        <v>0</v>
      </c>
      <c r="S19" s="230">
        <f t="shared" si="7"/>
        <v>0</v>
      </c>
      <c r="T19" s="102" t="s">
        <v>12</v>
      </c>
      <c r="U19" s="94" t="s">
        <v>12</v>
      </c>
      <c r="V19" s="112">
        <f t="shared" si="8"/>
        <v>0</v>
      </c>
    </row>
    <row r="20" spans="1:22" ht="13" x14ac:dyDescent="0.3">
      <c r="A20" s="510"/>
      <c r="B20" s="568" t="str">
        <f>VLOOKUP($C$2,Monitor_Costs,16,FALSE)</f>
        <v>Rawindsondes</v>
      </c>
      <c r="C20" s="317">
        <f>VLOOKUP($C$2,Monitor_Costs,17,FALSE)</f>
        <v>45000</v>
      </c>
      <c r="D20" s="19">
        <f>VLOOKUP(C$2,Monitor_Costs,18,FALSE)</f>
        <v>2019</v>
      </c>
      <c r="E20" s="18">
        <v>0</v>
      </c>
      <c r="J20" s="31"/>
      <c r="K20" s="229">
        <f t="shared" si="2"/>
        <v>54401.251466562382</v>
      </c>
      <c r="L20" s="229">
        <f>K20*$E20</f>
        <v>0</v>
      </c>
      <c r="M20" s="230">
        <f t="shared" si="3"/>
        <v>0</v>
      </c>
      <c r="N20" s="23">
        <f t="shared" si="4"/>
        <v>56577.301525224873</v>
      </c>
      <c r="O20" s="23">
        <f>N20*$E20</f>
        <v>0</v>
      </c>
      <c r="P20" s="592">
        <f t="shared" si="5"/>
        <v>0</v>
      </c>
      <c r="Q20" s="229">
        <f t="shared" si="6"/>
        <v>57708.847555729371</v>
      </c>
      <c r="R20" s="229">
        <f>Q20*$E20</f>
        <v>0</v>
      </c>
      <c r="S20" s="230">
        <f t="shared" si="7"/>
        <v>0</v>
      </c>
      <c r="T20" s="102" t="s">
        <v>12</v>
      </c>
      <c r="U20" s="94" t="s">
        <v>12</v>
      </c>
      <c r="V20" s="112">
        <f t="shared" si="8"/>
        <v>0</v>
      </c>
    </row>
    <row r="21" spans="1:22" ht="13" x14ac:dyDescent="0.3">
      <c r="A21" s="510"/>
      <c r="B21" s="568" t="str">
        <f>VLOOKUP($C$2,Monitor_Costs,19,FALSE)</f>
        <v>SODAR</v>
      </c>
      <c r="C21" s="317">
        <f>VLOOKUP($C$2,Monitor_Costs,20,FALSE)</f>
        <v>65000</v>
      </c>
      <c r="D21" s="19">
        <f>VLOOKUP(C$2,Monitor_Costs,21,FALSE)</f>
        <v>2019</v>
      </c>
      <c r="E21" s="18">
        <v>0</v>
      </c>
      <c r="J21" s="31"/>
      <c r="K21" s="229">
        <f t="shared" si="2"/>
        <v>78579.585451701219</v>
      </c>
      <c r="L21" s="229">
        <f>K21*$E21</f>
        <v>0</v>
      </c>
      <c r="M21" s="230">
        <f t="shared" si="3"/>
        <v>0</v>
      </c>
      <c r="N21" s="23">
        <f t="shared" si="4"/>
        <v>81722.768869769265</v>
      </c>
      <c r="O21" s="23">
        <f>N21*$E21</f>
        <v>0</v>
      </c>
      <c r="P21" s="592">
        <f t="shared" si="5"/>
        <v>0</v>
      </c>
      <c r="Q21" s="229">
        <f t="shared" si="6"/>
        <v>83357.224247164646</v>
      </c>
      <c r="R21" s="229">
        <f>Q21*$E21</f>
        <v>0</v>
      </c>
      <c r="S21" s="230">
        <f t="shared" si="7"/>
        <v>0</v>
      </c>
      <c r="T21" s="102" t="s">
        <v>12</v>
      </c>
      <c r="U21" s="94" t="s">
        <v>12</v>
      </c>
      <c r="V21" s="112">
        <f t="shared" si="8"/>
        <v>0</v>
      </c>
    </row>
    <row r="22" spans="1:22" ht="13" x14ac:dyDescent="0.3">
      <c r="A22" s="510"/>
      <c r="B22" s="568" t="str">
        <f>VLOOKUP($C$2,Monitor_Costs,22,FALSE)</f>
        <v>LAP/RASS +NEXRAD</v>
      </c>
      <c r="C22" s="317">
        <f>VLOOKUP($C$2,Monitor_Costs,23,FALSE)</f>
        <v>125000</v>
      </c>
      <c r="D22" s="19">
        <f>VLOOKUP(C$2,Monitor_Costs,24,FALSE)</f>
        <v>2019</v>
      </c>
      <c r="E22" s="18">
        <v>0</v>
      </c>
      <c r="J22" s="31"/>
      <c r="K22" s="229">
        <f t="shared" si="2"/>
        <v>151114.58740711771</v>
      </c>
      <c r="L22" s="229">
        <f>K22*$E22</f>
        <v>0</v>
      </c>
      <c r="M22" s="230">
        <f t="shared" si="3"/>
        <v>0</v>
      </c>
      <c r="N22" s="23">
        <f t="shared" si="4"/>
        <v>157159.17090340241</v>
      </c>
      <c r="O22" s="23">
        <f>N22*$E22</f>
        <v>0</v>
      </c>
      <c r="P22" s="592">
        <f t="shared" si="5"/>
        <v>0</v>
      </c>
      <c r="Q22" s="229">
        <f t="shared" si="6"/>
        <v>160302.35432147046</v>
      </c>
      <c r="R22" s="229">
        <f>Q22*$E22</f>
        <v>0</v>
      </c>
      <c r="S22" s="230">
        <f t="shared" si="7"/>
        <v>0</v>
      </c>
      <c r="T22" s="102" t="s">
        <v>12</v>
      </c>
      <c r="U22" s="94" t="s">
        <v>12</v>
      </c>
      <c r="V22" s="112">
        <f t="shared" si="8"/>
        <v>0</v>
      </c>
    </row>
    <row r="23" spans="1:22" ht="13" x14ac:dyDescent="0.3">
      <c r="A23" s="510"/>
      <c r="B23" s="568" t="str">
        <f>VLOOKUP($C$2,Monitor_Costs,25,FALSE)</f>
        <v>Computer hardware &amp; software</v>
      </c>
      <c r="C23" s="317">
        <f>VLOOKUP($C$2,Monitor_Costs,26,FALSE)</f>
        <v>8000</v>
      </c>
      <c r="D23" s="19">
        <f>VLOOKUP(C$2,Monitor_Costs,27,FALSE)</f>
        <v>2019</v>
      </c>
      <c r="J23" s="31"/>
      <c r="K23" s="229">
        <f t="shared" si="2"/>
        <v>9671.3335940555335</v>
      </c>
      <c r="L23" s="229">
        <f>K23*$M$4</f>
        <v>415867.34454438795</v>
      </c>
      <c r="M23" s="230">
        <f t="shared" si="3"/>
        <v>83173.468908877592</v>
      </c>
      <c r="N23" s="23">
        <f t="shared" si="4"/>
        <v>10058.186937817754</v>
      </c>
      <c r="O23" s="23">
        <f>N23*$M$4</f>
        <v>432502.03832616343</v>
      </c>
      <c r="P23" s="80">
        <f t="shared" si="5"/>
        <v>86500.407665232691</v>
      </c>
      <c r="Q23" s="229">
        <f t="shared" si="6"/>
        <v>10259.350676574109</v>
      </c>
      <c r="R23" s="229">
        <f>Q23*$M$4</f>
        <v>441152.0790926867</v>
      </c>
      <c r="S23" s="230">
        <f t="shared" si="7"/>
        <v>88230.415818537338</v>
      </c>
      <c r="T23" s="102" t="s">
        <v>12</v>
      </c>
      <c r="U23" s="94" t="s">
        <v>12</v>
      </c>
      <c r="V23" s="112">
        <f t="shared" si="8"/>
        <v>85968.097464215884</v>
      </c>
    </row>
    <row r="24" spans="1:22" s="1" customFormat="1" ht="13.5" thickBot="1" x14ac:dyDescent="0.35">
      <c r="A24" s="511"/>
      <c r="B24" s="559" t="s">
        <v>13</v>
      </c>
      <c r="C24" s="317"/>
      <c r="D24" s="20"/>
      <c r="E24" s="561"/>
      <c r="F24" s="562"/>
      <c r="G24" s="561"/>
      <c r="H24" s="561"/>
      <c r="I24" s="561"/>
      <c r="J24" s="532"/>
      <c r="K24" s="306"/>
      <c r="L24" s="245">
        <f>SUM(L18:L23)</f>
        <v>1793427.9233476731</v>
      </c>
      <c r="M24" s="245">
        <f>SUM(M18:M23)</f>
        <v>358685.58466953464</v>
      </c>
      <c r="N24" s="561"/>
      <c r="O24" s="166">
        <f>SUM(O18:O23)</f>
        <v>1865165.0402815798</v>
      </c>
      <c r="P24" s="166">
        <f>SUM(P18:P23)</f>
        <v>373033.00805631594</v>
      </c>
      <c r="Q24" s="564"/>
      <c r="R24" s="245">
        <f>SUM(R18:R23)</f>
        <v>1902468.3410872114</v>
      </c>
      <c r="S24" s="245">
        <f>SUM(S18:S23)</f>
        <v>380493.66821744229</v>
      </c>
      <c r="T24" s="384" t="s">
        <v>12</v>
      </c>
      <c r="U24" s="174" t="s">
        <v>12</v>
      </c>
      <c r="V24" s="473">
        <f t="shared" si="8"/>
        <v>370737.42031443096</v>
      </c>
    </row>
    <row r="25" spans="1:22" ht="13" x14ac:dyDescent="0.3">
      <c r="A25" s="510"/>
      <c r="B25" s="1" t="s">
        <v>17</v>
      </c>
      <c r="C25" s="86" t="s">
        <v>45</v>
      </c>
      <c r="D25" s="86" t="s">
        <v>46</v>
      </c>
      <c r="E25" s="86" t="s">
        <v>47</v>
      </c>
      <c r="F25" s="86" t="s">
        <v>48</v>
      </c>
      <c r="G25" s="86" t="s">
        <v>49</v>
      </c>
      <c r="H25" s="86" t="s">
        <v>50</v>
      </c>
      <c r="I25" s="130" t="s">
        <v>190</v>
      </c>
      <c r="J25" s="145" t="s">
        <v>74</v>
      </c>
      <c r="K25" s="292"/>
      <c r="L25" s="293"/>
      <c r="M25" s="296"/>
      <c r="N25" s="88"/>
      <c r="O25" s="86"/>
      <c r="P25" s="87"/>
      <c r="Q25" s="293"/>
      <c r="R25" s="293"/>
      <c r="S25" s="296"/>
      <c r="T25" s="100"/>
      <c r="U25" s="31"/>
      <c r="V25" s="111"/>
    </row>
    <row r="26" spans="1:22" ht="13" x14ac:dyDescent="0.3">
      <c r="A26" s="510"/>
      <c r="B26" s="506" t="s">
        <v>189</v>
      </c>
      <c r="C26" s="27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574">
        <v>0</v>
      </c>
      <c r="J26" s="41">
        <f t="shared" ref="J26:J31" si="9">SUM(C26:I26)</f>
        <v>0</v>
      </c>
      <c r="K26" s="213" t="s">
        <v>12</v>
      </c>
      <c r="L26" s="231">
        <f>J26*($M$4+$M$5)</f>
        <v>0</v>
      </c>
      <c r="M26" s="232">
        <f t="shared" ref="M26:M31" si="10">L26/$E$15</f>
        <v>0</v>
      </c>
      <c r="N26" s="51" t="s">
        <v>12</v>
      </c>
      <c r="O26" s="58">
        <f>$J26*(P$4+P$5)</f>
        <v>0</v>
      </c>
      <c r="P26" s="52">
        <f t="shared" ref="P26:P31" si="11">O26/$E$15</f>
        <v>0</v>
      </c>
      <c r="Q26" s="213" t="s">
        <v>12</v>
      </c>
      <c r="R26" s="231">
        <f>$J26*(S$4+S$5)</f>
        <v>0</v>
      </c>
      <c r="S26" s="232">
        <f t="shared" ref="S26:S31" si="12">R26/$E$15</f>
        <v>0</v>
      </c>
      <c r="T26" s="96">
        <f t="shared" ref="T26:T32" si="13">AVERAGE(M26,P26,S26)</f>
        <v>0</v>
      </c>
      <c r="U26" s="94" t="s">
        <v>12</v>
      </c>
      <c r="V26" s="113" t="s">
        <v>12</v>
      </c>
    </row>
    <row r="27" spans="1:22" s="1" customFormat="1" ht="13.5" thickBot="1" x14ac:dyDescent="0.35">
      <c r="A27" s="511"/>
      <c r="B27" s="500" t="s">
        <v>8</v>
      </c>
      <c r="C27" s="598">
        <f>ROUND(C26*Labor!$D$3,0)</f>
        <v>0</v>
      </c>
      <c r="D27" s="175">
        <f>ROUND(D26*Labor!$D$4,0)</f>
        <v>0</v>
      </c>
      <c r="E27" s="175">
        <f>ROUND(E26*Labor!$D$5,0)</f>
        <v>0</v>
      </c>
      <c r="F27" s="175">
        <f>ROUND(F26*Labor!$D$6,0)</f>
        <v>0</v>
      </c>
      <c r="G27" s="175">
        <f>ROUND(G26*Labor!$D$7,0)</f>
        <v>0</v>
      </c>
      <c r="H27" s="175">
        <f>ROUND(H26*Labor!$D$8,0)</f>
        <v>0</v>
      </c>
      <c r="I27" s="175">
        <f>ROUND(I26*Labor!$D$9,0)</f>
        <v>0</v>
      </c>
      <c r="J27" s="311">
        <f t="shared" si="9"/>
        <v>0</v>
      </c>
      <c r="K27" s="284">
        <f>HLOOKUP(L$2,InflationTable,2)/HLOOKUP(Labor!$B$11,InflationTable,2)*$J27</f>
        <v>0</v>
      </c>
      <c r="L27" s="245">
        <f>K27*($M$4+$M$5)</f>
        <v>0</v>
      </c>
      <c r="M27" s="246">
        <f t="shared" si="10"/>
        <v>0</v>
      </c>
      <c r="N27" s="169">
        <f>HLOOKUP(O$2,InflationTable,2)/HLOOKUP(Labor!$B$11,InflationTable,2)*$J27</f>
        <v>0</v>
      </c>
      <c r="O27" s="166">
        <f>N27*P$4</f>
        <v>0</v>
      </c>
      <c r="P27" s="167">
        <f t="shared" si="11"/>
        <v>0</v>
      </c>
      <c r="Q27" s="284">
        <f>HLOOKUP(R$2,InflationTable,2)/HLOOKUP(Labor!$B$11,InflationTable,2)*$J27</f>
        <v>0</v>
      </c>
      <c r="R27" s="245">
        <f>Q27*S$4</f>
        <v>0</v>
      </c>
      <c r="S27" s="246">
        <f t="shared" si="12"/>
        <v>0</v>
      </c>
      <c r="T27" s="169">
        <f t="shared" si="13"/>
        <v>0</v>
      </c>
      <c r="U27" s="174" t="s">
        <v>12</v>
      </c>
      <c r="V27" s="322" t="s">
        <v>12</v>
      </c>
    </row>
    <row r="28" spans="1:22" ht="13" x14ac:dyDescent="0.3">
      <c r="A28" s="510"/>
      <c r="B28" s="506" t="s">
        <v>119</v>
      </c>
      <c r="C28" s="27">
        <v>0</v>
      </c>
      <c r="D28" s="18">
        <v>0</v>
      </c>
      <c r="E28" s="18">
        <v>0</v>
      </c>
      <c r="F28" s="18">
        <v>8</v>
      </c>
      <c r="G28" s="18">
        <v>8</v>
      </c>
      <c r="H28" s="18">
        <v>0</v>
      </c>
      <c r="I28" s="574">
        <v>0</v>
      </c>
      <c r="J28" s="41">
        <f t="shared" si="9"/>
        <v>16</v>
      </c>
      <c r="K28" s="213" t="s">
        <v>12</v>
      </c>
      <c r="L28" s="231">
        <f>J28*($M$4+$M$5)</f>
        <v>688</v>
      </c>
      <c r="M28" s="232">
        <f t="shared" si="10"/>
        <v>137.6</v>
      </c>
      <c r="N28" s="51" t="s">
        <v>12</v>
      </c>
      <c r="O28" s="58">
        <f>$J28*(P$4+P$5)</f>
        <v>688</v>
      </c>
      <c r="P28" s="52">
        <f t="shared" si="11"/>
        <v>137.6</v>
      </c>
      <c r="Q28" s="213" t="s">
        <v>12</v>
      </c>
      <c r="R28" s="231">
        <f>$J28*(S$4+S$5)</f>
        <v>688</v>
      </c>
      <c r="S28" s="232">
        <f t="shared" si="12"/>
        <v>137.6</v>
      </c>
      <c r="T28" s="96">
        <f t="shared" si="13"/>
        <v>137.6</v>
      </c>
      <c r="U28" s="94" t="s">
        <v>12</v>
      </c>
      <c r="V28" s="113" t="s">
        <v>12</v>
      </c>
    </row>
    <row r="29" spans="1:22" s="1" customFormat="1" ht="13.5" thickBot="1" x14ac:dyDescent="0.35">
      <c r="A29" s="511"/>
      <c r="B29" s="500" t="s">
        <v>8</v>
      </c>
      <c r="C29" s="598">
        <f>ROUND(C28*Labor!$D$3,0)</f>
        <v>0</v>
      </c>
      <c r="D29" s="175">
        <f>ROUND(D28*Labor!$D$4,0)</f>
        <v>0</v>
      </c>
      <c r="E29" s="175">
        <f>ROUND(E28*Labor!$D$5,0)</f>
        <v>0</v>
      </c>
      <c r="F29" s="175">
        <f>ROUND(F28*Labor!$D$6,0)</f>
        <v>221</v>
      </c>
      <c r="G29" s="175">
        <f>ROUND(G28*Labor!$D$7,0)</f>
        <v>250</v>
      </c>
      <c r="H29" s="175">
        <f>ROUND(H28*Labor!$D$8,0)</f>
        <v>0</v>
      </c>
      <c r="I29" s="175">
        <f>ROUND(I28*Labor!$D$9,0)</f>
        <v>0</v>
      </c>
      <c r="J29" s="311">
        <f t="shared" si="9"/>
        <v>471</v>
      </c>
      <c r="K29" s="284">
        <f>HLOOKUP(L$2,InflationTable,2)/HLOOKUP(Labor!$B$11,InflationTable,2)*$J29</f>
        <v>1007.5814532871972</v>
      </c>
      <c r="L29" s="245">
        <f>K29*($M$4+$M$5)</f>
        <v>43326.002491349478</v>
      </c>
      <c r="M29" s="246">
        <f t="shared" si="10"/>
        <v>8665.2004982698963</v>
      </c>
      <c r="N29" s="169">
        <f>HLOOKUP(O$2,InflationTable,2)/HLOOKUP(Labor!$B$11,InflationTable,2)*$J29</f>
        <v>1047.8847114186851</v>
      </c>
      <c r="O29" s="166">
        <f>N29*$P$4</f>
        <v>45059.042591003461</v>
      </c>
      <c r="P29" s="167">
        <f t="shared" si="11"/>
        <v>9011.8085182006926</v>
      </c>
      <c r="Q29" s="284">
        <f>HLOOKUP(R$2,InflationTable,2)/HLOOKUP(Labor!$B$11,InflationTable,2)*$J29</f>
        <v>1068.8424056470587</v>
      </c>
      <c r="R29" s="245">
        <f>Q29*$P$4</f>
        <v>45960.223442823524</v>
      </c>
      <c r="S29" s="246">
        <f t="shared" si="12"/>
        <v>9192.0446885647052</v>
      </c>
      <c r="T29" s="169">
        <f t="shared" si="13"/>
        <v>8956.3512350117653</v>
      </c>
      <c r="U29" s="174" t="s">
        <v>12</v>
      </c>
      <c r="V29" s="322" t="s">
        <v>12</v>
      </c>
    </row>
    <row r="30" spans="1:22" ht="13" x14ac:dyDescent="0.3">
      <c r="A30" s="510"/>
      <c r="B30" s="1" t="s">
        <v>118</v>
      </c>
      <c r="C30" s="290">
        <v>0</v>
      </c>
      <c r="D30" s="302">
        <v>0</v>
      </c>
      <c r="E30" s="302">
        <v>0</v>
      </c>
      <c r="F30" s="302">
        <v>12</v>
      </c>
      <c r="G30" s="302">
        <v>7</v>
      </c>
      <c r="H30" s="302">
        <v>0</v>
      </c>
      <c r="I30" s="576">
        <v>0</v>
      </c>
      <c r="J30" s="303">
        <f t="shared" si="9"/>
        <v>19</v>
      </c>
      <c r="K30" s="242" t="s">
        <v>12</v>
      </c>
      <c r="L30" s="280">
        <f>J30*$M$4</f>
        <v>817</v>
      </c>
      <c r="M30" s="243">
        <f t="shared" si="10"/>
        <v>163.4</v>
      </c>
      <c r="N30" s="53" t="s">
        <v>12</v>
      </c>
      <c r="O30" s="58">
        <f>$J30*(P$4+P$5)</f>
        <v>817</v>
      </c>
      <c r="P30" s="54">
        <f t="shared" si="11"/>
        <v>163.4</v>
      </c>
      <c r="Q30" s="242" t="s">
        <v>12</v>
      </c>
      <c r="R30" s="231">
        <f>$J30*(S$4+S$5)</f>
        <v>817</v>
      </c>
      <c r="S30" s="243">
        <f t="shared" si="12"/>
        <v>163.4</v>
      </c>
      <c r="T30" s="104">
        <f t="shared" si="13"/>
        <v>163.4</v>
      </c>
      <c r="U30" s="42" t="s">
        <v>12</v>
      </c>
      <c r="V30" s="119" t="s">
        <v>12</v>
      </c>
    </row>
    <row r="31" spans="1:22" s="1" customFormat="1" ht="13.5" thickBot="1" x14ac:dyDescent="0.35">
      <c r="A31" s="511"/>
      <c r="B31" s="507" t="s">
        <v>8</v>
      </c>
      <c r="C31" s="175">
        <f>ROUND(C30*Labor!$D$3,0)</f>
        <v>0</v>
      </c>
      <c r="D31" s="175">
        <f>ROUND(D30*Labor!$D$4,0)</f>
        <v>0</v>
      </c>
      <c r="E31" s="175">
        <f>ROUND(E30*Labor!$D$5,0)</f>
        <v>0</v>
      </c>
      <c r="F31" s="175">
        <f>ROUND(F30*Labor!$D$6,0)</f>
        <v>331</v>
      </c>
      <c r="G31" s="175">
        <f>ROUND(G30*Labor!$D$7,0)</f>
        <v>219</v>
      </c>
      <c r="H31" s="175">
        <f>ROUND(H30*Labor!$D$8,0)</f>
        <v>0</v>
      </c>
      <c r="I31" s="175">
        <f>ROUND(I30*Labor!$D$9,0)</f>
        <v>0</v>
      </c>
      <c r="J31" s="311">
        <f t="shared" si="9"/>
        <v>550</v>
      </c>
      <c r="K31" s="284">
        <f>HLOOKUP(L$2,InflationTable,2)/HLOOKUP(Labor!$B$11,InflationTable,2)*$J31</f>
        <v>1176.5813148788927</v>
      </c>
      <c r="L31" s="245">
        <f>K31*$M$4</f>
        <v>50592.996539792388</v>
      </c>
      <c r="M31" s="246">
        <f t="shared" si="10"/>
        <v>10118.599307958477</v>
      </c>
      <c r="N31" s="169">
        <f>HLOOKUP(O$2,InflationTable,2)/HLOOKUP(Labor!$B$11,InflationTable,2)*$J31</f>
        <v>1223.6445674740485</v>
      </c>
      <c r="O31" s="166">
        <f>N31*$P$4</f>
        <v>52616.716401384081</v>
      </c>
      <c r="P31" s="167">
        <f t="shared" si="11"/>
        <v>10523.343280276817</v>
      </c>
      <c r="Q31" s="284">
        <f>HLOOKUP(R$2,InflationTable,2)/HLOOKUP(Labor!$B$11,InflationTable,2)*$J31</f>
        <v>1248.1174588235292</v>
      </c>
      <c r="R31" s="245">
        <f>Q31*$P$4</f>
        <v>53669.050729411756</v>
      </c>
      <c r="S31" s="246">
        <f t="shared" si="12"/>
        <v>10733.810145882351</v>
      </c>
      <c r="T31" s="169">
        <f t="shared" si="13"/>
        <v>10458.584244705882</v>
      </c>
      <c r="U31" s="323" t="s">
        <v>12</v>
      </c>
      <c r="V31" s="322" t="s">
        <v>12</v>
      </c>
    </row>
    <row r="32" spans="1:22" ht="13" x14ac:dyDescent="0.3">
      <c r="A32" s="510"/>
      <c r="B32" s="501" t="s">
        <v>66</v>
      </c>
      <c r="C32" s="28">
        <f t="shared" ref="C32:J32" si="14">C28+C30</f>
        <v>0</v>
      </c>
      <c r="D32" s="28">
        <f t="shared" si="14"/>
        <v>0</v>
      </c>
      <c r="E32" s="28">
        <f t="shared" si="14"/>
        <v>0</v>
      </c>
      <c r="F32" s="28">
        <f t="shared" si="14"/>
        <v>20</v>
      </c>
      <c r="G32" s="28">
        <f t="shared" si="14"/>
        <v>15</v>
      </c>
      <c r="H32" s="28">
        <f t="shared" si="14"/>
        <v>0</v>
      </c>
      <c r="I32" s="577"/>
      <c r="J32" s="42">
        <f t="shared" si="14"/>
        <v>35</v>
      </c>
      <c r="K32" s="234" t="s">
        <v>12</v>
      </c>
      <c r="L32" s="235">
        <f>L26+L28+L30</f>
        <v>1505</v>
      </c>
      <c r="M32" s="235">
        <f>M26+M28+M30</f>
        <v>301</v>
      </c>
      <c r="N32" s="38" t="s">
        <v>12</v>
      </c>
      <c r="O32" s="28">
        <f>O26+O28+O30</f>
        <v>1505</v>
      </c>
      <c r="P32" s="28">
        <f>P26+P28+P30</f>
        <v>301</v>
      </c>
      <c r="Q32" s="234" t="s">
        <v>12</v>
      </c>
      <c r="R32" s="235">
        <f>R26+R28+R30</f>
        <v>1505</v>
      </c>
      <c r="S32" s="235">
        <f>S26+S28+S30</f>
        <v>301</v>
      </c>
      <c r="T32" s="104">
        <f t="shared" si="13"/>
        <v>301</v>
      </c>
      <c r="U32" s="42" t="s">
        <v>12</v>
      </c>
      <c r="V32" s="119" t="s">
        <v>12</v>
      </c>
    </row>
    <row r="33" spans="1:22" ht="13.5" thickBot="1" x14ac:dyDescent="0.35">
      <c r="A33" s="510"/>
      <c r="B33" s="502" t="s">
        <v>67</v>
      </c>
      <c r="C33" s="194">
        <f t="shared" ref="C33:J33" si="15">C31+C29</f>
        <v>0</v>
      </c>
      <c r="D33" s="194">
        <f t="shared" si="15"/>
        <v>0</v>
      </c>
      <c r="E33" s="194">
        <f t="shared" si="15"/>
        <v>0</v>
      </c>
      <c r="F33" s="194">
        <f t="shared" si="15"/>
        <v>552</v>
      </c>
      <c r="G33" s="194">
        <f t="shared" si="15"/>
        <v>469</v>
      </c>
      <c r="H33" s="194">
        <f t="shared" si="15"/>
        <v>0</v>
      </c>
      <c r="I33" s="578"/>
      <c r="J33" s="195">
        <f t="shared" si="15"/>
        <v>1021</v>
      </c>
      <c r="K33" s="224">
        <f>K27+K29+K31</f>
        <v>2184.1627681660898</v>
      </c>
      <c r="L33" s="224">
        <f>L27+L29+L31+L24</f>
        <v>1887346.922378815</v>
      </c>
      <c r="M33" s="226">
        <f>M24+M27+M29+M31</f>
        <v>377469.38447576301</v>
      </c>
      <c r="N33" s="196"/>
      <c r="O33" s="201"/>
      <c r="P33" s="197">
        <f>P24+P27+P29+P31</f>
        <v>392568.15985479346</v>
      </c>
      <c r="Q33" s="224"/>
      <c r="R33" s="237"/>
      <c r="S33" s="226">
        <f>S24+S27+S29+S31</f>
        <v>400419.52305188938</v>
      </c>
      <c r="T33" s="206">
        <f>T31+T29+T27</f>
        <v>19414.935479717649</v>
      </c>
      <c r="U33" s="203" t="s">
        <v>12</v>
      </c>
      <c r="V33" s="204">
        <f>V24</f>
        <v>370737.42031443096</v>
      </c>
    </row>
    <row r="34" spans="1:22" ht="13.5" thickTop="1" thickBot="1" x14ac:dyDescent="0.3">
      <c r="A34" s="510"/>
      <c r="C34" s="513"/>
      <c r="D34" s="513"/>
      <c r="E34" s="513"/>
      <c r="F34" s="513"/>
      <c r="G34" s="513"/>
      <c r="H34" s="513"/>
      <c r="I34" s="513"/>
      <c r="J34" s="513"/>
      <c r="K34" s="513"/>
      <c r="L34" s="513"/>
      <c r="M34" s="513"/>
      <c r="N34" s="513"/>
      <c r="O34" s="513"/>
      <c r="P34" s="513"/>
      <c r="Q34" s="513"/>
      <c r="R34" s="513"/>
      <c r="S34" s="513"/>
      <c r="T34" s="513"/>
      <c r="U34" s="513"/>
      <c r="V34" s="515"/>
    </row>
    <row r="35" spans="1:22" ht="16" thickTop="1" x14ac:dyDescent="0.35">
      <c r="A35" s="510"/>
      <c r="B35" s="508" t="s">
        <v>22</v>
      </c>
      <c r="F35" s="1" t="s">
        <v>6</v>
      </c>
      <c r="G35" s="1160"/>
      <c r="H35" s="1161"/>
      <c r="I35" s="1161"/>
      <c r="J35" s="1162"/>
      <c r="K35" s="198" t="s">
        <v>22</v>
      </c>
      <c r="M35" s="62"/>
      <c r="N35" s="198" t="s">
        <v>22</v>
      </c>
      <c r="P35" s="31"/>
      <c r="Q35" s="198" t="s">
        <v>22</v>
      </c>
      <c r="S35" s="31"/>
      <c r="T35" s="97"/>
      <c r="U35" s="31"/>
      <c r="V35" s="111"/>
    </row>
    <row r="36" spans="1:22" ht="13" x14ac:dyDescent="0.3">
      <c r="A36" s="510"/>
      <c r="F36" s="1"/>
      <c r="G36" s="1163"/>
      <c r="H36" s="1163"/>
      <c r="I36" s="1163"/>
      <c r="J36" s="1164"/>
      <c r="K36" s="227" t="s">
        <v>61</v>
      </c>
      <c r="L36" s="1182" t="s">
        <v>57</v>
      </c>
      <c r="M36" s="1183"/>
      <c r="N36" s="50" t="s">
        <v>61</v>
      </c>
      <c r="O36" s="1177" t="s">
        <v>57</v>
      </c>
      <c r="P36" s="1178"/>
      <c r="Q36" s="227" t="s">
        <v>61</v>
      </c>
      <c r="R36" s="1167" t="s">
        <v>57</v>
      </c>
      <c r="S36" s="1168"/>
      <c r="T36" s="106"/>
      <c r="U36" s="31"/>
      <c r="V36" s="111"/>
    </row>
    <row r="37" spans="1:22" ht="13" x14ac:dyDescent="0.3">
      <c r="A37" s="510"/>
      <c r="B37" s="506" t="s">
        <v>18</v>
      </c>
      <c r="C37" s="20" t="s">
        <v>60</v>
      </c>
      <c r="D37" s="20" t="s">
        <v>62</v>
      </c>
      <c r="E37" s="7"/>
      <c r="F37" s="61"/>
      <c r="G37" s="61"/>
      <c r="H37" s="61"/>
      <c r="J37" s="31"/>
      <c r="K37" s="211" t="s">
        <v>56</v>
      </c>
      <c r="L37" s="211" t="s">
        <v>13</v>
      </c>
      <c r="M37" s="212" t="s">
        <v>68</v>
      </c>
      <c r="N37" s="66" t="s">
        <v>56</v>
      </c>
      <c r="O37" s="20" t="s">
        <v>13</v>
      </c>
      <c r="P37" s="32" t="s">
        <v>68</v>
      </c>
      <c r="Q37" s="210" t="s">
        <v>56</v>
      </c>
      <c r="R37" s="211" t="s">
        <v>13</v>
      </c>
      <c r="S37" s="212" t="s">
        <v>68</v>
      </c>
      <c r="T37" s="98"/>
      <c r="U37" s="31"/>
      <c r="V37" s="111"/>
    </row>
    <row r="38" spans="1:22" ht="13.5" thickBot="1" x14ac:dyDescent="0.35">
      <c r="A38" s="510"/>
      <c r="B38" s="300"/>
      <c r="C38" s="84">
        <v>0</v>
      </c>
      <c r="D38" s="29">
        <f>VLOOKUP(C$2,Monitor_Costs,5,FALSE)</f>
        <v>2019</v>
      </c>
      <c r="E38" s="3"/>
      <c r="F38" s="9"/>
      <c r="G38" s="3"/>
      <c r="H38" s="300"/>
      <c r="I38" s="3"/>
      <c r="J38" s="301"/>
      <c r="K38" s="229">
        <f>HLOOKUP(L$2,InflationTable,2)/HLOOKUP($D38,InflationTable,2)*$C38</f>
        <v>0</v>
      </c>
      <c r="L38" s="295">
        <f>K38*$M$4</f>
        <v>0</v>
      </c>
      <c r="M38" s="256">
        <f>L38</f>
        <v>0</v>
      </c>
      <c r="N38" s="103">
        <f>HLOOKUP(O$2,InflationTable,2)/HLOOKUP($D38,InflationTable,2)*$C38</f>
        <v>0</v>
      </c>
      <c r="O38" s="84">
        <f>N38*$P$4</f>
        <v>0</v>
      </c>
      <c r="P38" s="77">
        <f>O38</f>
        <v>0</v>
      </c>
      <c r="Q38" s="229">
        <f>HLOOKUP(R$2,InflationTable,2)/HLOOKUP($D38,InflationTable,2)*$C38</f>
        <v>0</v>
      </c>
      <c r="R38" s="295">
        <f>Q38*$S$4</f>
        <v>0</v>
      </c>
      <c r="S38" s="256">
        <f>R38</f>
        <v>0</v>
      </c>
      <c r="T38" s="298" t="s">
        <v>12</v>
      </c>
      <c r="U38" s="299">
        <f>AVERAGE(M38,P38,S38)</f>
        <v>0</v>
      </c>
      <c r="V38" s="115" t="s">
        <v>12</v>
      </c>
    </row>
    <row r="39" spans="1:22" ht="13" x14ac:dyDescent="0.3">
      <c r="A39" s="510"/>
      <c r="B39" s="378" t="s">
        <v>191</v>
      </c>
      <c r="C39" s="86" t="s">
        <v>45</v>
      </c>
      <c r="D39" s="86" t="s">
        <v>46</v>
      </c>
      <c r="E39" s="86" t="s">
        <v>47</v>
      </c>
      <c r="F39" s="86" t="s">
        <v>48</v>
      </c>
      <c r="G39" s="86" t="s">
        <v>49</v>
      </c>
      <c r="H39" s="86" t="s">
        <v>50</v>
      </c>
      <c r="I39" s="130" t="s">
        <v>190</v>
      </c>
      <c r="J39" s="145" t="s">
        <v>74</v>
      </c>
      <c r="K39" s="293"/>
      <c r="L39" s="293"/>
      <c r="M39" s="296"/>
      <c r="N39" s="88"/>
      <c r="O39" s="86"/>
      <c r="P39" s="87"/>
      <c r="Q39" s="293"/>
      <c r="R39" s="293"/>
      <c r="S39" s="296"/>
      <c r="T39" s="98"/>
      <c r="U39" s="31"/>
      <c r="V39" s="111"/>
    </row>
    <row r="40" spans="1:22" x14ac:dyDescent="0.25">
      <c r="A40" s="510"/>
      <c r="B40" s="509" t="s">
        <v>4</v>
      </c>
      <c r="C40" s="18">
        <v>0</v>
      </c>
      <c r="D40" s="18">
        <v>0</v>
      </c>
      <c r="E40" s="18">
        <v>0</v>
      </c>
      <c r="F40" s="18">
        <v>16</v>
      </c>
      <c r="G40" s="18">
        <v>0</v>
      </c>
      <c r="H40" s="18">
        <v>0</v>
      </c>
      <c r="I40" s="574"/>
      <c r="J40" s="41">
        <f>SUM(C40:I40)</f>
        <v>16</v>
      </c>
      <c r="K40" s="247" t="s">
        <v>12</v>
      </c>
      <c r="L40" s="231">
        <f>J40*$M$4</f>
        <v>688</v>
      </c>
      <c r="M40" s="239">
        <f>L40</f>
        <v>688</v>
      </c>
      <c r="N40" s="51" t="s">
        <v>12</v>
      </c>
      <c r="O40" s="58">
        <f>$J$40*$P$4</f>
        <v>688</v>
      </c>
      <c r="P40" s="57">
        <f>O40</f>
        <v>688</v>
      </c>
      <c r="Q40" s="247" t="s">
        <v>12</v>
      </c>
      <c r="R40" s="231">
        <f>$J$40*$S$4</f>
        <v>688</v>
      </c>
      <c r="S40" s="239">
        <f>R40</f>
        <v>688</v>
      </c>
      <c r="T40" s="96">
        <f>AVERAGE(M40,P40,S40)</f>
        <v>688</v>
      </c>
      <c r="U40" s="94" t="s">
        <v>12</v>
      </c>
      <c r="V40" s="113" t="s">
        <v>12</v>
      </c>
    </row>
    <row r="41" spans="1:22" s="1" customFormat="1" ht="13.5" thickBot="1" x14ac:dyDescent="0.35">
      <c r="A41" s="511"/>
      <c r="B41" s="500" t="s">
        <v>8</v>
      </c>
      <c r="C41" s="175">
        <f>ROUND(C40*Labor!$D$3,0)</f>
        <v>0</v>
      </c>
      <c r="D41" s="175">
        <f>ROUND(D40*Labor!$D$4,0)</f>
        <v>0</v>
      </c>
      <c r="E41" s="175">
        <f>ROUND(E40*Labor!$D$5,0)</f>
        <v>0</v>
      </c>
      <c r="F41" s="175">
        <f>ROUND(F40*Labor!$D$6,0)</f>
        <v>441</v>
      </c>
      <c r="G41" s="175">
        <f>ROUND(G40*Labor!$D$7,0)</f>
        <v>0</v>
      </c>
      <c r="H41" s="175">
        <f>ROUND(H40*Labor!$D$8,0)</f>
        <v>0</v>
      </c>
      <c r="I41" s="597"/>
      <c r="J41" s="311">
        <f>SUM(C41:I41)</f>
        <v>441</v>
      </c>
      <c r="K41" s="284">
        <f>HLOOKUP(L$2,InflationTable,2)/HLOOKUP(Labor!$B$11,InflationTable,2)*$J41</f>
        <v>943.40429065743933</v>
      </c>
      <c r="L41" s="245">
        <f>K41*$M$4</f>
        <v>40566.384498269894</v>
      </c>
      <c r="M41" s="320">
        <f>L41</f>
        <v>40566.384498269894</v>
      </c>
      <c r="N41" s="169">
        <f>HLOOKUP(O$2,InflationTable,2)/HLOOKUP(Labor!$B$11,InflationTable,2)*$J41</f>
        <v>981.14046228373707</v>
      </c>
      <c r="O41" s="166">
        <f>N41*$P$4</f>
        <v>42189.039878200696</v>
      </c>
      <c r="P41" s="167">
        <f>O41</f>
        <v>42189.039878200696</v>
      </c>
      <c r="Q41" s="284">
        <f>HLOOKUP(R$2,InflationTable,2)/HLOOKUP(Labor!$B$11,InflationTable,2)*$J41</f>
        <v>1000.7632715294117</v>
      </c>
      <c r="R41" s="245">
        <f>Q41*$S$4</f>
        <v>43032.820675764699</v>
      </c>
      <c r="S41" s="320">
        <f>R41</f>
        <v>43032.820675764699</v>
      </c>
      <c r="T41" s="169">
        <f>AVERAGE(M41,P41,S41)</f>
        <v>41929.41501741176</v>
      </c>
      <c r="U41" s="323" t="s">
        <v>12</v>
      </c>
      <c r="V41" s="322" t="s">
        <v>12</v>
      </c>
    </row>
    <row r="42" spans="1:22" ht="13" x14ac:dyDescent="0.3">
      <c r="A42" s="510"/>
      <c r="B42" s="501" t="s">
        <v>66</v>
      </c>
      <c r="C42" s="30">
        <f t="shared" ref="C42:J42" si="16">C40</f>
        <v>0</v>
      </c>
      <c r="D42" s="30">
        <f t="shared" si="16"/>
        <v>0</v>
      </c>
      <c r="E42" s="30">
        <f t="shared" si="16"/>
        <v>0</v>
      </c>
      <c r="F42" s="30">
        <f t="shared" si="16"/>
        <v>16</v>
      </c>
      <c r="G42" s="30">
        <f t="shared" si="16"/>
        <v>0</v>
      </c>
      <c r="H42" s="30">
        <f t="shared" si="16"/>
        <v>0</v>
      </c>
      <c r="I42" s="579"/>
      <c r="J42" s="44">
        <f t="shared" si="16"/>
        <v>16</v>
      </c>
      <c r="K42" s="255" t="s">
        <v>12</v>
      </c>
      <c r="L42" s="250">
        <f>L40</f>
        <v>688</v>
      </c>
      <c r="M42" s="251">
        <f>M40</f>
        <v>688</v>
      </c>
      <c r="N42" s="70" t="s">
        <v>12</v>
      </c>
      <c r="O42" s="69">
        <f>O40</f>
        <v>688</v>
      </c>
      <c r="P42" s="78">
        <f>P40</f>
        <v>688</v>
      </c>
      <c r="Q42" s="249" t="s">
        <v>12</v>
      </c>
      <c r="R42" s="250">
        <f>R40</f>
        <v>688</v>
      </c>
      <c r="S42" s="251">
        <f>S40</f>
        <v>688</v>
      </c>
      <c r="T42" s="78">
        <f>T40</f>
        <v>688</v>
      </c>
      <c r="U42" s="42" t="s">
        <v>12</v>
      </c>
      <c r="V42" s="119" t="s">
        <v>12</v>
      </c>
    </row>
    <row r="43" spans="1:22" ht="13.5" thickBot="1" x14ac:dyDescent="0.35">
      <c r="A43" s="510"/>
      <c r="B43" s="502" t="s">
        <v>67</v>
      </c>
      <c r="C43" s="194">
        <f t="shared" ref="C43:H43" si="17">C42</f>
        <v>0</v>
      </c>
      <c r="D43" s="194">
        <f t="shared" si="17"/>
        <v>0</v>
      </c>
      <c r="E43" s="194">
        <f t="shared" si="17"/>
        <v>0</v>
      </c>
      <c r="F43" s="194">
        <f t="shared" si="17"/>
        <v>16</v>
      </c>
      <c r="G43" s="194">
        <f t="shared" si="17"/>
        <v>0</v>
      </c>
      <c r="H43" s="194">
        <f t="shared" si="17"/>
        <v>0</v>
      </c>
      <c r="I43" s="578"/>
      <c r="J43" s="205">
        <f>J41+C38</f>
        <v>441</v>
      </c>
      <c r="K43" s="253">
        <f t="shared" ref="K43:S43" si="18">K41+K38</f>
        <v>943.40429065743933</v>
      </c>
      <c r="L43" s="253">
        <f t="shared" si="18"/>
        <v>40566.384498269894</v>
      </c>
      <c r="M43" s="254">
        <f t="shared" si="18"/>
        <v>40566.384498269894</v>
      </c>
      <c r="N43" s="176">
        <f t="shared" si="18"/>
        <v>981.14046228373707</v>
      </c>
      <c r="O43" s="177">
        <f t="shared" si="18"/>
        <v>42189.039878200696</v>
      </c>
      <c r="P43" s="178">
        <f t="shared" si="18"/>
        <v>42189.039878200696</v>
      </c>
      <c r="Q43" s="252">
        <f t="shared" si="18"/>
        <v>1000.7632715294117</v>
      </c>
      <c r="R43" s="253">
        <f t="shared" si="18"/>
        <v>43032.820675764699</v>
      </c>
      <c r="S43" s="254">
        <f t="shared" si="18"/>
        <v>43032.820675764699</v>
      </c>
      <c r="T43" s="206">
        <f>AVERAGE(M43,P43,S43)</f>
        <v>41929.41501741176</v>
      </c>
      <c r="U43" s="205">
        <f>U38</f>
        <v>0</v>
      </c>
      <c r="V43" s="180" t="s">
        <v>12</v>
      </c>
    </row>
    <row r="44" spans="1:22" ht="13.5" thickTop="1" thickBot="1" x14ac:dyDescent="0.3">
      <c r="A44" s="510"/>
      <c r="B44" s="512"/>
      <c r="C44" s="513"/>
      <c r="D44" s="513"/>
      <c r="E44" s="513"/>
      <c r="F44" s="513"/>
      <c r="G44" s="513"/>
      <c r="H44" s="513"/>
      <c r="I44" s="513"/>
      <c r="J44" s="513"/>
      <c r="K44" s="513"/>
      <c r="L44" s="513"/>
      <c r="M44" s="513"/>
      <c r="N44" s="513"/>
      <c r="O44" s="512"/>
      <c r="P44" s="513"/>
      <c r="Q44" s="513"/>
      <c r="R44" s="513"/>
      <c r="S44" s="513"/>
      <c r="T44" s="513"/>
      <c r="U44" s="513"/>
      <c r="V44" s="515"/>
    </row>
    <row r="45" spans="1:22" ht="16" thickTop="1" x14ac:dyDescent="0.35">
      <c r="A45" s="510"/>
      <c r="B45" s="2" t="s">
        <v>24</v>
      </c>
      <c r="F45" s="1" t="s">
        <v>6</v>
      </c>
      <c r="G45" s="1160"/>
      <c r="H45" s="1161"/>
      <c r="I45" s="1161"/>
      <c r="J45" s="1162"/>
      <c r="K45" s="2" t="s">
        <v>24</v>
      </c>
      <c r="M45" s="62"/>
      <c r="N45" s="2" t="s">
        <v>24</v>
      </c>
      <c r="O45" s="61"/>
      <c r="P45" s="31"/>
      <c r="Q45" s="2" t="s">
        <v>24</v>
      </c>
      <c r="S45" s="31"/>
      <c r="T45" s="97"/>
      <c r="U45" s="31"/>
      <c r="V45" s="111"/>
    </row>
    <row r="46" spans="1:22" ht="13" x14ac:dyDescent="0.3">
      <c r="A46" s="510"/>
      <c r="F46" s="1"/>
      <c r="G46" s="1163"/>
      <c r="H46" s="1163"/>
      <c r="I46" s="1163"/>
      <c r="J46" s="1164"/>
      <c r="K46" s="227" t="s">
        <v>61</v>
      </c>
      <c r="L46" s="1167" t="s">
        <v>57</v>
      </c>
      <c r="M46" s="1168"/>
      <c r="N46" s="50" t="s">
        <v>61</v>
      </c>
      <c r="O46" s="1177" t="s">
        <v>57</v>
      </c>
      <c r="P46" s="1178"/>
      <c r="Q46" s="227" t="s">
        <v>61</v>
      </c>
      <c r="R46" s="1167" t="s">
        <v>57</v>
      </c>
      <c r="S46" s="1168"/>
      <c r="T46" s="106"/>
      <c r="U46" s="31"/>
      <c r="V46" s="111"/>
    </row>
    <row r="47" spans="1:22" ht="13" x14ac:dyDescent="0.3">
      <c r="A47" s="510"/>
      <c r="B47" s="506" t="s">
        <v>19</v>
      </c>
      <c r="C47" s="20" t="s">
        <v>60</v>
      </c>
      <c r="D47" s="20" t="s">
        <v>62</v>
      </c>
      <c r="E47" s="7"/>
      <c r="F47" s="61"/>
      <c r="G47" s="61"/>
      <c r="H47" s="61"/>
      <c r="I47" s="61"/>
      <c r="J47" s="62"/>
      <c r="K47" s="210" t="s">
        <v>56</v>
      </c>
      <c r="L47" s="211" t="s">
        <v>13</v>
      </c>
      <c r="M47" s="212" t="s">
        <v>68</v>
      </c>
      <c r="N47" s="66" t="s">
        <v>56</v>
      </c>
      <c r="O47" s="20" t="s">
        <v>13</v>
      </c>
      <c r="P47" s="32" t="s">
        <v>68</v>
      </c>
      <c r="Q47" s="210" t="s">
        <v>56</v>
      </c>
      <c r="R47" s="211" t="s">
        <v>13</v>
      </c>
      <c r="S47" s="212" t="s">
        <v>68</v>
      </c>
      <c r="T47" s="98"/>
      <c r="U47" s="62"/>
      <c r="V47" s="111"/>
    </row>
    <row r="48" spans="1:22" ht="13" thickBot="1" x14ac:dyDescent="0.3">
      <c r="A48" s="510"/>
      <c r="B48" s="300"/>
      <c r="C48" s="84">
        <f>VLOOKUP(C$2,Monitor_Costs,6,FALSE)</f>
        <v>2000</v>
      </c>
      <c r="D48" s="29">
        <f>VLOOKUP(C$2,Monitor_Costs,7,FALSE)</f>
        <v>2019</v>
      </c>
      <c r="E48" s="294"/>
      <c r="F48" s="60"/>
      <c r="G48" s="49"/>
      <c r="H48" s="49"/>
      <c r="I48" s="49"/>
      <c r="J48" s="47"/>
      <c r="K48" s="229">
        <f>HLOOKUP(L$2,InflationTable,2)/HLOOKUP($D48,InflationTable,2)*$C48</f>
        <v>2417.8333985138834</v>
      </c>
      <c r="L48" s="295">
        <f>K48*$M$4</f>
        <v>103966.83613609699</v>
      </c>
      <c r="M48" s="256">
        <f>L48</f>
        <v>103966.83613609699</v>
      </c>
      <c r="N48" s="103">
        <f>HLOOKUP(O$2,InflationTable,2)/HLOOKUP($D48,InflationTable,2)*$C48</f>
        <v>2514.5467344544386</v>
      </c>
      <c r="O48" s="84">
        <f>N48*$P$4</f>
        <v>108125.50958154086</v>
      </c>
      <c r="P48" s="77">
        <f>O48</f>
        <v>108125.50958154086</v>
      </c>
      <c r="Q48" s="229">
        <f>HLOOKUP(R$2,InflationTable,2)/HLOOKUP($D48,InflationTable,2)*$C48</f>
        <v>2564.8376691435274</v>
      </c>
      <c r="R48" s="295">
        <f>Q48*$S$4</f>
        <v>110288.01977317168</v>
      </c>
      <c r="S48" s="256">
        <f>R48</f>
        <v>110288.01977317168</v>
      </c>
      <c r="T48" s="298" t="s">
        <v>12</v>
      </c>
      <c r="U48" s="299">
        <f>AVERAGE(M48,P48,S48)</f>
        <v>107460.12183026985</v>
      </c>
      <c r="V48" s="115" t="s">
        <v>12</v>
      </c>
    </row>
    <row r="49" spans="1:22" ht="13" x14ac:dyDescent="0.3">
      <c r="A49" s="510"/>
      <c r="B49" s="378" t="s">
        <v>192</v>
      </c>
      <c r="C49" s="86" t="s">
        <v>45</v>
      </c>
      <c r="D49" s="86" t="s">
        <v>46</v>
      </c>
      <c r="E49" s="86" t="s">
        <v>47</v>
      </c>
      <c r="F49" s="86" t="s">
        <v>48</v>
      </c>
      <c r="G49" s="86" t="s">
        <v>49</v>
      </c>
      <c r="H49" s="86" t="s">
        <v>50</v>
      </c>
      <c r="I49" s="130" t="s">
        <v>190</v>
      </c>
      <c r="J49" s="145" t="s">
        <v>74</v>
      </c>
      <c r="K49" s="292"/>
      <c r="L49" s="293"/>
      <c r="M49" s="296"/>
      <c r="N49" s="88"/>
      <c r="O49" s="86"/>
      <c r="P49" s="87"/>
      <c r="Q49" s="292"/>
      <c r="R49" s="293"/>
      <c r="S49" s="296"/>
      <c r="T49" s="109"/>
      <c r="U49" s="42"/>
      <c r="V49" s="111"/>
    </row>
    <row r="50" spans="1:22" x14ac:dyDescent="0.25">
      <c r="B50" s="464" t="s">
        <v>4</v>
      </c>
      <c r="C50" s="18">
        <v>0</v>
      </c>
      <c r="D50" s="18">
        <v>0</v>
      </c>
      <c r="E50" s="18">
        <v>0</v>
      </c>
      <c r="F50" s="18">
        <v>5</v>
      </c>
      <c r="G50" s="18">
        <v>0</v>
      </c>
      <c r="H50" s="18">
        <v>0</v>
      </c>
      <c r="I50" s="580"/>
      <c r="J50" s="45">
        <f>SUM(C50:I50)</f>
        <v>5</v>
      </c>
      <c r="K50" s="213" t="s">
        <v>12</v>
      </c>
      <c r="L50" s="231">
        <f>J50*$M$4</f>
        <v>215</v>
      </c>
      <c r="M50" s="239">
        <f>L50</f>
        <v>215</v>
      </c>
      <c r="N50" s="51" t="s">
        <v>12</v>
      </c>
      <c r="O50" s="58">
        <f>$J$50*$P$4</f>
        <v>215</v>
      </c>
      <c r="P50" s="57">
        <f>O50</f>
        <v>215</v>
      </c>
      <c r="Q50" s="213" t="s">
        <v>12</v>
      </c>
      <c r="R50" s="231">
        <f>$J$50*$S$4</f>
        <v>215</v>
      </c>
      <c r="S50" s="239">
        <f>R50</f>
        <v>215</v>
      </c>
      <c r="T50" s="96">
        <f>AVERAGE(M50,P50,S50)</f>
        <v>215</v>
      </c>
      <c r="U50" s="94" t="s">
        <v>12</v>
      </c>
      <c r="V50" s="113" t="s">
        <v>12</v>
      </c>
    </row>
    <row r="51" spans="1:22" s="1" customFormat="1" ht="13.5" thickBot="1" x14ac:dyDescent="0.35">
      <c r="B51" s="596" t="s">
        <v>8</v>
      </c>
      <c r="C51" s="175">
        <f>ROUND(C50*Labor!$D$3,0)</f>
        <v>0</v>
      </c>
      <c r="D51" s="175">
        <f>ROUND(D50*Labor!$D$4,0)</f>
        <v>0</v>
      </c>
      <c r="E51" s="175">
        <f>ROUND(E50*Labor!$D$5,0)</f>
        <v>0</v>
      </c>
      <c r="F51" s="175">
        <f>ROUND(F50*Labor!$D$6,0)</f>
        <v>138</v>
      </c>
      <c r="G51" s="175">
        <f>ROUND(G50*Labor!$D$7,0)</f>
        <v>0</v>
      </c>
      <c r="H51" s="175">
        <f>ROUND(H50*Labor!$D$8,0)</f>
        <v>0</v>
      </c>
      <c r="I51" s="594"/>
      <c r="J51" s="167">
        <f>SUM(C51:I51)</f>
        <v>138</v>
      </c>
      <c r="K51" s="284">
        <f>HLOOKUP(L$2,InflationTable,2)/HLOOKUP(Labor!$B$11,InflationTable,2)*$J51</f>
        <v>295.21494809688579</v>
      </c>
      <c r="L51" s="245">
        <f>K51*$M$4</f>
        <v>12694.242768166088</v>
      </c>
      <c r="M51" s="246">
        <f>L51</f>
        <v>12694.242768166088</v>
      </c>
      <c r="N51" s="169">
        <f>HLOOKUP(O$2,InflationTable,2)/HLOOKUP(Labor!$B$11,InflationTable,2)*$J51</f>
        <v>307.02354602076127</v>
      </c>
      <c r="O51" s="166">
        <f>N51*$P$4</f>
        <v>13202.012478892735</v>
      </c>
      <c r="P51" s="167">
        <f>O51</f>
        <v>13202.012478892735</v>
      </c>
      <c r="Q51" s="284">
        <f>HLOOKUP(R$2,InflationTable,2)/HLOOKUP(Labor!$B$11,InflationTable,2)*$J51</f>
        <v>313.16401694117644</v>
      </c>
      <c r="R51" s="245">
        <f>Q51*$P$4</f>
        <v>13466.052728470588</v>
      </c>
      <c r="S51" s="246">
        <f>R51</f>
        <v>13466.052728470588</v>
      </c>
      <c r="T51" s="169">
        <f>AVERAGE(M51,P51,S51)</f>
        <v>13120.76932517647</v>
      </c>
      <c r="U51" s="174" t="s">
        <v>12</v>
      </c>
      <c r="V51" s="322" t="s">
        <v>12</v>
      </c>
    </row>
    <row r="52" spans="1:22" ht="13" x14ac:dyDescent="0.3">
      <c r="B52" s="139" t="s">
        <v>66</v>
      </c>
      <c r="C52" s="30">
        <f>C50</f>
        <v>0</v>
      </c>
      <c r="D52" s="30">
        <f t="shared" ref="D52:J52" si="19">D50</f>
        <v>0</v>
      </c>
      <c r="E52" s="30">
        <f t="shared" si="19"/>
        <v>0</v>
      </c>
      <c r="F52" s="30">
        <f t="shared" si="19"/>
        <v>5</v>
      </c>
      <c r="G52" s="30">
        <f t="shared" si="19"/>
        <v>0</v>
      </c>
      <c r="H52" s="30">
        <f t="shared" si="19"/>
        <v>0</v>
      </c>
      <c r="I52" s="30">
        <f t="shared" si="19"/>
        <v>0</v>
      </c>
      <c r="J52" s="30">
        <f t="shared" si="19"/>
        <v>5</v>
      </c>
      <c r="K52" s="30" t="str">
        <f t="shared" ref="K52:S52" si="20">K50</f>
        <v>NA</v>
      </c>
      <c r="L52" s="30">
        <f t="shared" si="20"/>
        <v>215</v>
      </c>
      <c r="M52" s="30">
        <f t="shared" si="20"/>
        <v>215</v>
      </c>
      <c r="N52" s="30" t="str">
        <f t="shared" si="20"/>
        <v>NA</v>
      </c>
      <c r="O52" s="30">
        <f t="shared" si="20"/>
        <v>215</v>
      </c>
      <c r="P52" s="30">
        <f t="shared" si="20"/>
        <v>215</v>
      </c>
      <c r="Q52" s="30" t="str">
        <f t="shared" si="20"/>
        <v>NA</v>
      </c>
      <c r="R52" s="30">
        <f t="shared" si="20"/>
        <v>215</v>
      </c>
      <c r="S52" s="30">
        <f t="shared" si="20"/>
        <v>215</v>
      </c>
      <c r="T52" s="96">
        <f>AVERAGE(M52,P52,S52)</f>
        <v>215</v>
      </c>
      <c r="U52" s="42" t="s">
        <v>12</v>
      </c>
      <c r="V52" s="120" t="s">
        <v>12</v>
      </c>
    </row>
    <row r="53" spans="1:22" ht="13.5" thickBot="1" x14ac:dyDescent="0.35">
      <c r="B53" s="460" t="s">
        <v>67</v>
      </c>
      <c r="C53" s="194">
        <f>C51</f>
        <v>0</v>
      </c>
      <c r="D53" s="194">
        <f t="shared" ref="D53:J53" si="21">D51</f>
        <v>0</v>
      </c>
      <c r="E53" s="194">
        <f t="shared" si="21"/>
        <v>0</v>
      </c>
      <c r="F53" s="194">
        <f t="shared" si="21"/>
        <v>138</v>
      </c>
      <c r="G53" s="194">
        <f t="shared" si="21"/>
        <v>0</v>
      </c>
      <c r="H53" s="194">
        <f t="shared" si="21"/>
        <v>0</v>
      </c>
      <c r="I53" s="194">
        <f t="shared" si="21"/>
        <v>0</v>
      </c>
      <c r="J53" s="194">
        <f t="shared" si="21"/>
        <v>138</v>
      </c>
      <c r="K53" s="194">
        <f t="shared" ref="K53:S53" si="22">K51</f>
        <v>295.21494809688579</v>
      </c>
      <c r="L53" s="194">
        <f t="shared" si="22"/>
        <v>12694.242768166088</v>
      </c>
      <c r="M53" s="194">
        <f t="shared" si="22"/>
        <v>12694.242768166088</v>
      </c>
      <c r="N53" s="194">
        <f t="shared" si="22"/>
        <v>307.02354602076127</v>
      </c>
      <c r="O53" s="194">
        <f t="shared" si="22"/>
        <v>13202.012478892735</v>
      </c>
      <c r="P53" s="194">
        <f t="shared" si="22"/>
        <v>13202.012478892735</v>
      </c>
      <c r="Q53" s="194">
        <f t="shared" si="22"/>
        <v>313.16401694117644</v>
      </c>
      <c r="R53" s="194">
        <f t="shared" si="22"/>
        <v>13466.052728470588</v>
      </c>
      <c r="S53" s="194">
        <f t="shared" si="22"/>
        <v>13466.052728470588</v>
      </c>
      <c r="T53" s="206">
        <f>T51</f>
        <v>13120.76932517647</v>
      </c>
      <c r="U53" s="205">
        <f>U48</f>
        <v>107460.12183026985</v>
      </c>
      <c r="V53" s="180" t="s">
        <v>12</v>
      </c>
    </row>
    <row r="54" spans="1:22" ht="13.5" thickTop="1" thickBot="1" x14ac:dyDescent="0.3">
      <c r="B54" s="144"/>
      <c r="C54" s="513"/>
      <c r="D54" s="513"/>
      <c r="E54" s="513"/>
      <c r="F54" s="513"/>
      <c r="G54" s="513"/>
      <c r="H54" s="513"/>
      <c r="I54" s="513"/>
      <c r="J54" s="513"/>
      <c r="K54" s="513"/>
      <c r="L54" s="513"/>
      <c r="M54" s="513"/>
      <c r="N54" s="513"/>
      <c r="O54" s="513"/>
      <c r="P54" s="513"/>
      <c r="Q54" s="513"/>
      <c r="R54" s="513"/>
      <c r="S54" s="513"/>
      <c r="T54" s="513"/>
      <c r="U54" s="513"/>
      <c r="V54" s="515"/>
    </row>
    <row r="55" spans="1:22" ht="16" thickTop="1" x14ac:dyDescent="0.35">
      <c r="B55" s="463" t="s">
        <v>26</v>
      </c>
      <c r="F55" s="1" t="s">
        <v>6</v>
      </c>
      <c r="G55" s="1160"/>
      <c r="H55" s="1161"/>
      <c r="I55" s="1161"/>
      <c r="J55" s="1162"/>
      <c r="K55" s="2" t="s">
        <v>26</v>
      </c>
      <c r="M55" s="31"/>
      <c r="N55" s="199" t="s">
        <v>26</v>
      </c>
      <c r="Q55" s="199" t="s">
        <v>26</v>
      </c>
      <c r="S55" s="31"/>
      <c r="T55" s="97"/>
      <c r="U55" s="31"/>
      <c r="V55" s="111"/>
    </row>
    <row r="56" spans="1:22" ht="13" x14ac:dyDescent="0.3">
      <c r="B56" s="144"/>
      <c r="J56" s="32" t="s">
        <v>61</v>
      </c>
      <c r="K56" s="227" t="s">
        <v>61</v>
      </c>
      <c r="L56" s="1167" t="s">
        <v>57</v>
      </c>
      <c r="M56" s="1168"/>
      <c r="N56" s="50" t="s">
        <v>61</v>
      </c>
      <c r="O56" s="1177" t="s">
        <v>57</v>
      </c>
      <c r="P56" s="1178"/>
      <c r="Q56" s="227" t="s">
        <v>61</v>
      </c>
      <c r="R56" s="1167" t="s">
        <v>57</v>
      </c>
      <c r="S56" s="1168"/>
      <c r="T56" s="106"/>
      <c r="U56" s="31"/>
      <c r="V56" s="111"/>
    </row>
    <row r="57" spans="1:22" ht="13" x14ac:dyDescent="0.3">
      <c r="B57" s="462" t="s">
        <v>193</v>
      </c>
      <c r="C57" s="20" t="s">
        <v>45</v>
      </c>
      <c r="D57" s="20" t="s">
        <v>46</v>
      </c>
      <c r="E57" s="20" t="s">
        <v>47</v>
      </c>
      <c r="F57" s="20" t="s">
        <v>48</v>
      </c>
      <c r="G57" s="20" t="s">
        <v>49</v>
      </c>
      <c r="H57" s="20" t="s">
        <v>50</v>
      </c>
      <c r="I57" s="20" t="s">
        <v>190</v>
      </c>
      <c r="J57" s="32" t="s">
        <v>13</v>
      </c>
      <c r="K57" s="210" t="s">
        <v>56</v>
      </c>
      <c r="L57" s="211" t="s">
        <v>13</v>
      </c>
      <c r="M57" s="212" t="s">
        <v>68</v>
      </c>
      <c r="N57" s="66" t="s">
        <v>56</v>
      </c>
      <c r="O57" s="20" t="s">
        <v>13</v>
      </c>
      <c r="P57" s="32" t="s">
        <v>68</v>
      </c>
      <c r="Q57" s="210" t="s">
        <v>56</v>
      </c>
      <c r="R57" s="211" t="s">
        <v>13</v>
      </c>
      <c r="S57" s="212" t="s">
        <v>68</v>
      </c>
      <c r="T57" s="98"/>
      <c r="U57" s="31"/>
      <c r="V57" s="111"/>
    </row>
    <row r="58" spans="1:22" x14ac:dyDescent="0.25">
      <c r="B58" s="464" t="s">
        <v>4</v>
      </c>
      <c r="C58" s="18">
        <v>0</v>
      </c>
      <c r="D58" s="18">
        <v>0</v>
      </c>
      <c r="E58" s="18">
        <v>3</v>
      </c>
      <c r="F58" s="18">
        <v>3</v>
      </c>
      <c r="G58" s="18">
        <v>0</v>
      </c>
      <c r="H58" s="18">
        <v>0</v>
      </c>
      <c r="I58" s="580"/>
      <c r="J58" s="45">
        <f>SUM(C58:H58)</f>
        <v>6</v>
      </c>
      <c r="K58" s="213" t="s">
        <v>12</v>
      </c>
      <c r="L58" s="231">
        <f>J58*$M$4</f>
        <v>258</v>
      </c>
      <c r="M58" s="239">
        <f>L58</f>
        <v>258</v>
      </c>
      <c r="N58" s="51" t="s">
        <v>12</v>
      </c>
      <c r="O58" s="58">
        <f>$J$58*$P$4</f>
        <v>258</v>
      </c>
      <c r="P58" s="57">
        <f>O58</f>
        <v>258</v>
      </c>
      <c r="Q58" s="213" t="s">
        <v>12</v>
      </c>
      <c r="R58" s="231">
        <f>$J$58*$S$4</f>
        <v>258</v>
      </c>
      <c r="S58" s="239">
        <f>R58</f>
        <v>258</v>
      </c>
      <c r="T58" s="96">
        <f t="shared" ref="T58:T65" si="23">AVERAGE(M58,P58,S58)</f>
        <v>258</v>
      </c>
      <c r="U58" s="94" t="s">
        <v>12</v>
      </c>
      <c r="V58" s="113" t="s">
        <v>12</v>
      </c>
    </row>
    <row r="59" spans="1:22" s="1" customFormat="1" ht="13.5" thickBot="1" x14ac:dyDescent="0.35">
      <c r="B59" s="596" t="s">
        <v>8</v>
      </c>
      <c r="C59" s="175">
        <f>ROUND(C58*Labor!$D$3,0)</f>
        <v>0</v>
      </c>
      <c r="D59" s="175">
        <f>ROUND(D58*Labor!$D$4,0)</f>
        <v>0</v>
      </c>
      <c r="E59" s="175">
        <f>ROUND(E58*Labor!$D$5,0)</f>
        <v>76</v>
      </c>
      <c r="F59" s="175">
        <f>ROUND(F58*Labor!$D$6,0)</f>
        <v>83</v>
      </c>
      <c r="G59" s="175">
        <f>ROUND(G58*Labor!$D$7,0)</f>
        <v>0</v>
      </c>
      <c r="H59" s="175">
        <f>ROUND(H58*Labor!$D$8,0)</f>
        <v>0</v>
      </c>
      <c r="I59" s="594"/>
      <c r="J59" s="167">
        <f>SUM(C59:H59)</f>
        <v>159</v>
      </c>
      <c r="K59" s="284">
        <f>HLOOKUP(L$2,InflationTable,2)/HLOOKUP(Labor!$B$11,InflationTable,2)*$J59</f>
        <v>340.13896193771626</v>
      </c>
      <c r="L59" s="245">
        <f>K59*$M$4</f>
        <v>14625.975363321799</v>
      </c>
      <c r="M59" s="246">
        <f>L59</f>
        <v>14625.975363321799</v>
      </c>
      <c r="N59" s="169">
        <f>HLOOKUP(O$2,InflationTable,2)/HLOOKUP(Labor!$B$11,InflationTable,2)*$J59</f>
        <v>353.74452041522494</v>
      </c>
      <c r="O59" s="166">
        <f>N59*$M$4</f>
        <v>15211.014377854672</v>
      </c>
      <c r="P59" s="167">
        <f>O59</f>
        <v>15211.014377854672</v>
      </c>
      <c r="Q59" s="284">
        <f>HLOOKUP(R$2,InflationTable,2)/HLOOKUP(Labor!$B$11,InflationTable,2)*$J59</f>
        <v>360.81941082352938</v>
      </c>
      <c r="R59" s="245">
        <f>Q59*$S$4</f>
        <v>15515.234665411763</v>
      </c>
      <c r="S59" s="246">
        <f>R59</f>
        <v>15515.234665411763</v>
      </c>
      <c r="T59" s="169">
        <f t="shared" si="23"/>
        <v>15117.408135529411</v>
      </c>
      <c r="U59" s="174" t="s">
        <v>12</v>
      </c>
      <c r="V59" s="322" t="s">
        <v>12</v>
      </c>
    </row>
    <row r="60" spans="1:22" ht="13" x14ac:dyDescent="0.3">
      <c r="B60" s="459" t="s">
        <v>115</v>
      </c>
      <c r="C60" s="290">
        <v>0</v>
      </c>
      <c r="D60" s="290">
        <v>0</v>
      </c>
      <c r="E60" s="290">
        <v>0</v>
      </c>
      <c r="F60" s="290">
        <v>4</v>
      </c>
      <c r="G60" s="290">
        <v>0</v>
      </c>
      <c r="H60" s="290">
        <v>0</v>
      </c>
      <c r="I60" s="581"/>
      <c r="J60" s="291">
        <f>SUM(C60:H60)</f>
        <v>4</v>
      </c>
      <c r="K60" s="242" t="s">
        <v>12</v>
      </c>
      <c r="L60" s="273">
        <f>J60*$M$4</f>
        <v>172</v>
      </c>
      <c r="M60" s="274">
        <f>L60</f>
        <v>172</v>
      </c>
      <c r="N60" s="53" t="s">
        <v>12</v>
      </c>
      <c r="O60" s="147">
        <f>$J$60*$P$4</f>
        <v>172</v>
      </c>
      <c r="P60" s="148">
        <f>O60</f>
        <v>172</v>
      </c>
      <c r="Q60" s="242" t="s">
        <v>12</v>
      </c>
      <c r="R60" s="273">
        <f>$J$60*$S$4</f>
        <v>172</v>
      </c>
      <c r="S60" s="274">
        <f>R60</f>
        <v>172</v>
      </c>
      <c r="T60" s="104">
        <f t="shared" si="23"/>
        <v>172</v>
      </c>
      <c r="U60" s="42" t="s">
        <v>12</v>
      </c>
      <c r="V60" s="119" t="s">
        <v>12</v>
      </c>
    </row>
    <row r="61" spans="1:22" s="1" customFormat="1" ht="13.5" thickBot="1" x14ac:dyDescent="0.35">
      <c r="B61" s="596" t="s">
        <v>8</v>
      </c>
      <c r="C61" s="175">
        <f>ROUND(C60*Labor!$D$3,0)</f>
        <v>0</v>
      </c>
      <c r="D61" s="175">
        <f>ROUND(D60*Labor!$D$4,0)</f>
        <v>0</v>
      </c>
      <c r="E61" s="175">
        <f>ROUND(E60*Labor!$D$5,0)</f>
        <v>0</v>
      </c>
      <c r="F61" s="175">
        <f>ROUND(F60*Labor!$D$6,0)</f>
        <v>110</v>
      </c>
      <c r="G61" s="175">
        <f>ROUND(G60*Labor!$D$7,0)</f>
        <v>0</v>
      </c>
      <c r="H61" s="175">
        <f>ROUND(H60*Labor!$D$8,0)</f>
        <v>0</v>
      </c>
      <c r="I61" s="594"/>
      <c r="J61" s="167">
        <f>SUM(C61:H61)</f>
        <v>110</v>
      </c>
      <c r="K61" s="284">
        <f>HLOOKUP(L$2,InflationTable,2)/HLOOKUP(Labor!$B$11,InflationTable,2)*$J61</f>
        <v>235.31626297577853</v>
      </c>
      <c r="L61" s="245">
        <f>K61*$M$4</f>
        <v>10118.599307958477</v>
      </c>
      <c r="M61" s="246">
        <f>L61</f>
        <v>10118.599307958477</v>
      </c>
      <c r="N61" s="169">
        <f>HLOOKUP(O$2,InflationTable,2)/HLOOKUP(Labor!$B$11,InflationTable,2)*$J61</f>
        <v>244.72891349480972</v>
      </c>
      <c r="O61" s="166">
        <f>N61*$P$4</f>
        <v>10523.343280276818</v>
      </c>
      <c r="P61" s="167">
        <f>O61</f>
        <v>10523.343280276818</v>
      </c>
      <c r="Q61" s="284">
        <f>HLOOKUP(R$2,InflationTable,2)/HLOOKUP(Labor!$B$11,InflationTable,2)*$J61</f>
        <v>249.62349176470585</v>
      </c>
      <c r="R61" s="245">
        <f>Q61*$S$4</f>
        <v>10733.810145882351</v>
      </c>
      <c r="S61" s="246">
        <f>R61</f>
        <v>10733.810145882351</v>
      </c>
      <c r="T61" s="169">
        <f t="shared" si="23"/>
        <v>10458.584244705882</v>
      </c>
      <c r="U61" s="174" t="s">
        <v>12</v>
      </c>
      <c r="V61" s="322" t="s">
        <v>12</v>
      </c>
    </row>
    <row r="62" spans="1:22" ht="13" x14ac:dyDescent="0.3">
      <c r="B62" s="1095" t="s">
        <v>376</v>
      </c>
      <c r="C62" s="1100">
        <v>0</v>
      </c>
      <c r="D62" s="1100">
        <v>0.25</v>
      </c>
      <c r="E62" s="1100">
        <v>0</v>
      </c>
      <c r="F62" s="1100">
        <v>0</v>
      </c>
      <c r="G62" s="1100">
        <v>0</v>
      </c>
      <c r="H62" s="1100">
        <v>0</v>
      </c>
      <c r="I62" s="1104"/>
      <c r="J62" s="291">
        <f>SUM(C62:I62)</f>
        <v>0.25</v>
      </c>
      <c r="K62" s="242">
        <f>J62</f>
        <v>0.25</v>
      </c>
      <c r="L62" s="273">
        <f>K62*M4</f>
        <v>10.75</v>
      </c>
      <c r="M62" s="274">
        <f t="shared" ref="M62:M63" si="24">L62</f>
        <v>10.75</v>
      </c>
      <c r="N62" s="53">
        <f>J62</f>
        <v>0.25</v>
      </c>
      <c r="O62" s="147">
        <f>N62*P4</f>
        <v>10.75</v>
      </c>
      <c r="P62" s="148">
        <f t="shared" ref="P62:P63" si="25">O62</f>
        <v>10.75</v>
      </c>
      <c r="Q62" s="242">
        <f>J62</f>
        <v>0.25</v>
      </c>
      <c r="R62" s="273">
        <f>Q62*S4</f>
        <v>10.75</v>
      </c>
      <c r="S62" s="274">
        <f t="shared" ref="S62:S63" si="26">R62</f>
        <v>10.75</v>
      </c>
      <c r="T62" s="104">
        <f t="shared" ref="T62:T63" si="27">AVERAGE(M62,P62,S62)</f>
        <v>10.75</v>
      </c>
      <c r="U62" s="42" t="s">
        <v>12</v>
      </c>
      <c r="V62" s="119" t="s">
        <v>12</v>
      </c>
    </row>
    <row r="63" spans="1:22" ht="13.5" thickBot="1" x14ac:dyDescent="0.35">
      <c r="B63" s="465" t="s">
        <v>8</v>
      </c>
      <c r="C63" s="1097">
        <f>ROUND(C62*Labor!$D$3,0)</f>
        <v>0</v>
      </c>
      <c r="D63" s="1097">
        <f>ROUND(D62*Labor!$D$3,0)</f>
        <v>6</v>
      </c>
      <c r="E63" s="1097">
        <f>ROUND(E62*Labor!$D$3,0)</f>
        <v>0</v>
      </c>
      <c r="F63" s="1097">
        <f>ROUND(F62*Labor!$D$3,0)</f>
        <v>0</v>
      </c>
      <c r="G63" s="1097">
        <f>ROUND(G62*Labor!$D$3,0)</f>
        <v>0</v>
      </c>
      <c r="H63" s="1097">
        <f>ROUND(H62*Labor!$D$3,0)</f>
        <v>0</v>
      </c>
      <c r="I63" s="1097"/>
      <c r="J63" s="1094">
        <f>SUM(C63:H63)</f>
        <v>6</v>
      </c>
      <c r="K63" s="284">
        <f>HLOOKUP(L$2,InflationTable,2)/HLOOKUP(Labor!$B$11,InflationTable,2)*$J63</f>
        <v>12.835432525951557</v>
      </c>
      <c r="L63" s="245">
        <f>L62*K63</f>
        <v>137.98089965397924</v>
      </c>
      <c r="M63" s="246">
        <f t="shared" si="24"/>
        <v>137.98089965397924</v>
      </c>
      <c r="N63" s="169">
        <f>HLOOKUP(O$2,InflationTable,2)/HLOOKUP(Labor!$B$11,InflationTable,2)*$J63</f>
        <v>13.348849826989621</v>
      </c>
      <c r="O63" s="166">
        <f>O62*N63</f>
        <v>143.50013564013844</v>
      </c>
      <c r="P63" s="167">
        <f t="shared" si="25"/>
        <v>143.50013564013844</v>
      </c>
      <c r="Q63" s="284">
        <f>HLOOKUP(R$2,InflationTable,2)/HLOOKUP(Labor!$B$11,InflationTable,2)*$J63</f>
        <v>13.61582682352941</v>
      </c>
      <c r="R63" s="245">
        <f>R62*Q63</f>
        <v>146.37013835294115</v>
      </c>
      <c r="S63" s="246">
        <f t="shared" si="26"/>
        <v>146.37013835294115</v>
      </c>
      <c r="T63" s="169">
        <f t="shared" si="27"/>
        <v>142.61705788235292</v>
      </c>
      <c r="U63" s="110" t="s">
        <v>12</v>
      </c>
      <c r="V63" s="115" t="s">
        <v>12</v>
      </c>
    </row>
    <row r="64" spans="1:22" ht="13" x14ac:dyDescent="0.3">
      <c r="B64" s="139" t="s">
        <v>66</v>
      </c>
      <c r="C64" s="30">
        <f>C58+C60+C62</f>
        <v>0</v>
      </c>
      <c r="D64" s="30">
        <f t="shared" ref="D64:J64" si="28">D58+D60+D62</f>
        <v>0.25</v>
      </c>
      <c r="E64" s="30">
        <f t="shared" si="28"/>
        <v>3</v>
      </c>
      <c r="F64" s="30">
        <f t="shared" si="28"/>
        <v>7</v>
      </c>
      <c r="G64" s="30">
        <f t="shared" si="28"/>
        <v>0</v>
      </c>
      <c r="H64" s="30">
        <f t="shared" si="28"/>
        <v>0</v>
      </c>
      <c r="I64" s="30">
        <f t="shared" si="28"/>
        <v>0</v>
      </c>
      <c r="J64" s="30">
        <f t="shared" si="28"/>
        <v>10.25</v>
      </c>
      <c r="K64" s="242" t="s">
        <v>12</v>
      </c>
      <c r="L64" s="235">
        <f>L58+L60+L62</f>
        <v>440.75</v>
      </c>
      <c r="M64" s="235">
        <f>M58+M60+M62</f>
        <v>440.75</v>
      </c>
      <c r="N64" s="53" t="s">
        <v>12</v>
      </c>
      <c r="O64" s="28">
        <f>O58+O60+O62</f>
        <v>440.75</v>
      </c>
      <c r="P64" s="28">
        <f>P58+P60+P62</f>
        <v>440.75</v>
      </c>
      <c r="Q64" s="242" t="s">
        <v>12</v>
      </c>
      <c r="R64" s="235">
        <f>R58+R60+R62</f>
        <v>440.75</v>
      </c>
      <c r="S64" s="235">
        <f>S58+S60+S62</f>
        <v>440.75</v>
      </c>
      <c r="T64" s="104">
        <f t="shared" si="23"/>
        <v>440.75</v>
      </c>
      <c r="U64" s="42" t="s">
        <v>12</v>
      </c>
      <c r="V64" s="119" t="s">
        <v>12</v>
      </c>
    </row>
    <row r="65" spans="2:22" ht="13.5" thickBot="1" x14ac:dyDescent="0.35">
      <c r="B65" s="460" t="s">
        <v>67</v>
      </c>
      <c r="C65" s="593">
        <f>C59+C61+C63</f>
        <v>0</v>
      </c>
      <c r="D65" s="593">
        <f t="shared" ref="D65:J65" si="29">D59+D61+D63</f>
        <v>6</v>
      </c>
      <c r="E65" s="593">
        <f t="shared" si="29"/>
        <v>76</v>
      </c>
      <c r="F65" s="593">
        <f t="shared" si="29"/>
        <v>193</v>
      </c>
      <c r="G65" s="593">
        <f t="shared" si="29"/>
        <v>0</v>
      </c>
      <c r="H65" s="593">
        <f t="shared" si="29"/>
        <v>0</v>
      </c>
      <c r="I65" s="593">
        <f t="shared" si="29"/>
        <v>0</v>
      </c>
      <c r="J65" s="593">
        <f t="shared" si="29"/>
        <v>275</v>
      </c>
      <c r="K65" s="225">
        <f>K59+K61+K63</f>
        <v>588.29065743944636</v>
      </c>
      <c r="L65" s="225">
        <f>L59+L61+L63</f>
        <v>24882.555570934255</v>
      </c>
      <c r="M65" s="225">
        <f>M59+M61+M63</f>
        <v>24882.555570934255</v>
      </c>
      <c r="N65" s="593">
        <f>N59+N61+N63</f>
        <v>611.82228373702424</v>
      </c>
      <c r="O65" s="593">
        <f>O59+O61+O63</f>
        <v>25877.857793771629</v>
      </c>
      <c r="P65" s="593">
        <f>P59+P61+P63</f>
        <v>25877.857793771629</v>
      </c>
      <c r="Q65" s="225">
        <f>Q59+Q61+Q63</f>
        <v>624.05872941176472</v>
      </c>
      <c r="R65" s="225">
        <f>R59+R61+R63</f>
        <v>26395.414949647056</v>
      </c>
      <c r="S65" s="225">
        <f>S59+S61+S63</f>
        <v>26395.414949647056</v>
      </c>
      <c r="T65" s="206">
        <f t="shared" si="23"/>
        <v>25718.609438117648</v>
      </c>
      <c r="U65" s="203" t="s">
        <v>12</v>
      </c>
      <c r="V65" s="180" t="s">
        <v>12</v>
      </c>
    </row>
    <row r="66" spans="2:22" ht="13.5" thickTop="1" x14ac:dyDescent="0.3">
      <c r="B66" s="519"/>
      <c r="C66" s="516"/>
      <c r="D66" s="516"/>
      <c r="E66" s="516"/>
      <c r="F66" s="516"/>
      <c r="G66" s="516"/>
      <c r="H66" s="516"/>
      <c r="I66" s="517"/>
      <c r="J66" s="517"/>
      <c r="K66" s="517"/>
      <c r="L66" s="517"/>
      <c r="M66" s="517"/>
      <c r="N66" s="517"/>
      <c r="O66" s="517"/>
      <c r="P66" s="517"/>
      <c r="Q66" s="517"/>
      <c r="R66" s="517"/>
      <c r="S66" s="516"/>
      <c r="T66" s="520"/>
      <c r="U66" s="521"/>
      <c r="V66" s="522"/>
    </row>
    <row r="67" spans="2:22" ht="13" thickBot="1" x14ac:dyDescent="0.3">
      <c r="B67" s="335"/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5"/>
      <c r="Q67" s="335"/>
      <c r="R67" s="335"/>
      <c r="S67" s="335"/>
      <c r="T67" s="335"/>
      <c r="U67" s="335"/>
      <c r="V67" s="335"/>
    </row>
    <row r="68" spans="2:22" ht="27.5" thickTop="1" thickBot="1" x14ac:dyDescent="0.4">
      <c r="B68" s="463" t="s">
        <v>28</v>
      </c>
      <c r="F68" s="1" t="s">
        <v>6</v>
      </c>
      <c r="G68" s="1160"/>
      <c r="H68" s="1161"/>
      <c r="I68" s="1161"/>
      <c r="J68" s="1162"/>
      <c r="K68" s="2" t="s">
        <v>28</v>
      </c>
      <c r="M68" s="31"/>
      <c r="N68" s="2" t="s">
        <v>28</v>
      </c>
      <c r="P68" s="31"/>
      <c r="Q68" s="2" t="s">
        <v>28</v>
      </c>
      <c r="S68" s="31"/>
      <c r="T68" s="448" t="s">
        <v>17</v>
      </c>
      <c r="U68" s="449" t="s">
        <v>103</v>
      </c>
      <c r="V68" s="523" t="s">
        <v>79</v>
      </c>
    </row>
    <row r="69" spans="2:22" ht="13" x14ac:dyDescent="0.3">
      <c r="B69" s="144"/>
      <c r="J69" s="32" t="s">
        <v>61</v>
      </c>
      <c r="K69" s="227" t="s">
        <v>61</v>
      </c>
      <c r="L69" s="1167" t="s">
        <v>57</v>
      </c>
      <c r="M69" s="1168"/>
      <c r="N69" s="50" t="s">
        <v>61</v>
      </c>
      <c r="O69" s="1177" t="s">
        <v>57</v>
      </c>
      <c r="P69" s="1181"/>
      <c r="Q69" s="266" t="s">
        <v>61</v>
      </c>
      <c r="R69" s="1167" t="s">
        <v>57</v>
      </c>
      <c r="S69" s="1168"/>
      <c r="T69" s="139"/>
      <c r="U69" s="108"/>
      <c r="V69" s="31"/>
    </row>
    <row r="70" spans="2:22" ht="13" x14ac:dyDescent="0.3">
      <c r="B70" s="457"/>
      <c r="C70" s="20" t="s">
        <v>45</v>
      </c>
      <c r="D70" s="20" t="s">
        <v>46</v>
      </c>
      <c r="E70" s="20" t="s">
        <v>47</v>
      </c>
      <c r="F70" s="20" t="s">
        <v>48</v>
      </c>
      <c r="G70" s="20" t="s">
        <v>49</v>
      </c>
      <c r="H70" s="20" t="s">
        <v>50</v>
      </c>
      <c r="I70" s="20" t="s">
        <v>190</v>
      </c>
      <c r="J70" s="32" t="s">
        <v>13</v>
      </c>
      <c r="K70" s="210" t="s">
        <v>56</v>
      </c>
      <c r="L70" s="211" t="s">
        <v>13</v>
      </c>
      <c r="M70" s="212" t="s">
        <v>68</v>
      </c>
      <c r="N70" s="66" t="s">
        <v>56</v>
      </c>
      <c r="O70" s="20" t="s">
        <v>13</v>
      </c>
      <c r="P70" s="32" t="s">
        <v>68</v>
      </c>
      <c r="Q70" s="210" t="s">
        <v>56</v>
      </c>
      <c r="R70" s="211" t="s">
        <v>13</v>
      </c>
      <c r="S70" s="212" t="s">
        <v>68</v>
      </c>
      <c r="T70" s="95"/>
      <c r="U70" s="108"/>
      <c r="V70" s="31"/>
    </row>
    <row r="71" spans="2:22" ht="13" x14ac:dyDescent="0.3">
      <c r="B71" s="457" t="s">
        <v>111</v>
      </c>
      <c r="C71" s="18">
        <v>0</v>
      </c>
      <c r="D71" s="18">
        <v>0</v>
      </c>
      <c r="E71" s="18">
        <v>0</v>
      </c>
      <c r="F71" s="18">
        <v>18</v>
      </c>
      <c r="G71" s="18">
        <v>18</v>
      </c>
      <c r="H71" s="18">
        <v>0</v>
      </c>
      <c r="I71" s="580"/>
      <c r="J71" s="45">
        <f>SUM(C71:H71)</f>
        <v>36</v>
      </c>
      <c r="K71" s="213" t="s">
        <v>12</v>
      </c>
      <c r="L71" s="231">
        <f>J71*$M$4</f>
        <v>1548</v>
      </c>
      <c r="M71" s="239">
        <f>L71</f>
        <v>1548</v>
      </c>
      <c r="N71" s="51" t="s">
        <v>12</v>
      </c>
      <c r="O71" s="58">
        <f>$J$71*$P$4</f>
        <v>1548</v>
      </c>
      <c r="P71" s="57">
        <f>O71</f>
        <v>1548</v>
      </c>
      <c r="Q71" s="213" t="s">
        <v>12</v>
      </c>
      <c r="R71" s="231">
        <f>$J$71*$P$4</f>
        <v>1548</v>
      </c>
      <c r="S71" s="239">
        <f>R71</f>
        <v>1548</v>
      </c>
      <c r="T71" s="96">
        <f>AVERAGE(M71,P71,S71)</f>
        <v>1548</v>
      </c>
      <c r="U71" s="34" t="s">
        <v>12</v>
      </c>
      <c r="V71" s="42" t="s">
        <v>12</v>
      </c>
    </row>
    <row r="72" spans="2:22" s="1" customFormat="1" ht="13.5" thickBot="1" x14ac:dyDescent="0.35">
      <c r="B72" s="595" t="s">
        <v>8</v>
      </c>
      <c r="C72" s="175">
        <f>ROUND(C71*Labor!$D$3,0)</f>
        <v>0</v>
      </c>
      <c r="D72" s="175">
        <f>ROUND(D71*Labor!$D$4,0)</f>
        <v>0</v>
      </c>
      <c r="E72" s="175">
        <f>ROUND(E71*Labor!$D$5,0)</f>
        <v>0</v>
      </c>
      <c r="F72" s="175">
        <f>ROUND(F71*Labor!$D$6,0)</f>
        <v>496</v>
      </c>
      <c r="G72" s="175">
        <f>ROUND(G71*Labor!$D$7,0)</f>
        <v>564</v>
      </c>
      <c r="H72" s="175">
        <f>ROUND(H71*Labor!$D$8,0)</f>
        <v>0</v>
      </c>
      <c r="I72" s="594"/>
      <c r="J72" s="167">
        <f>SUM(C72:H72)</f>
        <v>1060</v>
      </c>
      <c r="K72" s="284">
        <f>HLOOKUP(L$2,InflationTable,2)/HLOOKUP(Labor!$B$11,InflationTable,2)*$J72</f>
        <v>2267.5930795847748</v>
      </c>
      <c r="L72" s="245">
        <f>K72*$M$4</f>
        <v>97506.50242214532</v>
      </c>
      <c r="M72" s="246">
        <f>L72</f>
        <v>97506.50242214532</v>
      </c>
      <c r="N72" s="169">
        <f>HLOOKUP(O$2,InflationTable,2)/HLOOKUP(Labor!$B$11,InflationTable,2)*$J72</f>
        <v>2358.2968027681663</v>
      </c>
      <c r="O72" s="166">
        <f>N72*$P$4</f>
        <v>101406.76251903115</v>
      </c>
      <c r="P72" s="167">
        <f>O72</f>
        <v>101406.76251903115</v>
      </c>
      <c r="Q72" s="284">
        <f>HLOOKUP(R$2,InflationTable,2)/HLOOKUP(Labor!$B$11,InflationTable,2)*$J72</f>
        <v>2405.462738823529</v>
      </c>
      <c r="R72" s="245">
        <f>Q72*$S$4</f>
        <v>103434.89776941175</v>
      </c>
      <c r="S72" s="246">
        <f>R72</f>
        <v>103434.89776941175</v>
      </c>
      <c r="T72" s="169">
        <f>AVERAGE(M72,P72,S72)</f>
        <v>100782.72090352939</v>
      </c>
      <c r="U72" s="323" t="s">
        <v>12</v>
      </c>
      <c r="V72" s="174" t="s">
        <v>12</v>
      </c>
    </row>
    <row r="73" spans="2:22" ht="13" x14ac:dyDescent="0.3">
      <c r="B73" s="459" t="s">
        <v>110</v>
      </c>
      <c r="C73" s="290">
        <v>0</v>
      </c>
      <c r="D73" s="290">
        <v>0</v>
      </c>
      <c r="E73" s="290">
        <v>18</v>
      </c>
      <c r="F73" s="290">
        <v>12</v>
      </c>
      <c r="G73" s="290">
        <v>0</v>
      </c>
      <c r="H73" s="290">
        <v>0</v>
      </c>
      <c r="I73" s="581"/>
      <c r="J73" s="291">
        <f>SUM(C73:H73)</f>
        <v>30</v>
      </c>
      <c r="K73" s="242" t="s">
        <v>12</v>
      </c>
      <c r="L73" s="273">
        <f>J73*$M$4</f>
        <v>1290</v>
      </c>
      <c r="M73" s="274">
        <f>L73</f>
        <v>1290</v>
      </c>
      <c r="N73" s="53" t="s">
        <v>12</v>
      </c>
      <c r="O73" s="147">
        <f>$J$73*$P$4</f>
        <v>1290</v>
      </c>
      <c r="P73" s="148">
        <f>O73</f>
        <v>1290</v>
      </c>
      <c r="Q73" s="242" t="s">
        <v>12</v>
      </c>
      <c r="R73" s="273">
        <f>$J$73*$P$4</f>
        <v>1290</v>
      </c>
      <c r="S73" s="274">
        <f>R73</f>
        <v>1290</v>
      </c>
      <c r="T73" s="104">
        <f>AVERAGE(M73,P73,S73)</f>
        <v>1290</v>
      </c>
      <c r="U73" s="34" t="s">
        <v>12</v>
      </c>
      <c r="V73" s="42" t="s">
        <v>12</v>
      </c>
    </row>
    <row r="74" spans="2:22" s="1" customFormat="1" ht="13.5" thickBot="1" x14ac:dyDescent="0.35">
      <c r="B74" s="595" t="s">
        <v>8</v>
      </c>
      <c r="C74" s="175">
        <f>ROUND(C73*Labor!$D$3,0)</f>
        <v>0</v>
      </c>
      <c r="D74" s="175">
        <f>ROUND(D73*Labor!$D$4,0)</f>
        <v>0</v>
      </c>
      <c r="E74" s="175">
        <f>ROUND(E73*Labor!$D$5,0)</f>
        <v>454</v>
      </c>
      <c r="F74" s="175">
        <f>ROUND(F73*Labor!$D$6,0)</f>
        <v>331</v>
      </c>
      <c r="G74" s="175">
        <f>ROUND(G73*Labor!$D$7,0)</f>
        <v>0</v>
      </c>
      <c r="H74" s="175">
        <f>ROUND(H73*Labor!$D$8,0)</f>
        <v>0</v>
      </c>
      <c r="I74" s="594"/>
      <c r="J74" s="167">
        <f>SUM(C74:H74)</f>
        <v>785</v>
      </c>
      <c r="K74" s="284">
        <f>HLOOKUP(L$2,InflationTable,2)/HLOOKUP(Labor!$B$11,InflationTable,2)*$J74</f>
        <v>1679.3024221453286</v>
      </c>
      <c r="L74" s="245">
        <f>K74*$M$4</f>
        <v>72210.004152249123</v>
      </c>
      <c r="M74" s="246">
        <f>L74</f>
        <v>72210.004152249123</v>
      </c>
      <c r="N74" s="169">
        <f>HLOOKUP(O$2,InflationTable,2)/HLOOKUP(Labor!$B$11,InflationTable,2)*$J74</f>
        <v>1746.4745190311419</v>
      </c>
      <c r="O74" s="166">
        <f>N74*$P$4</f>
        <v>75098.404318339104</v>
      </c>
      <c r="P74" s="167">
        <f>O74</f>
        <v>75098.404318339104</v>
      </c>
      <c r="Q74" s="284">
        <f>HLOOKUP(R$2,InflationTable,2)/HLOOKUP(Labor!$B$11,InflationTable,2)*$J74</f>
        <v>1781.4040094117645</v>
      </c>
      <c r="R74" s="245">
        <f>Q74*$S$4</f>
        <v>76600.372404705879</v>
      </c>
      <c r="S74" s="246">
        <f>R74</f>
        <v>76600.372404705879</v>
      </c>
      <c r="T74" s="169">
        <f>AVERAGE(M74,P74,S74)</f>
        <v>74636.260291764702</v>
      </c>
      <c r="U74" s="323" t="s">
        <v>12</v>
      </c>
      <c r="V74" s="174" t="s">
        <v>12</v>
      </c>
    </row>
    <row r="75" spans="2:22" ht="13" x14ac:dyDescent="0.3">
      <c r="B75" s="459" t="s">
        <v>20</v>
      </c>
      <c r="C75" s="86" t="s">
        <v>45</v>
      </c>
      <c r="D75" s="86" t="s">
        <v>46</v>
      </c>
      <c r="E75" s="86" t="s">
        <v>47</v>
      </c>
      <c r="F75" s="86" t="s">
        <v>48</v>
      </c>
      <c r="G75" s="86" t="s">
        <v>49</v>
      </c>
      <c r="H75" s="86" t="s">
        <v>50</v>
      </c>
      <c r="I75" s="130" t="s">
        <v>190</v>
      </c>
      <c r="J75" s="87" t="s">
        <v>13</v>
      </c>
      <c r="K75" s="292"/>
      <c r="L75" s="293"/>
      <c r="M75" s="296"/>
      <c r="N75" s="88" t="s">
        <v>56</v>
      </c>
      <c r="O75" s="86" t="s">
        <v>13</v>
      </c>
      <c r="P75" s="87" t="s">
        <v>68</v>
      </c>
      <c r="Q75" s="292" t="s">
        <v>56</v>
      </c>
      <c r="R75" s="293" t="s">
        <v>13</v>
      </c>
      <c r="S75" s="296" t="s">
        <v>68</v>
      </c>
      <c r="T75" s="98"/>
      <c r="U75" s="108"/>
      <c r="V75" s="31"/>
    </row>
    <row r="76" spans="2:22" x14ac:dyDescent="0.25">
      <c r="B76" s="458" t="s">
        <v>4</v>
      </c>
      <c r="C76" s="18">
        <v>0</v>
      </c>
      <c r="D76" s="18">
        <v>0</v>
      </c>
      <c r="E76" s="18">
        <v>0</v>
      </c>
      <c r="F76" s="18">
        <v>1</v>
      </c>
      <c r="G76" s="18">
        <v>1</v>
      </c>
      <c r="H76" s="18">
        <v>0</v>
      </c>
      <c r="I76" s="580"/>
      <c r="J76" s="45">
        <f t="shared" ref="J76:J81" si="30">SUM(C76:H76)</f>
        <v>2</v>
      </c>
      <c r="K76" s="213" t="s">
        <v>12</v>
      </c>
      <c r="L76" s="231">
        <f>J76*$M$4</f>
        <v>86</v>
      </c>
      <c r="M76" s="239">
        <f t="shared" ref="M76:M81" si="31">L76</f>
        <v>86</v>
      </c>
      <c r="N76" s="51" t="s">
        <v>12</v>
      </c>
      <c r="O76" s="58">
        <f>$J76*$P$4</f>
        <v>86</v>
      </c>
      <c r="P76" s="57">
        <f t="shared" ref="P76:P81" si="32">O76</f>
        <v>86</v>
      </c>
      <c r="Q76" s="213" t="s">
        <v>12</v>
      </c>
      <c r="R76" s="231">
        <f>$J76*$P$4</f>
        <v>86</v>
      </c>
      <c r="S76" s="239">
        <f t="shared" ref="S76:S81" si="33">R76</f>
        <v>86</v>
      </c>
      <c r="T76" s="96">
        <f t="shared" ref="T76:T81" si="34">AVERAGE(M76,P76,S76)</f>
        <v>86</v>
      </c>
      <c r="U76" s="34" t="s">
        <v>12</v>
      </c>
      <c r="V76" s="42" t="s">
        <v>12</v>
      </c>
    </row>
    <row r="77" spans="2:22" s="1" customFormat="1" ht="13.5" thickBot="1" x14ac:dyDescent="0.35">
      <c r="B77" s="595" t="s">
        <v>8</v>
      </c>
      <c r="C77" s="175">
        <f>ROUND(C76*Labor!$D$3,0)</f>
        <v>0</v>
      </c>
      <c r="D77" s="175">
        <f>ROUND(D76*Labor!$D$4,0)</f>
        <v>0</v>
      </c>
      <c r="E77" s="175">
        <f>ROUND(E76*Labor!$D$5,0)</f>
        <v>0</v>
      </c>
      <c r="F77" s="175">
        <f>ROUND(F76*Labor!$D$6,0)</f>
        <v>28</v>
      </c>
      <c r="G77" s="175">
        <f>ROUND(G76*Labor!$D$7,0)</f>
        <v>31</v>
      </c>
      <c r="H77" s="175">
        <f>ROUND(H76*Labor!$D$8,0)</f>
        <v>0</v>
      </c>
      <c r="I77" s="594"/>
      <c r="J77" s="167">
        <f t="shared" si="30"/>
        <v>59</v>
      </c>
      <c r="K77" s="284">
        <f>HLOOKUP(L$2,InflationTable,2)/HLOOKUP(Labor!$B$11,InflationTable,2)*$J77</f>
        <v>126.2150865051903</v>
      </c>
      <c r="L77" s="245">
        <f>K77*$M$4</f>
        <v>5427.2487197231831</v>
      </c>
      <c r="M77" s="246">
        <f t="shared" si="31"/>
        <v>5427.2487197231831</v>
      </c>
      <c r="N77" s="169">
        <f>HLOOKUP(O$2,InflationTable,2)/HLOOKUP(Labor!$B$11,InflationTable,2)*$J77</f>
        <v>131.26368996539793</v>
      </c>
      <c r="O77" s="166">
        <f>N77*$P$4</f>
        <v>5644.3386685121113</v>
      </c>
      <c r="P77" s="167">
        <f t="shared" si="32"/>
        <v>5644.3386685121113</v>
      </c>
      <c r="Q77" s="284">
        <f>HLOOKUP(R$2,InflationTable,2)/HLOOKUP(Labor!$B$11,InflationTable,2)*$J77</f>
        <v>133.88896376470586</v>
      </c>
      <c r="R77" s="245">
        <f>Q77*$S$4</f>
        <v>5757.2254418823522</v>
      </c>
      <c r="S77" s="246">
        <f t="shared" si="33"/>
        <v>5757.2254418823522</v>
      </c>
      <c r="T77" s="169">
        <f t="shared" si="34"/>
        <v>5609.6042767058825</v>
      </c>
      <c r="U77" s="323" t="s">
        <v>12</v>
      </c>
      <c r="V77" s="174" t="s">
        <v>12</v>
      </c>
    </row>
    <row r="78" spans="2:22" ht="13" x14ac:dyDescent="0.3">
      <c r="B78" s="459" t="s">
        <v>109</v>
      </c>
      <c r="C78" s="290">
        <v>0</v>
      </c>
      <c r="D78" s="290">
        <v>1</v>
      </c>
      <c r="E78" s="290">
        <v>1</v>
      </c>
      <c r="F78" s="290">
        <v>2</v>
      </c>
      <c r="G78" s="290">
        <v>1</v>
      </c>
      <c r="H78" s="290">
        <v>0</v>
      </c>
      <c r="I78" s="581"/>
      <c r="J78" s="291">
        <f t="shared" si="30"/>
        <v>5</v>
      </c>
      <c r="K78" s="242" t="s">
        <v>12</v>
      </c>
      <c r="L78" s="273">
        <f>J78*$M$4</f>
        <v>215</v>
      </c>
      <c r="M78" s="274">
        <f t="shared" si="31"/>
        <v>215</v>
      </c>
      <c r="N78" s="53" t="s">
        <v>12</v>
      </c>
      <c r="O78" s="147">
        <f>$J78*$P$4</f>
        <v>215</v>
      </c>
      <c r="P78" s="148">
        <f t="shared" si="32"/>
        <v>215</v>
      </c>
      <c r="Q78" s="242" t="s">
        <v>12</v>
      </c>
      <c r="R78" s="273">
        <f>$J78*$P$4</f>
        <v>215</v>
      </c>
      <c r="S78" s="274">
        <f t="shared" si="33"/>
        <v>215</v>
      </c>
      <c r="T78" s="104">
        <f t="shared" si="34"/>
        <v>215</v>
      </c>
      <c r="U78" s="34" t="s">
        <v>12</v>
      </c>
      <c r="V78" s="42" t="s">
        <v>12</v>
      </c>
    </row>
    <row r="79" spans="2:22" s="1" customFormat="1" ht="13.5" thickBot="1" x14ac:dyDescent="0.35">
      <c r="B79" s="595" t="s">
        <v>8</v>
      </c>
      <c r="C79" s="175">
        <f>ROUND(C78*Labor!$D$3,0)</f>
        <v>0</v>
      </c>
      <c r="D79" s="175">
        <f>ROUND(D78*Labor!$D$4,0)</f>
        <v>24</v>
      </c>
      <c r="E79" s="175">
        <f>ROUND(E78*Labor!$D$5,0)</f>
        <v>25</v>
      </c>
      <c r="F79" s="175">
        <f>ROUND(F78*Labor!$D$6,0)</f>
        <v>55</v>
      </c>
      <c r="G79" s="175">
        <f>ROUND(G78*Labor!$D$7,0)</f>
        <v>31</v>
      </c>
      <c r="H79" s="175">
        <f>ROUND(H78*Labor!$D$8,0)</f>
        <v>0</v>
      </c>
      <c r="I79" s="594"/>
      <c r="J79" s="167">
        <f t="shared" si="30"/>
        <v>135</v>
      </c>
      <c r="K79" s="284">
        <f>HLOOKUP(L$2,InflationTable,2)/HLOOKUP(Labor!$B$11,InflationTable,2)*$J79</f>
        <v>288.79723183391002</v>
      </c>
      <c r="L79" s="245">
        <f>K79*$M$4</f>
        <v>12418.280968858131</v>
      </c>
      <c r="M79" s="246">
        <f t="shared" si="31"/>
        <v>12418.280968858131</v>
      </c>
      <c r="N79" s="169">
        <f>HLOOKUP(O$2,InflationTable,2)/HLOOKUP(Labor!$B$11,InflationTable,2)*$J79</f>
        <v>300.34912110726646</v>
      </c>
      <c r="O79" s="166">
        <f>N79*$P$4</f>
        <v>12915.012207612457</v>
      </c>
      <c r="P79" s="167">
        <f t="shared" si="32"/>
        <v>12915.012207612457</v>
      </c>
      <c r="Q79" s="284">
        <f>HLOOKUP(R$2,InflationTable,2)/HLOOKUP(Labor!$B$11,InflationTable,2)*$J79</f>
        <v>306.35610352941171</v>
      </c>
      <c r="R79" s="245">
        <f>Q79*$S$4</f>
        <v>13173.312451764703</v>
      </c>
      <c r="S79" s="246">
        <f t="shared" si="33"/>
        <v>13173.312451764703</v>
      </c>
      <c r="T79" s="312">
        <f t="shared" si="34"/>
        <v>12835.535209411762</v>
      </c>
      <c r="U79" s="363" t="s">
        <v>12</v>
      </c>
      <c r="V79" s="313" t="s">
        <v>12</v>
      </c>
    </row>
    <row r="80" spans="2:22" ht="13" x14ac:dyDescent="0.3">
      <c r="B80" s="459" t="s">
        <v>108</v>
      </c>
      <c r="C80" s="290">
        <v>0</v>
      </c>
      <c r="D80" s="290">
        <v>0</v>
      </c>
      <c r="E80" s="290">
        <v>0</v>
      </c>
      <c r="F80" s="290">
        <v>3</v>
      </c>
      <c r="G80" s="290">
        <v>3</v>
      </c>
      <c r="H80" s="290">
        <v>0</v>
      </c>
      <c r="I80" s="581"/>
      <c r="J80" s="291">
        <f t="shared" si="30"/>
        <v>6</v>
      </c>
      <c r="K80" s="242" t="s">
        <v>12</v>
      </c>
      <c r="L80" s="273">
        <f>J80*$M$4</f>
        <v>258</v>
      </c>
      <c r="M80" s="274">
        <f t="shared" si="31"/>
        <v>258</v>
      </c>
      <c r="N80" s="53" t="s">
        <v>12</v>
      </c>
      <c r="O80" s="147">
        <f>$J80*$P$4</f>
        <v>258</v>
      </c>
      <c r="P80" s="148">
        <f t="shared" si="32"/>
        <v>258</v>
      </c>
      <c r="Q80" s="242" t="s">
        <v>12</v>
      </c>
      <c r="R80" s="273">
        <f>$J80*$P$4</f>
        <v>258</v>
      </c>
      <c r="S80" s="274">
        <f t="shared" si="33"/>
        <v>258</v>
      </c>
      <c r="T80" s="96">
        <f t="shared" si="34"/>
        <v>258</v>
      </c>
      <c r="U80" s="34" t="s">
        <v>12</v>
      </c>
      <c r="V80" s="42" t="s">
        <v>12</v>
      </c>
    </row>
    <row r="81" spans="2:22" s="1" customFormat="1" ht="13.5" thickBot="1" x14ac:dyDescent="0.35">
      <c r="B81" s="595" t="s">
        <v>8</v>
      </c>
      <c r="C81" s="175">
        <f>ROUND(C80*Labor!$D$3,0)</f>
        <v>0</v>
      </c>
      <c r="D81" s="175">
        <f>ROUND(D80*Labor!$D$4,0)</f>
        <v>0</v>
      </c>
      <c r="E81" s="175">
        <f>ROUND(E80*Labor!$D$5,0)</f>
        <v>0</v>
      </c>
      <c r="F81" s="175">
        <f>ROUND(F80*Labor!$D$6,0)</f>
        <v>83</v>
      </c>
      <c r="G81" s="175">
        <f>ROUND(G80*Labor!$D$7,0)</f>
        <v>94</v>
      </c>
      <c r="H81" s="175">
        <f>ROUND(H80*Labor!$D$8,0)</f>
        <v>0</v>
      </c>
      <c r="I81" s="594"/>
      <c r="J81" s="167">
        <f t="shared" si="30"/>
        <v>177</v>
      </c>
      <c r="K81" s="284">
        <f>HLOOKUP(L$2,InflationTable,2)/HLOOKUP(Labor!$B$11,InflationTable,2)*$J81</f>
        <v>378.6452595155709</v>
      </c>
      <c r="L81" s="245">
        <f>K81*$M$4</f>
        <v>16281.746159169548</v>
      </c>
      <c r="M81" s="246">
        <f t="shared" si="31"/>
        <v>16281.746159169548</v>
      </c>
      <c r="N81" s="169">
        <f>HLOOKUP(O$2,InflationTable,2)/HLOOKUP(Labor!$B$11,InflationTable,2)*$J81</f>
        <v>393.79106989619379</v>
      </c>
      <c r="O81" s="166">
        <f>N81*$P$4</f>
        <v>16933.016005536334</v>
      </c>
      <c r="P81" s="167">
        <f t="shared" si="32"/>
        <v>16933.016005536334</v>
      </c>
      <c r="Q81" s="284">
        <f>HLOOKUP(R$2,InflationTable,2)/HLOOKUP(Labor!$B$11,InflationTable,2)*$J81</f>
        <v>401.66689129411759</v>
      </c>
      <c r="R81" s="245">
        <f>Q81*$S$4</f>
        <v>17271.676325647055</v>
      </c>
      <c r="S81" s="246">
        <f t="shared" si="33"/>
        <v>17271.676325647055</v>
      </c>
      <c r="T81" s="169">
        <f t="shared" si="34"/>
        <v>16828.812830117648</v>
      </c>
      <c r="U81" s="323" t="s">
        <v>12</v>
      </c>
      <c r="V81" s="174" t="s">
        <v>12</v>
      </c>
    </row>
    <row r="82" spans="2:22" ht="13" x14ac:dyDescent="0.3">
      <c r="B82" s="106" t="s">
        <v>29</v>
      </c>
      <c r="C82" s="86" t="s">
        <v>45</v>
      </c>
      <c r="D82" s="86" t="s">
        <v>46</v>
      </c>
      <c r="E82" s="86" t="s">
        <v>47</v>
      </c>
      <c r="F82" s="86" t="s">
        <v>48</v>
      </c>
      <c r="G82" s="86" t="s">
        <v>49</v>
      </c>
      <c r="H82" s="86" t="s">
        <v>50</v>
      </c>
      <c r="I82" s="130" t="s">
        <v>190</v>
      </c>
      <c r="J82" s="87" t="s">
        <v>112</v>
      </c>
      <c r="K82" s="292"/>
      <c r="L82" s="293"/>
      <c r="M82" s="296"/>
      <c r="N82" s="88" t="s">
        <v>113</v>
      </c>
      <c r="O82" s="86" t="s">
        <v>13</v>
      </c>
      <c r="P82" s="87" t="s">
        <v>68</v>
      </c>
      <c r="Q82" s="292" t="s">
        <v>113</v>
      </c>
      <c r="R82" s="293" t="s">
        <v>13</v>
      </c>
      <c r="S82" s="296" t="s">
        <v>68</v>
      </c>
      <c r="T82" s="98"/>
      <c r="U82" s="108"/>
      <c r="V82" s="31"/>
    </row>
    <row r="83" spans="2:22" x14ac:dyDescent="0.25">
      <c r="B83" s="467" t="s">
        <v>51</v>
      </c>
      <c r="C83" s="18">
        <v>0</v>
      </c>
      <c r="D83" s="18">
        <v>0</v>
      </c>
      <c r="E83" s="18">
        <v>0.2</v>
      </c>
      <c r="F83" s="18">
        <v>0.3</v>
      </c>
      <c r="G83" s="18">
        <v>0</v>
      </c>
      <c r="H83" s="18">
        <v>0</v>
      </c>
      <c r="I83" s="580"/>
      <c r="J83" s="45">
        <f>SUM(C83:H83)</f>
        <v>0.5</v>
      </c>
      <c r="K83" s="213" t="s">
        <v>12</v>
      </c>
      <c r="L83" s="262">
        <f>J83*$K$5</f>
        <v>19.5</v>
      </c>
      <c r="M83" s="239">
        <f>L83</f>
        <v>19.5</v>
      </c>
      <c r="N83" s="51" t="s">
        <v>12</v>
      </c>
      <c r="O83" s="73">
        <f>$J83*N$5</f>
        <v>19.5</v>
      </c>
      <c r="P83" s="57">
        <f>O83</f>
        <v>19.5</v>
      </c>
      <c r="Q83" s="213" t="s">
        <v>12</v>
      </c>
      <c r="R83" s="262">
        <f>$J83*Q$5</f>
        <v>19.5</v>
      </c>
      <c r="S83" s="239">
        <f>R83</f>
        <v>19.5</v>
      </c>
      <c r="T83" s="96">
        <f>AVERAGE(M83,P83,S83)</f>
        <v>19.5</v>
      </c>
      <c r="U83" s="34" t="s">
        <v>12</v>
      </c>
      <c r="V83" s="42" t="s">
        <v>12</v>
      </c>
    </row>
    <row r="84" spans="2:22" s="1" customFormat="1" ht="13.5" thickBot="1" x14ac:dyDescent="0.35">
      <c r="B84" s="596" t="s">
        <v>107</v>
      </c>
      <c r="C84" s="175">
        <f>ROUND(C83*Labor!$D$3,0)</f>
        <v>0</v>
      </c>
      <c r="D84" s="175">
        <f>ROUND(D83*Labor!$D$4,0)</f>
        <v>0</v>
      </c>
      <c r="E84" s="175">
        <f>ROUND(E83*Labor!$D$5,0)</f>
        <v>5</v>
      </c>
      <c r="F84" s="175">
        <f>ROUND(F83*Labor!$D$6,0)</f>
        <v>8</v>
      </c>
      <c r="G84" s="175">
        <f>ROUND(G83*Labor!$D$7,0)</f>
        <v>0</v>
      </c>
      <c r="H84" s="175">
        <f>ROUND(H83*Labor!$D$8,0)</f>
        <v>0</v>
      </c>
      <c r="I84" s="594"/>
      <c r="J84" s="167">
        <f>SUM(C84:H84)</f>
        <v>13</v>
      </c>
      <c r="K84" s="284">
        <f>HLOOKUP(L$2,InflationTable,2)/HLOOKUP(Labor!$B$11,InflationTable,2)*$J84</f>
        <v>27.810103806228373</v>
      </c>
      <c r="L84" s="245">
        <f>K84*$K$5</f>
        <v>1084.5940484429066</v>
      </c>
      <c r="M84" s="246">
        <f>L84</f>
        <v>1084.5940484429066</v>
      </c>
      <c r="N84" s="169">
        <f>HLOOKUP(O$2,InflationTable,2)/HLOOKUP(Labor!$B$11,InflationTable,2)*$J84</f>
        <v>28.92250795847751</v>
      </c>
      <c r="O84" s="166">
        <f>N84*$N$5</f>
        <v>1127.9778103806229</v>
      </c>
      <c r="P84" s="167">
        <f>O84</f>
        <v>1127.9778103806229</v>
      </c>
      <c r="Q84" s="284">
        <f>HLOOKUP(R$2,InflationTable,2)/HLOOKUP(Labor!$B$11,InflationTable,2)*$J84</f>
        <v>29.500958117647055</v>
      </c>
      <c r="R84" s="245">
        <f>Q84*$Q$5</f>
        <v>1150.5373665882353</v>
      </c>
      <c r="S84" s="246">
        <f>R84</f>
        <v>1150.5373665882353</v>
      </c>
      <c r="T84" s="169">
        <f>AVERAGE(M84,P84,S84)</f>
        <v>1121.0364084705882</v>
      </c>
      <c r="U84" s="323" t="s">
        <v>12</v>
      </c>
      <c r="V84" s="174" t="s">
        <v>12</v>
      </c>
    </row>
    <row r="85" spans="2:22" ht="13" x14ac:dyDescent="0.3">
      <c r="B85" s="106" t="s">
        <v>106</v>
      </c>
      <c r="C85" s="5"/>
      <c r="D85" s="349" t="s">
        <v>54</v>
      </c>
      <c r="E85" s="24">
        <v>5</v>
      </c>
      <c r="J85" s="87" t="s">
        <v>55</v>
      </c>
      <c r="K85" s="209"/>
      <c r="L85" s="445"/>
      <c r="M85" s="446"/>
      <c r="N85" s="130" t="s">
        <v>55</v>
      </c>
      <c r="O85" s="1179" t="s">
        <v>57</v>
      </c>
      <c r="P85" s="1180"/>
      <c r="Q85" s="209" t="s">
        <v>55</v>
      </c>
      <c r="R85" s="1176" t="s">
        <v>57</v>
      </c>
      <c r="S85" s="1184"/>
      <c r="T85" s="139"/>
      <c r="U85" s="108"/>
      <c r="V85" s="31"/>
    </row>
    <row r="86" spans="2:22" x14ac:dyDescent="0.25">
      <c r="B86" s="467" t="s">
        <v>51</v>
      </c>
      <c r="C86" s="18">
        <v>0</v>
      </c>
      <c r="D86" s="18">
        <v>0</v>
      </c>
      <c r="E86" s="18">
        <v>0</v>
      </c>
      <c r="F86" s="18">
        <v>6</v>
      </c>
      <c r="G86" s="18">
        <v>18</v>
      </c>
      <c r="H86" s="18">
        <v>0</v>
      </c>
      <c r="I86" s="580"/>
      <c r="J86" s="45">
        <f>SUM(C86:H86)</f>
        <v>24</v>
      </c>
      <c r="K86" s="213" t="s">
        <v>12</v>
      </c>
      <c r="L86" s="233">
        <f>J86*$K$5</f>
        <v>936</v>
      </c>
      <c r="M86" s="232">
        <f>L86/$E$85</f>
        <v>187.2</v>
      </c>
      <c r="N86" s="51" t="s">
        <v>12</v>
      </c>
      <c r="O86" s="10">
        <f>$J$86*$N$5</f>
        <v>936</v>
      </c>
      <c r="P86" s="52">
        <f>O86/$E$85</f>
        <v>187.2</v>
      </c>
      <c r="Q86" s="213" t="s">
        <v>12</v>
      </c>
      <c r="R86" s="233">
        <f>$J$86*$Q$5</f>
        <v>936</v>
      </c>
      <c r="S86" s="232">
        <f>R86/$E$85</f>
        <v>187.2</v>
      </c>
      <c r="T86" s="96">
        <f>AVERAGE(M86,P86,S86)</f>
        <v>187.19999999999996</v>
      </c>
      <c r="U86" s="34" t="s">
        <v>12</v>
      </c>
      <c r="V86" s="42" t="s">
        <v>12</v>
      </c>
    </row>
    <row r="87" spans="2:22" s="1" customFormat="1" ht="13.5" thickBot="1" x14ac:dyDescent="0.35">
      <c r="B87" s="596" t="s">
        <v>105</v>
      </c>
      <c r="C87" s="175">
        <f>ROUND(C86*Labor!$D$3,0)</f>
        <v>0</v>
      </c>
      <c r="D87" s="175">
        <f>ROUND(D86*Labor!$D$4,0)</f>
        <v>0</v>
      </c>
      <c r="E87" s="175">
        <f>ROUND(E86*Labor!$D$5,0)</f>
        <v>0</v>
      </c>
      <c r="F87" s="175">
        <f>ROUND(F86*Labor!$D$6,0)</f>
        <v>165</v>
      </c>
      <c r="G87" s="175">
        <f>ROUND(G86*Labor!$D$7,0)</f>
        <v>564</v>
      </c>
      <c r="H87" s="175">
        <f>ROUND(H86*Labor!$D$8,0)</f>
        <v>0</v>
      </c>
      <c r="I87" s="594"/>
      <c r="J87" s="167">
        <f>SUM(C87:H87)</f>
        <v>729</v>
      </c>
      <c r="K87" s="284">
        <f>HLOOKUP(L$2,InflationTable,2)/HLOOKUP(Labor!$B$11,InflationTable,2)*$J87</f>
        <v>1559.505051903114</v>
      </c>
      <c r="L87" s="245">
        <f>K87*$K$5</f>
        <v>60820.697024221445</v>
      </c>
      <c r="M87" s="246">
        <f>L87/$E$85</f>
        <v>12164.139404844289</v>
      </c>
      <c r="N87" s="169">
        <f>HLOOKUP(O$2,InflationTable,2)/HLOOKUP(Labor!$B$11,InflationTable,2)*$J87</f>
        <v>1621.8852539792388</v>
      </c>
      <c r="O87" s="166">
        <f>N87*$N$5</f>
        <v>63253.524905190308</v>
      </c>
      <c r="P87" s="167">
        <f>O87/$E$85</f>
        <v>12650.704981038061</v>
      </c>
      <c r="Q87" s="284">
        <f>HLOOKUP(R$2,InflationTable,2)/HLOOKUP(Labor!$B$11,InflationTable,2)*$J87</f>
        <v>1654.3229590588232</v>
      </c>
      <c r="R87" s="245">
        <f>Q87*$Q$5</f>
        <v>64518.595403294108</v>
      </c>
      <c r="S87" s="246">
        <f>R87/$E$85</f>
        <v>12903.719080658822</v>
      </c>
      <c r="T87" s="169">
        <f>AVERAGE(M87,P87,S87)</f>
        <v>12572.854488847059</v>
      </c>
      <c r="U87" s="323" t="s">
        <v>12</v>
      </c>
      <c r="V87" s="174" t="s">
        <v>12</v>
      </c>
    </row>
    <row r="88" spans="2:22" ht="13" x14ac:dyDescent="0.3">
      <c r="B88" s="139" t="s">
        <v>66</v>
      </c>
      <c r="C88" s="36">
        <f t="shared" ref="C88:J89" si="35">C71+C73+C76+C78+C80+C83+C86</f>
        <v>0</v>
      </c>
      <c r="D88" s="36">
        <f t="shared" si="35"/>
        <v>1</v>
      </c>
      <c r="E88" s="36">
        <f t="shared" si="35"/>
        <v>19.2</v>
      </c>
      <c r="F88" s="36">
        <f t="shared" si="35"/>
        <v>42.3</v>
      </c>
      <c r="G88" s="36">
        <f t="shared" si="35"/>
        <v>41</v>
      </c>
      <c r="H88" s="36">
        <f t="shared" si="35"/>
        <v>0</v>
      </c>
      <c r="I88" s="583"/>
      <c r="J88" s="46">
        <f t="shared" si="35"/>
        <v>103.5</v>
      </c>
      <c r="K88" s="242" t="s">
        <v>12</v>
      </c>
      <c r="L88" s="263" t="s">
        <v>12</v>
      </c>
      <c r="M88" s="264">
        <f>M86+L83+L80+L78+L76+L73+L71</f>
        <v>3603.7</v>
      </c>
      <c r="N88" s="75" t="s">
        <v>12</v>
      </c>
      <c r="O88" s="36" t="s">
        <v>12</v>
      </c>
      <c r="P88" s="74">
        <f>P86+O83+O80+O78+O76+O73+O71</f>
        <v>3603.7</v>
      </c>
      <c r="Q88" s="242" t="s">
        <v>12</v>
      </c>
      <c r="R88" s="263" t="s">
        <v>12</v>
      </c>
      <c r="S88" s="264">
        <f>S86+R83+R80+R78+R76+R73+R71</f>
        <v>3603.7</v>
      </c>
      <c r="T88" s="122">
        <f>AVERAGE(M88,P88,S88)</f>
        <v>3603.6999999999994</v>
      </c>
      <c r="U88" s="108"/>
      <c r="V88" s="31"/>
    </row>
    <row r="89" spans="2:22" ht="13.5" thickBot="1" x14ac:dyDescent="0.35">
      <c r="B89" s="460" t="s">
        <v>67</v>
      </c>
      <c r="C89" s="194">
        <f t="shared" si="35"/>
        <v>0</v>
      </c>
      <c r="D89" s="194">
        <f t="shared" si="35"/>
        <v>24</v>
      </c>
      <c r="E89" s="194">
        <f t="shared" si="35"/>
        <v>484</v>
      </c>
      <c r="F89" s="194">
        <f t="shared" si="35"/>
        <v>1166</v>
      </c>
      <c r="G89" s="194">
        <f t="shared" si="35"/>
        <v>1284</v>
      </c>
      <c r="H89" s="194">
        <f t="shared" si="35"/>
        <v>0</v>
      </c>
      <c r="I89" s="201"/>
      <c r="J89" s="197">
        <f t="shared" si="35"/>
        <v>2958</v>
      </c>
      <c r="K89" s="224">
        <f>K72+K74+K77+K79+K81+K84+K87</f>
        <v>6327.8682352941169</v>
      </c>
      <c r="L89" s="265" t="s">
        <v>12</v>
      </c>
      <c r="M89" s="254">
        <f>M87+L84+L81+L79+L77+L74+L72</f>
        <v>217092.51587543252</v>
      </c>
      <c r="N89" s="196">
        <f>N72+N74+N77+N79+N81+N84+N87</f>
        <v>6580.9829647058823</v>
      </c>
      <c r="O89" s="207" t="s">
        <v>12</v>
      </c>
      <c r="P89" s="178">
        <f>P87+O84+O81+O79+O77+O74+O72</f>
        <v>225776.21651044983</v>
      </c>
      <c r="Q89" s="224">
        <f>Q72+Q74+Q77+Q79+Q81+Q84+Q87</f>
        <v>6712.6026240000001</v>
      </c>
      <c r="R89" s="265" t="s">
        <v>12</v>
      </c>
      <c r="S89" s="254">
        <f>S87+R84+R81+R79+R77+R74+R72</f>
        <v>230291.74084065878</v>
      </c>
      <c r="T89" s="206">
        <f>AVERAGE(M89,P89,S89)</f>
        <v>224386.82440884705</v>
      </c>
      <c r="U89" s="200"/>
      <c r="V89" s="190"/>
    </row>
    <row r="90" spans="2:22" ht="13.5" thickTop="1" thickBot="1" x14ac:dyDescent="0.3">
      <c r="B90" s="514"/>
      <c r="C90" s="513"/>
      <c r="D90" s="513"/>
      <c r="E90" s="513"/>
      <c r="F90" s="513"/>
      <c r="G90" s="513"/>
      <c r="H90" s="513"/>
      <c r="I90" s="513"/>
      <c r="J90" s="513"/>
      <c r="K90" s="513"/>
      <c r="L90" s="513"/>
      <c r="M90" s="513"/>
      <c r="N90" s="513"/>
      <c r="O90" s="513"/>
      <c r="P90" s="513"/>
      <c r="Q90" s="513"/>
      <c r="R90" s="513"/>
      <c r="S90" s="513"/>
      <c r="T90" s="513"/>
      <c r="U90" s="513"/>
      <c r="V90" s="515"/>
    </row>
    <row r="91" spans="2:22" ht="16" thickTop="1" x14ac:dyDescent="0.35">
      <c r="B91" s="461" t="s">
        <v>30</v>
      </c>
      <c r="F91" s="1" t="s">
        <v>6</v>
      </c>
      <c r="G91" s="1160"/>
      <c r="H91" s="1161"/>
      <c r="I91" s="1161"/>
      <c r="J91" s="1162"/>
      <c r="K91" s="2" t="s">
        <v>30</v>
      </c>
      <c r="M91" s="31"/>
      <c r="N91" s="2" t="s">
        <v>30</v>
      </c>
      <c r="P91" s="31"/>
      <c r="Q91" s="2" t="s">
        <v>30</v>
      </c>
      <c r="R91" s="61"/>
      <c r="S91" s="62"/>
      <c r="T91" s="97"/>
      <c r="U91" s="108"/>
      <c r="V91" s="31"/>
    </row>
    <row r="92" spans="2:22" ht="13" x14ac:dyDescent="0.3">
      <c r="B92" s="144"/>
      <c r="J92" s="32" t="s">
        <v>61</v>
      </c>
      <c r="K92" s="227" t="s">
        <v>61</v>
      </c>
      <c r="L92" s="1167" t="s">
        <v>57</v>
      </c>
      <c r="M92" s="1168"/>
      <c r="N92" s="50" t="s">
        <v>61</v>
      </c>
      <c r="O92" s="1177" t="s">
        <v>57</v>
      </c>
      <c r="P92" s="1181"/>
      <c r="Q92" s="266" t="s">
        <v>61</v>
      </c>
      <c r="R92" s="1176" t="s">
        <v>57</v>
      </c>
      <c r="S92" s="1184"/>
      <c r="T92" s="106"/>
      <c r="U92" s="108"/>
      <c r="V92" s="31"/>
    </row>
    <row r="93" spans="2:22" ht="13" x14ac:dyDescent="0.3">
      <c r="B93" s="462" t="s">
        <v>21</v>
      </c>
      <c r="C93" s="20" t="s">
        <v>45</v>
      </c>
      <c r="D93" s="20" t="s">
        <v>46</v>
      </c>
      <c r="E93" s="20" t="s">
        <v>47</v>
      </c>
      <c r="F93" s="20" t="s">
        <v>48</v>
      </c>
      <c r="G93" s="20" t="s">
        <v>49</v>
      </c>
      <c r="H93" s="20" t="s">
        <v>50</v>
      </c>
      <c r="I93" s="20" t="s">
        <v>190</v>
      </c>
      <c r="J93" s="32" t="s">
        <v>13</v>
      </c>
      <c r="K93" s="210" t="s">
        <v>56</v>
      </c>
      <c r="L93" s="211" t="s">
        <v>13</v>
      </c>
      <c r="M93" s="212" t="s">
        <v>68</v>
      </c>
      <c r="N93" s="66" t="s">
        <v>56</v>
      </c>
      <c r="O93" s="20" t="s">
        <v>13</v>
      </c>
      <c r="P93" s="32" t="s">
        <v>68</v>
      </c>
      <c r="Q93" s="210" t="s">
        <v>56</v>
      </c>
      <c r="R93" s="211" t="s">
        <v>13</v>
      </c>
      <c r="S93" s="212" t="s">
        <v>68</v>
      </c>
      <c r="T93" s="98"/>
      <c r="U93" s="108"/>
      <c r="V93" s="31"/>
    </row>
    <row r="94" spans="2:22" x14ac:dyDescent="0.25">
      <c r="B94" s="464" t="s">
        <v>4</v>
      </c>
      <c r="C94" s="18">
        <v>0</v>
      </c>
      <c r="D94" s="18">
        <v>0</v>
      </c>
      <c r="E94" s="18">
        <v>0</v>
      </c>
      <c r="F94" s="18">
        <v>0</v>
      </c>
      <c r="G94" s="18">
        <v>6</v>
      </c>
      <c r="H94" s="18">
        <v>6</v>
      </c>
      <c r="I94" s="580"/>
      <c r="J94" s="45">
        <f>SUM(C94:H94)</f>
        <v>12</v>
      </c>
      <c r="K94" s="213" t="s">
        <v>12</v>
      </c>
      <c r="L94" s="231">
        <f>J94*$M$4</f>
        <v>516</v>
      </c>
      <c r="M94" s="239">
        <f>L94</f>
        <v>516</v>
      </c>
      <c r="N94" s="51" t="s">
        <v>12</v>
      </c>
      <c r="O94" s="58">
        <f>$J94*P$4</f>
        <v>516</v>
      </c>
      <c r="P94" s="52">
        <f>O94</f>
        <v>516</v>
      </c>
      <c r="Q94" s="213" t="s">
        <v>12</v>
      </c>
      <c r="R94" s="231">
        <f>$J94*S$4</f>
        <v>516</v>
      </c>
      <c r="S94" s="239">
        <f>R94</f>
        <v>516</v>
      </c>
      <c r="T94" s="96">
        <f t="shared" ref="T94:T99" si="36">AVERAGE(M94,P94,S94)</f>
        <v>516</v>
      </c>
      <c r="U94" s="34" t="s">
        <v>12</v>
      </c>
      <c r="V94" s="42" t="s">
        <v>12</v>
      </c>
    </row>
    <row r="95" spans="2:22" s="1" customFormat="1" ht="13.5" thickBot="1" x14ac:dyDescent="0.35">
      <c r="B95" s="596" t="s">
        <v>8</v>
      </c>
      <c r="C95" s="310">
        <f>ROUND(C94*Labor!$D$3,0)</f>
        <v>0</v>
      </c>
      <c r="D95" s="175">
        <f>ROUND(D94*Labor!$D$4,0)</f>
        <v>0</v>
      </c>
      <c r="E95" s="175">
        <f>ROUND(E94*Labor!$D$5,0)</f>
        <v>0</v>
      </c>
      <c r="F95" s="175">
        <f>ROUND(F94*Labor!$D$6,0)</f>
        <v>0</v>
      </c>
      <c r="G95" s="175">
        <f>ROUND(G94*Labor!$D$7,0)</f>
        <v>188</v>
      </c>
      <c r="H95" s="175">
        <f>ROUND(H94*Labor!$D$8,0)</f>
        <v>227</v>
      </c>
      <c r="I95" s="594"/>
      <c r="J95" s="167">
        <f>SUM(C95:H95)</f>
        <v>415</v>
      </c>
      <c r="K95" s="284">
        <f>HLOOKUP(L$2,InflationTable,2)/HLOOKUP(Labor!$B$11,InflationTable,2)*$J95</f>
        <v>887.78408304498259</v>
      </c>
      <c r="L95" s="245">
        <f>K95*$M$4</f>
        <v>38174.715570934255</v>
      </c>
      <c r="M95" s="246">
        <f>L95</f>
        <v>38174.715570934255</v>
      </c>
      <c r="N95" s="169">
        <f>HLOOKUP(O$2,InflationTable,2)/HLOOKUP(Labor!$B$11,InflationTable,2)*$J95</f>
        <v>923.29544636678202</v>
      </c>
      <c r="O95" s="166">
        <f>N95*P$4</f>
        <v>39701.704193771628</v>
      </c>
      <c r="P95" s="167">
        <f>O95</f>
        <v>39701.704193771628</v>
      </c>
      <c r="Q95" s="284">
        <f>HLOOKUP(R$2,InflationTable,2)/HLOOKUP(Labor!$B$11,InflationTable,2)*$J95</f>
        <v>941.76135529411749</v>
      </c>
      <c r="R95" s="245">
        <f>Q95*S$4</f>
        <v>40495.738277647055</v>
      </c>
      <c r="S95" s="246">
        <f>R95</f>
        <v>40495.738277647055</v>
      </c>
      <c r="T95" s="169">
        <f t="shared" si="36"/>
        <v>39457.386014117648</v>
      </c>
      <c r="U95" s="323" t="s">
        <v>12</v>
      </c>
      <c r="V95" s="174" t="s">
        <v>12</v>
      </c>
    </row>
    <row r="96" spans="2:22" ht="13" x14ac:dyDescent="0.3">
      <c r="B96" s="459" t="s">
        <v>104</v>
      </c>
      <c r="C96" s="290">
        <v>0</v>
      </c>
      <c r="D96" s="290">
        <v>0</v>
      </c>
      <c r="E96" s="290">
        <v>16</v>
      </c>
      <c r="F96" s="290">
        <v>8</v>
      </c>
      <c r="G96" s="290">
        <v>4</v>
      </c>
      <c r="H96" s="290">
        <v>2</v>
      </c>
      <c r="I96" s="581"/>
      <c r="J96" s="291">
        <f>SUM(C96:H96)</f>
        <v>30</v>
      </c>
      <c r="K96" s="242" t="s">
        <v>12</v>
      </c>
      <c r="L96" s="273">
        <f>J96*$M$4</f>
        <v>1290</v>
      </c>
      <c r="M96" s="274">
        <f>L96</f>
        <v>1290</v>
      </c>
      <c r="N96" s="53" t="s">
        <v>12</v>
      </c>
      <c r="O96" s="147">
        <f>$J96*P$4</f>
        <v>1290</v>
      </c>
      <c r="P96" s="148">
        <f>O96</f>
        <v>1290</v>
      </c>
      <c r="Q96" s="242" t="s">
        <v>12</v>
      </c>
      <c r="R96" s="273">
        <f>$J96*S$4</f>
        <v>1290</v>
      </c>
      <c r="S96" s="274">
        <f>R96</f>
        <v>1290</v>
      </c>
      <c r="T96" s="96">
        <f t="shared" si="36"/>
        <v>1290</v>
      </c>
      <c r="U96" s="34" t="s">
        <v>12</v>
      </c>
      <c r="V96" s="42" t="s">
        <v>12</v>
      </c>
    </row>
    <row r="97" spans="2:22" s="1" customFormat="1" ht="13.5" thickBot="1" x14ac:dyDescent="0.35">
      <c r="B97" s="595" t="s">
        <v>8</v>
      </c>
      <c r="C97" s="175">
        <f>ROUND(C96*Labor!$D$3,0)</f>
        <v>0</v>
      </c>
      <c r="D97" s="175">
        <f>ROUND(D96*Labor!$D$4,0)</f>
        <v>0</v>
      </c>
      <c r="E97" s="175">
        <f>ROUND(E96*Labor!$D$5,0)</f>
        <v>404</v>
      </c>
      <c r="F97" s="175">
        <f>ROUND(F96*Labor!$D$6,0)</f>
        <v>221</v>
      </c>
      <c r="G97" s="175">
        <f>ROUND(G96*Labor!$D$7,0)</f>
        <v>125</v>
      </c>
      <c r="H97" s="175">
        <f>ROUND(H96*Labor!$D$8,0)</f>
        <v>76</v>
      </c>
      <c r="I97" s="594"/>
      <c r="J97" s="167">
        <f>SUM(C97:H97)</f>
        <v>826</v>
      </c>
      <c r="K97" s="284">
        <f>HLOOKUP(L$2,InflationTable,2)/HLOOKUP(Labor!$B$11,InflationTable,2)*$J97</f>
        <v>1767.0112110726643</v>
      </c>
      <c r="L97" s="245">
        <f>K97*$M$4</f>
        <v>75981.482076124565</v>
      </c>
      <c r="M97" s="320">
        <f>L97</f>
        <v>75981.482076124565</v>
      </c>
      <c r="N97" s="169">
        <f>HLOOKUP(O$2,InflationTable,2)/HLOOKUP(Labor!$B$11,InflationTable,2)*$J97</f>
        <v>1837.691659515571</v>
      </c>
      <c r="O97" s="166">
        <f>N97*P$4</f>
        <v>79020.741359169551</v>
      </c>
      <c r="P97" s="167">
        <f>O97</f>
        <v>79020.741359169551</v>
      </c>
      <c r="Q97" s="284">
        <f>HLOOKUP(R$2,InflationTable,2)/HLOOKUP(Labor!$B$11,InflationTable,2)*$J97</f>
        <v>1874.4454927058821</v>
      </c>
      <c r="R97" s="245">
        <f>Q97*S$4</f>
        <v>80601.156186352935</v>
      </c>
      <c r="S97" s="320">
        <f>R97</f>
        <v>80601.156186352935</v>
      </c>
      <c r="T97" s="169">
        <f t="shared" si="36"/>
        <v>78534.459873882355</v>
      </c>
      <c r="U97" s="323" t="s">
        <v>12</v>
      </c>
      <c r="V97" s="174" t="s">
        <v>12</v>
      </c>
    </row>
    <row r="98" spans="2:22" ht="13" x14ac:dyDescent="0.3">
      <c r="B98" s="139" t="s">
        <v>66</v>
      </c>
      <c r="C98" s="30">
        <f t="shared" ref="C98:J99" si="37">C94+C96</f>
        <v>0</v>
      </c>
      <c r="D98" s="30">
        <f t="shared" si="37"/>
        <v>0</v>
      </c>
      <c r="E98" s="30">
        <f t="shared" si="37"/>
        <v>16</v>
      </c>
      <c r="F98" s="30">
        <f t="shared" si="37"/>
        <v>8</v>
      </c>
      <c r="G98" s="30">
        <f t="shared" si="37"/>
        <v>10</v>
      </c>
      <c r="H98" s="30">
        <f t="shared" si="37"/>
        <v>8</v>
      </c>
      <c r="I98" s="582"/>
      <c r="J98" s="39">
        <f t="shared" si="37"/>
        <v>42</v>
      </c>
      <c r="K98" s="249" t="s">
        <v>12</v>
      </c>
      <c r="L98" s="267">
        <f>L94+L96</f>
        <v>1806</v>
      </c>
      <c r="M98" s="268">
        <f>M94+M96</f>
        <v>1806</v>
      </c>
      <c r="N98" s="70" t="s">
        <v>12</v>
      </c>
      <c r="O98" s="30">
        <f>O94+O96</f>
        <v>1806</v>
      </c>
      <c r="P98" s="82">
        <f>P94+P96</f>
        <v>1806</v>
      </c>
      <c r="Q98" s="249" t="s">
        <v>12</v>
      </c>
      <c r="R98" s="267">
        <f>R94+R96</f>
        <v>1806</v>
      </c>
      <c r="S98" s="269">
        <f>S94+S96</f>
        <v>1806</v>
      </c>
      <c r="T98" s="96">
        <f t="shared" si="36"/>
        <v>1806</v>
      </c>
      <c r="U98" s="34" t="s">
        <v>12</v>
      </c>
      <c r="V98" s="42" t="s">
        <v>12</v>
      </c>
    </row>
    <row r="99" spans="2:22" ht="13.5" thickBot="1" x14ac:dyDescent="0.35">
      <c r="B99" s="460" t="s">
        <v>67</v>
      </c>
      <c r="C99" s="194">
        <f t="shared" si="37"/>
        <v>0</v>
      </c>
      <c r="D99" s="194">
        <f t="shared" si="37"/>
        <v>0</v>
      </c>
      <c r="E99" s="194">
        <f t="shared" si="37"/>
        <v>404</v>
      </c>
      <c r="F99" s="194">
        <f t="shared" si="37"/>
        <v>221</v>
      </c>
      <c r="G99" s="194">
        <f t="shared" si="37"/>
        <v>313</v>
      </c>
      <c r="H99" s="194">
        <f t="shared" si="37"/>
        <v>303</v>
      </c>
      <c r="I99" s="201"/>
      <c r="J99" s="197">
        <f t="shared" si="37"/>
        <v>1241</v>
      </c>
      <c r="K99" s="224">
        <f>K95+K97</f>
        <v>2654.7952941176468</v>
      </c>
      <c r="L99" s="225">
        <f>L95+L97</f>
        <v>114156.19764705881</v>
      </c>
      <c r="M99" s="226">
        <f>M95+M97</f>
        <v>114156.19764705881</v>
      </c>
      <c r="N99" s="196">
        <f>N95+N97</f>
        <v>2760.9871058823528</v>
      </c>
      <c r="O99" s="194">
        <f>O95+O97</f>
        <v>118722.44555294118</v>
      </c>
      <c r="P99" s="197">
        <f>P95+P97</f>
        <v>118722.44555294118</v>
      </c>
      <c r="Q99" s="261">
        <f>Q95+Q97</f>
        <v>2816.2068479999998</v>
      </c>
      <c r="R99" s="225">
        <f>R95+R97</f>
        <v>121096.89446399998</v>
      </c>
      <c r="S99" s="226">
        <f>S95+S97</f>
        <v>121096.89446399998</v>
      </c>
      <c r="T99" s="206">
        <f t="shared" si="36"/>
        <v>117991.84588799998</v>
      </c>
      <c r="U99" s="208" t="s">
        <v>12</v>
      </c>
      <c r="V99" s="203" t="s">
        <v>12</v>
      </c>
    </row>
    <row r="100" spans="2:22" ht="13.5" thickTop="1" thickBot="1" x14ac:dyDescent="0.3">
      <c r="B100" s="144"/>
      <c r="D100" s="513"/>
      <c r="E100" s="513"/>
      <c r="F100" s="513"/>
      <c r="G100" s="513"/>
      <c r="H100" s="513"/>
      <c r="I100" s="513"/>
      <c r="J100" s="513"/>
      <c r="K100" s="513"/>
      <c r="L100" s="513"/>
      <c r="M100" s="513"/>
      <c r="N100" s="513"/>
      <c r="O100" s="513"/>
      <c r="P100" s="513"/>
      <c r="Q100" s="513"/>
      <c r="R100" s="513"/>
      <c r="S100" s="513"/>
      <c r="T100" s="513"/>
      <c r="U100" s="513"/>
      <c r="V100" s="515"/>
    </row>
    <row r="101" spans="2:22" ht="19" thickTop="1" thickBot="1" x14ac:dyDescent="0.45">
      <c r="B101" s="456" t="s">
        <v>121</v>
      </c>
      <c r="C101" s="540" t="str">
        <f>C2</f>
        <v>PAMSUpperAir</v>
      </c>
      <c r="E101" s="3"/>
      <c r="F101" s="9"/>
      <c r="G101" s="3"/>
      <c r="H101" s="3"/>
      <c r="I101" s="3"/>
      <c r="J101" s="35"/>
      <c r="K101" s="67" t="str">
        <f>K2</f>
        <v>Year 1</v>
      </c>
      <c r="L101" s="67">
        <f>L2</f>
        <v>2023</v>
      </c>
      <c r="M101" s="35"/>
      <c r="N101" s="67" t="str">
        <f>N2</f>
        <v>Year 2</v>
      </c>
      <c r="O101" s="67">
        <f>O2</f>
        <v>2024</v>
      </c>
      <c r="P101" s="35"/>
      <c r="Q101" s="67" t="str">
        <f>Q2</f>
        <v>Year 3</v>
      </c>
      <c r="R101" s="67">
        <f>R2</f>
        <v>2025</v>
      </c>
      <c r="S101" s="35"/>
      <c r="T101" s="124"/>
      <c r="U101" s="105"/>
      <c r="V101" s="468"/>
    </row>
    <row r="102" spans="2:22" ht="13.5" thickBot="1" x14ac:dyDescent="0.35">
      <c r="B102" s="144"/>
      <c r="C102" s="152" t="s">
        <v>45</v>
      </c>
      <c r="D102" s="149" t="s">
        <v>46</v>
      </c>
      <c r="E102" s="149" t="s">
        <v>47</v>
      </c>
      <c r="F102" s="160" t="s">
        <v>48</v>
      </c>
      <c r="G102" s="151" t="s">
        <v>49</v>
      </c>
      <c r="H102" s="149" t="s">
        <v>50</v>
      </c>
      <c r="I102" s="160"/>
      <c r="J102" s="150" t="s">
        <v>13</v>
      </c>
      <c r="K102" s="270" t="s">
        <v>56</v>
      </c>
      <c r="L102" s="271" t="s">
        <v>13</v>
      </c>
      <c r="M102" s="272" t="s">
        <v>68</v>
      </c>
      <c r="N102" s="151" t="s">
        <v>56</v>
      </c>
      <c r="O102" s="149" t="s">
        <v>13</v>
      </c>
      <c r="P102" s="150" t="s">
        <v>68</v>
      </c>
      <c r="Q102" s="270" t="s">
        <v>56</v>
      </c>
      <c r="R102" s="271" t="s">
        <v>13</v>
      </c>
      <c r="S102" s="272" t="s">
        <v>68</v>
      </c>
      <c r="T102" s="152"/>
      <c r="U102" s="153"/>
      <c r="V102" s="469"/>
    </row>
    <row r="103" spans="2:22" ht="13" x14ac:dyDescent="0.3">
      <c r="B103" s="470" t="s">
        <v>97</v>
      </c>
      <c r="C103" s="155">
        <f t="shared" ref="C103:T103" si="38">C12</f>
        <v>0</v>
      </c>
      <c r="D103" s="147">
        <f t="shared" si="38"/>
        <v>0</v>
      </c>
      <c r="E103" s="147">
        <f t="shared" si="38"/>
        <v>0</v>
      </c>
      <c r="F103" s="147">
        <f t="shared" si="38"/>
        <v>0</v>
      </c>
      <c r="G103" s="147">
        <f t="shared" si="38"/>
        <v>0</v>
      </c>
      <c r="H103" s="147">
        <f t="shared" si="38"/>
        <v>0</v>
      </c>
      <c r="I103" s="584"/>
      <c r="J103" s="148">
        <f t="shared" si="38"/>
        <v>0</v>
      </c>
      <c r="K103" s="234" t="str">
        <f t="shared" si="38"/>
        <v>NA</v>
      </c>
      <c r="L103" s="273">
        <f t="shared" si="38"/>
        <v>0</v>
      </c>
      <c r="M103" s="274">
        <f t="shared" si="38"/>
        <v>0</v>
      </c>
      <c r="N103" s="38" t="str">
        <f t="shared" si="38"/>
        <v>NA</v>
      </c>
      <c r="O103" s="147">
        <f t="shared" si="38"/>
        <v>0</v>
      </c>
      <c r="P103" s="148">
        <f t="shared" si="38"/>
        <v>0</v>
      </c>
      <c r="Q103" s="234" t="str">
        <f t="shared" si="38"/>
        <v>NA</v>
      </c>
      <c r="R103" s="273">
        <f t="shared" si="38"/>
        <v>0</v>
      </c>
      <c r="S103" s="274">
        <f t="shared" si="38"/>
        <v>0</v>
      </c>
      <c r="T103" s="148">
        <f t="shared" si="38"/>
        <v>0</v>
      </c>
      <c r="U103" s="31"/>
      <c r="V103" s="111"/>
    </row>
    <row r="104" spans="2:22" ht="13.5" thickBot="1" x14ac:dyDescent="0.35">
      <c r="B104" s="471" t="s">
        <v>76</v>
      </c>
      <c r="C104" s="161">
        <f t="shared" ref="C104:T104" si="39">C13</f>
        <v>0</v>
      </c>
      <c r="D104" s="162">
        <f t="shared" si="39"/>
        <v>0</v>
      </c>
      <c r="E104" s="162">
        <f t="shared" si="39"/>
        <v>0</v>
      </c>
      <c r="F104" s="162">
        <f t="shared" si="39"/>
        <v>0</v>
      </c>
      <c r="G104" s="162">
        <f t="shared" si="39"/>
        <v>0</v>
      </c>
      <c r="H104" s="162">
        <f t="shared" si="39"/>
        <v>0</v>
      </c>
      <c r="I104" s="585"/>
      <c r="J104" s="163">
        <f t="shared" si="39"/>
        <v>0</v>
      </c>
      <c r="K104" s="275">
        <f t="shared" si="39"/>
        <v>0</v>
      </c>
      <c r="L104" s="276">
        <f t="shared" si="39"/>
        <v>0</v>
      </c>
      <c r="M104" s="277">
        <f t="shared" si="39"/>
        <v>0</v>
      </c>
      <c r="N104" s="161">
        <f t="shared" si="39"/>
        <v>0</v>
      </c>
      <c r="O104" s="162">
        <f t="shared" si="39"/>
        <v>0</v>
      </c>
      <c r="P104" s="163">
        <f t="shared" si="39"/>
        <v>0</v>
      </c>
      <c r="Q104" s="275">
        <f t="shared" si="39"/>
        <v>0</v>
      </c>
      <c r="R104" s="276">
        <f t="shared" si="39"/>
        <v>0</v>
      </c>
      <c r="S104" s="277">
        <f t="shared" si="39"/>
        <v>0</v>
      </c>
      <c r="T104" s="163">
        <f t="shared" si="39"/>
        <v>0</v>
      </c>
      <c r="U104" s="164" t="str">
        <f>U13</f>
        <v>NA</v>
      </c>
      <c r="V104" s="322" t="s">
        <v>12</v>
      </c>
    </row>
    <row r="105" spans="2:22" ht="13" x14ac:dyDescent="0.3">
      <c r="B105" s="472" t="s">
        <v>98</v>
      </c>
      <c r="C105" s="155">
        <f t="shared" ref="C105:T105" si="40">C32</f>
        <v>0</v>
      </c>
      <c r="D105" s="147">
        <f t="shared" si="40"/>
        <v>0</v>
      </c>
      <c r="E105" s="147">
        <f t="shared" si="40"/>
        <v>0</v>
      </c>
      <c r="F105" s="147">
        <f t="shared" si="40"/>
        <v>20</v>
      </c>
      <c r="G105" s="147">
        <f t="shared" si="40"/>
        <v>15</v>
      </c>
      <c r="H105" s="147">
        <f t="shared" si="40"/>
        <v>0</v>
      </c>
      <c r="I105" s="584"/>
      <c r="J105" s="148">
        <f t="shared" si="40"/>
        <v>35</v>
      </c>
      <c r="K105" s="234" t="str">
        <f t="shared" si="40"/>
        <v>NA</v>
      </c>
      <c r="L105" s="273">
        <f t="shared" si="40"/>
        <v>1505</v>
      </c>
      <c r="M105" s="274">
        <f t="shared" si="40"/>
        <v>301</v>
      </c>
      <c r="N105" s="38" t="str">
        <f t="shared" si="40"/>
        <v>NA</v>
      </c>
      <c r="O105" s="147">
        <f t="shared" si="40"/>
        <v>1505</v>
      </c>
      <c r="P105" s="148">
        <f t="shared" si="40"/>
        <v>301</v>
      </c>
      <c r="Q105" s="234" t="str">
        <f t="shared" si="40"/>
        <v>NA</v>
      </c>
      <c r="R105" s="273">
        <f t="shared" si="40"/>
        <v>1505</v>
      </c>
      <c r="S105" s="274">
        <f t="shared" si="40"/>
        <v>301</v>
      </c>
      <c r="T105" s="148">
        <f t="shared" si="40"/>
        <v>301</v>
      </c>
      <c r="U105" s="31"/>
      <c r="V105" s="111"/>
    </row>
    <row r="106" spans="2:22" ht="13.5" thickBot="1" x14ac:dyDescent="0.35">
      <c r="B106" s="471" t="s">
        <v>76</v>
      </c>
      <c r="C106" s="165">
        <f t="shared" ref="C106:T106" si="41">C33</f>
        <v>0</v>
      </c>
      <c r="D106" s="166">
        <f t="shared" si="41"/>
        <v>0</v>
      </c>
      <c r="E106" s="166">
        <f t="shared" si="41"/>
        <v>0</v>
      </c>
      <c r="F106" s="166">
        <f t="shared" si="41"/>
        <v>552</v>
      </c>
      <c r="G106" s="166">
        <f t="shared" si="41"/>
        <v>469</v>
      </c>
      <c r="H106" s="166">
        <f t="shared" si="41"/>
        <v>0</v>
      </c>
      <c r="I106" s="586"/>
      <c r="J106" s="167">
        <f t="shared" si="41"/>
        <v>1021</v>
      </c>
      <c r="K106" s="278">
        <f t="shared" si="41"/>
        <v>2184.1627681660898</v>
      </c>
      <c r="L106" s="245">
        <f t="shared" si="41"/>
        <v>1887346.922378815</v>
      </c>
      <c r="M106" s="246">
        <f t="shared" si="41"/>
        <v>377469.38447576301</v>
      </c>
      <c r="N106" s="165">
        <f t="shared" si="41"/>
        <v>0</v>
      </c>
      <c r="O106" s="166">
        <f t="shared" si="41"/>
        <v>0</v>
      </c>
      <c r="P106" s="167">
        <f t="shared" si="41"/>
        <v>392568.15985479346</v>
      </c>
      <c r="Q106" s="278">
        <f t="shared" si="41"/>
        <v>0</v>
      </c>
      <c r="R106" s="245">
        <f t="shared" si="41"/>
        <v>0</v>
      </c>
      <c r="S106" s="246">
        <f t="shared" si="41"/>
        <v>400419.52305188938</v>
      </c>
      <c r="T106" s="167">
        <f t="shared" si="41"/>
        <v>19414.935479717649</v>
      </c>
      <c r="U106" s="168" t="str">
        <f>U33</f>
        <v>NA</v>
      </c>
      <c r="V106" s="473">
        <f>V33</f>
        <v>370737.42031443096</v>
      </c>
    </row>
    <row r="107" spans="2:22" ht="13" x14ac:dyDescent="0.3">
      <c r="B107" s="472" t="s">
        <v>96</v>
      </c>
      <c r="C107" s="156">
        <f t="shared" ref="C107:T107" si="42">C42</f>
        <v>0</v>
      </c>
      <c r="D107" s="21">
        <f t="shared" si="42"/>
        <v>0</v>
      </c>
      <c r="E107" s="21">
        <f t="shared" si="42"/>
        <v>0</v>
      </c>
      <c r="F107" s="21">
        <f t="shared" si="42"/>
        <v>16</v>
      </c>
      <c r="G107" s="21">
        <f t="shared" si="42"/>
        <v>0</v>
      </c>
      <c r="H107" s="21">
        <f t="shared" si="42"/>
        <v>0</v>
      </c>
      <c r="I107" s="7"/>
      <c r="J107" s="157">
        <f t="shared" si="42"/>
        <v>16</v>
      </c>
      <c r="K107" s="279" t="str">
        <f t="shared" si="42"/>
        <v>NA</v>
      </c>
      <c r="L107" s="280">
        <f t="shared" si="42"/>
        <v>688</v>
      </c>
      <c r="M107" s="281">
        <f t="shared" si="42"/>
        <v>688</v>
      </c>
      <c r="N107" s="158" t="str">
        <f t="shared" si="42"/>
        <v>NA</v>
      </c>
      <c r="O107" s="21">
        <f t="shared" si="42"/>
        <v>688</v>
      </c>
      <c r="P107" s="157">
        <f t="shared" si="42"/>
        <v>688</v>
      </c>
      <c r="Q107" s="279" t="str">
        <f t="shared" si="42"/>
        <v>NA</v>
      </c>
      <c r="R107" s="280">
        <f t="shared" si="42"/>
        <v>688</v>
      </c>
      <c r="S107" s="281">
        <f t="shared" si="42"/>
        <v>688</v>
      </c>
      <c r="T107" s="157">
        <f t="shared" si="42"/>
        <v>688</v>
      </c>
      <c r="U107" s="159" t="str">
        <f>U18</f>
        <v>NA</v>
      </c>
      <c r="V107" s="119" t="s">
        <v>12</v>
      </c>
    </row>
    <row r="108" spans="2:22" ht="13.5" thickBot="1" x14ac:dyDescent="0.35">
      <c r="B108" s="471" t="s">
        <v>76</v>
      </c>
      <c r="C108" s="169">
        <f t="shared" ref="C108:T108" si="43">C43</f>
        <v>0</v>
      </c>
      <c r="D108" s="166">
        <f t="shared" si="43"/>
        <v>0</v>
      </c>
      <c r="E108" s="166">
        <f t="shared" si="43"/>
        <v>0</v>
      </c>
      <c r="F108" s="166">
        <f t="shared" si="43"/>
        <v>16</v>
      </c>
      <c r="G108" s="166">
        <f t="shared" si="43"/>
        <v>0</v>
      </c>
      <c r="H108" s="166">
        <f t="shared" si="43"/>
        <v>0</v>
      </c>
      <c r="I108" s="586"/>
      <c r="J108" s="167">
        <f t="shared" si="43"/>
        <v>441</v>
      </c>
      <c r="K108" s="278">
        <f t="shared" si="43"/>
        <v>943.40429065743933</v>
      </c>
      <c r="L108" s="245">
        <f t="shared" si="43"/>
        <v>40566.384498269894</v>
      </c>
      <c r="M108" s="246">
        <f t="shared" si="43"/>
        <v>40566.384498269894</v>
      </c>
      <c r="N108" s="165">
        <f t="shared" si="43"/>
        <v>981.14046228373707</v>
      </c>
      <c r="O108" s="166">
        <f t="shared" si="43"/>
        <v>42189.039878200696</v>
      </c>
      <c r="P108" s="167">
        <f t="shared" si="43"/>
        <v>42189.039878200696</v>
      </c>
      <c r="Q108" s="278">
        <f t="shared" si="43"/>
        <v>1000.7632715294117</v>
      </c>
      <c r="R108" s="245">
        <f t="shared" si="43"/>
        <v>43032.820675764699</v>
      </c>
      <c r="S108" s="246">
        <f t="shared" si="43"/>
        <v>43032.820675764699</v>
      </c>
      <c r="T108" s="167">
        <f t="shared" si="43"/>
        <v>41929.41501741176</v>
      </c>
      <c r="U108" s="167">
        <f>U43</f>
        <v>0</v>
      </c>
      <c r="V108" s="322" t="s">
        <v>12</v>
      </c>
    </row>
    <row r="109" spans="2:22" ht="13" x14ac:dyDescent="0.3">
      <c r="B109" s="472" t="s">
        <v>99</v>
      </c>
      <c r="C109" s="156">
        <f t="shared" ref="C109:T109" si="44">C52</f>
        <v>0</v>
      </c>
      <c r="D109" s="21">
        <f t="shared" si="44"/>
        <v>0</v>
      </c>
      <c r="E109" s="21">
        <f t="shared" si="44"/>
        <v>0</v>
      </c>
      <c r="F109" s="21">
        <f t="shared" si="44"/>
        <v>5</v>
      </c>
      <c r="G109" s="21">
        <f t="shared" si="44"/>
        <v>0</v>
      </c>
      <c r="H109" s="21">
        <f t="shared" si="44"/>
        <v>0</v>
      </c>
      <c r="I109" s="7"/>
      <c r="J109" s="157">
        <f t="shared" si="44"/>
        <v>5</v>
      </c>
      <c r="K109" s="279" t="str">
        <f t="shared" si="44"/>
        <v>NA</v>
      </c>
      <c r="L109" s="280">
        <f t="shared" si="44"/>
        <v>215</v>
      </c>
      <c r="M109" s="281">
        <f t="shared" si="44"/>
        <v>215</v>
      </c>
      <c r="N109" s="158" t="str">
        <f t="shared" si="44"/>
        <v>NA</v>
      </c>
      <c r="O109" s="21">
        <f t="shared" si="44"/>
        <v>215</v>
      </c>
      <c r="P109" s="157">
        <f t="shared" si="44"/>
        <v>215</v>
      </c>
      <c r="Q109" s="279" t="str">
        <f t="shared" si="44"/>
        <v>NA</v>
      </c>
      <c r="R109" s="280">
        <f t="shared" si="44"/>
        <v>215</v>
      </c>
      <c r="S109" s="281">
        <f t="shared" si="44"/>
        <v>215</v>
      </c>
      <c r="T109" s="157">
        <f t="shared" si="44"/>
        <v>215</v>
      </c>
      <c r="U109" s="31"/>
      <c r="V109" s="111"/>
    </row>
    <row r="110" spans="2:22" ht="13.5" thickBot="1" x14ac:dyDescent="0.35">
      <c r="B110" s="471" t="s">
        <v>76</v>
      </c>
      <c r="C110" s="165">
        <f t="shared" ref="C110:T110" si="45">C53</f>
        <v>0</v>
      </c>
      <c r="D110" s="166">
        <f t="shared" si="45"/>
        <v>0</v>
      </c>
      <c r="E110" s="166">
        <f t="shared" si="45"/>
        <v>0</v>
      </c>
      <c r="F110" s="166">
        <f t="shared" si="45"/>
        <v>138</v>
      </c>
      <c r="G110" s="166">
        <f t="shared" si="45"/>
        <v>0</v>
      </c>
      <c r="H110" s="166">
        <f t="shared" si="45"/>
        <v>0</v>
      </c>
      <c r="I110" s="586"/>
      <c r="J110" s="167">
        <f t="shared" si="45"/>
        <v>138</v>
      </c>
      <c r="K110" s="278">
        <f t="shared" si="45"/>
        <v>295.21494809688579</v>
      </c>
      <c r="L110" s="245">
        <f t="shared" si="45"/>
        <v>12694.242768166088</v>
      </c>
      <c r="M110" s="246">
        <f t="shared" si="45"/>
        <v>12694.242768166088</v>
      </c>
      <c r="N110" s="169">
        <f t="shared" si="45"/>
        <v>307.02354602076127</v>
      </c>
      <c r="O110" s="166">
        <f t="shared" si="45"/>
        <v>13202.012478892735</v>
      </c>
      <c r="P110" s="167">
        <f t="shared" si="45"/>
        <v>13202.012478892735</v>
      </c>
      <c r="Q110" s="278">
        <f t="shared" si="45"/>
        <v>313.16401694117644</v>
      </c>
      <c r="R110" s="245">
        <f t="shared" si="45"/>
        <v>13466.052728470588</v>
      </c>
      <c r="S110" s="246">
        <f t="shared" si="45"/>
        <v>13466.052728470588</v>
      </c>
      <c r="T110" s="167">
        <f t="shared" si="45"/>
        <v>13120.76932517647</v>
      </c>
      <c r="U110" s="167">
        <f>U53</f>
        <v>107460.12183026985</v>
      </c>
      <c r="V110" s="474" t="s">
        <v>12</v>
      </c>
    </row>
    <row r="111" spans="2:22" ht="13" x14ac:dyDescent="0.3">
      <c r="B111" s="472" t="s">
        <v>100</v>
      </c>
      <c r="C111" s="156">
        <f t="shared" ref="C111:V111" si="46">C64</f>
        <v>0</v>
      </c>
      <c r="D111" s="21">
        <f t="shared" si="46"/>
        <v>0.25</v>
      </c>
      <c r="E111" s="21">
        <f t="shared" si="46"/>
        <v>3</v>
      </c>
      <c r="F111" s="21">
        <f t="shared" si="46"/>
        <v>7</v>
      </c>
      <c r="G111" s="21">
        <f t="shared" si="46"/>
        <v>0</v>
      </c>
      <c r="H111" s="21">
        <f t="shared" si="46"/>
        <v>0</v>
      </c>
      <c r="I111" s="7"/>
      <c r="J111" s="157">
        <f t="shared" si="46"/>
        <v>10.25</v>
      </c>
      <c r="K111" s="279" t="str">
        <f t="shared" si="46"/>
        <v>NA</v>
      </c>
      <c r="L111" s="280">
        <f t="shared" si="46"/>
        <v>440.75</v>
      </c>
      <c r="M111" s="281">
        <f t="shared" si="46"/>
        <v>440.75</v>
      </c>
      <c r="N111" s="158" t="str">
        <f t="shared" si="46"/>
        <v>NA</v>
      </c>
      <c r="O111" s="21">
        <f t="shared" si="46"/>
        <v>440.75</v>
      </c>
      <c r="P111" s="157">
        <f t="shared" si="46"/>
        <v>440.75</v>
      </c>
      <c r="Q111" s="279" t="str">
        <f t="shared" si="46"/>
        <v>NA</v>
      </c>
      <c r="R111" s="280">
        <f t="shared" si="46"/>
        <v>440.75</v>
      </c>
      <c r="S111" s="281">
        <f t="shared" si="46"/>
        <v>440.75</v>
      </c>
      <c r="T111" s="157">
        <f t="shared" si="46"/>
        <v>440.75</v>
      </c>
      <c r="U111" s="170" t="str">
        <f t="shared" si="46"/>
        <v>NA</v>
      </c>
      <c r="V111" s="475" t="str">
        <f t="shared" si="46"/>
        <v>NA</v>
      </c>
    </row>
    <row r="112" spans="2:22" ht="13.5" thickBot="1" x14ac:dyDescent="0.35">
      <c r="B112" s="471" t="s">
        <v>76</v>
      </c>
      <c r="C112" s="165">
        <f t="shared" ref="C112:U112" si="47">C65</f>
        <v>0</v>
      </c>
      <c r="D112" s="166">
        <f t="shared" si="47"/>
        <v>6</v>
      </c>
      <c r="E112" s="166">
        <f t="shared" si="47"/>
        <v>76</v>
      </c>
      <c r="F112" s="166">
        <f t="shared" si="47"/>
        <v>193</v>
      </c>
      <c r="G112" s="166">
        <f t="shared" si="47"/>
        <v>0</v>
      </c>
      <c r="H112" s="166">
        <f t="shared" si="47"/>
        <v>0</v>
      </c>
      <c r="I112" s="586"/>
      <c r="J112" s="167">
        <f t="shared" si="47"/>
        <v>275</v>
      </c>
      <c r="K112" s="278">
        <f t="shared" si="47"/>
        <v>588.29065743944636</v>
      </c>
      <c r="L112" s="245">
        <f t="shared" si="47"/>
        <v>24882.555570934255</v>
      </c>
      <c r="M112" s="246">
        <f t="shared" si="47"/>
        <v>24882.555570934255</v>
      </c>
      <c r="N112" s="165">
        <f t="shared" si="47"/>
        <v>611.82228373702424</v>
      </c>
      <c r="O112" s="166">
        <f t="shared" si="47"/>
        <v>25877.857793771629</v>
      </c>
      <c r="P112" s="167">
        <f t="shared" si="47"/>
        <v>25877.857793771629</v>
      </c>
      <c r="Q112" s="284">
        <f t="shared" si="47"/>
        <v>624.05872941176472</v>
      </c>
      <c r="R112" s="245">
        <f t="shared" si="47"/>
        <v>26395.414949647056</v>
      </c>
      <c r="S112" s="246">
        <f t="shared" si="47"/>
        <v>26395.414949647056</v>
      </c>
      <c r="T112" s="167">
        <f t="shared" si="47"/>
        <v>25718.609438117648</v>
      </c>
      <c r="U112" s="168" t="str">
        <f t="shared" si="47"/>
        <v>NA</v>
      </c>
      <c r="V112" s="322" t="s">
        <v>12</v>
      </c>
    </row>
    <row r="113" spans="2:22" ht="13" x14ac:dyDescent="0.3">
      <c r="B113" s="472" t="s">
        <v>101</v>
      </c>
      <c r="C113" s="171">
        <f t="shared" ref="C113:T113" si="48">C88</f>
        <v>0</v>
      </c>
      <c r="D113" s="172">
        <f t="shared" si="48"/>
        <v>1</v>
      </c>
      <c r="E113" s="172">
        <f t="shared" si="48"/>
        <v>19.2</v>
      </c>
      <c r="F113" s="172">
        <f t="shared" si="48"/>
        <v>42.3</v>
      </c>
      <c r="G113" s="172">
        <f t="shared" si="48"/>
        <v>41</v>
      </c>
      <c r="H113" s="172">
        <f t="shared" si="48"/>
        <v>0</v>
      </c>
      <c r="I113" s="587"/>
      <c r="J113" s="54">
        <f t="shared" si="48"/>
        <v>103.5</v>
      </c>
      <c r="K113" s="282" t="str">
        <f t="shared" si="48"/>
        <v>NA</v>
      </c>
      <c r="L113" s="263" t="str">
        <f t="shared" si="48"/>
        <v>NA</v>
      </c>
      <c r="M113" s="243">
        <f t="shared" si="48"/>
        <v>3603.7</v>
      </c>
      <c r="N113" s="173" t="str">
        <f t="shared" si="48"/>
        <v>NA</v>
      </c>
      <c r="O113" s="36" t="str">
        <f t="shared" si="48"/>
        <v>NA</v>
      </c>
      <c r="P113" s="54">
        <f t="shared" si="48"/>
        <v>3603.7</v>
      </c>
      <c r="Q113" s="282" t="str">
        <f t="shared" si="48"/>
        <v>NA</v>
      </c>
      <c r="R113" s="263" t="str">
        <f t="shared" si="48"/>
        <v>NA</v>
      </c>
      <c r="S113" s="243">
        <f t="shared" si="48"/>
        <v>3603.7</v>
      </c>
      <c r="T113" s="54">
        <f t="shared" si="48"/>
        <v>3603.6999999999994</v>
      </c>
      <c r="U113" s="42" t="s">
        <v>12</v>
      </c>
      <c r="V113" s="119" t="s">
        <v>12</v>
      </c>
    </row>
    <row r="114" spans="2:22" ht="13.5" thickBot="1" x14ac:dyDescent="0.35">
      <c r="B114" s="471" t="s">
        <v>76</v>
      </c>
      <c r="C114" s="165">
        <f t="shared" ref="C114:T114" si="49">C89</f>
        <v>0</v>
      </c>
      <c r="D114" s="166">
        <f t="shared" si="49"/>
        <v>24</v>
      </c>
      <c r="E114" s="166">
        <f t="shared" si="49"/>
        <v>484</v>
      </c>
      <c r="F114" s="166">
        <f t="shared" si="49"/>
        <v>1166</v>
      </c>
      <c r="G114" s="166">
        <f t="shared" si="49"/>
        <v>1284</v>
      </c>
      <c r="H114" s="166">
        <f t="shared" si="49"/>
        <v>0</v>
      </c>
      <c r="I114" s="586"/>
      <c r="J114" s="167">
        <f t="shared" si="49"/>
        <v>2958</v>
      </c>
      <c r="K114" s="278">
        <f t="shared" si="49"/>
        <v>6327.8682352941169</v>
      </c>
      <c r="L114" s="283" t="str">
        <f t="shared" si="49"/>
        <v>NA</v>
      </c>
      <c r="M114" s="246">
        <f t="shared" si="49"/>
        <v>217092.51587543252</v>
      </c>
      <c r="N114" s="169">
        <f t="shared" si="49"/>
        <v>6580.9829647058823</v>
      </c>
      <c r="O114" s="175" t="str">
        <f t="shared" si="49"/>
        <v>NA</v>
      </c>
      <c r="P114" s="167">
        <f t="shared" si="49"/>
        <v>225776.21651044983</v>
      </c>
      <c r="Q114" s="278">
        <f t="shared" si="49"/>
        <v>6712.6026240000001</v>
      </c>
      <c r="R114" s="283" t="str">
        <f t="shared" si="49"/>
        <v>NA</v>
      </c>
      <c r="S114" s="246">
        <f t="shared" si="49"/>
        <v>230291.74084065878</v>
      </c>
      <c r="T114" s="167">
        <f t="shared" si="49"/>
        <v>224386.82440884705</v>
      </c>
      <c r="U114" s="167">
        <f>U89</f>
        <v>0</v>
      </c>
      <c r="V114" s="322" t="s">
        <v>12</v>
      </c>
    </row>
    <row r="115" spans="2:22" ht="13" x14ac:dyDescent="0.3">
      <c r="B115" s="472" t="s">
        <v>102</v>
      </c>
      <c r="C115" s="156">
        <f t="shared" ref="C115:T115" si="50">C98</f>
        <v>0</v>
      </c>
      <c r="D115" s="21">
        <f t="shared" si="50"/>
        <v>0</v>
      </c>
      <c r="E115" s="21">
        <f t="shared" si="50"/>
        <v>16</v>
      </c>
      <c r="F115" s="21">
        <f t="shared" si="50"/>
        <v>8</v>
      </c>
      <c r="G115" s="21">
        <f t="shared" si="50"/>
        <v>10</v>
      </c>
      <c r="H115" s="21">
        <f t="shared" si="50"/>
        <v>8</v>
      </c>
      <c r="I115" s="7"/>
      <c r="J115" s="157">
        <f t="shared" si="50"/>
        <v>42</v>
      </c>
      <c r="K115" s="279" t="str">
        <f t="shared" si="50"/>
        <v>NA</v>
      </c>
      <c r="L115" s="280">
        <f t="shared" si="50"/>
        <v>1806</v>
      </c>
      <c r="M115" s="281">
        <f t="shared" si="50"/>
        <v>1806</v>
      </c>
      <c r="N115" s="158" t="str">
        <f t="shared" si="50"/>
        <v>NA</v>
      </c>
      <c r="O115" s="21">
        <f t="shared" si="50"/>
        <v>1806</v>
      </c>
      <c r="P115" s="157">
        <f t="shared" si="50"/>
        <v>1806</v>
      </c>
      <c r="Q115" s="279" t="str">
        <f t="shared" si="50"/>
        <v>NA</v>
      </c>
      <c r="R115" s="280">
        <f t="shared" si="50"/>
        <v>1806</v>
      </c>
      <c r="S115" s="281">
        <f t="shared" si="50"/>
        <v>1806</v>
      </c>
      <c r="T115" s="157">
        <f t="shared" si="50"/>
        <v>1806</v>
      </c>
      <c r="U115" s="42" t="s">
        <v>12</v>
      </c>
      <c r="V115" s="119" t="s">
        <v>12</v>
      </c>
    </row>
    <row r="116" spans="2:22" ht="13.5" thickBot="1" x14ac:dyDescent="0.35">
      <c r="B116" s="476" t="s">
        <v>76</v>
      </c>
      <c r="C116" s="176">
        <f t="shared" ref="C116:T116" si="51">C99</f>
        <v>0</v>
      </c>
      <c r="D116" s="177">
        <f t="shared" si="51"/>
        <v>0</v>
      </c>
      <c r="E116" s="177">
        <f t="shared" si="51"/>
        <v>404</v>
      </c>
      <c r="F116" s="177">
        <f t="shared" si="51"/>
        <v>221</v>
      </c>
      <c r="G116" s="177">
        <f t="shared" si="51"/>
        <v>313</v>
      </c>
      <c r="H116" s="177">
        <f t="shared" si="51"/>
        <v>303</v>
      </c>
      <c r="I116" s="588"/>
      <c r="J116" s="178">
        <f t="shared" si="51"/>
        <v>1241</v>
      </c>
      <c r="K116" s="252">
        <f t="shared" si="51"/>
        <v>2654.7952941176468</v>
      </c>
      <c r="L116" s="253">
        <f t="shared" si="51"/>
        <v>114156.19764705881</v>
      </c>
      <c r="M116" s="254">
        <f t="shared" si="51"/>
        <v>114156.19764705881</v>
      </c>
      <c r="N116" s="176">
        <f t="shared" si="51"/>
        <v>2760.9871058823528</v>
      </c>
      <c r="O116" s="177">
        <f t="shared" si="51"/>
        <v>118722.44555294118</v>
      </c>
      <c r="P116" s="178">
        <f t="shared" si="51"/>
        <v>118722.44555294118</v>
      </c>
      <c r="Q116" s="259">
        <f t="shared" si="51"/>
        <v>2816.2068479999998</v>
      </c>
      <c r="R116" s="253">
        <f t="shared" si="51"/>
        <v>121096.89446399998</v>
      </c>
      <c r="S116" s="254">
        <f t="shared" si="51"/>
        <v>121096.89446399998</v>
      </c>
      <c r="T116" s="178">
        <f t="shared" si="51"/>
        <v>117991.84588799998</v>
      </c>
      <c r="U116" s="179" t="str">
        <f>U99</f>
        <v>NA</v>
      </c>
      <c r="V116" s="180" t="s">
        <v>12</v>
      </c>
    </row>
    <row r="117" spans="2:22" ht="18.5" thickTop="1" x14ac:dyDescent="0.4">
      <c r="B117" s="477" t="s">
        <v>13</v>
      </c>
      <c r="C117" s="88" t="s">
        <v>45</v>
      </c>
      <c r="D117" s="86" t="s">
        <v>46</v>
      </c>
      <c r="E117" s="86" t="s">
        <v>47</v>
      </c>
      <c r="F117" s="86" t="s">
        <v>48</v>
      </c>
      <c r="G117" s="86" t="s">
        <v>49</v>
      </c>
      <c r="H117" s="86" t="s">
        <v>50</v>
      </c>
      <c r="I117" s="567"/>
      <c r="J117" s="87" t="s">
        <v>13</v>
      </c>
      <c r="K117" s="88" t="s">
        <v>56</v>
      </c>
      <c r="L117" s="86" t="s">
        <v>13</v>
      </c>
      <c r="M117" s="87" t="s">
        <v>68</v>
      </c>
      <c r="N117" s="88" t="s">
        <v>56</v>
      </c>
      <c r="O117" s="86" t="s">
        <v>13</v>
      </c>
      <c r="P117" s="87" t="s">
        <v>68</v>
      </c>
      <c r="Q117" s="88" t="s">
        <v>56</v>
      </c>
      <c r="R117" s="86" t="s">
        <v>13</v>
      </c>
      <c r="S117" s="87" t="s">
        <v>68</v>
      </c>
      <c r="T117" s="87"/>
      <c r="U117" s="31"/>
      <c r="V117" s="111"/>
    </row>
    <row r="118" spans="2:22" x14ac:dyDescent="0.25">
      <c r="B118" s="478" t="s">
        <v>75</v>
      </c>
      <c r="C118" s="154">
        <f t="shared" ref="C118:J119" si="52">C103+C105+C107+C109+C111+C113+C115</f>
        <v>0</v>
      </c>
      <c r="D118" s="58">
        <f t="shared" si="52"/>
        <v>1.25</v>
      </c>
      <c r="E118" s="58">
        <f t="shared" si="52"/>
        <v>38.200000000000003</v>
      </c>
      <c r="F118" s="58">
        <f t="shared" si="52"/>
        <v>98.3</v>
      </c>
      <c r="G118" s="58">
        <f t="shared" si="52"/>
        <v>66</v>
      </c>
      <c r="H118" s="58">
        <f t="shared" si="52"/>
        <v>8</v>
      </c>
      <c r="I118" s="589"/>
      <c r="J118" s="57">
        <f t="shared" si="52"/>
        <v>211.75</v>
      </c>
      <c r="K118" s="285" t="s">
        <v>12</v>
      </c>
      <c r="L118" s="231">
        <f>L103+L105+L107+L109+L111+L115</f>
        <v>4654.75</v>
      </c>
      <c r="M118" s="239">
        <f>M103+M105+M107+M109+M111+M113+M115</f>
        <v>7054.45</v>
      </c>
      <c r="N118" s="83" t="s">
        <v>12</v>
      </c>
      <c r="O118" s="58">
        <f>O103+O105+O107+O109+O111+O115</f>
        <v>4654.75</v>
      </c>
      <c r="P118" s="57">
        <f>P103+P105+P107+P109+P111+P113+P115</f>
        <v>7054.45</v>
      </c>
      <c r="Q118" s="285" t="s">
        <v>12</v>
      </c>
      <c r="R118" s="231">
        <f>R103+R105+R107+R109+R111+R115</f>
        <v>4654.75</v>
      </c>
      <c r="S118" s="239">
        <f>S103+S105+S107+S109+S111+S113+S115</f>
        <v>7054.45</v>
      </c>
      <c r="T118" s="57">
        <f>T103+T105+T107+T109+T111+T113+T115</f>
        <v>7054.4499999999989</v>
      </c>
      <c r="U118" s="57"/>
      <c r="V118" s="113" t="s">
        <v>12</v>
      </c>
    </row>
    <row r="119" spans="2:22" s="189" customFormat="1" ht="16" thickBot="1" x14ac:dyDescent="0.4">
      <c r="B119" s="479" t="s">
        <v>76</v>
      </c>
      <c r="C119" s="480">
        <f t="shared" si="52"/>
        <v>0</v>
      </c>
      <c r="D119" s="481">
        <f t="shared" si="52"/>
        <v>30</v>
      </c>
      <c r="E119" s="481">
        <f t="shared" si="52"/>
        <v>964</v>
      </c>
      <c r="F119" s="481">
        <f t="shared" si="52"/>
        <v>2286</v>
      </c>
      <c r="G119" s="481">
        <f t="shared" si="52"/>
        <v>2066</v>
      </c>
      <c r="H119" s="481">
        <f t="shared" si="52"/>
        <v>303</v>
      </c>
      <c r="I119" s="590"/>
      <c r="J119" s="482">
        <f t="shared" si="52"/>
        <v>6074</v>
      </c>
      <c r="K119" s="483">
        <f>K104+K106+K108+K110+K112+K114+K116</f>
        <v>12993.736193771625</v>
      </c>
      <c r="L119" s="484">
        <f>L104+L106+L108+L110+L112+L116</f>
        <v>2079646.3028632442</v>
      </c>
      <c r="M119" s="485">
        <f>M104+M106+M108+M110+M112+M114+M116</f>
        <v>786861.28083562455</v>
      </c>
      <c r="N119" s="480">
        <f>N104+N106+N108+N110+N112+N114+N116</f>
        <v>11241.956362629757</v>
      </c>
      <c r="O119" s="486">
        <f>O104+O106+O108+O110+O112+O116</f>
        <v>199991.35570380624</v>
      </c>
      <c r="P119" s="482">
        <f>P104+P106+P108+P110+P112+P114+P116</f>
        <v>818335.7320690495</v>
      </c>
      <c r="Q119" s="487">
        <f>Q104+Q106+Q108+Q110+Q112+Q114+Q116</f>
        <v>11466.795489882354</v>
      </c>
      <c r="R119" s="484">
        <f>R104+R106+R108+R110+R112+R116</f>
        <v>203991.18281788233</v>
      </c>
      <c r="S119" s="485">
        <f>S104+S106+S108+S110+S112+S114+S116</f>
        <v>834702.44671043043</v>
      </c>
      <c r="T119" s="482">
        <f>T104+T106+T108+T110+T112+T114+T116</f>
        <v>442562.39955727058</v>
      </c>
      <c r="U119" s="482">
        <f>SUM(U104,U106,U108,U110,U112,U114,U116)</f>
        <v>107460.12183026985</v>
      </c>
      <c r="V119" s="489">
        <f>SUM(V104,V106,V108,V110,V112,V114,V116)</f>
        <v>370737.42031443096</v>
      </c>
    </row>
  </sheetData>
  <mergeCells count="35">
    <mergeCell ref="R92:S92"/>
    <mergeCell ref="R36:S36"/>
    <mergeCell ref="R46:S46"/>
    <mergeCell ref="R56:S56"/>
    <mergeCell ref="R85:S85"/>
    <mergeCell ref="R69:S69"/>
    <mergeCell ref="G68:J68"/>
    <mergeCell ref="O85:P85"/>
    <mergeCell ref="L92:M92"/>
    <mergeCell ref="O36:P36"/>
    <mergeCell ref="O46:P46"/>
    <mergeCell ref="O69:P69"/>
    <mergeCell ref="O92:P92"/>
    <mergeCell ref="O56:P56"/>
    <mergeCell ref="L36:M36"/>
    <mergeCell ref="G91:J91"/>
    <mergeCell ref="L69:M69"/>
    <mergeCell ref="L56:M56"/>
    <mergeCell ref="G55:J55"/>
    <mergeCell ref="G36:J36"/>
    <mergeCell ref="L46:M46"/>
    <mergeCell ref="G15:J15"/>
    <mergeCell ref="G35:J35"/>
    <mergeCell ref="G46:J46"/>
    <mergeCell ref="G45:J45"/>
    <mergeCell ref="T2:U2"/>
    <mergeCell ref="R16:S16"/>
    <mergeCell ref="G7:J7"/>
    <mergeCell ref="L16:M16"/>
    <mergeCell ref="F2:G2"/>
    <mergeCell ref="C5:J5"/>
    <mergeCell ref="R8:S8"/>
    <mergeCell ref="L8:M8"/>
    <mergeCell ref="O8:P8"/>
    <mergeCell ref="O16:P16"/>
  </mergeCells>
  <phoneticPr fontId="2" type="noConversion"/>
  <dataValidations disablePrompts="1" count="1">
    <dataValidation allowBlank="1" showInputMessage="1" showErrorMessage="1" sqref="D38 D18:D24" xr:uid="{00000000-0002-0000-0E00-000000000000}"/>
  </dataValidations>
  <pageMargins left="0.25" right="0.28000000000000003" top="0.64" bottom="0.47" header="0.5" footer="0.44"/>
  <pageSetup scale="43" fitToHeight="25" orientation="landscape" r:id="rId1"/>
  <headerFooter alignWithMargins="0"/>
  <rowBreaks count="1" manualBreakCount="1">
    <brk id="66" max="22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131"/>
  <sheetViews>
    <sheetView zoomScaleNormal="100" workbookViewId="0">
      <selection activeCell="L75" sqref="L75"/>
    </sheetView>
  </sheetViews>
  <sheetFormatPr defaultRowHeight="12.5" x14ac:dyDescent="0.25"/>
  <cols>
    <col min="1" max="1" width="1.1796875" customWidth="1"/>
    <col min="2" max="2" width="31.453125" customWidth="1"/>
    <col min="3" max="3" width="15.54296875" customWidth="1"/>
    <col min="4" max="4" width="10.26953125" bestFit="1" customWidth="1"/>
    <col min="5" max="5" width="11.26953125" customWidth="1"/>
    <col min="6" max="6" width="9.7265625" style="5" customWidth="1"/>
    <col min="7" max="7" width="9.7265625" bestFit="1" customWidth="1"/>
    <col min="8" max="8" width="9.81640625" bestFit="1" customWidth="1"/>
    <col min="9" max="9" width="13.26953125" customWidth="1"/>
    <col min="10" max="10" width="15" customWidth="1"/>
    <col min="11" max="11" width="14.453125" customWidth="1"/>
    <col min="12" max="12" width="14.26953125" bestFit="1" customWidth="1"/>
    <col min="13" max="13" width="15.54296875" customWidth="1"/>
    <col min="14" max="14" width="14.54296875" customWidth="1"/>
    <col min="15" max="15" width="14.453125" customWidth="1"/>
    <col min="16" max="16" width="15" customWidth="1"/>
    <col min="17" max="17" width="13.81640625" customWidth="1"/>
    <col min="18" max="18" width="14" customWidth="1"/>
    <col min="19" max="19" width="14.54296875" customWidth="1"/>
    <col min="20" max="20" width="14" customWidth="1"/>
    <col min="21" max="21" width="13.26953125" bestFit="1" customWidth="1"/>
  </cols>
  <sheetData>
    <row r="1" spans="1:21" ht="4.5" customHeight="1" thickBot="1" x14ac:dyDescent="0.3">
      <c r="B1" s="335"/>
      <c r="C1" s="335"/>
      <c r="D1" s="335"/>
      <c r="E1" s="335"/>
      <c r="F1" s="336"/>
      <c r="G1" s="335"/>
      <c r="H1" s="335"/>
      <c r="I1" s="335"/>
      <c r="J1" s="335"/>
      <c r="K1" s="335"/>
      <c r="L1" s="335"/>
      <c r="M1" s="335"/>
    </row>
    <row r="2" spans="1:21" ht="18.5" thickTop="1" x14ac:dyDescent="0.4">
      <c r="A2" s="510"/>
      <c r="B2" s="494" t="s">
        <v>0</v>
      </c>
      <c r="C2" s="537" t="s">
        <v>194</v>
      </c>
      <c r="E2" s="326" t="s">
        <v>31</v>
      </c>
      <c r="F2" s="1172">
        <v>43331</v>
      </c>
      <c r="G2" s="1173"/>
      <c r="J2" s="492" t="s">
        <v>5</v>
      </c>
      <c r="K2" s="493">
        <v>2023</v>
      </c>
      <c r="M2" s="490" t="s">
        <v>10</v>
      </c>
      <c r="N2" s="452">
        <f>K2+1</f>
        <v>2024</v>
      </c>
      <c r="O2" s="451"/>
      <c r="P2" s="453" t="s">
        <v>11</v>
      </c>
      <c r="Q2" s="452">
        <f>N2+1</f>
        <v>2025</v>
      </c>
      <c r="R2" s="454"/>
      <c r="S2" s="1165" t="s">
        <v>77</v>
      </c>
      <c r="T2" s="1166"/>
      <c r="U2" s="455" t="s">
        <v>79</v>
      </c>
    </row>
    <row r="3" spans="1:21" ht="15.5" x14ac:dyDescent="0.35">
      <c r="A3" s="510"/>
      <c r="C3" s="1"/>
      <c r="D3" s="25"/>
      <c r="E3" s="2"/>
      <c r="I3" s="326" t="s">
        <v>59</v>
      </c>
      <c r="J3" s="144"/>
      <c r="L3" s="145"/>
      <c r="O3" s="31"/>
      <c r="R3" s="31"/>
      <c r="S3" s="90" t="s">
        <v>71</v>
      </c>
      <c r="T3" s="91">
        <f>AVERAGE(J5,M5,P5)</f>
        <v>39</v>
      </c>
      <c r="U3" s="31"/>
    </row>
    <row r="4" spans="1:21" ht="13" x14ac:dyDescent="0.3">
      <c r="A4" s="510"/>
      <c r="I4" s="43">
        <v>0</v>
      </c>
      <c r="J4" s="326" t="s">
        <v>71</v>
      </c>
      <c r="K4" s="349" t="s">
        <v>72</v>
      </c>
      <c r="L4" s="17">
        <v>43</v>
      </c>
      <c r="M4" s="326" t="s">
        <v>71</v>
      </c>
      <c r="N4" s="349" t="s">
        <v>69</v>
      </c>
      <c r="O4" s="17">
        <v>43</v>
      </c>
      <c r="P4" s="326" t="s">
        <v>71</v>
      </c>
      <c r="Q4" s="349" t="s">
        <v>69</v>
      </c>
      <c r="R4" s="17">
        <v>43</v>
      </c>
      <c r="S4" s="90" t="s">
        <v>69</v>
      </c>
      <c r="T4" s="85">
        <f>AVERAGE(L4,O4,R4)</f>
        <v>43</v>
      </c>
      <c r="U4" s="31"/>
    </row>
    <row r="5" spans="1:21" ht="12.75" customHeight="1" thickBot="1" x14ac:dyDescent="0.35">
      <c r="A5" s="510"/>
      <c r="B5" s="495" t="s">
        <v>2</v>
      </c>
      <c r="C5" s="1174"/>
      <c r="D5" s="1175"/>
      <c r="E5" s="1175"/>
      <c r="F5" s="1175"/>
      <c r="G5" s="1175"/>
      <c r="H5" s="1175"/>
      <c r="I5" s="1175"/>
      <c r="J5" s="286">
        <v>39</v>
      </c>
      <c r="K5" s="287" t="s">
        <v>70</v>
      </c>
      <c r="L5" s="288">
        <f>L4*$I$4</f>
        <v>0</v>
      </c>
      <c r="M5" s="526">
        <v>39</v>
      </c>
      <c r="N5" s="287" t="s">
        <v>70</v>
      </c>
      <c r="O5" s="289">
        <f>O4*$I$4</f>
        <v>0</v>
      </c>
      <c r="P5" s="525">
        <v>39</v>
      </c>
      <c r="Q5" s="287" t="s">
        <v>70</v>
      </c>
      <c r="R5" s="288">
        <f>R4*$I$4</f>
        <v>0</v>
      </c>
      <c r="S5" s="191" t="s">
        <v>70</v>
      </c>
      <c r="T5" s="192">
        <f>AVERAGE(L5,O5,R5)</f>
        <v>0</v>
      </c>
      <c r="U5" s="31"/>
    </row>
    <row r="6" spans="1:21" ht="30" customHeight="1" thickTop="1" thickBot="1" x14ac:dyDescent="0.45">
      <c r="A6" s="510"/>
      <c r="B6" s="496" t="s">
        <v>73</v>
      </c>
      <c r="C6" s="3"/>
      <c r="D6" s="3"/>
      <c r="E6" s="3"/>
      <c r="F6" s="9"/>
      <c r="G6" s="3"/>
      <c r="H6" s="3"/>
      <c r="I6" s="3"/>
      <c r="J6" s="447"/>
      <c r="K6" s="3"/>
      <c r="L6" s="3"/>
      <c r="M6" s="447"/>
      <c r="N6" s="3"/>
      <c r="O6" s="3"/>
      <c r="P6" s="447"/>
      <c r="Q6" s="3"/>
      <c r="R6" s="3"/>
      <c r="S6" s="448" t="s">
        <v>17</v>
      </c>
      <c r="T6" s="449" t="s">
        <v>103</v>
      </c>
      <c r="U6" s="450"/>
    </row>
    <row r="7" spans="1:21" ht="15.5" x14ac:dyDescent="0.35">
      <c r="A7" s="510"/>
      <c r="B7" s="48" t="s">
        <v>195</v>
      </c>
      <c r="C7" s="193"/>
      <c r="D7" s="349" t="s">
        <v>54</v>
      </c>
      <c r="E7" s="24">
        <v>5</v>
      </c>
      <c r="F7" s="1" t="s">
        <v>6</v>
      </c>
      <c r="G7" s="1169"/>
      <c r="H7" s="1170"/>
      <c r="I7" s="1171"/>
      <c r="J7" s="72" t="s">
        <v>3</v>
      </c>
      <c r="K7" s="146"/>
      <c r="L7" s="62"/>
      <c r="M7" s="48" t="s">
        <v>3</v>
      </c>
      <c r="O7" s="31"/>
      <c r="P7" s="48" t="s">
        <v>3</v>
      </c>
      <c r="R7" s="31"/>
      <c r="S7" s="99"/>
      <c r="T7" s="92"/>
      <c r="U7" s="114"/>
    </row>
    <row r="8" spans="1:21" ht="13" x14ac:dyDescent="0.3">
      <c r="A8" s="510"/>
      <c r="B8" s="497" t="s">
        <v>44</v>
      </c>
      <c r="C8" s="4"/>
      <c r="D8" s="4"/>
      <c r="E8" s="4"/>
      <c r="F8" s="8"/>
      <c r="G8" s="4"/>
      <c r="H8" s="4"/>
      <c r="I8" s="40" t="s">
        <v>55</v>
      </c>
      <c r="J8" s="209" t="s">
        <v>55</v>
      </c>
      <c r="K8" s="1176" t="s">
        <v>57</v>
      </c>
      <c r="L8" s="1168"/>
      <c r="M8" s="50" t="s">
        <v>55</v>
      </c>
      <c r="N8" s="1177" t="s">
        <v>57</v>
      </c>
      <c r="O8" s="1178"/>
      <c r="P8" s="227" t="s">
        <v>55</v>
      </c>
      <c r="Q8" s="1167" t="s">
        <v>57</v>
      </c>
      <c r="R8" s="1168"/>
      <c r="S8" s="100"/>
      <c r="T8" s="118"/>
      <c r="U8" s="116"/>
    </row>
    <row r="9" spans="1:21" ht="13" x14ac:dyDescent="0.3">
      <c r="A9" s="510"/>
      <c r="B9" s="498" t="s">
        <v>53</v>
      </c>
      <c r="C9" s="20" t="s">
        <v>45</v>
      </c>
      <c r="D9" s="20" t="s">
        <v>46</v>
      </c>
      <c r="E9" s="20" t="s">
        <v>47</v>
      </c>
      <c r="F9" s="20" t="s">
        <v>48</v>
      </c>
      <c r="G9" s="20" t="s">
        <v>49</v>
      </c>
      <c r="H9" s="20" t="s">
        <v>50</v>
      </c>
      <c r="I9" s="40" t="s">
        <v>13</v>
      </c>
      <c r="J9" s="210" t="s">
        <v>56</v>
      </c>
      <c r="K9" s="211" t="s">
        <v>13</v>
      </c>
      <c r="L9" s="212" t="s">
        <v>68</v>
      </c>
      <c r="M9" s="66" t="s">
        <v>56</v>
      </c>
      <c r="N9" s="20" t="s">
        <v>13</v>
      </c>
      <c r="O9" s="32" t="s">
        <v>68</v>
      </c>
      <c r="P9" s="211" t="s">
        <v>56</v>
      </c>
      <c r="Q9" s="211" t="s">
        <v>13</v>
      </c>
      <c r="R9" s="212" t="s">
        <v>68</v>
      </c>
      <c r="S9" s="98"/>
      <c r="T9" s="44"/>
      <c r="U9" s="117"/>
    </row>
    <row r="10" spans="1:21" x14ac:dyDescent="0.25">
      <c r="A10" s="510"/>
      <c r="B10" s="499" t="s">
        <v>51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41">
        <f>SUM(C10:H10)</f>
        <v>0</v>
      </c>
      <c r="J10" s="213" t="s">
        <v>12</v>
      </c>
      <c r="K10" s="214">
        <f>I10*$J$5</f>
        <v>0</v>
      </c>
      <c r="L10" s="215">
        <f>K10/$E$7</f>
        <v>0</v>
      </c>
      <c r="M10" s="51" t="s">
        <v>12</v>
      </c>
      <c r="N10" s="351">
        <f>I10*$M$5</f>
        <v>0</v>
      </c>
      <c r="O10" s="57">
        <f>N10/$E$7</f>
        <v>0</v>
      </c>
      <c r="P10" s="213" t="s">
        <v>12</v>
      </c>
      <c r="Q10" s="352">
        <f>$I10*$M$5</f>
        <v>0</v>
      </c>
      <c r="R10" s="239">
        <f>Q10/$E$7</f>
        <v>0</v>
      </c>
      <c r="S10" s="96">
        <f>AVERAGE(L10,O10,R10)</f>
        <v>0</v>
      </c>
      <c r="T10" s="94" t="s">
        <v>12</v>
      </c>
      <c r="U10" s="94" t="s">
        <v>12</v>
      </c>
    </row>
    <row r="11" spans="1:21" s="1" customFormat="1" ht="13.5" thickBot="1" x14ac:dyDescent="0.35">
      <c r="A11" s="511"/>
      <c r="B11" s="327" t="s">
        <v>52</v>
      </c>
      <c r="C11" s="20">
        <f>ROUND(C10*Labor!$D$3,0)</f>
        <v>0</v>
      </c>
      <c r="D11" s="20">
        <f>ROUND(D10*Labor!$D$4,0)</f>
        <v>0</v>
      </c>
      <c r="E11" s="20">
        <f>ROUND(E10*Labor!$D$5,0)</f>
        <v>0</v>
      </c>
      <c r="F11" s="20">
        <f>ROUND(F10*Labor!$D$6,0)</f>
        <v>0</v>
      </c>
      <c r="G11" s="20">
        <f>ROUND(G10*Labor!$D$7,0)</f>
        <v>0</v>
      </c>
      <c r="H11" s="20">
        <f>ROUND(H10*Labor!$D$8,0)</f>
        <v>0</v>
      </c>
      <c r="I11" s="314">
        <f>SUM(C11:H11)</f>
        <v>0</v>
      </c>
      <c r="J11" s="284">
        <f>HLOOKUP(K$2,InflationTable,2)/HLOOKUP(Labor!$B$11,InflationTable,2)*$I11</f>
        <v>0</v>
      </c>
      <c r="K11" s="315">
        <f>J11*$J$5</f>
        <v>0</v>
      </c>
      <c r="L11" s="316">
        <f>K11/$E$7</f>
        <v>0</v>
      </c>
      <c r="M11" s="169">
        <f>HLOOKUP(N$2,InflationTable,2)/HLOOKUP(Labor!$B$11,InflationTable,2)*$I11</f>
        <v>0</v>
      </c>
      <c r="N11" s="317">
        <f>M11*$J$5</f>
        <v>0</v>
      </c>
      <c r="O11" s="318">
        <f>N11/$E$7</f>
        <v>0</v>
      </c>
      <c r="P11" s="284">
        <f>HLOOKUP(Q$2,InflationTable,2)/HLOOKUP(Labor!$B$11,InflationTable,2)*$I11</f>
        <v>0</v>
      </c>
      <c r="Q11" s="315">
        <f>P11*$J$5</f>
        <v>0</v>
      </c>
      <c r="R11" s="316">
        <f>Q11/$E$7</f>
        <v>0</v>
      </c>
      <c r="S11" s="312">
        <f>AVERAGE(L11,O11,R11)</f>
        <v>0</v>
      </c>
      <c r="T11" s="313" t="s">
        <v>12</v>
      </c>
      <c r="U11" s="313" t="s">
        <v>12</v>
      </c>
    </row>
    <row r="12" spans="1:21" ht="13" x14ac:dyDescent="0.3">
      <c r="A12" s="510"/>
      <c r="B12" s="1" t="s">
        <v>7</v>
      </c>
      <c r="H12" s="6"/>
      <c r="I12" s="31"/>
      <c r="J12" s="216"/>
      <c r="K12" s="216"/>
      <c r="L12" s="217"/>
      <c r="O12" s="37"/>
      <c r="P12" s="330"/>
      <c r="Q12" s="330"/>
      <c r="R12" s="240"/>
      <c r="S12" s="97"/>
      <c r="T12" s="31"/>
      <c r="U12" s="31"/>
    </row>
    <row r="13" spans="1:21" x14ac:dyDescent="0.25">
      <c r="A13" s="510"/>
      <c r="B13" s="499" t="s">
        <v>51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41">
        <f>SUM(C13:H13)</f>
        <v>0</v>
      </c>
      <c r="J13" s="213" t="s">
        <v>12</v>
      </c>
      <c r="K13" s="214">
        <f>I13*$J$5</f>
        <v>0</v>
      </c>
      <c r="L13" s="215">
        <f>K13/$E$7</f>
        <v>0</v>
      </c>
      <c r="M13" s="51" t="s">
        <v>12</v>
      </c>
      <c r="N13" s="10">
        <f>I13*$M$5</f>
        <v>0</v>
      </c>
      <c r="O13" s="52">
        <f>N13/$E$7</f>
        <v>0</v>
      </c>
      <c r="P13" s="213" t="s">
        <v>12</v>
      </c>
      <c r="Q13" s="241">
        <f>$I13*$P$5</f>
        <v>0</v>
      </c>
      <c r="R13" s="232">
        <f>Q13/$E$7</f>
        <v>0</v>
      </c>
      <c r="S13" s="96">
        <f>AVERAGE(L13,O13,R13)</f>
        <v>0</v>
      </c>
      <c r="T13" s="94" t="s">
        <v>12</v>
      </c>
      <c r="U13" s="94" t="s">
        <v>12</v>
      </c>
    </row>
    <row r="14" spans="1:21" s="1" customFormat="1" ht="13.5" thickBot="1" x14ac:dyDescent="0.35">
      <c r="A14" s="511"/>
      <c r="B14" s="500" t="s">
        <v>52</v>
      </c>
      <c r="C14" s="310">
        <f>ROUND(C13*Labor!$D$3,0)</f>
        <v>0</v>
      </c>
      <c r="D14" s="310">
        <f>ROUND(D13*Labor!$D$4,0)</f>
        <v>0</v>
      </c>
      <c r="E14" s="310">
        <f>ROUND(E13*Labor!$D$5,0)</f>
        <v>0</v>
      </c>
      <c r="F14" s="310">
        <f>ROUND(F13*Labor!$D$6,0)</f>
        <v>0</v>
      </c>
      <c r="G14" s="310">
        <f>ROUND(G13*Labor!$D$7,0)</f>
        <v>0</v>
      </c>
      <c r="H14" s="310">
        <f>ROUND(H13*Labor!$D$8,0)</f>
        <v>0</v>
      </c>
      <c r="I14" s="311">
        <f>SUM(C14:H14)</f>
        <v>0</v>
      </c>
      <c r="J14" s="284">
        <f>HLOOKUP(K$2,InflationTable,2)/HLOOKUP(Labor!$B$11,InflationTable,2)*$I14</f>
        <v>0</v>
      </c>
      <c r="K14" s="245">
        <f>J14*$J$5</f>
        <v>0</v>
      </c>
      <c r="L14" s="246">
        <f>K14/$E$7</f>
        <v>0</v>
      </c>
      <c r="M14" s="169">
        <f>HLOOKUP(N$2,InflationTable,2)/HLOOKUP(Labor!$B$11,InflationTable,2)*$I14</f>
        <v>0</v>
      </c>
      <c r="N14" s="166">
        <f>M14*$J$5</f>
        <v>0</v>
      </c>
      <c r="O14" s="167">
        <f>N14/$E$7</f>
        <v>0</v>
      </c>
      <c r="P14" s="284">
        <f>HLOOKUP(Q$2,InflationTable,2)/HLOOKUP(Labor!$B$11,InflationTable,2)*$I14</f>
        <v>0</v>
      </c>
      <c r="Q14" s="245">
        <f>P14*$J$5</f>
        <v>0</v>
      </c>
      <c r="R14" s="246">
        <f>Q14/$E$7</f>
        <v>0</v>
      </c>
      <c r="S14" s="312">
        <f>AVERAGE(L14,O14,R14)</f>
        <v>0</v>
      </c>
      <c r="T14" s="313" t="s">
        <v>12</v>
      </c>
      <c r="U14" s="313" t="s">
        <v>12</v>
      </c>
    </row>
    <row r="15" spans="1:21" ht="13" x14ac:dyDescent="0.3">
      <c r="A15" s="510"/>
      <c r="B15" s="501" t="s">
        <v>66</v>
      </c>
      <c r="C15" s="28">
        <f t="shared" ref="C15:I16" si="0">C10+C13</f>
        <v>0</v>
      </c>
      <c r="D15" s="28">
        <f t="shared" si="0"/>
        <v>0</v>
      </c>
      <c r="E15" s="28">
        <f t="shared" si="0"/>
        <v>0</v>
      </c>
      <c r="F15" s="28">
        <f t="shared" si="0"/>
        <v>0</v>
      </c>
      <c r="G15" s="28">
        <f t="shared" si="0"/>
        <v>0</v>
      </c>
      <c r="H15" s="28">
        <f t="shared" si="0"/>
        <v>0</v>
      </c>
      <c r="I15" s="42">
        <f t="shared" si="0"/>
        <v>0</v>
      </c>
      <c r="J15" s="221" t="s">
        <v>12</v>
      </c>
      <c r="K15" s="222">
        <f>K10+K13</f>
        <v>0</v>
      </c>
      <c r="L15" s="223">
        <f>L10+L13</f>
        <v>0</v>
      </c>
      <c r="M15" s="53" t="s">
        <v>12</v>
      </c>
      <c r="N15">
        <f>I15*$M$5</f>
        <v>0</v>
      </c>
      <c r="O15" s="54">
        <f>N15/$E$7</f>
        <v>0</v>
      </c>
      <c r="P15" s="242" t="s">
        <v>12</v>
      </c>
      <c r="Q15" s="352">
        <f>$I15*$P$5</f>
        <v>0</v>
      </c>
      <c r="R15" s="243">
        <f>Q15/$E$7</f>
        <v>0</v>
      </c>
      <c r="S15" s="96">
        <f>AVERAGE(L15,O15,R15)</f>
        <v>0</v>
      </c>
      <c r="T15" s="94" t="s">
        <v>12</v>
      </c>
      <c r="U15" s="94" t="s">
        <v>12</v>
      </c>
    </row>
    <row r="16" spans="1:21" ht="13.5" thickBot="1" x14ac:dyDescent="0.35">
      <c r="A16" s="510"/>
      <c r="B16" s="502" t="s">
        <v>67</v>
      </c>
      <c r="C16" s="194">
        <f t="shared" si="0"/>
        <v>0</v>
      </c>
      <c r="D16" s="194">
        <f t="shared" si="0"/>
        <v>0</v>
      </c>
      <c r="E16" s="194">
        <f t="shared" si="0"/>
        <v>0</v>
      </c>
      <c r="F16" s="194">
        <f t="shared" si="0"/>
        <v>0</v>
      </c>
      <c r="G16" s="194">
        <f t="shared" si="0"/>
        <v>0</v>
      </c>
      <c r="H16" s="194">
        <f t="shared" si="0"/>
        <v>0</v>
      </c>
      <c r="I16" s="195">
        <f t="shared" si="0"/>
        <v>0</v>
      </c>
      <c r="J16" s="224">
        <f>J11+J14</f>
        <v>0</v>
      </c>
      <c r="K16" s="225">
        <f>K11+K14</f>
        <v>0</v>
      </c>
      <c r="L16" s="226">
        <f>L11+L14</f>
        <v>0</v>
      </c>
      <c r="M16" s="196">
        <f>M11+M14</f>
        <v>0</v>
      </c>
      <c r="N16" s="194">
        <f>N11+N14</f>
        <v>0</v>
      </c>
      <c r="O16" s="197">
        <f>O11+O14</f>
        <v>0</v>
      </c>
      <c r="P16" s="244">
        <f>P11+P14</f>
        <v>0</v>
      </c>
      <c r="Q16" s="245">
        <f>P16*$P$5</f>
        <v>0</v>
      </c>
      <c r="R16" s="246">
        <f>Q16/$E$7</f>
        <v>0</v>
      </c>
      <c r="S16" s="169">
        <f>AVERAGE(L16,O16,R16)</f>
        <v>0</v>
      </c>
      <c r="T16" s="174" t="s">
        <v>12</v>
      </c>
      <c r="U16" s="174" t="s">
        <v>12</v>
      </c>
    </row>
    <row r="17" spans="1:21" ht="13.5" thickTop="1" thickBot="1" x14ac:dyDescent="0.3">
      <c r="A17" s="510"/>
      <c r="B17" s="512"/>
      <c r="C17" s="513"/>
      <c r="D17" s="513"/>
      <c r="E17" s="513"/>
      <c r="F17" s="513"/>
      <c r="G17" s="513"/>
      <c r="H17" s="513"/>
      <c r="I17" s="513"/>
      <c r="J17" s="513"/>
      <c r="K17" s="513"/>
      <c r="L17" s="513"/>
      <c r="M17" s="513"/>
      <c r="N17" s="335"/>
      <c r="O17" s="335"/>
      <c r="P17" s="335"/>
      <c r="Q17" s="335"/>
      <c r="R17" s="335"/>
      <c r="S17" s="335"/>
      <c r="T17" s="335"/>
      <c r="U17" s="335"/>
    </row>
    <row r="18" spans="1:21" ht="16" thickTop="1" x14ac:dyDescent="0.35">
      <c r="A18" s="510"/>
      <c r="B18" s="2" t="s">
        <v>16</v>
      </c>
      <c r="C18" s="61"/>
      <c r="D18" s="349" t="s">
        <v>54</v>
      </c>
      <c r="E18" s="59">
        <v>5</v>
      </c>
      <c r="F18" s="1" t="s">
        <v>6</v>
      </c>
      <c r="G18" s="1160"/>
      <c r="H18" s="1161"/>
      <c r="I18" s="1162"/>
      <c r="J18" s="2" t="s">
        <v>16</v>
      </c>
      <c r="L18" s="62"/>
      <c r="M18" s="2" t="s">
        <v>16</v>
      </c>
      <c r="O18" s="31"/>
      <c r="P18" s="2" t="s">
        <v>16</v>
      </c>
      <c r="R18" s="62"/>
      <c r="S18" s="97"/>
      <c r="T18" s="31"/>
      <c r="U18" s="111"/>
    </row>
    <row r="19" spans="1:21" ht="13" x14ac:dyDescent="0.3">
      <c r="A19" s="510"/>
      <c r="C19" s="86" t="s">
        <v>60</v>
      </c>
      <c r="D19" s="20" t="s">
        <v>62</v>
      </c>
      <c r="F19"/>
      <c r="H19" s="4"/>
      <c r="I19" s="37"/>
      <c r="J19" s="227" t="s">
        <v>61</v>
      </c>
      <c r="K19" s="1167" t="s">
        <v>57</v>
      </c>
      <c r="L19" s="1168"/>
      <c r="M19" s="50" t="s">
        <v>61</v>
      </c>
      <c r="N19" s="1177" t="s">
        <v>57</v>
      </c>
      <c r="O19" s="1178"/>
      <c r="P19" s="212" t="s">
        <v>61</v>
      </c>
      <c r="Q19" s="1167" t="s">
        <v>57</v>
      </c>
      <c r="R19" s="1168"/>
      <c r="S19" s="106"/>
      <c r="T19" s="31"/>
      <c r="U19" s="111"/>
    </row>
    <row r="20" spans="1:21" ht="13" x14ac:dyDescent="0.3">
      <c r="A20" s="510"/>
      <c r="B20" s="503" t="s">
        <v>58</v>
      </c>
      <c r="C20" s="20"/>
      <c r="D20" s="20"/>
      <c r="E20" s="7"/>
      <c r="F20" s="61"/>
      <c r="G20" s="61"/>
      <c r="H20" s="61"/>
      <c r="I20" s="62"/>
      <c r="J20" s="210" t="s">
        <v>56</v>
      </c>
      <c r="K20" s="211" t="s">
        <v>13</v>
      </c>
      <c r="L20" s="212" t="s">
        <v>68</v>
      </c>
      <c r="M20" s="66" t="s">
        <v>56</v>
      </c>
      <c r="N20" s="20" t="s">
        <v>13</v>
      </c>
      <c r="O20" s="32" t="s">
        <v>68</v>
      </c>
      <c r="P20" s="210" t="s">
        <v>56</v>
      </c>
      <c r="Q20" s="211" t="s">
        <v>13</v>
      </c>
      <c r="R20" s="212" t="s">
        <v>68</v>
      </c>
      <c r="S20" s="98"/>
      <c r="T20" s="31"/>
      <c r="U20" s="111"/>
    </row>
    <row r="21" spans="1:21" x14ac:dyDescent="0.25">
      <c r="A21" s="510"/>
      <c r="B21" s="504" t="s">
        <v>14</v>
      </c>
      <c r="C21" s="23">
        <f>VLOOKUP(C$2,Monitor_Costs,2,FALSE)</f>
        <v>16000</v>
      </c>
      <c r="D21" s="19">
        <f>VLOOKUP(C$2,Monitor_Costs,3,FALSE)</f>
        <v>2019</v>
      </c>
      <c r="E21" s="63"/>
      <c r="F21" s="64"/>
      <c r="G21" s="65"/>
      <c r="H21" s="65"/>
      <c r="I21" s="31"/>
      <c r="J21" s="229">
        <f>HLOOKUP(K$2,InflationTable,2)/HLOOKUP($D21,InflationTable,2)*$C21</f>
        <v>19342.667188111067</v>
      </c>
      <c r="K21" s="229">
        <f>J21*$L$4</f>
        <v>831734.68908877589</v>
      </c>
      <c r="L21" s="230">
        <f>K21/$E$18</f>
        <v>166346.93781775518</v>
      </c>
      <c r="M21" s="23">
        <f>HLOOKUP(N$2,InflationTable,2)/HLOOKUP($D21,InflationTable,2)*$C21</f>
        <v>20116.373875635509</v>
      </c>
      <c r="N21" s="23">
        <f>M21*$L$4</f>
        <v>865004.07665232685</v>
      </c>
      <c r="O21" s="80">
        <f>N21/$E$18</f>
        <v>173000.81533046538</v>
      </c>
      <c r="P21" s="229">
        <f>HLOOKUP(Q$2,InflationTable,2)/HLOOKUP($D21,InflationTable,2)*$C21</f>
        <v>20518.701353148219</v>
      </c>
      <c r="Q21" s="229">
        <f>P21*$L$4</f>
        <v>882304.15818537341</v>
      </c>
      <c r="R21" s="230">
        <f>Q21/$E$18</f>
        <v>176460.83163707468</v>
      </c>
      <c r="S21" s="102" t="s">
        <v>12</v>
      </c>
      <c r="T21" s="94" t="s">
        <v>12</v>
      </c>
      <c r="U21" s="112">
        <f>AVERAGE(L21,O21,R21)</f>
        <v>171936.19492843177</v>
      </c>
    </row>
    <row r="22" spans="1:21" ht="13.5" thickBot="1" x14ac:dyDescent="0.35">
      <c r="A22" s="510"/>
      <c r="B22" s="505" t="s">
        <v>15</v>
      </c>
      <c r="C22" s="3"/>
      <c r="D22" s="3"/>
      <c r="E22" s="3"/>
      <c r="F22" s="9"/>
      <c r="G22" s="3"/>
      <c r="H22" s="3"/>
      <c r="I22" s="305"/>
      <c r="J22" s="306"/>
      <c r="K22" s="295">
        <f>J21*$L$5</f>
        <v>0</v>
      </c>
      <c r="L22" s="256">
        <f>K22/$E$18</f>
        <v>0</v>
      </c>
      <c r="M22" s="3"/>
      <c r="N22" s="84">
        <f>M21*$L$5</f>
        <v>0</v>
      </c>
      <c r="O22" s="307">
        <f>N22/$E$18</f>
        <v>0</v>
      </c>
      <c r="P22" s="308"/>
      <c r="Q22" s="295">
        <f>P21*$L$5</f>
        <v>0</v>
      </c>
      <c r="R22" s="256">
        <f>Q22/$E$18</f>
        <v>0</v>
      </c>
      <c r="S22" s="298" t="s">
        <v>12</v>
      </c>
      <c r="T22" s="121" t="s">
        <v>12</v>
      </c>
      <c r="U22" s="309">
        <f>AVERAGE(L22,O22,R22)</f>
        <v>0</v>
      </c>
    </row>
    <row r="23" spans="1:21" ht="13" x14ac:dyDescent="0.3">
      <c r="A23" s="510"/>
      <c r="B23" s="1" t="s">
        <v>17</v>
      </c>
      <c r="C23" s="86" t="s">
        <v>45</v>
      </c>
      <c r="D23" s="86" t="s">
        <v>46</v>
      </c>
      <c r="E23" s="86" t="s">
        <v>47</v>
      </c>
      <c r="F23" s="86" t="s">
        <v>48</v>
      </c>
      <c r="G23" s="86" t="s">
        <v>49</v>
      </c>
      <c r="H23" s="86" t="s">
        <v>50</v>
      </c>
      <c r="I23" s="145" t="s">
        <v>74</v>
      </c>
      <c r="J23" s="292"/>
      <c r="K23" s="293"/>
      <c r="L23" s="296"/>
      <c r="M23" s="88"/>
      <c r="N23" s="86"/>
      <c r="O23" s="87"/>
      <c r="P23" s="293"/>
      <c r="Q23" s="293"/>
      <c r="R23" s="296"/>
      <c r="S23" s="100"/>
      <c r="T23" s="31"/>
      <c r="U23" s="111"/>
    </row>
    <row r="24" spans="1:21" ht="13" x14ac:dyDescent="0.3">
      <c r="A24" s="510"/>
      <c r="B24" s="506" t="s">
        <v>119</v>
      </c>
      <c r="C24" s="27">
        <v>0</v>
      </c>
      <c r="D24" s="18">
        <v>0</v>
      </c>
      <c r="E24" s="18">
        <v>0</v>
      </c>
      <c r="F24" s="18">
        <v>8</v>
      </c>
      <c r="G24" s="18">
        <v>0</v>
      </c>
      <c r="H24" s="18">
        <v>0</v>
      </c>
      <c r="I24" s="41">
        <f>SUM(C24:H24)</f>
        <v>8</v>
      </c>
      <c r="J24" s="213" t="s">
        <v>12</v>
      </c>
      <c r="K24" s="231">
        <f>I24*($L$4+$L$5)</f>
        <v>344</v>
      </c>
      <c r="L24" s="232">
        <f>K24/$E$18</f>
        <v>68.8</v>
      </c>
      <c r="M24" s="51" t="s">
        <v>12</v>
      </c>
      <c r="N24" s="58">
        <f>$I$24*($O$4+$O$5)</f>
        <v>344</v>
      </c>
      <c r="O24" s="52">
        <f>N24/$E$18</f>
        <v>68.8</v>
      </c>
      <c r="P24" s="213" t="s">
        <v>12</v>
      </c>
      <c r="Q24" s="231">
        <f>$I$24*($R$4+$R$5)</f>
        <v>344</v>
      </c>
      <c r="R24" s="232">
        <f>Q24/$E$18</f>
        <v>68.8</v>
      </c>
      <c r="S24" s="96">
        <f>AVERAGE(L24,O24,R24)</f>
        <v>68.8</v>
      </c>
      <c r="T24" s="94" t="s">
        <v>12</v>
      </c>
      <c r="U24" s="113" t="s">
        <v>12</v>
      </c>
    </row>
    <row r="25" spans="1:21" s="1" customFormat="1" ht="13.5" thickBot="1" x14ac:dyDescent="0.35">
      <c r="A25" s="511"/>
      <c r="B25" s="500" t="s">
        <v>8</v>
      </c>
      <c r="C25" s="319">
        <f>ROUND(C24*Labor!$D$3,0)</f>
        <v>0</v>
      </c>
      <c r="D25" s="310">
        <f>ROUND(D24*Labor!$D$4,0)</f>
        <v>0</v>
      </c>
      <c r="E25" s="310">
        <f>ROUND(E24*Labor!$D$5,0)</f>
        <v>0</v>
      </c>
      <c r="F25" s="310">
        <f>ROUND(F24*Labor!$D$6,0)</f>
        <v>221</v>
      </c>
      <c r="G25" s="310">
        <f>ROUND(G24*Labor!$D$7,0)</f>
        <v>0</v>
      </c>
      <c r="H25" s="310">
        <f>ROUND(H24*Labor!$D$8,0)</f>
        <v>0</v>
      </c>
      <c r="I25" s="311">
        <f>SUM(C25:H25)</f>
        <v>221</v>
      </c>
      <c r="J25" s="284">
        <f>HLOOKUP(K$2,InflationTable,2)/HLOOKUP(Labor!$B$11,InflationTable,2)*$I25</f>
        <v>472.77176470588233</v>
      </c>
      <c r="K25" s="245">
        <f>J25*($L$4+$L$5)</f>
        <v>20329.18588235294</v>
      </c>
      <c r="L25" s="246">
        <f>K25/$E$18</f>
        <v>4065.837176470588</v>
      </c>
      <c r="M25" s="169">
        <f>HLOOKUP(N$2,InflationTable,2)/HLOOKUP(Labor!$B$11,InflationTable,2)*$I25</f>
        <v>491.68263529411769</v>
      </c>
      <c r="N25" s="166">
        <f>M25*$L$4</f>
        <v>21142.353317647059</v>
      </c>
      <c r="O25" s="167">
        <f>N25/$E$18</f>
        <v>4228.4706635294115</v>
      </c>
      <c r="P25" s="284">
        <f>HLOOKUP(Q$2,InflationTable,2)/HLOOKUP(Labor!$B$11,InflationTable,2)*$I25</f>
        <v>501.51628799999992</v>
      </c>
      <c r="Q25" s="245">
        <f>P25*$L$4</f>
        <v>21565.200383999996</v>
      </c>
      <c r="R25" s="320">
        <f>Q25/$E$18</f>
        <v>4313.040076799999</v>
      </c>
      <c r="S25" s="169">
        <f>AVERAGE(L25,O25,R25)</f>
        <v>4202.4493055999992</v>
      </c>
      <c r="T25" s="174" t="s">
        <v>12</v>
      </c>
      <c r="U25" s="322" t="s">
        <v>12</v>
      </c>
    </row>
    <row r="26" spans="1:21" ht="13" x14ac:dyDescent="0.3">
      <c r="A26" s="510"/>
      <c r="B26" s="1" t="s">
        <v>118</v>
      </c>
      <c r="C26" s="290">
        <v>0</v>
      </c>
      <c r="D26" s="302">
        <v>6</v>
      </c>
      <c r="E26" s="302">
        <v>0</v>
      </c>
      <c r="F26" s="302">
        <v>0</v>
      </c>
      <c r="G26" s="302">
        <v>0</v>
      </c>
      <c r="H26" s="302">
        <v>0</v>
      </c>
      <c r="I26" s="303">
        <f>SUM(C26:H26)</f>
        <v>6</v>
      </c>
      <c r="J26" s="242" t="s">
        <v>12</v>
      </c>
      <c r="K26" s="280">
        <f>I26*$L$4</f>
        <v>258</v>
      </c>
      <c r="L26" s="243">
        <f>K26/$E$18</f>
        <v>51.6</v>
      </c>
      <c r="M26" s="53" t="s">
        <v>12</v>
      </c>
      <c r="N26" s="147">
        <f>I26*$O$4</f>
        <v>258</v>
      </c>
      <c r="O26" s="54">
        <f>N26/$E$18</f>
        <v>51.6</v>
      </c>
      <c r="P26" s="242" t="s">
        <v>12</v>
      </c>
      <c r="Q26" s="273">
        <f>$I26*$O$4</f>
        <v>258</v>
      </c>
      <c r="R26" s="304">
        <f>Q26/$E$18</f>
        <v>51.6</v>
      </c>
      <c r="S26" s="104">
        <f>AVERAGE(L26,O26,R26)</f>
        <v>51.6</v>
      </c>
      <c r="T26" s="42" t="s">
        <v>12</v>
      </c>
      <c r="U26" s="119" t="s">
        <v>12</v>
      </c>
    </row>
    <row r="27" spans="1:21" s="1" customFormat="1" ht="13.5" thickBot="1" x14ac:dyDescent="0.35">
      <c r="A27" s="511"/>
      <c r="B27" s="507" t="s">
        <v>8</v>
      </c>
      <c r="C27" s="310">
        <f>ROUND(C26*Labor!$D$3,0)</f>
        <v>0</v>
      </c>
      <c r="D27" s="310">
        <f>ROUND(D26*Labor!$D$4,0)</f>
        <v>145</v>
      </c>
      <c r="E27" s="310">
        <f>ROUND(E26*Labor!$D$5,0)</f>
        <v>0</v>
      </c>
      <c r="F27" s="310">
        <f>ROUND(F26*Labor!$D$6,0)</f>
        <v>0</v>
      </c>
      <c r="G27" s="310">
        <f>ROUND(G26*Labor!$D$7,0)</f>
        <v>0</v>
      </c>
      <c r="H27" s="310">
        <f>ROUND(H26*Labor!$D$8,0)</f>
        <v>0</v>
      </c>
      <c r="I27" s="311">
        <f>SUM(C27:H27)</f>
        <v>145</v>
      </c>
      <c r="J27" s="284">
        <f>HLOOKUP(K$2,InflationTable,2)/HLOOKUP(Labor!$B$11,InflationTable,2)*$I27</f>
        <v>310.18961937716261</v>
      </c>
      <c r="K27" s="245">
        <f>J27*$L$4</f>
        <v>13338.153633217993</v>
      </c>
      <c r="L27" s="246">
        <f>K27/$E$18</f>
        <v>2667.6307266435988</v>
      </c>
      <c r="M27" s="169">
        <f>HLOOKUP(N$2,InflationTable,2)/HLOOKUP(Labor!$B$11,InflationTable,2)*$I27</f>
        <v>322.59720415224916</v>
      </c>
      <c r="N27" s="166">
        <f>M27*$O$4</f>
        <v>13871.679778546713</v>
      </c>
      <c r="O27" s="167">
        <f>N27/$E$18</f>
        <v>2774.3359557093427</v>
      </c>
      <c r="P27" s="284">
        <f>HLOOKUP(Q$2,InflationTable,2)/HLOOKUP(Labor!$B$11,InflationTable,2)*$I27</f>
        <v>329.04914823529407</v>
      </c>
      <c r="Q27" s="245">
        <f>P27*$R$4</f>
        <v>14149.113374117645</v>
      </c>
      <c r="R27" s="246">
        <f>Q27/$E$18</f>
        <v>2829.8226748235293</v>
      </c>
      <c r="S27" s="169">
        <f>AVERAGE(L27,O27,R27)</f>
        <v>2757.2631190588236</v>
      </c>
      <c r="T27" s="323" t="s">
        <v>12</v>
      </c>
      <c r="U27" s="322" t="s">
        <v>12</v>
      </c>
    </row>
    <row r="28" spans="1:21" ht="13" x14ac:dyDescent="0.3">
      <c r="A28" s="510"/>
      <c r="B28" s="501" t="s">
        <v>66</v>
      </c>
      <c r="C28" s="28">
        <f t="shared" ref="C28:I28" si="1">C24+C26</f>
        <v>0</v>
      </c>
      <c r="D28" s="28">
        <f t="shared" si="1"/>
        <v>6</v>
      </c>
      <c r="E28" s="28">
        <f t="shared" si="1"/>
        <v>0</v>
      </c>
      <c r="F28" s="28">
        <f t="shared" si="1"/>
        <v>8</v>
      </c>
      <c r="G28" s="28">
        <f t="shared" si="1"/>
        <v>0</v>
      </c>
      <c r="H28" s="28">
        <f t="shared" si="1"/>
        <v>0</v>
      </c>
      <c r="I28" s="42">
        <f t="shared" si="1"/>
        <v>14</v>
      </c>
      <c r="J28" s="234" t="s">
        <v>12</v>
      </c>
      <c r="K28" s="235">
        <f>K24+K26</f>
        <v>602</v>
      </c>
      <c r="L28" s="236">
        <f>L24+L26</f>
        <v>120.4</v>
      </c>
      <c r="M28" s="38" t="s">
        <v>12</v>
      </c>
      <c r="N28" s="28">
        <f>N24+N26</f>
        <v>602</v>
      </c>
      <c r="O28" s="34">
        <f>O24+O26</f>
        <v>120.4</v>
      </c>
      <c r="P28" s="234" t="s">
        <v>12</v>
      </c>
      <c r="Q28" s="235">
        <f>Q24+Q26</f>
        <v>602</v>
      </c>
      <c r="R28" s="236">
        <f>R24+R26</f>
        <v>120.4</v>
      </c>
      <c r="S28" s="104">
        <f>AVERAGE(L28,O28,R28)</f>
        <v>120.40000000000002</v>
      </c>
      <c r="T28" s="42" t="s">
        <v>12</v>
      </c>
      <c r="U28" s="119" t="s">
        <v>12</v>
      </c>
    </row>
    <row r="29" spans="1:21" ht="13.5" thickBot="1" x14ac:dyDescent="0.35">
      <c r="A29" s="510"/>
      <c r="B29" s="502" t="s">
        <v>67</v>
      </c>
      <c r="C29" s="194">
        <f t="shared" ref="C29:J29" si="2">C27+C25</f>
        <v>0</v>
      </c>
      <c r="D29" s="194">
        <f t="shared" si="2"/>
        <v>145</v>
      </c>
      <c r="E29" s="194">
        <f t="shared" si="2"/>
        <v>0</v>
      </c>
      <c r="F29" s="194">
        <f t="shared" si="2"/>
        <v>221</v>
      </c>
      <c r="G29" s="194">
        <f t="shared" si="2"/>
        <v>0</v>
      </c>
      <c r="H29" s="194">
        <f t="shared" si="2"/>
        <v>0</v>
      </c>
      <c r="I29" s="195">
        <f t="shared" si="2"/>
        <v>366</v>
      </c>
      <c r="J29" s="224">
        <f t="shared" si="2"/>
        <v>782.961384083045</v>
      </c>
      <c r="K29" s="237"/>
      <c r="L29" s="226">
        <f>L27+L25+L22+L21</f>
        <v>173080.40572086937</v>
      </c>
      <c r="M29" s="196">
        <f>M27+M25</f>
        <v>814.27983944636685</v>
      </c>
      <c r="N29" s="201"/>
      <c r="O29" s="197">
        <f>O27+O25+O22+O21</f>
        <v>180003.62194970413</v>
      </c>
      <c r="P29" s="224">
        <f>P27+P25</f>
        <v>830.56543623529399</v>
      </c>
      <c r="Q29" s="237"/>
      <c r="R29" s="226">
        <f>R27+R25+R22+R21</f>
        <v>183603.6943886982</v>
      </c>
      <c r="S29" s="206">
        <f>SUM(S27,S25)</f>
        <v>6959.7124246588228</v>
      </c>
      <c r="T29" s="203" t="s">
        <v>12</v>
      </c>
      <c r="U29" s="204">
        <f>SUM(U21:U22)</f>
        <v>171936.19492843177</v>
      </c>
    </row>
    <row r="30" spans="1:21" ht="13.5" thickTop="1" thickBot="1" x14ac:dyDescent="0.3">
      <c r="A30" s="510"/>
      <c r="C30" s="513"/>
      <c r="D30" s="513"/>
      <c r="E30" s="513"/>
      <c r="F30" s="513"/>
      <c r="G30" s="513"/>
      <c r="H30" s="513"/>
      <c r="I30" s="513"/>
      <c r="J30" s="513"/>
      <c r="K30" s="513"/>
      <c r="L30" s="513"/>
      <c r="M30" s="513"/>
      <c r="N30" s="513"/>
      <c r="O30" s="513"/>
      <c r="P30" s="513"/>
      <c r="Q30" s="513"/>
      <c r="R30" s="513"/>
      <c r="S30" s="513"/>
      <c r="T30" s="513"/>
      <c r="U30" s="513"/>
    </row>
    <row r="31" spans="1:21" ht="16" thickTop="1" x14ac:dyDescent="0.35">
      <c r="A31" s="510"/>
      <c r="B31" s="508" t="s">
        <v>22</v>
      </c>
      <c r="F31" s="1" t="s">
        <v>6</v>
      </c>
      <c r="G31" s="1160"/>
      <c r="H31" s="1161"/>
      <c r="I31" s="1162"/>
      <c r="J31" s="198" t="s">
        <v>22</v>
      </c>
      <c r="L31" s="62"/>
      <c r="M31" s="198" t="s">
        <v>22</v>
      </c>
      <c r="O31" s="31"/>
      <c r="P31" s="198" t="s">
        <v>22</v>
      </c>
      <c r="R31" s="31"/>
      <c r="S31" s="97"/>
      <c r="T31" s="31"/>
      <c r="U31" s="414"/>
    </row>
    <row r="32" spans="1:21" ht="13" x14ac:dyDescent="0.3">
      <c r="A32" s="510"/>
      <c r="F32" s="1"/>
      <c r="G32" s="1163"/>
      <c r="H32" s="1163"/>
      <c r="I32" s="1164"/>
      <c r="J32" s="227" t="s">
        <v>61</v>
      </c>
      <c r="K32" s="1182" t="s">
        <v>57</v>
      </c>
      <c r="L32" s="1183"/>
      <c r="M32" s="50" t="s">
        <v>61</v>
      </c>
      <c r="N32" s="1177" t="s">
        <v>57</v>
      </c>
      <c r="O32" s="1178"/>
      <c r="P32" s="227" t="s">
        <v>61</v>
      </c>
      <c r="Q32" s="1167" t="s">
        <v>57</v>
      </c>
      <c r="R32" s="1168"/>
      <c r="S32" s="106"/>
      <c r="T32" s="31"/>
      <c r="U32" s="182"/>
    </row>
    <row r="33" spans="1:21" ht="13" x14ac:dyDescent="0.3">
      <c r="A33" s="510"/>
      <c r="B33" s="1" t="s">
        <v>200</v>
      </c>
      <c r="C33" s="20" t="s">
        <v>60</v>
      </c>
      <c r="D33" s="20" t="s">
        <v>62</v>
      </c>
      <c r="E33" s="393"/>
      <c r="F33"/>
      <c r="I33" s="31"/>
      <c r="J33" s="211" t="s">
        <v>56</v>
      </c>
      <c r="K33" s="211" t="s">
        <v>13</v>
      </c>
      <c r="L33" s="212" t="s">
        <v>68</v>
      </c>
      <c r="M33" s="66" t="s">
        <v>56</v>
      </c>
      <c r="N33" s="20" t="s">
        <v>13</v>
      </c>
      <c r="O33" s="32" t="s">
        <v>68</v>
      </c>
      <c r="P33" s="210" t="s">
        <v>56</v>
      </c>
      <c r="Q33" s="211" t="s">
        <v>13</v>
      </c>
      <c r="R33" s="212" t="s">
        <v>68</v>
      </c>
      <c r="S33" s="98"/>
      <c r="T33" s="31"/>
      <c r="U33" s="182"/>
    </row>
    <row r="34" spans="1:21" s="1" customFormat="1" ht="13" x14ac:dyDescent="0.3">
      <c r="A34" s="511"/>
      <c r="B34" s="607" t="s">
        <v>18</v>
      </c>
      <c r="C34" s="317">
        <v>0</v>
      </c>
      <c r="D34" s="20">
        <f>VLOOKUP(C$2,Monitor_Costs,5,FALSE)</f>
        <v>2019</v>
      </c>
      <c r="E34" s="349"/>
      <c r="I34" s="118"/>
      <c r="J34" s="229">
        <f>HLOOKUP(K$2,InflationTable,2)/HLOOKUP($D34,InflationTable,2)*$C34</f>
        <v>0</v>
      </c>
      <c r="K34" s="315">
        <f>J34*$L$4</f>
        <v>0</v>
      </c>
      <c r="L34" s="316">
        <f>K34</f>
        <v>0</v>
      </c>
      <c r="M34" s="23">
        <f>HLOOKUP(N$2,InflationTable,2)/HLOOKUP($D34,InflationTable,2)*$C34</f>
        <v>0</v>
      </c>
      <c r="N34" s="317">
        <f>M34*$O$4</f>
        <v>0</v>
      </c>
      <c r="O34" s="318">
        <f>N34</f>
        <v>0</v>
      </c>
      <c r="P34" s="229">
        <f>HLOOKUP(Q$2,InflationTable,2)/HLOOKUP($D34,InflationTable,2)*$C34</f>
        <v>0</v>
      </c>
      <c r="Q34" s="612">
        <f>P34*$R$4</f>
        <v>0</v>
      </c>
      <c r="R34" s="316">
        <f>Q34</f>
        <v>0</v>
      </c>
      <c r="S34" s="376" t="s">
        <v>12</v>
      </c>
      <c r="T34" s="314">
        <f>AVERAGE(L34,O34,R34)</f>
        <v>0</v>
      </c>
      <c r="U34" s="417" t="s">
        <v>12</v>
      </c>
    </row>
    <row r="35" spans="1:21" s="1" customFormat="1" ht="13" x14ac:dyDescent="0.3">
      <c r="A35" s="511"/>
      <c r="B35" s="616" t="str">
        <f>VLOOKUP(C$2,Monitor_Costs,10,FALSE)</f>
        <v>Carbonyl sample cartridges</v>
      </c>
      <c r="C35" s="317">
        <v>0</v>
      </c>
      <c r="D35" s="20">
        <f>VLOOKUP(C$2,Monitor_Costs,12,FALSE)</f>
        <v>2019</v>
      </c>
      <c r="E35" s="401"/>
      <c r="F35" s="326"/>
      <c r="I35" s="118"/>
      <c r="J35" s="229">
        <f>HLOOKUP(K$2,InflationTable,2)/HLOOKUP($D35,InflationTable,2)*$C35</f>
        <v>0</v>
      </c>
      <c r="K35" s="621">
        <f>J35*$L$4</f>
        <v>0</v>
      </c>
      <c r="L35" s="622">
        <f>K35</f>
        <v>0</v>
      </c>
      <c r="M35" s="23">
        <f>HLOOKUP(N$2,InflationTable,2)/HLOOKUP($D35,InflationTable,2)*$C35</f>
        <v>0</v>
      </c>
      <c r="N35" s="623">
        <f>M35*$O$4</f>
        <v>0</v>
      </c>
      <c r="O35" s="624">
        <f>N35</f>
        <v>0</v>
      </c>
      <c r="P35" s="229">
        <f>HLOOKUP(Q$2,InflationTable,2)/HLOOKUP($D35,InflationTable,2)*$C35</f>
        <v>0</v>
      </c>
      <c r="Q35" s="315">
        <f>P35*$R$4</f>
        <v>0</v>
      </c>
      <c r="R35" s="316">
        <f>Q35</f>
        <v>0</v>
      </c>
      <c r="S35" s="376" t="s">
        <v>12</v>
      </c>
      <c r="T35" s="314">
        <f>AVERAGE(L35,O35,R35)</f>
        <v>0</v>
      </c>
      <c r="U35" s="417" t="s">
        <v>12</v>
      </c>
    </row>
    <row r="36" spans="1:21" s="1" customFormat="1" ht="13" x14ac:dyDescent="0.3">
      <c r="A36" s="511"/>
      <c r="B36" s="618" t="str">
        <f>VLOOKUP(C$2,Monitor_Costs,19,FALSE)</f>
        <v>Supplies/reagents</v>
      </c>
      <c r="C36" s="317">
        <v>0</v>
      </c>
      <c r="D36" s="20">
        <f>VLOOKUP(C$2,Monitor_Costs,21,FALSE)</f>
        <v>2019</v>
      </c>
      <c r="F36" s="326"/>
      <c r="I36" s="118"/>
      <c r="J36" s="229">
        <f>HLOOKUP(K$2,InflationTable,2)/HLOOKUP($D36,InflationTable,2)*$C36</f>
        <v>0</v>
      </c>
      <c r="K36" s="315">
        <f>J36*$L$4</f>
        <v>0</v>
      </c>
      <c r="L36" s="316">
        <f>K36</f>
        <v>0</v>
      </c>
      <c r="M36" s="23">
        <f>HLOOKUP(N$2,InflationTable,2)/HLOOKUP($D36,InflationTable,2)*$C36</f>
        <v>0</v>
      </c>
      <c r="N36" s="317">
        <f>M36*$O$4</f>
        <v>0</v>
      </c>
      <c r="O36" s="318">
        <f>N36</f>
        <v>0</v>
      </c>
      <c r="P36" s="229">
        <f>HLOOKUP(Q$2,InflationTable,2)/HLOOKUP($D36,InflationTable,2)*$C36</f>
        <v>0</v>
      </c>
      <c r="Q36" s="315">
        <f>P36*$R$4</f>
        <v>0</v>
      </c>
      <c r="R36" s="622">
        <f>Q36</f>
        <v>0</v>
      </c>
      <c r="S36" s="627" t="s">
        <v>12</v>
      </c>
      <c r="T36" s="377">
        <f>AVERAGE(L36,O36,R36)</f>
        <v>0</v>
      </c>
      <c r="U36" s="422" t="s">
        <v>12</v>
      </c>
    </row>
    <row r="37" spans="1:21" s="1" customFormat="1" ht="13.5" thickBot="1" x14ac:dyDescent="0.35">
      <c r="A37" s="511"/>
      <c r="B37" s="617" t="str">
        <f>VLOOKUP(C$2,Monitor_Costs,22,FALSE)</f>
        <v>Sample analysis</v>
      </c>
      <c r="C37" s="614">
        <v>19440</v>
      </c>
      <c r="D37" s="615">
        <v>2023</v>
      </c>
      <c r="E37" s="613"/>
      <c r="F37" s="562"/>
      <c r="G37" s="561"/>
      <c r="H37" s="561"/>
      <c r="I37" s="532"/>
      <c r="J37" s="229">
        <f>HLOOKUP(K$2,InflationTable,2)/HLOOKUP($D37,InflationTable,2)*$C37</f>
        <v>19440</v>
      </c>
      <c r="K37" s="619">
        <f>J37*$L$4</f>
        <v>835920</v>
      </c>
      <c r="L37" s="620">
        <f>K37</f>
        <v>835920</v>
      </c>
      <c r="M37" s="23">
        <f>HLOOKUP(N$2,InflationTable,2)/HLOOKUP($D37,InflationTable,2)*$C37</f>
        <v>20217.600000000002</v>
      </c>
      <c r="N37" s="614">
        <f>M37*$O$4</f>
        <v>869356.8</v>
      </c>
      <c r="O37" s="563">
        <f>N37</f>
        <v>869356.8</v>
      </c>
      <c r="P37" s="229">
        <f>HLOOKUP(Q$2,InflationTable,2)/HLOOKUP($D37,InflationTable,2)*$C37</f>
        <v>20621.952000000001</v>
      </c>
      <c r="Q37" s="619">
        <f>P37*$R$4</f>
        <v>886743.9360000001</v>
      </c>
      <c r="R37" s="620">
        <f>Q37</f>
        <v>886743.9360000001</v>
      </c>
      <c r="S37" s="625" t="s">
        <v>12</v>
      </c>
      <c r="T37" s="626">
        <f>AVERAGE(L37,O37,R37)</f>
        <v>864006.91200000001</v>
      </c>
      <c r="U37" s="628" t="s">
        <v>12</v>
      </c>
    </row>
    <row r="38" spans="1:21" ht="13" x14ac:dyDescent="0.3">
      <c r="A38" s="510"/>
      <c r="B38" s="1" t="s">
        <v>202</v>
      </c>
      <c r="C38" s="608"/>
      <c r="D38" s="608"/>
      <c r="F38" s="349" t="s">
        <v>54</v>
      </c>
      <c r="G38" s="59">
        <v>5</v>
      </c>
      <c r="I38" s="31"/>
      <c r="J38" s="1112"/>
      <c r="K38" s="609"/>
      <c r="L38" s="610"/>
      <c r="M38" s="557"/>
      <c r="N38" s="608"/>
      <c r="O38" s="611"/>
      <c r="P38" s="1113"/>
      <c r="Q38" s="609"/>
      <c r="R38" s="610"/>
      <c r="S38" s="100"/>
      <c r="T38" s="31"/>
      <c r="U38" s="182"/>
    </row>
    <row r="39" spans="1:21" s="1" customFormat="1" ht="13.5" thickBot="1" x14ac:dyDescent="0.35">
      <c r="A39" s="511"/>
      <c r="B39" s="601" t="str">
        <f>VLOOKUP(C$2,Monitor_Costs,13,FALSE)</f>
        <v>HPLC/UV with autosampler</v>
      </c>
      <c r="C39" s="166">
        <v>0</v>
      </c>
      <c r="D39" s="310">
        <f>VLOOKUP(C$2,Monitor_Costs,15,FALSE)</f>
        <v>2019</v>
      </c>
      <c r="E39" s="561"/>
      <c r="F39" s="562"/>
      <c r="G39" s="561"/>
      <c r="H39" s="533"/>
      <c r="I39" s="301"/>
      <c r="J39" s="229">
        <f>HLOOKUP(K$2,InflationTable,2)/HLOOKUP($D39,InflationTable,2)*$C39</f>
        <v>0</v>
      </c>
      <c r="K39" s="245">
        <f>J39*$L$4</f>
        <v>0</v>
      </c>
      <c r="L39" s="246">
        <f>K39/$G$38</f>
        <v>0</v>
      </c>
      <c r="M39" s="23">
        <f>HLOOKUP(N$2,InflationTable,2)/HLOOKUP($D39,InflationTable,2)*$C39</f>
        <v>0</v>
      </c>
      <c r="N39" s="166">
        <f>M39*$O$4</f>
        <v>0</v>
      </c>
      <c r="O39" s="167">
        <f>N39/$G$38</f>
        <v>0</v>
      </c>
      <c r="P39" s="229">
        <f>HLOOKUP(Q$2,InflationTable,2)/HLOOKUP($D39,InflationTable,2)*$C39</f>
        <v>0</v>
      </c>
      <c r="Q39" s="245">
        <f>P39*$R$4</f>
        <v>0</v>
      </c>
      <c r="R39" s="246">
        <f>Q39/$G$38</f>
        <v>0</v>
      </c>
      <c r="S39" s="384" t="s">
        <v>12</v>
      </c>
      <c r="T39" s="384" t="s">
        <v>12</v>
      </c>
      <c r="U39" s="311">
        <f>AVERAGE(L39,O39,R39)</f>
        <v>0</v>
      </c>
    </row>
    <row r="40" spans="1:21" s="1" customFormat="1" ht="13.5" thickBot="1" x14ac:dyDescent="0.35">
      <c r="A40" s="511"/>
      <c r="B40" s="601" t="str">
        <f>VLOOKUP(C$2,Monitor_Costs,16,FALSE)</f>
        <v>Equipment (auxiliary)</v>
      </c>
      <c r="C40" s="166">
        <f>VLOOKUP(C$2,Monitor_Costs,17,FALSE)</f>
        <v>1000</v>
      </c>
      <c r="D40" s="310">
        <f>VLOOKUP(C$2,Monitor_Costs,18,FALSE)</f>
        <v>2019</v>
      </c>
      <c r="E40" s="561"/>
      <c r="F40" s="562"/>
      <c r="G40" s="561"/>
      <c r="H40" s="533"/>
      <c r="I40" s="301"/>
      <c r="J40" s="229">
        <f>HLOOKUP(K$2,InflationTable,2)/HLOOKUP($D40,InflationTable,2)*$C40</f>
        <v>1208.9166992569417</v>
      </c>
      <c r="K40" s="245">
        <f>J40*$L$4</f>
        <v>51983.418068048493</v>
      </c>
      <c r="L40" s="246">
        <f>K40/$G$38</f>
        <v>10396.683613609699</v>
      </c>
      <c r="M40" s="23">
        <f>HLOOKUP(N$2,InflationTable,2)/HLOOKUP($D40,InflationTable,2)*$C40</f>
        <v>1257.2733672272193</v>
      </c>
      <c r="N40" s="166">
        <f>M40*$O$4</f>
        <v>54062.754790770428</v>
      </c>
      <c r="O40" s="167">
        <f>N40/$G$38</f>
        <v>10812.550958154086</v>
      </c>
      <c r="P40" s="229">
        <f>HLOOKUP(Q$2,InflationTable,2)/HLOOKUP($D40,InflationTable,2)*$C40</f>
        <v>1282.4188345717637</v>
      </c>
      <c r="Q40" s="245">
        <f>P40*$R$4</f>
        <v>55144.009886585838</v>
      </c>
      <c r="R40" s="246">
        <f>Q40/$G$38</f>
        <v>11028.801977317167</v>
      </c>
      <c r="S40" s="384" t="s">
        <v>12</v>
      </c>
      <c r="T40" s="384" t="s">
        <v>12</v>
      </c>
      <c r="U40" s="311">
        <f>AVERAGE(L40,O40,R40)</f>
        <v>10746.012183026985</v>
      </c>
    </row>
    <row r="41" spans="1:21" ht="13" x14ac:dyDescent="0.3">
      <c r="A41" s="510"/>
      <c r="B41" s="378" t="s">
        <v>23</v>
      </c>
      <c r="C41" s="86" t="s">
        <v>45</v>
      </c>
      <c r="D41" s="86" t="s">
        <v>46</v>
      </c>
      <c r="E41" s="86" t="s">
        <v>47</v>
      </c>
      <c r="F41" s="86" t="s">
        <v>48</v>
      </c>
      <c r="G41" s="86" t="s">
        <v>49</v>
      </c>
      <c r="H41" s="86" t="s">
        <v>50</v>
      </c>
      <c r="I41" s="145" t="s">
        <v>74</v>
      </c>
      <c r="J41" s="293"/>
      <c r="K41" s="293"/>
      <c r="L41" s="296"/>
      <c r="M41" s="88"/>
      <c r="N41" s="86"/>
      <c r="O41" s="87"/>
      <c r="P41" s="293"/>
      <c r="Q41" s="293"/>
      <c r="R41" s="296"/>
      <c r="S41" s="98"/>
      <c r="T41" s="31"/>
      <c r="U41" s="182"/>
    </row>
    <row r="42" spans="1:21" x14ac:dyDescent="0.25">
      <c r="A42" s="510"/>
      <c r="B42" s="509" t="s">
        <v>4</v>
      </c>
      <c r="C42" s="18">
        <v>0</v>
      </c>
      <c r="D42" s="18">
        <v>0</v>
      </c>
      <c r="E42" s="18">
        <v>12</v>
      </c>
      <c r="F42" s="18">
        <v>12</v>
      </c>
      <c r="G42" s="18">
        <v>0</v>
      </c>
      <c r="H42" s="18">
        <v>0</v>
      </c>
      <c r="I42" s="41">
        <f>SUM(C42:H42)</f>
        <v>24</v>
      </c>
      <c r="J42" s="247" t="s">
        <v>12</v>
      </c>
      <c r="K42" s="231">
        <f>I42*$L$4</f>
        <v>1032</v>
      </c>
      <c r="L42" s="239">
        <f>K42</f>
        <v>1032</v>
      </c>
      <c r="M42" s="51" t="s">
        <v>12</v>
      </c>
      <c r="N42" s="58">
        <f>$I$42*$O$4</f>
        <v>1032</v>
      </c>
      <c r="O42" s="57">
        <f>N42</f>
        <v>1032</v>
      </c>
      <c r="P42" s="247" t="s">
        <v>12</v>
      </c>
      <c r="Q42" s="231">
        <f>$I$42*$R$4</f>
        <v>1032</v>
      </c>
      <c r="R42" s="239">
        <f>Q42</f>
        <v>1032</v>
      </c>
      <c r="S42" s="96">
        <f>AVERAGE(L42,O42,R42)</f>
        <v>1032</v>
      </c>
      <c r="T42" s="94" t="s">
        <v>12</v>
      </c>
      <c r="U42" s="187" t="s">
        <v>12</v>
      </c>
    </row>
    <row r="43" spans="1:21" s="1" customFormat="1" ht="13.5" thickBot="1" x14ac:dyDescent="0.35">
      <c r="A43" s="511"/>
      <c r="B43" s="500" t="s">
        <v>8</v>
      </c>
      <c r="C43" s="310">
        <f>ROUND(C42*Labor!$D$3,0)</f>
        <v>0</v>
      </c>
      <c r="D43" s="310">
        <f>ROUND(D42*Labor!$D$4,0)</f>
        <v>0</v>
      </c>
      <c r="E43" s="310">
        <f>ROUND(E42*Labor!$D$5,0)</f>
        <v>303</v>
      </c>
      <c r="F43" s="310">
        <f>ROUND(F42*Labor!$D$6,0)</f>
        <v>331</v>
      </c>
      <c r="G43" s="310">
        <f>ROUND(G42*Labor!$D$7,0)</f>
        <v>0</v>
      </c>
      <c r="H43" s="310">
        <f>ROUND(H42*Labor!$D$8,0)</f>
        <v>0</v>
      </c>
      <c r="I43" s="311">
        <f>SUM(C43:H43)</f>
        <v>634</v>
      </c>
      <c r="J43" s="284">
        <f>HLOOKUP(K$2,InflationTable,2)/HLOOKUP(Labor!$B$11,InflationTable,2)*$I43</f>
        <v>1356.2773702422144</v>
      </c>
      <c r="K43" s="245">
        <f>J43*$L$4</f>
        <v>58319.926920415215</v>
      </c>
      <c r="L43" s="320">
        <f>K43</f>
        <v>58319.926920415215</v>
      </c>
      <c r="M43" s="169">
        <f>HLOOKUP(N$2,InflationTable,2)/HLOOKUP(Labor!$B$11,InflationTable,2)*$I43</f>
        <v>1410.5284650519031</v>
      </c>
      <c r="N43" s="166">
        <f>M43*$O$4</f>
        <v>60652.723997231835</v>
      </c>
      <c r="O43" s="167">
        <f>N43</f>
        <v>60652.723997231835</v>
      </c>
      <c r="P43" s="284">
        <f>HLOOKUP(Q$2,InflationTable,2)/HLOOKUP(Labor!$B$11,InflationTable,2)*$I43</f>
        <v>1438.739034352941</v>
      </c>
      <c r="Q43" s="245">
        <f>P43*$R$4</f>
        <v>61865.778477176464</v>
      </c>
      <c r="R43" s="320">
        <f>Q43</f>
        <v>61865.778477176464</v>
      </c>
      <c r="S43" s="169">
        <f>AVERAGE(L43,O43,R43)</f>
        <v>60279.476464941174</v>
      </c>
      <c r="T43" s="323" t="s">
        <v>12</v>
      </c>
      <c r="U43" s="183" t="s">
        <v>12</v>
      </c>
    </row>
    <row r="44" spans="1:21" ht="13" x14ac:dyDescent="0.3">
      <c r="A44" s="510"/>
      <c r="B44" s="501" t="s">
        <v>66</v>
      </c>
      <c r="C44" s="30">
        <f t="shared" ref="C44:I44" si="3">C42</f>
        <v>0</v>
      </c>
      <c r="D44" s="30">
        <f t="shared" si="3"/>
        <v>0</v>
      </c>
      <c r="E44" s="30">
        <f t="shared" si="3"/>
        <v>12</v>
      </c>
      <c r="F44" s="30">
        <f t="shared" si="3"/>
        <v>12</v>
      </c>
      <c r="G44" s="30">
        <f t="shared" si="3"/>
        <v>0</v>
      </c>
      <c r="H44" s="30">
        <f t="shared" si="3"/>
        <v>0</v>
      </c>
      <c r="I44" s="44">
        <f t="shared" si="3"/>
        <v>24</v>
      </c>
      <c r="J44" s="255" t="s">
        <v>12</v>
      </c>
      <c r="K44" s="250">
        <f>K42</f>
        <v>1032</v>
      </c>
      <c r="L44" s="251">
        <f>L42</f>
        <v>1032</v>
      </c>
      <c r="M44" s="70" t="s">
        <v>12</v>
      </c>
      <c r="N44" s="69">
        <f>N42</f>
        <v>1032</v>
      </c>
      <c r="O44" s="78">
        <f>O42</f>
        <v>1032</v>
      </c>
      <c r="P44" s="249" t="s">
        <v>12</v>
      </c>
      <c r="Q44" s="250">
        <f>Q42</f>
        <v>1032</v>
      </c>
      <c r="R44" s="251">
        <f>R42</f>
        <v>1032</v>
      </c>
      <c r="S44" s="78">
        <f>S42</f>
        <v>1032</v>
      </c>
      <c r="T44" s="42" t="s">
        <v>12</v>
      </c>
      <c r="U44" s="185" t="s">
        <v>12</v>
      </c>
    </row>
    <row r="45" spans="1:21" ht="13.5" thickBot="1" x14ac:dyDescent="0.35">
      <c r="A45" s="510"/>
      <c r="B45" s="502" t="s">
        <v>67</v>
      </c>
      <c r="C45" s="194">
        <f t="shared" ref="C45:H45" si="4">C44</f>
        <v>0</v>
      </c>
      <c r="D45" s="194">
        <f t="shared" si="4"/>
        <v>0</v>
      </c>
      <c r="E45" s="194">
        <f>E43</f>
        <v>303</v>
      </c>
      <c r="F45" s="194">
        <f>F43</f>
        <v>331</v>
      </c>
      <c r="G45" s="194">
        <f t="shared" si="4"/>
        <v>0</v>
      </c>
      <c r="H45" s="194">
        <f t="shared" si="4"/>
        <v>0</v>
      </c>
      <c r="I45" s="205">
        <f>I43+C34</f>
        <v>634</v>
      </c>
      <c r="J45" s="253">
        <f t="shared" ref="J45:R45" si="5">J43+J34</f>
        <v>1356.2773702422144</v>
      </c>
      <c r="K45" s="253">
        <f t="shared" si="5"/>
        <v>58319.926920415215</v>
      </c>
      <c r="L45" s="254">
        <f t="shared" si="5"/>
        <v>58319.926920415215</v>
      </c>
      <c r="M45" s="176">
        <f t="shared" si="5"/>
        <v>1410.5284650519031</v>
      </c>
      <c r="N45" s="177">
        <f t="shared" si="5"/>
        <v>60652.723997231835</v>
      </c>
      <c r="O45" s="178">
        <f t="shared" si="5"/>
        <v>60652.723997231835</v>
      </c>
      <c r="P45" s="252">
        <f t="shared" si="5"/>
        <v>1438.739034352941</v>
      </c>
      <c r="Q45" s="253">
        <f t="shared" si="5"/>
        <v>61865.778477176464</v>
      </c>
      <c r="R45" s="254">
        <f t="shared" si="5"/>
        <v>61865.778477176464</v>
      </c>
      <c r="S45" s="637">
        <f>SUM(S34:S44)</f>
        <v>62343.476464941174</v>
      </c>
      <c r="T45" s="637">
        <f>SUM(T34:T44)</f>
        <v>864006.91200000001</v>
      </c>
      <c r="U45" s="637">
        <f>SUM(U34:U44)</f>
        <v>10746.012183026985</v>
      </c>
    </row>
    <row r="46" spans="1:21" ht="13.5" thickTop="1" thickBot="1" x14ac:dyDescent="0.3">
      <c r="A46" s="510"/>
      <c r="B46" s="512"/>
      <c r="C46" s="513"/>
      <c r="D46" s="513"/>
      <c r="E46" s="513"/>
      <c r="F46" s="513"/>
      <c r="G46" s="513"/>
      <c r="H46" s="513"/>
      <c r="I46" s="513"/>
      <c r="J46" s="513"/>
      <c r="K46" s="513"/>
      <c r="L46" s="513"/>
      <c r="M46" s="513"/>
      <c r="N46" s="513"/>
      <c r="O46" s="513"/>
      <c r="P46" s="513"/>
      <c r="Q46" s="513"/>
      <c r="R46" s="513"/>
      <c r="S46" s="513"/>
      <c r="T46" s="513"/>
      <c r="U46" s="513"/>
    </row>
    <row r="47" spans="1:21" ht="16" thickTop="1" x14ac:dyDescent="0.35">
      <c r="A47" s="510"/>
      <c r="B47" s="2" t="s">
        <v>24</v>
      </c>
      <c r="F47" s="1" t="s">
        <v>6</v>
      </c>
      <c r="G47" s="1160"/>
      <c r="H47" s="1161"/>
      <c r="I47" s="1162"/>
      <c r="J47" s="2" t="s">
        <v>24</v>
      </c>
      <c r="L47" s="62"/>
      <c r="M47" s="2" t="s">
        <v>24</v>
      </c>
      <c r="N47" s="61"/>
      <c r="O47" s="31"/>
      <c r="P47" s="2" t="s">
        <v>24</v>
      </c>
      <c r="R47" s="31"/>
      <c r="S47" s="97"/>
      <c r="T47" s="31"/>
      <c r="U47" s="111"/>
    </row>
    <row r="48" spans="1:21" ht="13" x14ac:dyDescent="0.3">
      <c r="A48" s="510"/>
      <c r="F48" s="1"/>
      <c r="G48" s="1163"/>
      <c r="H48" s="1163"/>
      <c r="I48" s="1164"/>
      <c r="J48" s="227" t="s">
        <v>61</v>
      </c>
      <c r="K48" s="1167" t="s">
        <v>57</v>
      </c>
      <c r="L48" s="1168"/>
      <c r="M48" s="50" t="s">
        <v>61</v>
      </c>
      <c r="N48" s="1177" t="s">
        <v>57</v>
      </c>
      <c r="O48" s="1178"/>
      <c r="P48" s="227" t="s">
        <v>61</v>
      </c>
      <c r="Q48" s="1167" t="s">
        <v>57</v>
      </c>
      <c r="R48" s="1168"/>
      <c r="S48" s="106"/>
      <c r="T48" s="31"/>
      <c r="U48" s="111"/>
    </row>
    <row r="49" spans="1:21" ht="13" x14ac:dyDescent="0.3">
      <c r="A49" s="510"/>
      <c r="B49" s="506" t="s">
        <v>19</v>
      </c>
      <c r="C49" s="20" t="s">
        <v>60</v>
      </c>
      <c r="D49" s="20" t="s">
        <v>62</v>
      </c>
      <c r="E49" s="7"/>
      <c r="F49" s="61"/>
      <c r="G49" s="61"/>
      <c r="H49" s="61"/>
      <c r="I49" s="62"/>
      <c r="J49" s="210" t="s">
        <v>56</v>
      </c>
      <c r="K49" s="211" t="s">
        <v>13</v>
      </c>
      <c r="L49" s="212" t="s">
        <v>68</v>
      </c>
      <c r="M49" s="66" t="s">
        <v>56</v>
      </c>
      <c r="N49" s="20" t="s">
        <v>13</v>
      </c>
      <c r="O49" s="32" t="s">
        <v>68</v>
      </c>
      <c r="P49" s="210" t="s">
        <v>56</v>
      </c>
      <c r="Q49" s="211" t="s">
        <v>13</v>
      </c>
      <c r="R49" s="212" t="s">
        <v>68</v>
      </c>
      <c r="S49" s="98"/>
      <c r="T49" s="62"/>
      <c r="U49" s="111"/>
    </row>
    <row r="50" spans="1:21" ht="13" thickBot="1" x14ac:dyDescent="0.3">
      <c r="A50" s="510"/>
      <c r="B50" s="300"/>
      <c r="C50" s="84">
        <v>600</v>
      </c>
      <c r="D50" s="29">
        <v>2023</v>
      </c>
      <c r="E50" s="294"/>
      <c r="F50" s="60"/>
      <c r="G50" s="49"/>
      <c r="H50" s="49"/>
      <c r="I50" s="47"/>
      <c r="J50" s="229">
        <f>HLOOKUP(K$2,InflationTable,2)/HLOOKUP($D50,InflationTable,2)*$C50</f>
        <v>600</v>
      </c>
      <c r="K50" s="295">
        <f>J50*$L$4</f>
        <v>25800</v>
      </c>
      <c r="L50" s="256">
        <f>K50</f>
        <v>25800</v>
      </c>
      <c r="M50" s="23">
        <f>HLOOKUP(N$2,InflationTable,2)/HLOOKUP($D50,InflationTable,2)*$C50</f>
        <v>624</v>
      </c>
      <c r="N50" s="84">
        <f>M50*$O$4</f>
        <v>26832</v>
      </c>
      <c r="O50" s="77">
        <f>N50</f>
        <v>26832</v>
      </c>
      <c r="P50" s="229">
        <f>HLOOKUP(Q$2,InflationTable,2)/HLOOKUP($D50,InflationTable,2)*$C50</f>
        <v>636.48</v>
      </c>
      <c r="Q50" s="295">
        <f>P50*$R$4</f>
        <v>27368.639999999999</v>
      </c>
      <c r="R50" s="256">
        <f>Q50</f>
        <v>27368.639999999999</v>
      </c>
      <c r="S50" s="298" t="s">
        <v>12</v>
      </c>
      <c r="T50" s="299">
        <f>AVERAGE(L50,O50,R50)</f>
        <v>26666.880000000001</v>
      </c>
      <c r="U50" s="115" t="s">
        <v>12</v>
      </c>
    </row>
    <row r="51" spans="1:21" ht="13" x14ac:dyDescent="0.3">
      <c r="A51" s="510"/>
      <c r="B51" s="378" t="s">
        <v>203</v>
      </c>
      <c r="C51" s="86" t="s">
        <v>45</v>
      </c>
      <c r="D51" s="86" t="s">
        <v>46</v>
      </c>
      <c r="E51" s="86" t="s">
        <v>47</v>
      </c>
      <c r="F51" s="86" t="s">
        <v>48</v>
      </c>
      <c r="G51" s="86" t="s">
        <v>49</v>
      </c>
      <c r="H51" s="86" t="s">
        <v>50</v>
      </c>
      <c r="I51" s="145" t="s">
        <v>74</v>
      </c>
      <c r="J51" s="292"/>
      <c r="K51" s="293"/>
      <c r="L51" s="296"/>
      <c r="M51" s="88"/>
      <c r="N51" s="86"/>
      <c r="O51" s="87"/>
      <c r="P51" s="292"/>
      <c r="Q51" s="293"/>
      <c r="R51" s="296"/>
      <c r="S51" s="109"/>
      <c r="T51" s="42"/>
      <c r="U51" s="111"/>
    </row>
    <row r="52" spans="1:21" x14ac:dyDescent="0.25">
      <c r="B52" s="464" t="s">
        <v>4</v>
      </c>
      <c r="C52" s="18">
        <v>0</v>
      </c>
      <c r="D52" s="18">
        <v>0</v>
      </c>
      <c r="E52" s="18">
        <v>12</v>
      </c>
      <c r="F52" s="18">
        <v>4</v>
      </c>
      <c r="G52" s="18">
        <v>0</v>
      </c>
      <c r="H52" s="18">
        <v>0</v>
      </c>
      <c r="I52" s="45">
        <f t="shared" ref="I52:I57" si="6">SUM(C52:H52)</f>
        <v>16</v>
      </c>
      <c r="J52" s="213" t="s">
        <v>12</v>
      </c>
      <c r="K52" s="231">
        <f>I52*$L$4</f>
        <v>688</v>
      </c>
      <c r="L52" s="239">
        <f t="shared" ref="L52:L57" si="7">K52</f>
        <v>688</v>
      </c>
      <c r="M52" s="51" t="s">
        <v>12</v>
      </c>
      <c r="N52" s="58">
        <f>$I$52*$O$4</f>
        <v>688</v>
      </c>
      <c r="O52" s="57">
        <f t="shared" ref="O52:O57" si="8">N52</f>
        <v>688</v>
      </c>
      <c r="P52" s="213" t="s">
        <v>12</v>
      </c>
      <c r="Q52" s="231">
        <f>$I$52*$R$4</f>
        <v>688</v>
      </c>
      <c r="R52" s="239">
        <f t="shared" ref="R52:R57" si="9">Q52</f>
        <v>688</v>
      </c>
      <c r="S52" s="96">
        <f t="shared" ref="S52:S58" si="10">AVERAGE(L52,O52,R52)</f>
        <v>688</v>
      </c>
      <c r="T52" s="94" t="s">
        <v>12</v>
      </c>
      <c r="U52" s="113" t="s">
        <v>12</v>
      </c>
    </row>
    <row r="53" spans="1:21" s="1" customFormat="1" ht="13.5" thickBot="1" x14ac:dyDescent="0.35">
      <c r="B53" s="596" t="s">
        <v>8</v>
      </c>
      <c r="C53" s="310">
        <f>ROUND(C52*Labor!$D$3,0)</f>
        <v>0</v>
      </c>
      <c r="D53" s="310">
        <f>ROUND(D52*Labor!$D$4,0)</f>
        <v>0</v>
      </c>
      <c r="E53" s="310">
        <f>ROUND(E52*Labor!$D$5,0)</f>
        <v>303</v>
      </c>
      <c r="F53" s="310">
        <f>ROUND(F52*Labor!$D$6,0)</f>
        <v>110</v>
      </c>
      <c r="G53" s="310">
        <f>ROUND(G52*Labor!$D$7,0)</f>
        <v>0</v>
      </c>
      <c r="H53" s="310">
        <f>ROUND(H52*Labor!$D$8,0)</f>
        <v>0</v>
      </c>
      <c r="I53" s="167">
        <f t="shared" si="6"/>
        <v>413</v>
      </c>
      <c r="J53" s="284">
        <f>HLOOKUP(K$2,InflationTable,2)/HLOOKUP(Labor!$B$11,InflationTable,2)*$I53</f>
        <v>883.50560553633215</v>
      </c>
      <c r="K53" s="245">
        <f>J53*$L$4</f>
        <v>37990.741038062282</v>
      </c>
      <c r="L53" s="246">
        <f t="shared" si="7"/>
        <v>37990.741038062282</v>
      </c>
      <c r="M53" s="169">
        <f>HLOOKUP(N$2,InflationTable,2)/HLOOKUP(Labor!$B$11,InflationTable,2)*$I53</f>
        <v>918.84582975778551</v>
      </c>
      <c r="N53" s="166">
        <f>M53*$O$4</f>
        <v>39510.370679584776</v>
      </c>
      <c r="O53" s="167">
        <f t="shared" si="8"/>
        <v>39510.370679584776</v>
      </c>
      <c r="P53" s="284">
        <f>HLOOKUP(Q$2,InflationTable,2)/HLOOKUP(Labor!$B$11,InflationTable,2)*$I53</f>
        <v>937.22274635294104</v>
      </c>
      <c r="Q53" s="245">
        <f>P53*$O$4</f>
        <v>40300.578093176468</v>
      </c>
      <c r="R53" s="246">
        <f t="shared" si="9"/>
        <v>40300.578093176468</v>
      </c>
      <c r="S53" s="169">
        <f t="shared" si="10"/>
        <v>39267.229936941178</v>
      </c>
      <c r="T53" s="174" t="s">
        <v>12</v>
      </c>
      <c r="U53" s="322" t="s">
        <v>12</v>
      </c>
    </row>
    <row r="54" spans="1:21" ht="13" x14ac:dyDescent="0.3">
      <c r="B54" s="106" t="s">
        <v>204</v>
      </c>
      <c r="C54" s="290">
        <v>0</v>
      </c>
      <c r="D54" s="290">
        <v>8</v>
      </c>
      <c r="E54" s="290">
        <v>0</v>
      </c>
      <c r="F54" s="290">
        <v>0</v>
      </c>
      <c r="G54" s="290">
        <v>0</v>
      </c>
      <c r="H54" s="290">
        <v>0</v>
      </c>
      <c r="I54" s="291">
        <f t="shared" si="6"/>
        <v>8</v>
      </c>
      <c r="J54" s="242" t="s">
        <v>12</v>
      </c>
      <c r="K54" s="273">
        <f>I54*$L$4</f>
        <v>344</v>
      </c>
      <c r="L54" s="274">
        <f t="shared" si="7"/>
        <v>344</v>
      </c>
      <c r="M54" s="53" t="s">
        <v>12</v>
      </c>
      <c r="N54" s="147">
        <f>L54*$L$4</f>
        <v>14792</v>
      </c>
      <c r="O54" s="148">
        <f t="shared" si="8"/>
        <v>14792</v>
      </c>
      <c r="P54" s="242" t="s">
        <v>12</v>
      </c>
      <c r="Q54" s="273">
        <f>O54*$L$4</f>
        <v>636056</v>
      </c>
      <c r="R54" s="274">
        <f t="shared" si="9"/>
        <v>636056</v>
      </c>
      <c r="S54" s="104">
        <f t="shared" si="10"/>
        <v>217064</v>
      </c>
      <c r="T54" s="94" t="s">
        <v>12</v>
      </c>
      <c r="U54" s="113" t="s">
        <v>12</v>
      </c>
    </row>
    <row r="55" spans="1:21" s="1" customFormat="1" ht="13.5" thickBot="1" x14ac:dyDescent="0.35">
      <c r="B55" s="595" t="s">
        <v>8</v>
      </c>
      <c r="C55" s="310">
        <f>ROUND(C54*Labor!$D$3,0)</f>
        <v>0</v>
      </c>
      <c r="D55" s="310">
        <f>ROUND(D54*Labor!$D$4,0)</f>
        <v>194</v>
      </c>
      <c r="E55" s="310">
        <f>ROUND(E54*Labor!$D$5,0)</f>
        <v>0</v>
      </c>
      <c r="F55" s="310">
        <f>ROUND(F54*Labor!$D$6,0)</f>
        <v>0</v>
      </c>
      <c r="G55" s="310">
        <f>ROUND(G54*Labor!$D$7,0)</f>
        <v>0</v>
      </c>
      <c r="H55" s="310">
        <f>ROUND(H54*Labor!$D$8,0)</f>
        <v>0</v>
      </c>
      <c r="I55" s="167">
        <f t="shared" si="6"/>
        <v>194</v>
      </c>
      <c r="J55" s="284">
        <f>HLOOKUP(K$2,InflationTable,2)/HLOOKUP(Labor!$B$11,InflationTable,2)*$I55</f>
        <v>415.01231833910032</v>
      </c>
      <c r="K55" s="245">
        <f>J55*$L$4</f>
        <v>17845.529688581315</v>
      </c>
      <c r="L55" s="246">
        <f t="shared" si="7"/>
        <v>17845.529688581315</v>
      </c>
      <c r="M55" s="169">
        <f>HLOOKUP(N$2,InflationTable,2)/HLOOKUP(Labor!$B$11,InflationTable,2)*$I55</f>
        <v>431.61281107266439</v>
      </c>
      <c r="N55" s="166">
        <f>M55*$L$4</f>
        <v>18559.350876124568</v>
      </c>
      <c r="O55" s="167">
        <f t="shared" si="8"/>
        <v>18559.350876124568</v>
      </c>
      <c r="P55" s="284">
        <f>HLOOKUP(Q$2,InflationTable,2)/HLOOKUP(Labor!$B$11,InflationTable,2)*$I55</f>
        <v>440.24506729411758</v>
      </c>
      <c r="Q55" s="245">
        <f>P55*$L$4</f>
        <v>18930.537893647055</v>
      </c>
      <c r="R55" s="246">
        <f t="shared" si="9"/>
        <v>18930.537893647055</v>
      </c>
      <c r="S55" s="169">
        <f t="shared" si="10"/>
        <v>18445.139486117649</v>
      </c>
      <c r="T55" s="174" t="s">
        <v>12</v>
      </c>
      <c r="U55" s="322" t="s">
        <v>12</v>
      </c>
    </row>
    <row r="56" spans="1:21" ht="13" x14ac:dyDescent="0.3">
      <c r="B56" s="106" t="s">
        <v>117</v>
      </c>
      <c r="C56" s="290">
        <v>0</v>
      </c>
      <c r="D56" s="290">
        <v>0</v>
      </c>
      <c r="E56" s="290">
        <v>0</v>
      </c>
      <c r="F56" s="290">
        <v>0</v>
      </c>
      <c r="G56" s="290">
        <v>0</v>
      </c>
      <c r="H56" s="290">
        <v>0</v>
      </c>
      <c r="I56" s="291">
        <f t="shared" si="6"/>
        <v>0</v>
      </c>
      <c r="J56" s="242" t="s">
        <v>12</v>
      </c>
      <c r="K56" s="273">
        <f>I56*$L$4</f>
        <v>0</v>
      </c>
      <c r="L56" s="274">
        <f t="shared" si="7"/>
        <v>0</v>
      </c>
      <c r="M56" s="53" t="s">
        <v>12</v>
      </c>
      <c r="N56" s="147">
        <f>$I$56*$O$4</f>
        <v>0</v>
      </c>
      <c r="O56" s="148">
        <f t="shared" si="8"/>
        <v>0</v>
      </c>
      <c r="P56" s="242" t="s">
        <v>12</v>
      </c>
      <c r="Q56" s="273">
        <f>$I$56*$R$4</f>
        <v>0</v>
      </c>
      <c r="R56" s="274">
        <f t="shared" si="9"/>
        <v>0</v>
      </c>
      <c r="S56" s="104">
        <f t="shared" si="10"/>
        <v>0</v>
      </c>
      <c r="T56" s="94" t="s">
        <v>12</v>
      </c>
      <c r="U56" s="113" t="s">
        <v>12</v>
      </c>
    </row>
    <row r="57" spans="1:21" s="1" customFormat="1" ht="13.5" thickBot="1" x14ac:dyDescent="0.35">
      <c r="B57" s="595" t="s">
        <v>8</v>
      </c>
      <c r="C57" s="310">
        <f>ROUND(C56*Labor!$D$3,0)</f>
        <v>0</v>
      </c>
      <c r="D57" s="310">
        <f>ROUND(D56*Labor!$D$4,0)</f>
        <v>0</v>
      </c>
      <c r="E57" s="310">
        <f>ROUND(E56*Labor!$D$5,0)</f>
        <v>0</v>
      </c>
      <c r="F57" s="310">
        <f>ROUND(F56*Labor!$D$6,0)</f>
        <v>0</v>
      </c>
      <c r="G57" s="310">
        <f>ROUND(G56*Labor!$D$7,0)</f>
        <v>0</v>
      </c>
      <c r="H57" s="310">
        <f>ROUND(H56*Labor!$D$8,0)</f>
        <v>0</v>
      </c>
      <c r="I57" s="167">
        <f t="shared" si="6"/>
        <v>0</v>
      </c>
      <c r="J57" s="284">
        <f>HLOOKUP(K$2,InflationTable,2)/HLOOKUP(Labor!$B$11,InflationTable,2)*$I57</f>
        <v>0</v>
      </c>
      <c r="K57" s="245">
        <f>J57*$L$4</f>
        <v>0</v>
      </c>
      <c r="L57" s="246">
        <f t="shared" si="7"/>
        <v>0</v>
      </c>
      <c r="M57" s="169">
        <f>HLOOKUP(N$2,InflationTable,2)/HLOOKUP(Labor!$B$11,InflationTable,2)*$I57</f>
        <v>0</v>
      </c>
      <c r="N57" s="166">
        <f>M57*$O$4</f>
        <v>0</v>
      </c>
      <c r="O57" s="167">
        <f t="shared" si="8"/>
        <v>0</v>
      </c>
      <c r="P57" s="284">
        <f>HLOOKUP(Q$2,InflationTable,2)/HLOOKUP(Labor!$B$11,InflationTable,2)*$I57</f>
        <v>0</v>
      </c>
      <c r="Q57" s="245">
        <f>P57*$R$4</f>
        <v>0</v>
      </c>
      <c r="R57" s="246">
        <f t="shared" si="9"/>
        <v>0</v>
      </c>
      <c r="S57" s="169">
        <f t="shared" si="10"/>
        <v>0</v>
      </c>
      <c r="T57" s="174" t="s">
        <v>12</v>
      </c>
      <c r="U57" s="322" t="s">
        <v>12</v>
      </c>
    </row>
    <row r="58" spans="1:21" ht="13" x14ac:dyDescent="0.3">
      <c r="B58" s="139" t="s">
        <v>66</v>
      </c>
      <c r="C58" s="30">
        <f t="shared" ref="C58:I58" si="11">C52+C56</f>
        <v>0</v>
      </c>
      <c r="D58" s="30">
        <f t="shared" si="11"/>
        <v>0</v>
      </c>
      <c r="E58" s="30">
        <f t="shared" si="11"/>
        <v>12</v>
      </c>
      <c r="F58" s="30">
        <f t="shared" si="11"/>
        <v>4</v>
      </c>
      <c r="G58" s="30">
        <f t="shared" si="11"/>
        <v>0</v>
      </c>
      <c r="H58" s="30">
        <f t="shared" si="11"/>
        <v>0</v>
      </c>
      <c r="I58" s="39">
        <f t="shared" si="11"/>
        <v>16</v>
      </c>
      <c r="J58" s="249" t="s">
        <v>12</v>
      </c>
      <c r="K58" s="257">
        <f>K52+K56</f>
        <v>688</v>
      </c>
      <c r="L58" s="258">
        <f>L52+L56</f>
        <v>688</v>
      </c>
      <c r="M58" s="70" t="s">
        <v>12</v>
      </c>
      <c r="N58" s="71">
        <f>N52+N56</f>
        <v>688</v>
      </c>
      <c r="O58" s="79">
        <f>O52+O56</f>
        <v>688</v>
      </c>
      <c r="P58" s="249" t="s">
        <v>12</v>
      </c>
      <c r="Q58" s="257">
        <f>Q52+Q56</f>
        <v>688</v>
      </c>
      <c r="R58" s="258">
        <f>R52+R56</f>
        <v>688</v>
      </c>
      <c r="S58" s="96">
        <f t="shared" si="10"/>
        <v>688</v>
      </c>
      <c r="T58" s="42" t="s">
        <v>12</v>
      </c>
      <c r="U58" s="120" t="s">
        <v>12</v>
      </c>
    </row>
    <row r="59" spans="1:21" ht="13.5" thickBot="1" x14ac:dyDescent="0.35">
      <c r="B59" s="460" t="s">
        <v>67</v>
      </c>
      <c r="C59" s="194">
        <f t="shared" ref="C59:H59" si="12">C53+C57</f>
        <v>0</v>
      </c>
      <c r="D59" s="194">
        <f t="shared" si="12"/>
        <v>0</v>
      </c>
      <c r="E59" s="194">
        <f t="shared" si="12"/>
        <v>303</v>
      </c>
      <c r="F59" s="194">
        <f t="shared" si="12"/>
        <v>110</v>
      </c>
      <c r="G59" s="194">
        <f t="shared" si="12"/>
        <v>0</v>
      </c>
      <c r="H59" s="194">
        <f t="shared" si="12"/>
        <v>0</v>
      </c>
      <c r="I59" s="178">
        <f>I57+I53+C50+I55</f>
        <v>1207</v>
      </c>
      <c r="J59" s="254">
        <f t="shared" ref="J59:R59" si="13">J57+J53+J50+J55</f>
        <v>1898.5179238754324</v>
      </c>
      <c r="K59" s="254">
        <f t="shared" si="13"/>
        <v>81636.27072664359</v>
      </c>
      <c r="L59" s="254">
        <f t="shared" si="13"/>
        <v>81636.27072664359</v>
      </c>
      <c r="M59" s="178">
        <f t="shared" si="13"/>
        <v>1974.4586408304499</v>
      </c>
      <c r="N59" s="178">
        <f t="shared" si="13"/>
        <v>84901.721555709344</v>
      </c>
      <c r="O59" s="178">
        <f t="shared" si="13"/>
        <v>84901.721555709344</v>
      </c>
      <c r="P59" s="254">
        <f t="shared" si="13"/>
        <v>2013.9478136470589</v>
      </c>
      <c r="Q59" s="254">
        <f t="shared" si="13"/>
        <v>86599.755986823511</v>
      </c>
      <c r="R59" s="254">
        <f t="shared" si="13"/>
        <v>86599.755986823511</v>
      </c>
      <c r="S59" s="206">
        <f>S57+S53+S55</f>
        <v>57712.36942305883</v>
      </c>
      <c r="T59" s="205">
        <f>T50</f>
        <v>26666.880000000001</v>
      </c>
      <c r="U59" s="180" t="s">
        <v>12</v>
      </c>
    </row>
    <row r="60" spans="1:21" ht="13.5" thickTop="1" thickBot="1" x14ac:dyDescent="0.3">
      <c r="B60" s="144"/>
      <c r="C60" s="513"/>
      <c r="D60" s="513"/>
      <c r="E60" s="513"/>
      <c r="F60" s="513"/>
      <c r="G60" s="513"/>
      <c r="H60" s="513"/>
      <c r="I60" s="513"/>
      <c r="J60" s="513"/>
      <c r="K60" s="513"/>
      <c r="L60" s="513"/>
      <c r="M60" s="513"/>
      <c r="N60" s="513"/>
      <c r="O60" s="513"/>
      <c r="P60" s="513"/>
      <c r="Q60" s="513"/>
      <c r="R60" s="513"/>
      <c r="S60" s="513"/>
      <c r="T60" s="513"/>
      <c r="U60" s="513"/>
    </row>
    <row r="61" spans="1:21" ht="16" thickTop="1" x14ac:dyDescent="0.35">
      <c r="B61" s="463" t="s">
        <v>26</v>
      </c>
      <c r="F61" s="1" t="s">
        <v>6</v>
      </c>
      <c r="G61" s="1160"/>
      <c r="H61" s="1161"/>
      <c r="I61" s="1162"/>
      <c r="J61" s="2" t="s">
        <v>26</v>
      </c>
      <c r="L61" s="31"/>
      <c r="M61" s="199" t="s">
        <v>26</v>
      </c>
      <c r="P61" s="199" t="s">
        <v>26</v>
      </c>
      <c r="R61" s="31"/>
      <c r="S61" s="97"/>
      <c r="T61" s="31"/>
      <c r="U61" s="111"/>
    </row>
    <row r="62" spans="1:21" ht="13" x14ac:dyDescent="0.3">
      <c r="B62" s="144"/>
      <c r="I62" s="32" t="s">
        <v>61</v>
      </c>
      <c r="J62" s="227" t="s">
        <v>61</v>
      </c>
      <c r="K62" s="1167" t="s">
        <v>57</v>
      </c>
      <c r="L62" s="1168"/>
      <c r="M62" s="50" t="s">
        <v>61</v>
      </c>
      <c r="N62" s="1177" t="s">
        <v>57</v>
      </c>
      <c r="O62" s="1178"/>
      <c r="P62" s="227" t="s">
        <v>61</v>
      </c>
      <c r="Q62" s="1167" t="s">
        <v>57</v>
      </c>
      <c r="R62" s="1168"/>
      <c r="S62" s="106"/>
      <c r="T62" s="31"/>
      <c r="U62" s="111"/>
    </row>
    <row r="63" spans="1:21" ht="13" x14ac:dyDescent="0.3">
      <c r="B63" s="462" t="s">
        <v>27</v>
      </c>
      <c r="C63" s="20" t="s">
        <v>45</v>
      </c>
      <c r="D63" s="20" t="s">
        <v>46</v>
      </c>
      <c r="E63" s="20" t="s">
        <v>47</v>
      </c>
      <c r="F63" s="20" t="s">
        <v>48</v>
      </c>
      <c r="G63" s="20" t="s">
        <v>49</v>
      </c>
      <c r="H63" s="20" t="s">
        <v>50</v>
      </c>
      <c r="I63" s="32" t="s">
        <v>13</v>
      </c>
      <c r="J63" s="210" t="s">
        <v>56</v>
      </c>
      <c r="K63" s="211" t="s">
        <v>13</v>
      </c>
      <c r="L63" s="212" t="s">
        <v>68</v>
      </c>
      <c r="M63" s="66" t="s">
        <v>56</v>
      </c>
      <c r="N63" s="20" t="s">
        <v>13</v>
      </c>
      <c r="O63" s="32" t="s">
        <v>68</v>
      </c>
      <c r="P63" s="210" t="s">
        <v>56</v>
      </c>
      <c r="Q63" s="211" t="s">
        <v>13</v>
      </c>
      <c r="R63" s="212" t="s">
        <v>68</v>
      </c>
      <c r="S63" s="98"/>
      <c r="T63" s="31"/>
      <c r="U63" s="111"/>
    </row>
    <row r="64" spans="1:21" x14ac:dyDescent="0.25">
      <c r="B64" s="464" t="s">
        <v>4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45">
        <f t="shared" ref="I64:I71" si="14">SUM(C64:H64)</f>
        <v>0</v>
      </c>
      <c r="J64" s="213" t="s">
        <v>12</v>
      </c>
      <c r="K64" s="231">
        <f>I64*$L$4</f>
        <v>0</v>
      </c>
      <c r="L64" s="239">
        <f t="shared" ref="L64:L73" si="15">K64</f>
        <v>0</v>
      </c>
      <c r="M64" s="51" t="s">
        <v>12</v>
      </c>
      <c r="N64" s="58">
        <f>$I$64*$O$4</f>
        <v>0</v>
      </c>
      <c r="O64" s="57">
        <f t="shared" ref="O64:O73" si="16">N64</f>
        <v>0</v>
      </c>
      <c r="P64" s="213" t="s">
        <v>12</v>
      </c>
      <c r="Q64" s="231">
        <f>$I$64*$R$4</f>
        <v>0</v>
      </c>
      <c r="R64" s="239">
        <f t="shared" ref="R64:R73" si="17">Q64</f>
        <v>0</v>
      </c>
      <c r="S64" s="96">
        <f t="shared" ref="S64:S75" si="18">AVERAGE(L64,O64,R64)</f>
        <v>0</v>
      </c>
      <c r="T64" s="94" t="s">
        <v>12</v>
      </c>
      <c r="U64" s="113" t="s">
        <v>12</v>
      </c>
    </row>
    <row r="65" spans="2:21" s="1" customFormat="1" ht="13.5" thickBot="1" x14ac:dyDescent="0.35">
      <c r="B65" s="596" t="s">
        <v>8</v>
      </c>
      <c r="C65" s="310">
        <f>ROUND(C64*Labor!$D$3,0)</f>
        <v>0</v>
      </c>
      <c r="D65" s="310">
        <f>ROUND(D64*Labor!$D$4,0)</f>
        <v>0</v>
      </c>
      <c r="E65" s="310">
        <f>ROUND(E64*Labor!$D$5,0)</f>
        <v>0</v>
      </c>
      <c r="F65" s="310">
        <f>ROUND(F64*Labor!$D$6,0)</f>
        <v>0</v>
      </c>
      <c r="G65" s="310">
        <f>ROUND(G64*Labor!$D$7,0)</f>
        <v>0</v>
      </c>
      <c r="H65" s="310">
        <f>ROUND(H64*Labor!$D$8,0)</f>
        <v>0</v>
      </c>
      <c r="I65" s="167">
        <f t="shared" si="14"/>
        <v>0</v>
      </c>
      <c r="J65" s="284">
        <f>HLOOKUP(K$2,InflationTable,2)/HLOOKUP(Labor!$B$11,InflationTable,2)*$I65</f>
        <v>0</v>
      </c>
      <c r="K65" s="245">
        <f>J65*$L$4</f>
        <v>0</v>
      </c>
      <c r="L65" s="246">
        <f t="shared" si="15"/>
        <v>0</v>
      </c>
      <c r="M65" s="169">
        <f>HLOOKUP(N$2,InflationTable,2)/HLOOKUP(Labor!$B$11,InflationTable,2)*$I65</f>
        <v>0</v>
      </c>
      <c r="N65" s="166">
        <f>M65*$L$4</f>
        <v>0</v>
      </c>
      <c r="O65" s="167">
        <f t="shared" si="16"/>
        <v>0</v>
      </c>
      <c r="P65" s="284">
        <f>HLOOKUP(Q$2,InflationTable,2)/HLOOKUP(Labor!$B$11,InflationTable,2)*$I65</f>
        <v>0</v>
      </c>
      <c r="Q65" s="245">
        <f>P65*$R$4</f>
        <v>0</v>
      </c>
      <c r="R65" s="246">
        <f t="shared" si="17"/>
        <v>0</v>
      </c>
      <c r="S65" s="169">
        <f t="shared" si="18"/>
        <v>0</v>
      </c>
      <c r="T65" s="174" t="s">
        <v>12</v>
      </c>
      <c r="U65" s="322" t="s">
        <v>12</v>
      </c>
    </row>
    <row r="66" spans="2:21" ht="13" x14ac:dyDescent="0.3">
      <c r="B66" s="459" t="s">
        <v>114</v>
      </c>
      <c r="C66" s="290">
        <v>0</v>
      </c>
      <c r="D66" s="290">
        <v>0</v>
      </c>
      <c r="E66" s="290">
        <v>0</v>
      </c>
      <c r="F66" s="290">
        <v>0</v>
      </c>
      <c r="G66" s="290">
        <v>0</v>
      </c>
      <c r="H66" s="290">
        <v>0</v>
      </c>
      <c r="I66" s="291">
        <f t="shared" si="14"/>
        <v>0</v>
      </c>
      <c r="J66" s="242" t="s">
        <v>12</v>
      </c>
      <c r="K66" s="273">
        <f>I66*$L$4</f>
        <v>0</v>
      </c>
      <c r="L66" s="274">
        <f t="shared" si="15"/>
        <v>0</v>
      </c>
      <c r="M66" s="53" t="s">
        <v>12</v>
      </c>
      <c r="N66" s="147">
        <f>$I$66*$O$4</f>
        <v>0</v>
      </c>
      <c r="O66" s="148">
        <f t="shared" si="16"/>
        <v>0</v>
      </c>
      <c r="P66" s="242" t="s">
        <v>12</v>
      </c>
      <c r="Q66" s="273">
        <f>$I$66*$R$4</f>
        <v>0</v>
      </c>
      <c r="R66" s="274">
        <f t="shared" si="17"/>
        <v>0</v>
      </c>
      <c r="S66" s="104">
        <f t="shared" si="18"/>
        <v>0</v>
      </c>
      <c r="T66" s="42" t="s">
        <v>12</v>
      </c>
      <c r="U66" s="119" t="s">
        <v>12</v>
      </c>
    </row>
    <row r="67" spans="2:21" s="1" customFormat="1" ht="13.5" thickBot="1" x14ac:dyDescent="0.35">
      <c r="B67" s="596" t="s">
        <v>8</v>
      </c>
      <c r="C67" s="310">
        <f>ROUND(C66*Labor!$D$3,0)</f>
        <v>0</v>
      </c>
      <c r="D67" s="310">
        <f>ROUND(D66*Labor!$D$4,0)</f>
        <v>0</v>
      </c>
      <c r="E67" s="310">
        <f>ROUND(E66*Labor!$D$5,0)</f>
        <v>0</v>
      </c>
      <c r="F67" s="310">
        <f>ROUND(F66*Labor!$D$6,0)</f>
        <v>0</v>
      </c>
      <c r="G67" s="310">
        <f>ROUND(G66*Labor!$D$7,0)</f>
        <v>0</v>
      </c>
      <c r="H67" s="310">
        <f>ROUND(H66*Labor!$D$8,0)</f>
        <v>0</v>
      </c>
      <c r="I67" s="167">
        <f t="shared" si="14"/>
        <v>0</v>
      </c>
      <c r="J67" s="284">
        <f>HLOOKUP(K$2,InflationTable,2)/HLOOKUP(Labor!$B$11,InflationTable,2)*$I67</f>
        <v>0</v>
      </c>
      <c r="K67" s="245">
        <f>J67*$L$4</f>
        <v>0</v>
      </c>
      <c r="L67" s="246">
        <f t="shared" si="15"/>
        <v>0</v>
      </c>
      <c r="M67" s="169">
        <f>HLOOKUP(N$2,InflationTable,2)/HLOOKUP(Labor!$B$11,InflationTable,2)*$I67</f>
        <v>0</v>
      </c>
      <c r="N67" s="166">
        <f>M67*$O$4</f>
        <v>0</v>
      </c>
      <c r="O67" s="167">
        <f t="shared" si="16"/>
        <v>0</v>
      </c>
      <c r="P67" s="284">
        <f>HLOOKUP(Q$2,InflationTable,2)/HLOOKUP(Labor!$B$11,InflationTable,2)*$I67</f>
        <v>0</v>
      </c>
      <c r="Q67" s="245">
        <f>P67*$R$4</f>
        <v>0</v>
      </c>
      <c r="R67" s="246">
        <f t="shared" si="17"/>
        <v>0</v>
      </c>
      <c r="S67" s="169">
        <f t="shared" si="18"/>
        <v>0</v>
      </c>
      <c r="T67" s="174" t="s">
        <v>12</v>
      </c>
      <c r="U67" s="322" t="s">
        <v>12</v>
      </c>
    </row>
    <row r="68" spans="2:21" ht="13" x14ac:dyDescent="0.3">
      <c r="B68" s="459" t="s">
        <v>115</v>
      </c>
      <c r="C68" s="290">
        <v>0</v>
      </c>
      <c r="D68" s="290">
        <v>0</v>
      </c>
      <c r="E68" s="290">
        <v>0</v>
      </c>
      <c r="F68" s="290">
        <v>0</v>
      </c>
      <c r="G68" s="290">
        <v>0</v>
      </c>
      <c r="H68" s="290">
        <v>0</v>
      </c>
      <c r="I68" s="291">
        <f t="shared" si="14"/>
        <v>0</v>
      </c>
      <c r="J68" s="242" t="s">
        <v>12</v>
      </c>
      <c r="K68" s="273">
        <f>I68*$L$4</f>
        <v>0</v>
      </c>
      <c r="L68" s="274">
        <f t="shared" si="15"/>
        <v>0</v>
      </c>
      <c r="M68" s="53" t="s">
        <v>12</v>
      </c>
      <c r="N68" s="147">
        <f>$I$68*$O$4</f>
        <v>0</v>
      </c>
      <c r="O68" s="148">
        <f t="shared" si="16"/>
        <v>0</v>
      </c>
      <c r="P68" s="242" t="s">
        <v>12</v>
      </c>
      <c r="Q68" s="273">
        <f>$I$68*$R$4</f>
        <v>0</v>
      </c>
      <c r="R68" s="274">
        <f t="shared" si="17"/>
        <v>0</v>
      </c>
      <c r="S68" s="104">
        <f t="shared" si="18"/>
        <v>0</v>
      </c>
      <c r="T68" s="42" t="s">
        <v>12</v>
      </c>
      <c r="U68" s="119" t="s">
        <v>12</v>
      </c>
    </row>
    <row r="69" spans="2:21" s="1" customFormat="1" ht="13.5" thickBot="1" x14ac:dyDescent="0.35">
      <c r="B69" s="596" t="s">
        <v>8</v>
      </c>
      <c r="C69" s="310">
        <f>ROUND(C68*Labor!$D$3,0)</f>
        <v>0</v>
      </c>
      <c r="D69" s="310">
        <f>ROUND(D68*Labor!$D$4,0)</f>
        <v>0</v>
      </c>
      <c r="E69" s="310">
        <f>ROUND(E68*Labor!$D$5,0)</f>
        <v>0</v>
      </c>
      <c r="F69" s="310">
        <f>ROUND(F68*Labor!$D$6,0)</f>
        <v>0</v>
      </c>
      <c r="G69" s="310">
        <f>ROUND(G68*Labor!$D$7,0)</f>
        <v>0</v>
      </c>
      <c r="H69" s="310">
        <f>ROUND(H68*Labor!$D$8,0)</f>
        <v>0</v>
      </c>
      <c r="I69" s="167">
        <f t="shared" si="14"/>
        <v>0</v>
      </c>
      <c r="J69" s="284">
        <f>HLOOKUP(K$2,InflationTable,2)/HLOOKUP(Labor!$B$11,InflationTable,2)*$I69</f>
        <v>0</v>
      </c>
      <c r="K69" s="245">
        <f>J69*$L$4</f>
        <v>0</v>
      </c>
      <c r="L69" s="246">
        <f t="shared" si="15"/>
        <v>0</v>
      </c>
      <c r="M69" s="169">
        <f>HLOOKUP(N$2,InflationTable,2)/HLOOKUP(Labor!$B$11,InflationTable,2)*$I69</f>
        <v>0</v>
      </c>
      <c r="N69" s="166">
        <f>M69*$O$4</f>
        <v>0</v>
      </c>
      <c r="O69" s="167">
        <f t="shared" si="16"/>
        <v>0</v>
      </c>
      <c r="P69" s="284">
        <f>HLOOKUP(Q$2,InflationTable,2)/HLOOKUP(Labor!$B$11,InflationTable,2)*$I69</f>
        <v>0</v>
      </c>
      <c r="Q69" s="245">
        <f>P69*$R$4</f>
        <v>0</v>
      </c>
      <c r="R69" s="246">
        <f t="shared" si="17"/>
        <v>0</v>
      </c>
      <c r="S69" s="169">
        <f t="shared" si="18"/>
        <v>0</v>
      </c>
      <c r="T69" s="174" t="s">
        <v>12</v>
      </c>
      <c r="U69" s="322" t="s">
        <v>12</v>
      </c>
    </row>
    <row r="70" spans="2:21" ht="13" x14ac:dyDescent="0.3">
      <c r="B70" s="459" t="s">
        <v>116</v>
      </c>
      <c r="C70" s="290">
        <v>0</v>
      </c>
      <c r="D70" s="290">
        <v>0</v>
      </c>
      <c r="E70" s="290">
        <v>0</v>
      </c>
      <c r="F70" s="290">
        <v>0</v>
      </c>
      <c r="G70" s="290">
        <v>0</v>
      </c>
      <c r="H70" s="290">
        <v>0</v>
      </c>
      <c r="I70" s="291">
        <f t="shared" si="14"/>
        <v>0</v>
      </c>
      <c r="J70" s="242" t="s">
        <v>12</v>
      </c>
      <c r="K70" s="273">
        <f>I70*$L$4</f>
        <v>0</v>
      </c>
      <c r="L70" s="274">
        <f t="shared" si="15"/>
        <v>0</v>
      </c>
      <c r="M70" s="53" t="s">
        <v>12</v>
      </c>
      <c r="N70" s="147">
        <f>$I$70*$O$4</f>
        <v>0</v>
      </c>
      <c r="O70" s="148">
        <f t="shared" si="16"/>
        <v>0</v>
      </c>
      <c r="P70" s="242" t="s">
        <v>12</v>
      </c>
      <c r="Q70" s="273">
        <f>$I$70*$R$4</f>
        <v>0</v>
      </c>
      <c r="R70" s="274">
        <f t="shared" si="17"/>
        <v>0</v>
      </c>
      <c r="S70" s="104">
        <f t="shared" si="18"/>
        <v>0</v>
      </c>
      <c r="T70" s="42" t="s">
        <v>12</v>
      </c>
      <c r="U70" s="119" t="s">
        <v>12</v>
      </c>
    </row>
    <row r="71" spans="2:21" s="1" customFormat="1" ht="13.5" thickBot="1" x14ac:dyDescent="0.35">
      <c r="B71" s="596" t="s">
        <v>8</v>
      </c>
      <c r="C71" s="310">
        <f>ROUND(C70*Labor!$D$3,0)</f>
        <v>0</v>
      </c>
      <c r="D71" s="310">
        <f>ROUND(D70*Labor!$D$4,0)</f>
        <v>0</v>
      </c>
      <c r="E71" s="310">
        <f>ROUND(E70*Labor!$D$5,0)</f>
        <v>0</v>
      </c>
      <c r="F71" s="310">
        <f>ROUND(F70*Labor!$D$6,0)</f>
        <v>0</v>
      </c>
      <c r="G71" s="310">
        <f>ROUND(G70*Labor!$D$7,0)</f>
        <v>0</v>
      </c>
      <c r="H71" s="310">
        <f>ROUND(H70*Labor!$D$8,0)</f>
        <v>0</v>
      </c>
      <c r="I71" s="167">
        <f t="shared" si="14"/>
        <v>0</v>
      </c>
      <c r="J71" s="284">
        <f>HLOOKUP(K$2,InflationTable,2)/HLOOKUP(Labor!$B$11,InflationTable,2)*$I71</f>
        <v>0</v>
      </c>
      <c r="K71" s="245">
        <f>J71*$L$4</f>
        <v>0</v>
      </c>
      <c r="L71" s="246">
        <f t="shared" si="15"/>
        <v>0</v>
      </c>
      <c r="M71" s="169">
        <f>HLOOKUP(N$2,InflationTable,2)/HLOOKUP(Labor!$B$11,InflationTable,2)*$I71</f>
        <v>0</v>
      </c>
      <c r="N71" s="166">
        <f>M71*$O$4</f>
        <v>0</v>
      </c>
      <c r="O71" s="167">
        <f t="shared" si="16"/>
        <v>0</v>
      </c>
      <c r="P71" s="284">
        <f>HLOOKUP(Q$2,InflationTable,2)/HLOOKUP(Labor!$B$11,InflationTable,2)*$I71</f>
        <v>0</v>
      </c>
      <c r="Q71" s="245">
        <f>P71*$R$4</f>
        <v>0</v>
      </c>
      <c r="R71" s="246">
        <f t="shared" si="17"/>
        <v>0</v>
      </c>
      <c r="S71" s="169">
        <f t="shared" si="18"/>
        <v>0</v>
      </c>
      <c r="T71" s="323" t="s">
        <v>12</v>
      </c>
      <c r="U71" s="322" t="s">
        <v>12</v>
      </c>
    </row>
    <row r="72" spans="2:21" ht="13" x14ac:dyDescent="0.3">
      <c r="B72" s="1095" t="s">
        <v>376</v>
      </c>
      <c r="C72" s="1100">
        <v>0</v>
      </c>
      <c r="D72" s="1100">
        <v>0.25</v>
      </c>
      <c r="E72" s="1100">
        <v>0</v>
      </c>
      <c r="F72" s="1100">
        <v>0</v>
      </c>
      <c r="G72" s="1100">
        <v>0</v>
      </c>
      <c r="H72" s="1100">
        <v>0</v>
      </c>
      <c r="I72" s="291">
        <f t="shared" ref="I72:I73" si="19">SUM(C72:H72)</f>
        <v>0.25</v>
      </c>
      <c r="J72" s="242">
        <f>I72</f>
        <v>0.25</v>
      </c>
      <c r="K72" s="273">
        <f>J72*L4</f>
        <v>10.75</v>
      </c>
      <c r="L72" s="274">
        <f t="shared" si="15"/>
        <v>10.75</v>
      </c>
      <c r="M72" s="53">
        <f>I72</f>
        <v>0.25</v>
      </c>
      <c r="N72" s="147">
        <f>M72*L4</f>
        <v>10.75</v>
      </c>
      <c r="O72" s="148">
        <f t="shared" si="16"/>
        <v>10.75</v>
      </c>
      <c r="P72" s="242">
        <f>I72</f>
        <v>0.25</v>
      </c>
      <c r="Q72" s="273">
        <f>P72*R4</f>
        <v>10.75</v>
      </c>
      <c r="R72" s="274">
        <f t="shared" si="17"/>
        <v>10.75</v>
      </c>
      <c r="S72" s="104">
        <f t="shared" si="18"/>
        <v>10.75</v>
      </c>
      <c r="T72" s="42" t="s">
        <v>12</v>
      </c>
      <c r="U72" s="119" t="s">
        <v>12</v>
      </c>
    </row>
    <row r="73" spans="2:21" ht="13.5" thickBot="1" x14ac:dyDescent="0.35">
      <c r="B73" s="465" t="s">
        <v>8</v>
      </c>
      <c r="C73" s="1097">
        <f>ROUND(C72*Labor!$D$3,0)</f>
        <v>0</v>
      </c>
      <c r="D73" s="1097">
        <f>ROUND(D72*Labor!$D$3,0)</f>
        <v>6</v>
      </c>
      <c r="E73" s="1097">
        <f>ROUND(E72*Labor!$D$3,0)</f>
        <v>0</v>
      </c>
      <c r="F73" s="1097">
        <f>ROUND(F72*Labor!$D$3,0)</f>
        <v>0</v>
      </c>
      <c r="G73" s="1097">
        <f>ROUND(G72*Labor!$D$3,0)</f>
        <v>0</v>
      </c>
      <c r="H73" s="1097">
        <f>ROUND(H72*Labor!$D$3,0)</f>
        <v>0</v>
      </c>
      <c r="I73" s="1094">
        <f t="shared" si="19"/>
        <v>6</v>
      </c>
      <c r="J73" s="284">
        <f>HLOOKUP(K$2,InflationTable,2)/HLOOKUP(Labor!$B$11,InflationTable,2)*$I73</f>
        <v>12.835432525951557</v>
      </c>
      <c r="K73" s="245">
        <f>K72*J73</f>
        <v>137.98089965397924</v>
      </c>
      <c r="L73" s="246">
        <f t="shared" si="15"/>
        <v>137.98089965397924</v>
      </c>
      <c r="M73" s="169">
        <f>HLOOKUP(N$2,InflationTable,2)/HLOOKUP(Labor!$B$11,InflationTable,2)*$I73</f>
        <v>13.348849826989621</v>
      </c>
      <c r="N73" s="166">
        <f>N72*M73</f>
        <v>143.50013564013844</v>
      </c>
      <c r="O73" s="167">
        <f t="shared" si="16"/>
        <v>143.50013564013844</v>
      </c>
      <c r="P73" s="284">
        <f>HLOOKUP(Q$2,InflationTable,2)/HLOOKUP(Labor!$B$11,InflationTable,2)*$I73</f>
        <v>13.61582682352941</v>
      </c>
      <c r="Q73" s="245">
        <f>Q72*P73</f>
        <v>146.37013835294115</v>
      </c>
      <c r="R73" s="246">
        <f t="shared" si="17"/>
        <v>146.37013835294115</v>
      </c>
      <c r="S73" s="169">
        <f t="shared" si="18"/>
        <v>142.61705788235292</v>
      </c>
      <c r="T73" s="110" t="s">
        <v>12</v>
      </c>
      <c r="U73" s="115" t="s">
        <v>12</v>
      </c>
    </row>
    <row r="74" spans="2:21" ht="13" x14ac:dyDescent="0.3">
      <c r="B74" s="139" t="s">
        <v>66</v>
      </c>
      <c r="C74" s="30">
        <f>C64+C66+C68+C70+C72</f>
        <v>0</v>
      </c>
      <c r="D74" s="30">
        <f t="shared" ref="D74:I75" si="20">D64+D66+D68+D70+D72</f>
        <v>0.25</v>
      </c>
      <c r="E74" s="30">
        <f t="shared" si="20"/>
        <v>0</v>
      </c>
      <c r="F74" s="30">
        <f t="shared" si="20"/>
        <v>0</v>
      </c>
      <c r="G74" s="30">
        <f t="shared" si="20"/>
        <v>0</v>
      </c>
      <c r="H74" s="30">
        <f t="shared" si="20"/>
        <v>0</v>
      </c>
      <c r="I74" s="30">
        <f t="shared" si="20"/>
        <v>0.25</v>
      </c>
      <c r="J74" s="249" t="s">
        <v>12</v>
      </c>
      <c r="K74" s="235">
        <f>K64+K66+K68+K70+K72</f>
        <v>10.75</v>
      </c>
      <c r="L74" s="260">
        <f>L64+L66+L68+L70+L72</f>
        <v>10.75</v>
      </c>
      <c r="M74" s="70" t="s">
        <v>12</v>
      </c>
      <c r="N74" s="28">
        <f>N64+N66+N68+N70+N72</f>
        <v>10.75</v>
      </c>
      <c r="O74" s="28">
        <f>O64+O66+O68+O70+O72</f>
        <v>10.75</v>
      </c>
      <c r="P74" s="249" t="s">
        <v>12</v>
      </c>
      <c r="Q74" s="235">
        <f>Q64+Q66+Q68+Q70+Q72</f>
        <v>10.75</v>
      </c>
      <c r="R74" s="235">
        <f>R64+R66+R68+R70+R72</f>
        <v>10.75</v>
      </c>
      <c r="S74" s="104">
        <f t="shared" si="18"/>
        <v>10.75</v>
      </c>
      <c r="T74" s="42" t="s">
        <v>12</v>
      </c>
      <c r="U74" s="119" t="s">
        <v>12</v>
      </c>
    </row>
    <row r="75" spans="2:21" ht="13.5" thickBot="1" x14ac:dyDescent="0.35">
      <c r="B75" s="460" t="s">
        <v>67</v>
      </c>
      <c r="C75" s="194">
        <f>C65+C67+C69+C71+C73</f>
        <v>0</v>
      </c>
      <c r="D75" s="194">
        <f t="shared" si="20"/>
        <v>6</v>
      </c>
      <c r="E75" s="194">
        <f t="shared" si="20"/>
        <v>0</v>
      </c>
      <c r="F75" s="194">
        <f t="shared" si="20"/>
        <v>0</v>
      </c>
      <c r="G75" s="194">
        <f t="shared" si="20"/>
        <v>0</v>
      </c>
      <c r="H75" s="194">
        <f t="shared" si="20"/>
        <v>0</v>
      </c>
      <c r="I75" s="194">
        <f t="shared" si="20"/>
        <v>6</v>
      </c>
      <c r="J75" s="261">
        <f>J65+J67+J69+J71+J73</f>
        <v>12.835432525951557</v>
      </c>
      <c r="K75" s="261">
        <f>K65+K67+K69+K71+K73</f>
        <v>137.98089965397924</v>
      </c>
      <c r="L75" s="226">
        <f>L65+L67+L69+L71+L73</f>
        <v>137.98089965397924</v>
      </c>
      <c r="M75" s="194">
        <f t="shared" ref="M75:O75" si="21">M65+M67+M69+M71+M73</f>
        <v>13.348849826989621</v>
      </c>
      <c r="N75" s="194">
        <f t="shared" si="21"/>
        <v>143.50013564013844</v>
      </c>
      <c r="O75" s="194">
        <f t="shared" si="21"/>
        <v>143.50013564013844</v>
      </c>
      <c r="P75" s="261">
        <f>P65+P67+P69+P71+P73</f>
        <v>13.61582682352941</v>
      </c>
      <c r="Q75" s="261">
        <f>Q65+Q67+Q69+Q71+Q73</f>
        <v>146.37013835294115</v>
      </c>
      <c r="R75" s="261">
        <f>R65+R67+R69+R71+R73</f>
        <v>146.37013835294115</v>
      </c>
      <c r="S75" s="206">
        <f t="shared" si="18"/>
        <v>142.61705788235292</v>
      </c>
      <c r="T75" s="203" t="s">
        <v>12</v>
      </c>
      <c r="U75" s="180" t="s">
        <v>12</v>
      </c>
    </row>
    <row r="76" spans="2:21" ht="13.5" thickTop="1" x14ac:dyDescent="0.3">
      <c r="B76" s="519"/>
      <c r="C76" s="516"/>
      <c r="D76" s="516"/>
      <c r="E76" s="516"/>
      <c r="F76" s="516"/>
      <c r="G76" s="516"/>
      <c r="H76" s="516"/>
      <c r="I76" s="517"/>
      <c r="J76" s="517"/>
      <c r="K76" s="517"/>
      <c r="L76" s="517"/>
      <c r="M76" s="517"/>
      <c r="N76" s="517"/>
      <c r="O76" s="517"/>
      <c r="P76" s="517"/>
      <c r="Q76" s="517"/>
      <c r="R76" s="517"/>
      <c r="S76" s="520"/>
      <c r="T76" s="521"/>
      <c r="U76" s="522"/>
    </row>
    <row r="77" spans="2:21" ht="13" thickBot="1" x14ac:dyDescent="0.3">
      <c r="B77" s="335"/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  <c r="P77" s="335"/>
      <c r="Q77" s="335"/>
      <c r="R77" s="335"/>
      <c r="S77" s="335"/>
      <c r="T77" s="335"/>
      <c r="U77" s="335"/>
    </row>
    <row r="78" spans="2:21" ht="27.5" thickTop="1" thickBot="1" x14ac:dyDescent="0.4">
      <c r="B78" s="463" t="s">
        <v>28</v>
      </c>
      <c r="F78" s="1" t="s">
        <v>6</v>
      </c>
      <c r="G78" s="1160"/>
      <c r="H78" s="1161"/>
      <c r="I78" s="1162"/>
      <c r="J78" s="2" t="s">
        <v>28</v>
      </c>
      <c r="L78" s="31"/>
      <c r="M78" s="2" t="s">
        <v>28</v>
      </c>
      <c r="O78" s="31"/>
      <c r="P78" s="2" t="s">
        <v>28</v>
      </c>
      <c r="R78" s="31"/>
      <c r="S78" s="448" t="s">
        <v>17</v>
      </c>
      <c r="T78" s="449" t="s">
        <v>103</v>
      </c>
      <c r="U78" s="633" t="s">
        <v>79</v>
      </c>
    </row>
    <row r="79" spans="2:21" ht="13" x14ac:dyDescent="0.3">
      <c r="B79" s="144"/>
      <c r="I79" s="32" t="s">
        <v>61</v>
      </c>
      <c r="J79" s="227" t="s">
        <v>61</v>
      </c>
      <c r="K79" s="1167" t="s">
        <v>57</v>
      </c>
      <c r="L79" s="1168"/>
      <c r="M79" s="50" t="s">
        <v>61</v>
      </c>
      <c r="N79" s="1177" t="s">
        <v>57</v>
      </c>
      <c r="O79" s="1181"/>
      <c r="P79" s="266" t="s">
        <v>61</v>
      </c>
      <c r="Q79" s="1167" t="s">
        <v>57</v>
      </c>
      <c r="R79" s="1168"/>
      <c r="S79" s="631"/>
      <c r="T79" s="31"/>
      <c r="U79" s="31"/>
    </row>
    <row r="80" spans="2:21" ht="13" x14ac:dyDescent="0.3">
      <c r="B80" s="459"/>
      <c r="C80" s="20" t="s">
        <v>45</v>
      </c>
      <c r="D80" s="20" t="s">
        <v>46</v>
      </c>
      <c r="E80" s="20" t="s">
        <v>47</v>
      </c>
      <c r="F80" s="20" t="s">
        <v>48</v>
      </c>
      <c r="G80" s="20" t="s">
        <v>49</v>
      </c>
      <c r="H80" s="20" t="s">
        <v>50</v>
      </c>
      <c r="I80" s="32" t="s">
        <v>13</v>
      </c>
      <c r="J80" s="210" t="s">
        <v>56</v>
      </c>
      <c r="K80" s="211" t="s">
        <v>13</v>
      </c>
      <c r="L80" s="212" t="s">
        <v>68</v>
      </c>
      <c r="M80" s="66" t="s">
        <v>56</v>
      </c>
      <c r="N80" s="20" t="s">
        <v>13</v>
      </c>
      <c r="O80" s="32" t="s">
        <v>68</v>
      </c>
      <c r="P80" s="210" t="s">
        <v>56</v>
      </c>
      <c r="Q80" s="211" t="s">
        <v>13</v>
      </c>
      <c r="R80" s="212" t="s">
        <v>68</v>
      </c>
      <c r="S80" s="632"/>
      <c r="T80" s="31"/>
      <c r="U80" s="31"/>
    </row>
    <row r="81" spans="1:21" s="1" customFormat="1" ht="13.5" thickBot="1" x14ac:dyDescent="0.35">
      <c r="A81" s="511"/>
      <c r="B81" s="630" t="str">
        <f>VLOOKUP(C$2,Monitor_Costs,25,FALSE)</f>
        <v>Calibration Stds</v>
      </c>
      <c r="C81" s="166">
        <v>0</v>
      </c>
      <c r="D81" s="310">
        <f>VLOOKUP(C$2,Monitor_Costs,15,FALSE)</f>
        <v>2019</v>
      </c>
      <c r="E81" s="561"/>
      <c r="F81" s="562"/>
      <c r="G81" s="561"/>
      <c r="H81" s="533"/>
      <c r="I81" s="301"/>
      <c r="J81" s="229">
        <f>HLOOKUP(K$2,InflationTable,2)/HLOOKUP($D81,InflationTable,2)*$C81</f>
        <v>0</v>
      </c>
      <c r="K81" s="245">
        <f>J81*$L$4</f>
        <v>0</v>
      </c>
      <c r="L81" s="246">
        <f>K81</f>
        <v>0</v>
      </c>
      <c r="M81" s="23">
        <f>HLOOKUP(N$2,InflationTable,2)/HLOOKUP($D81,InflationTable,2)*$C81</f>
        <v>0</v>
      </c>
      <c r="N81" s="166">
        <f>M81*$O$4</f>
        <v>0</v>
      </c>
      <c r="O81" s="167">
        <f>N81</f>
        <v>0</v>
      </c>
      <c r="P81" s="229">
        <f>HLOOKUP(Q$2,InflationTable,2)/HLOOKUP($D81,InflationTable,2)*$C81</f>
        <v>0</v>
      </c>
      <c r="Q81" s="245">
        <f>P81*$R$4</f>
        <v>0</v>
      </c>
      <c r="R81" s="246">
        <f>Q81</f>
        <v>0</v>
      </c>
      <c r="S81" s="384" t="s">
        <v>12</v>
      </c>
      <c r="T81" s="311">
        <f>AVERAGE(L81,O81,R81)</f>
        <v>0</v>
      </c>
      <c r="U81" s="183" t="s">
        <v>12</v>
      </c>
    </row>
    <row r="82" spans="1:21" ht="13" x14ac:dyDescent="0.3">
      <c r="B82" s="457"/>
      <c r="C82" s="20"/>
      <c r="D82" s="20"/>
      <c r="E82" s="20"/>
      <c r="F82" s="20"/>
      <c r="G82" s="20"/>
      <c r="H82" s="20"/>
      <c r="I82" s="32"/>
      <c r="J82" s="210"/>
      <c r="K82" s="211"/>
      <c r="L82" s="212"/>
      <c r="M82" s="66"/>
      <c r="N82" s="20"/>
      <c r="O82" s="32"/>
      <c r="P82" s="210"/>
      <c r="Q82" s="211"/>
      <c r="R82" s="212"/>
      <c r="S82" s="95"/>
      <c r="T82" s="108"/>
      <c r="U82" s="31"/>
    </row>
    <row r="83" spans="1:21" ht="13" x14ac:dyDescent="0.3">
      <c r="B83" s="457" t="s">
        <v>205</v>
      </c>
      <c r="C83" s="18">
        <v>0</v>
      </c>
      <c r="D83" s="18">
        <v>0</v>
      </c>
      <c r="E83" s="18">
        <v>4</v>
      </c>
      <c r="F83" s="18">
        <v>10</v>
      </c>
      <c r="G83" s="18">
        <v>0</v>
      </c>
      <c r="H83" s="18">
        <v>0</v>
      </c>
      <c r="I83" s="45">
        <f t="shared" ref="I83:I88" si="22">SUM(C83:H83)</f>
        <v>14</v>
      </c>
      <c r="J83" s="213" t="s">
        <v>12</v>
      </c>
      <c r="K83" s="231">
        <f>I83*$L$4</f>
        <v>602</v>
      </c>
      <c r="L83" s="239">
        <f t="shared" ref="L83:L88" si="23">K83</f>
        <v>602</v>
      </c>
      <c r="M83" s="51" t="s">
        <v>12</v>
      </c>
      <c r="N83" s="58">
        <f>$I$83*$O$4</f>
        <v>602</v>
      </c>
      <c r="O83" s="57">
        <f t="shared" ref="O83:O88" si="24">N83</f>
        <v>602</v>
      </c>
      <c r="P83" s="213" t="s">
        <v>12</v>
      </c>
      <c r="Q83" s="231">
        <f>$I$83*$O$4</f>
        <v>602</v>
      </c>
      <c r="R83" s="239">
        <f t="shared" ref="R83:R88" si="25">Q83</f>
        <v>602</v>
      </c>
      <c r="S83" s="96">
        <f t="shared" ref="S83:S88" si="26">AVERAGE(L83,O83,R83)</f>
        <v>602</v>
      </c>
      <c r="T83" s="34" t="s">
        <v>12</v>
      </c>
      <c r="U83" s="42" t="s">
        <v>12</v>
      </c>
    </row>
    <row r="84" spans="1:21" s="1" customFormat="1" ht="13.5" thickBot="1" x14ac:dyDescent="0.35">
      <c r="B84" s="595" t="s">
        <v>8</v>
      </c>
      <c r="C84" s="310">
        <f>ROUND(C83*Labor!$D$3,0)</f>
        <v>0</v>
      </c>
      <c r="D84" s="310">
        <f>ROUND(D83*Labor!$D$4,0)</f>
        <v>0</v>
      </c>
      <c r="E84" s="310">
        <f>ROUND(E83*Labor!$D$5,0)</f>
        <v>101</v>
      </c>
      <c r="F84" s="310">
        <f>ROUND(F83*Labor!$D$6,0)</f>
        <v>276</v>
      </c>
      <c r="G84" s="310">
        <f>ROUND(G83*Labor!$D$7,0)</f>
        <v>0</v>
      </c>
      <c r="H84" s="310">
        <f>ROUND(H83*Labor!$D$8,0)</f>
        <v>0</v>
      </c>
      <c r="I84" s="167">
        <f t="shared" si="22"/>
        <v>377</v>
      </c>
      <c r="J84" s="284">
        <f>HLOOKUP(K$2,InflationTable,2)/HLOOKUP(Labor!$B$11,InflationTable,2)*$I84</f>
        <v>806.49301038062276</v>
      </c>
      <c r="K84" s="245">
        <f>J84*$L$4</f>
        <v>34679.19944636678</v>
      </c>
      <c r="L84" s="246">
        <f t="shared" si="23"/>
        <v>34679.19944636678</v>
      </c>
      <c r="M84" s="169">
        <f>HLOOKUP(N$2,InflationTable,2)/HLOOKUP(Labor!$B$11,InflationTable,2)*$I84</f>
        <v>838.75273079584781</v>
      </c>
      <c r="N84" s="166">
        <f>M84*$O$4</f>
        <v>36066.367424221455</v>
      </c>
      <c r="O84" s="167">
        <f t="shared" si="24"/>
        <v>36066.367424221455</v>
      </c>
      <c r="P84" s="284">
        <f>HLOOKUP(Q$2,InflationTable,2)/HLOOKUP(Labor!$B$11,InflationTable,2)*$I84</f>
        <v>855.52778541176463</v>
      </c>
      <c r="Q84" s="245">
        <f>P84*$R$4</f>
        <v>36787.69477270588</v>
      </c>
      <c r="R84" s="246">
        <f t="shared" si="25"/>
        <v>36787.69477270588</v>
      </c>
      <c r="S84" s="169">
        <f t="shared" si="26"/>
        <v>35844.420547764697</v>
      </c>
      <c r="T84" s="323" t="s">
        <v>12</v>
      </c>
      <c r="U84" s="174" t="s">
        <v>12</v>
      </c>
    </row>
    <row r="85" spans="1:21" ht="13" x14ac:dyDescent="0.3">
      <c r="B85" s="459" t="s">
        <v>206</v>
      </c>
      <c r="C85" s="290">
        <v>0</v>
      </c>
      <c r="D85" s="290">
        <v>0</v>
      </c>
      <c r="E85" s="290">
        <v>4</v>
      </c>
      <c r="F85" s="290">
        <v>8</v>
      </c>
      <c r="G85" s="290">
        <v>0</v>
      </c>
      <c r="H85" s="290">
        <v>0</v>
      </c>
      <c r="I85" s="291">
        <f t="shared" si="22"/>
        <v>12</v>
      </c>
      <c r="J85" s="242" t="s">
        <v>12</v>
      </c>
      <c r="K85" s="273">
        <f>I85*$L$4</f>
        <v>516</v>
      </c>
      <c r="L85" s="274">
        <f t="shared" si="23"/>
        <v>516</v>
      </c>
      <c r="M85" s="53" t="s">
        <v>12</v>
      </c>
      <c r="N85" s="147">
        <f>$I$85*$O$4</f>
        <v>516</v>
      </c>
      <c r="O85" s="148">
        <f t="shared" si="24"/>
        <v>516</v>
      </c>
      <c r="P85" s="242" t="s">
        <v>12</v>
      </c>
      <c r="Q85" s="273">
        <f>$I$85*$O$4</f>
        <v>516</v>
      </c>
      <c r="R85" s="274">
        <f t="shared" si="25"/>
        <v>516</v>
      </c>
      <c r="S85" s="104">
        <f t="shared" si="26"/>
        <v>516</v>
      </c>
      <c r="T85" s="34" t="s">
        <v>12</v>
      </c>
      <c r="U85" s="42" t="s">
        <v>12</v>
      </c>
    </row>
    <row r="86" spans="1:21" s="1" customFormat="1" ht="13.5" thickBot="1" x14ac:dyDescent="0.35">
      <c r="B86" s="595" t="s">
        <v>8</v>
      </c>
      <c r="C86" s="310">
        <f>ROUND(C85*Labor!$D$3,0)</f>
        <v>0</v>
      </c>
      <c r="D86" s="310">
        <f>ROUND(D85*Labor!$D$4,0)</f>
        <v>0</v>
      </c>
      <c r="E86" s="310">
        <f>ROUND(E85*Labor!$D$5,0)</f>
        <v>101</v>
      </c>
      <c r="F86" s="310">
        <f>ROUND(F85*Labor!$D$6,0)</f>
        <v>221</v>
      </c>
      <c r="G86" s="310">
        <f>ROUND(G85*Labor!$D$7,0)</f>
        <v>0</v>
      </c>
      <c r="H86" s="310">
        <f>ROUND(H85*Labor!$D$8,0)</f>
        <v>0</v>
      </c>
      <c r="I86" s="167">
        <f t="shared" si="22"/>
        <v>322</v>
      </c>
      <c r="J86" s="284">
        <f>HLOOKUP(K$2,InflationTable,2)/HLOOKUP(Labor!$B$11,InflationTable,2)*$I86</f>
        <v>688.83487889273351</v>
      </c>
      <c r="K86" s="245">
        <f>J86*$L$4</f>
        <v>29619.899792387539</v>
      </c>
      <c r="L86" s="246">
        <f t="shared" si="23"/>
        <v>29619.899792387539</v>
      </c>
      <c r="M86" s="169">
        <f>HLOOKUP(N$2,InflationTable,2)/HLOOKUP(Labor!$B$11,InflationTable,2)*$I86</f>
        <v>716.38827404844301</v>
      </c>
      <c r="N86" s="166">
        <f>M86*$O$4</f>
        <v>30804.695784083051</v>
      </c>
      <c r="O86" s="167">
        <f t="shared" si="24"/>
        <v>30804.695784083051</v>
      </c>
      <c r="P86" s="284">
        <f>HLOOKUP(Q$2,InflationTable,2)/HLOOKUP(Labor!$B$11,InflationTable,2)*$I86</f>
        <v>730.71603952941166</v>
      </c>
      <c r="Q86" s="245">
        <f>P86*$R$4</f>
        <v>31420.7896997647</v>
      </c>
      <c r="R86" s="246">
        <f t="shared" si="25"/>
        <v>31420.7896997647</v>
      </c>
      <c r="S86" s="169">
        <f t="shared" si="26"/>
        <v>30615.128425411764</v>
      </c>
      <c r="T86" s="323" t="s">
        <v>12</v>
      </c>
      <c r="U86" s="174" t="s">
        <v>12</v>
      </c>
    </row>
    <row r="87" spans="1:21" ht="13" x14ac:dyDescent="0.3">
      <c r="B87" s="459" t="s">
        <v>109</v>
      </c>
      <c r="C87" s="290">
        <v>0</v>
      </c>
      <c r="D87" s="290">
        <v>1</v>
      </c>
      <c r="E87" s="290">
        <v>8</v>
      </c>
      <c r="F87" s="290">
        <v>5</v>
      </c>
      <c r="G87" s="290">
        <v>2</v>
      </c>
      <c r="H87" s="290">
        <v>0</v>
      </c>
      <c r="I87" s="291">
        <f t="shared" si="22"/>
        <v>16</v>
      </c>
      <c r="J87" s="242" t="s">
        <v>12</v>
      </c>
      <c r="K87" s="273">
        <f>I87*$L$4</f>
        <v>688</v>
      </c>
      <c r="L87" s="274">
        <f t="shared" si="23"/>
        <v>688</v>
      </c>
      <c r="M87" s="53" t="s">
        <v>12</v>
      </c>
      <c r="N87" s="147">
        <f>$I87*$O$4</f>
        <v>688</v>
      </c>
      <c r="O87" s="148">
        <f t="shared" si="24"/>
        <v>688</v>
      </c>
      <c r="P87" s="242" t="s">
        <v>12</v>
      </c>
      <c r="Q87" s="273">
        <f>$I87*$O$4</f>
        <v>688</v>
      </c>
      <c r="R87" s="274">
        <f t="shared" si="25"/>
        <v>688</v>
      </c>
      <c r="S87" s="104">
        <f t="shared" si="26"/>
        <v>688</v>
      </c>
      <c r="T87" s="34" t="s">
        <v>12</v>
      </c>
      <c r="U87" s="42" t="s">
        <v>12</v>
      </c>
    </row>
    <row r="88" spans="1:21" s="1" customFormat="1" ht="13.5" thickBot="1" x14ac:dyDescent="0.35">
      <c r="B88" s="595" t="s">
        <v>8</v>
      </c>
      <c r="C88" s="310">
        <f>ROUND(C87*Labor!$D$3,0)</f>
        <v>0</v>
      </c>
      <c r="D88" s="310">
        <f>ROUND(D87*Labor!$D$4,0)</f>
        <v>24</v>
      </c>
      <c r="E88" s="310">
        <f>ROUND(E87*Labor!$D$5,0)</f>
        <v>202</v>
      </c>
      <c r="F88" s="310">
        <f>ROUND(F87*Labor!$D$6,0)</f>
        <v>138</v>
      </c>
      <c r="G88" s="310">
        <f>ROUND(G87*Labor!$D$7,0)</f>
        <v>63</v>
      </c>
      <c r="H88" s="310">
        <f>ROUND(H87*Labor!$D$8,0)</f>
        <v>0</v>
      </c>
      <c r="I88" s="167">
        <f t="shared" si="22"/>
        <v>427</v>
      </c>
      <c r="J88" s="284">
        <f>HLOOKUP(K$2,InflationTable,2)/HLOOKUP(Labor!$B$11,InflationTable,2)*$I88</f>
        <v>913.45494809688569</v>
      </c>
      <c r="K88" s="245">
        <f>J88*$L$4</f>
        <v>39278.562768166084</v>
      </c>
      <c r="L88" s="246">
        <f t="shared" si="23"/>
        <v>39278.562768166084</v>
      </c>
      <c r="M88" s="169">
        <f>HLOOKUP(N$2,InflationTable,2)/HLOOKUP(Labor!$B$11,InflationTable,2)*$I88</f>
        <v>949.99314602076129</v>
      </c>
      <c r="N88" s="166">
        <f>M88*$O$4</f>
        <v>40849.705278892732</v>
      </c>
      <c r="O88" s="167">
        <f t="shared" si="24"/>
        <v>40849.705278892732</v>
      </c>
      <c r="P88" s="284">
        <f>HLOOKUP(Q$2,InflationTable,2)/HLOOKUP(Labor!$B$11,InflationTable,2)*$I88</f>
        <v>968.99300894117641</v>
      </c>
      <c r="Q88" s="245">
        <f>P88*$R$4</f>
        <v>41666.699384470587</v>
      </c>
      <c r="R88" s="246">
        <f t="shared" si="25"/>
        <v>41666.699384470587</v>
      </c>
      <c r="S88" s="312">
        <f t="shared" si="26"/>
        <v>40598.322477176465</v>
      </c>
      <c r="T88" s="363" t="s">
        <v>12</v>
      </c>
      <c r="U88" s="313" t="s">
        <v>12</v>
      </c>
    </row>
    <row r="89" spans="1:21" ht="13" x14ac:dyDescent="0.3">
      <c r="B89" s="459" t="s">
        <v>20</v>
      </c>
      <c r="C89" s="86" t="s">
        <v>45</v>
      </c>
      <c r="D89" s="86" t="s">
        <v>46</v>
      </c>
      <c r="E89" s="86" t="s">
        <v>47</v>
      </c>
      <c r="F89" s="86" t="s">
        <v>48</v>
      </c>
      <c r="G89" s="86" t="s">
        <v>49</v>
      </c>
      <c r="H89" s="86" t="s">
        <v>50</v>
      </c>
      <c r="I89" s="87" t="s">
        <v>13</v>
      </c>
      <c r="J89" s="292"/>
      <c r="K89" s="293"/>
      <c r="L89" s="296"/>
      <c r="M89" s="88" t="s">
        <v>56</v>
      </c>
      <c r="N89" s="86" t="s">
        <v>13</v>
      </c>
      <c r="O89" s="87" t="s">
        <v>68</v>
      </c>
      <c r="P89" s="292" t="s">
        <v>56</v>
      </c>
      <c r="Q89" s="293" t="s">
        <v>13</v>
      </c>
      <c r="R89" s="296" t="s">
        <v>68</v>
      </c>
      <c r="S89" s="98"/>
      <c r="T89" s="108"/>
      <c r="U89" s="31"/>
    </row>
    <row r="90" spans="1:21" x14ac:dyDescent="0.25">
      <c r="B90" s="458" t="s">
        <v>4</v>
      </c>
      <c r="C90" s="18">
        <v>0</v>
      </c>
      <c r="D90" s="18">
        <v>0</v>
      </c>
      <c r="E90" s="18">
        <v>0</v>
      </c>
      <c r="F90" s="18">
        <v>12</v>
      </c>
      <c r="G90" s="18">
        <v>4</v>
      </c>
      <c r="H90" s="18">
        <v>0</v>
      </c>
      <c r="I90" s="45">
        <f>SUM(C90:H90)</f>
        <v>16</v>
      </c>
      <c r="J90" s="213" t="s">
        <v>12</v>
      </c>
      <c r="K90" s="231">
        <f>I90*$L$4</f>
        <v>688</v>
      </c>
      <c r="L90" s="239">
        <f>K90</f>
        <v>688</v>
      </c>
      <c r="M90" s="51" t="s">
        <v>12</v>
      </c>
      <c r="N90" s="58">
        <f>$I90*$O$4</f>
        <v>688</v>
      </c>
      <c r="O90" s="57">
        <f>N90</f>
        <v>688</v>
      </c>
      <c r="P90" s="213" t="s">
        <v>12</v>
      </c>
      <c r="Q90" s="231">
        <f>$I90*$O$4</f>
        <v>688</v>
      </c>
      <c r="R90" s="239">
        <f>Q90</f>
        <v>688</v>
      </c>
      <c r="S90" s="96">
        <f>AVERAGE(L90,O90,R90)</f>
        <v>688</v>
      </c>
      <c r="T90" s="34" t="s">
        <v>12</v>
      </c>
      <c r="U90" s="42" t="s">
        <v>12</v>
      </c>
    </row>
    <row r="91" spans="1:21" s="1" customFormat="1" ht="13.5" thickBot="1" x14ac:dyDescent="0.35">
      <c r="B91" s="595" t="s">
        <v>8</v>
      </c>
      <c r="C91" s="310">
        <f>ROUND(C90*Labor!$D$3,0)</f>
        <v>0</v>
      </c>
      <c r="D91" s="310">
        <f>ROUND(D90*Labor!$D$4,0)</f>
        <v>0</v>
      </c>
      <c r="E91" s="310">
        <f>ROUND(E90*Labor!$D$5,0)</f>
        <v>0</v>
      </c>
      <c r="F91" s="310">
        <f>ROUND(F90*Labor!$D$6,0)</f>
        <v>331</v>
      </c>
      <c r="G91" s="310">
        <f>ROUND(G90*Labor!$D$7,0)</f>
        <v>125</v>
      </c>
      <c r="H91" s="310">
        <f>ROUND(H90*Labor!$D$8,0)</f>
        <v>0</v>
      </c>
      <c r="I91" s="167">
        <f>SUM(C91:H91)</f>
        <v>456</v>
      </c>
      <c r="J91" s="284">
        <f>HLOOKUP(K$2,InflationTable,2)/HLOOKUP(Labor!$B$11,InflationTable,2)*$I91</f>
        <v>975.49287197231831</v>
      </c>
      <c r="K91" s="245">
        <f>J91*$L$4</f>
        <v>41946.19349480969</v>
      </c>
      <c r="L91" s="246">
        <f>K91</f>
        <v>41946.19349480969</v>
      </c>
      <c r="M91" s="169">
        <f>HLOOKUP(N$2,InflationTable,2)/HLOOKUP(Labor!$B$11,InflationTable,2)*$I91</f>
        <v>1014.5125868512112</v>
      </c>
      <c r="N91" s="166">
        <f>M91*$O$4</f>
        <v>43624.041234602082</v>
      </c>
      <c r="O91" s="167">
        <f>N91</f>
        <v>43624.041234602082</v>
      </c>
      <c r="P91" s="284">
        <f>HLOOKUP(Q$2,InflationTable,2)/HLOOKUP(Labor!$B$11,InflationTable,2)*$I91</f>
        <v>1034.8028385882351</v>
      </c>
      <c r="Q91" s="245">
        <f>P91*$R$4</f>
        <v>44496.522059294111</v>
      </c>
      <c r="R91" s="246">
        <f>Q91</f>
        <v>44496.522059294111</v>
      </c>
      <c r="S91" s="169">
        <f>AVERAGE(L91,O91,R91)</f>
        <v>43355.585596235294</v>
      </c>
      <c r="T91" s="323" t="s">
        <v>12</v>
      </c>
      <c r="U91" s="174" t="s">
        <v>12</v>
      </c>
    </row>
    <row r="92" spans="1:21" ht="13" x14ac:dyDescent="0.3">
      <c r="B92" s="106" t="s">
        <v>106</v>
      </c>
      <c r="C92" s="5"/>
      <c r="D92" s="349" t="s">
        <v>54</v>
      </c>
      <c r="E92" s="24">
        <v>5</v>
      </c>
      <c r="I92" s="87" t="s">
        <v>55</v>
      </c>
      <c r="J92" s="209"/>
      <c r="K92" s="445"/>
      <c r="L92" s="446"/>
      <c r="M92" s="130" t="s">
        <v>55</v>
      </c>
      <c r="N92" s="1179" t="s">
        <v>57</v>
      </c>
      <c r="O92" s="1180"/>
      <c r="P92" s="209" t="s">
        <v>55</v>
      </c>
      <c r="Q92" s="1176" t="s">
        <v>57</v>
      </c>
      <c r="R92" s="1184"/>
      <c r="S92" s="139"/>
      <c r="T92" s="108"/>
      <c r="U92" s="31"/>
    </row>
    <row r="93" spans="1:21" x14ac:dyDescent="0.25">
      <c r="B93" s="467" t="s">
        <v>51</v>
      </c>
      <c r="C93" s="18">
        <v>0</v>
      </c>
      <c r="D93" s="18">
        <v>0</v>
      </c>
      <c r="E93" s="18">
        <v>0</v>
      </c>
      <c r="F93" s="18">
        <v>12</v>
      </c>
      <c r="G93" s="18">
        <v>0</v>
      </c>
      <c r="H93" s="18">
        <v>0</v>
      </c>
      <c r="I93" s="45">
        <f>SUM(C93:H93)</f>
        <v>12</v>
      </c>
      <c r="J93" s="213" t="s">
        <v>12</v>
      </c>
      <c r="K93" s="233">
        <f>I93*$J$5</f>
        <v>468</v>
      </c>
      <c r="L93" s="232">
        <f>K93/$E$92</f>
        <v>93.6</v>
      </c>
      <c r="M93" s="51" t="s">
        <v>12</v>
      </c>
      <c r="N93" s="10">
        <f>$I$93*$M$5</f>
        <v>468</v>
      </c>
      <c r="O93" s="52">
        <f>N93/$E$92</f>
        <v>93.6</v>
      </c>
      <c r="P93" s="213" t="s">
        <v>12</v>
      </c>
      <c r="Q93" s="233">
        <f>$I$93*$P$5</f>
        <v>468</v>
      </c>
      <c r="R93" s="232">
        <f>Q93/$E$92</f>
        <v>93.6</v>
      </c>
      <c r="S93" s="96">
        <f>AVERAGE(L93,O93,R93)</f>
        <v>93.59999999999998</v>
      </c>
      <c r="T93" s="34" t="s">
        <v>12</v>
      </c>
      <c r="U93" s="42" t="s">
        <v>12</v>
      </c>
    </row>
    <row r="94" spans="1:21" s="1" customFormat="1" ht="13.5" thickBot="1" x14ac:dyDescent="0.35">
      <c r="B94" s="596" t="s">
        <v>105</v>
      </c>
      <c r="C94" s="310">
        <f>ROUND(C93*Labor!$D$3,0)</f>
        <v>0</v>
      </c>
      <c r="D94" s="310">
        <f>ROUND(D93*Labor!$D$4,0)</f>
        <v>0</v>
      </c>
      <c r="E94" s="310">
        <f>ROUND(E93*Labor!$D$5,0)</f>
        <v>0</v>
      </c>
      <c r="F94" s="310">
        <f>ROUND(F93*Labor!$D$6,0)</f>
        <v>331</v>
      </c>
      <c r="G94" s="310">
        <f>ROUND(G93*Labor!$D$7,0)</f>
        <v>0</v>
      </c>
      <c r="H94" s="310">
        <f>ROUND(H93*Labor!$D$8,0)</f>
        <v>0</v>
      </c>
      <c r="I94" s="167">
        <f>SUM(C94:H94)</f>
        <v>331</v>
      </c>
      <c r="J94" s="284">
        <f>HLOOKUP(K$2,InflationTable,2)/HLOOKUP(Labor!$B$11,InflationTable,2)*$I94</f>
        <v>708.08802768166083</v>
      </c>
      <c r="K94" s="245">
        <f>J94*$J$5</f>
        <v>27615.433079584771</v>
      </c>
      <c r="L94" s="246">
        <f>K94/$E$92</f>
        <v>5523.0866159169545</v>
      </c>
      <c r="M94" s="169">
        <f>HLOOKUP(N$2,InflationTable,2)/HLOOKUP(Labor!$B$11,InflationTable,2)*$I94</f>
        <v>736.41154878892735</v>
      </c>
      <c r="N94" s="166">
        <f>M94*$M$5</f>
        <v>28720.050402768167</v>
      </c>
      <c r="O94" s="167">
        <f>N94/$E$92</f>
        <v>5744.0100805536331</v>
      </c>
      <c r="P94" s="284">
        <f>HLOOKUP(Q$2,InflationTable,2)/HLOOKUP(Labor!$B$11,InflationTable,2)*$I94</f>
        <v>751.13977976470585</v>
      </c>
      <c r="Q94" s="245">
        <f>P94*$P$5</f>
        <v>29294.451410823527</v>
      </c>
      <c r="R94" s="246">
        <f>Q94/$E$92</f>
        <v>5858.8902821647052</v>
      </c>
      <c r="S94" s="169">
        <f>AVERAGE(L94,O94,R94)</f>
        <v>5708.6623262117646</v>
      </c>
      <c r="T94" s="323" t="s">
        <v>12</v>
      </c>
      <c r="U94" s="174" t="s">
        <v>12</v>
      </c>
    </row>
    <row r="95" spans="1:21" ht="13" x14ac:dyDescent="0.3">
      <c r="B95" s="139" t="s">
        <v>66</v>
      </c>
      <c r="C95" s="36">
        <f>C83+C85+C90+C87+C93</f>
        <v>0</v>
      </c>
      <c r="D95" s="36">
        <f t="shared" ref="D95:I95" si="27">D83+D85+D90+D87+D93</f>
        <v>1</v>
      </c>
      <c r="E95" s="36">
        <f t="shared" si="27"/>
        <v>16</v>
      </c>
      <c r="F95" s="36">
        <f t="shared" si="27"/>
        <v>47</v>
      </c>
      <c r="G95" s="36">
        <f t="shared" si="27"/>
        <v>6</v>
      </c>
      <c r="H95" s="36">
        <f t="shared" si="27"/>
        <v>0</v>
      </c>
      <c r="I95" s="36">
        <f t="shared" si="27"/>
        <v>70</v>
      </c>
      <c r="J95" s="242" t="s">
        <v>12</v>
      </c>
      <c r="K95" s="263" t="s">
        <v>12</v>
      </c>
      <c r="L95" s="263">
        <f>L83+L85+L90+L87+L93</f>
        <v>2587.6</v>
      </c>
      <c r="M95" s="75" t="s">
        <v>12</v>
      </c>
      <c r="N95" s="36" t="s">
        <v>12</v>
      </c>
      <c r="O95" s="36">
        <f>O83+O85+O90+O87+O93</f>
        <v>2587.6</v>
      </c>
      <c r="P95" s="629" t="s">
        <v>12</v>
      </c>
      <c r="Q95" s="263" t="s">
        <v>12</v>
      </c>
      <c r="R95" s="263">
        <f>R83+R85+R90+R87+R93</f>
        <v>2587.6</v>
      </c>
      <c r="S95" s="122">
        <f>AVERAGE(L95,O95,R95)</f>
        <v>2587.6</v>
      </c>
      <c r="T95" s="108"/>
      <c r="U95" s="31"/>
    </row>
    <row r="96" spans="1:21" ht="13.5" thickBot="1" x14ac:dyDescent="0.35">
      <c r="B96" s="460" t="s">
        <v>67</v>
      </c>
      <c r="C96" s="194">
        <f>C84+C86+C91+C88+C94</f>
        <v>0</v>
      </c>
      <c r="D96" s="194">
        <f t="shared" ref="D96:N96" si="28">D84+D86+D91+D88+D94</f>
        <v>24</v>
      </c>
      <c r="E96" s="194">
        <f t="shared" si="28"/>
        <v>404</v>
      </c>
      <c r="F96" s="194">
        <f t="shared" si="28"/>
        <v>1297</v>
      </c>
      <c r="G96" s="194">
        <f t="shared" si="28"/>
        <v>188</v>
      </c>
      <c r="H96" s="194">
        <f t="shared" si="28"/>
        <v>0</v>
      </c>
      <c r="I96" s="194">
        <f t="shared" si="28"/>
        <v>1913</v>
      </c>
      <c r="J96" s="225">
        <f t="shared" si="28"/>
        <v>4092.3637370242213</v>
      </c>
      <c r="K96" s="225">
        <f t="shared" si="28"/>
        <v>173139.28858131488</v>
      </c>
      <c r="L96" s="225">
        <f t="shared" si="28"/>
        <v>151046.94211764706</v>
      </c>
      <c r="M96" s="194">
        <f t="shared" si="28"/>
        <v>4256.0582865051902</v>
      </c>
      <c r="N96" s="194">
        <f t="shared" si="28"/>
        <v>180064.86012456749</v>
      </c>
      <c r="O96" s="194">
        <f>O84+O86+O91+O88+O94</f>
        <v>157088.81980235295</v>
      </c>
      <c r="P96" s="225">
        <f>P84+P86+P91+P88+P94</f>
        <v>4341.1794522352939</v>
      </c>
      <c r="Q96" s="225">
        <f>Q84+Q86+Q91+Q88+Q94</f>
        <v>183666.15732705881</v>
      </c>
      <c r="R96" s="225">
        <f>R84+R86+R91+R88+R94</f>
        <v>160230.59619839999</v>
      </c>
      <c r="S96" s="206">
        <f>AVERAGE(L96,O96,R96)</f>
        <v>156122.11937279999</v>
      </c>
      <c r="T96" s="634">
        <f>T81</f>
        <v>0</v>
      </c>
      <c r="U96" s="635" t="s">
        <v>12</v>
      </c>
    </row>
    <row r="97" spans="1:21" ht="13.5" thickTop="1" thickBot="1" x14ac:dyDescent="0.3">
      <c r="B97" s="514"/>
      <c r="C97" s="513"/>
      <c r="D97" s="513"/>
      <c r="E97" s="513"/>
      <c r="F97" s="513"/>
      <c r="G97" s="513"/>
      <c r="H97" s="513"/>
      <c r="I97" s="513"/>
      <c r="J97" s="513"/>
      <c r="K97" s="513"/>
      <c r="L97" s="513"/>
      <c r="M97" s="513"/>
      <c r="N97" s="513"/>
      <c r="O97" s="513"/>
      <c r="P97" s="513"/>
      <c r="Q97" s="513"/>
      <c r="R97" s="513"/>
      <c r="S97" s="513"/>
      <c r="T97" s="513"/>
      <c r="U97" s="513"/>
    </row>
    <row r="98" spans="1:21" ht="16" thickTop="1" x14ac:dyDescent="0.35">
      <c r="B98" s="461" t="s">
        <v>30</v>
      </c>
      <c r="F98" s="1" t="s">
        <v>6</v>
      </c>
      <c r="G98" s="1160"/>
      <c r="H98" s="1161"/>
      <c r="I98" s="1162"/>
      <c r="J98" s="2" t="s">
        <v>30</v>
      </c>
      <c r="L98" s="31"/>
      <c r="M98" s="2" t="s">
        <v>30</v>
      </c>
      <c r="O98" s="31"/>
      <c r="P98" s="2" t="s">
        <v>30</v>
      </c>
      <c r="Q98" s="61"/>
      <c r="R98" s="62"/>
      <c r="S98" s="97"/>
      <c r="T98" s="108"/>
      <c r="U98" s="31"/>
    </row>
    <row r="99" spans="1:21" ht="13" x14ac:dyDescent="0.3">
      <c r="B99" s="144"/>
      <c r="I99" s="32" t="s">
        <v>61</v>
      </c>
      <c r="J99" s="227" t="s">
        <v>61</v>
      </c>
      <c r="K99" s="1167" t="s">
        <v>57</v>
      </c>
      <c r="L99" s="1168"/>
      <c r="M99" s="50" t="s">
        <v>61</v>
      </c>
      <c r="N99" s="1177" t="s">
        <v>57</v>
      </c>
      <c r="O99" s="1181"/>
      <c r="P99" s="266" t="s">
        <v>61</v>
      </c>
      <c r="Q99" s="1176" t="s">
        <v>57</v>
      </c>
      <c r="R99" s="1184"/>
      <c r="S99" s="106"/>
      <c r="T99" s="108"/>
      <c r="U99" s="31"/>
    </row>
    <row r="100" spans="1:21" ht="13" x14ac:dyDescent="0.3">
      <c r="B100" s="462" t="s">
        <v>21</v>
      </c>
      <c r="C100" s="20" t="s">
        <v>45</v>
      </c>
      <c r="D100" s="20" t="s">
        <v>46</v>
      </c>
      <c r="E100" s="20" t="s">
        <v>47</v>
      </c>
      <c r="F100" s="20" t="s">
        <v>48</v>
      </c>
      <c r="G100" s="20" t="s">
        <v>49</v>
      </c>
      <c r="H100" s="20" t="s">
        <v>50</v>
      </c>
      <c r="I100" s="32" t="s">
        <v>13</v>
      </c>
      <c r="J100" s="210" t="s">
        <v>56</v>
      </c>
      <c r="K100" s="211" t="s">
        <v>13</v>
      </c>
      <c r="L100" s="212" t="s">
        <v>68</v>
      </c>
      <c r="M100" s="66" t="s">
        <v>56</v>
      </c>
      <c r="N100" s="20" t="s">
        <v>13</v>
      </c>
      <c r="O100" s="32" t="s">
        <v>68</v>
      </c>
      <c r="P100" s="210" t="s">
        <v>56</v>
      </c>
      <c r="Q100" s="211" t="s">
        <v>13</v>
      </c>
      <c r="R100" s="212" t="s">
        <v>68</v>
      </c>
      <c r="S100" s="98"/>
      <c r="T100" s="108"/>
      <c r="U100" s="31"/>
    </row>
    <row r="101" spans="1:21" x14ac:dyDescent="0.25">
      <c r="B101" s="464" t="s">
        <v>4</v>
      </c>
      <c r="C101" s="18">
        <v>0</v>
      </c>
      <c r="D101" s="18">
        <v>0</v>
      </c>
      <c r="E101" s="18">
        <v>0</v>
      </c>
      <c r="F101" s="18">
        <v>24</v>
      </c>
      <c r="G101" s="18">
        <v>12</v>
      </c>
      <c r="H101" s="18">
        <v>0</v>
      </c>
      <c r="I101" s="45">
        <f>SUM(C101:H101)</f>
        <v>36</v>
      </c>
      <c r="J101" s="213" t="s">
        <v>12</v>
      </c>
      <c r="K101" s="231">
        <f>I101*$L$4</f>
        <v>1548</v>
      </c>
      <c r="L101" s="239">
        <f>K101</f>
        <v>1548</v>
      </c>
      <c r="M101" s="51" t="s">
        <v>12</v>
      </c>
      <c r="N101" s="58">
        <f>$I101*O$4</f>
        <v>1548</v>
      </c>
      <c r="O101" s="52">
        <f>N101</f>
        <v>1548</v>
      </c>
      <c r="P101" s="213" t="s">
        <v>12</v>
      </c>
      <c r="Q101" s="231">
        <f>$I101*R$4</f>
        <v>1548</v>
      </c>
      <c r="R101" s="239">
        <f>Q101</f>
        <v>1548</v>
      </c>
      <c r="S101" s="96">
        <f t="shared" ref="S101:S106" si="29">AVERAGE(L101,O101,R101)</f>
        <v>1548</v>
      </c>
      <c r="T101" s="34" t="s">
        <v>12</v>
      </c>
      <c r="U101" s="42" t="s">
        <v>12</v>
      </c>
    </row>
    <row r="102" spans="1:21" ht="13.5" thickBot="1" x14ac:dyDescent="0.35">
      <c r="B102" s="465" t="s">
        <v>8</v>
      </c>
      <c r="C102" s="29">
        <f>ROUND(C101*Labor!$D$3,0)</f>
        <v>0</v>
      </c>
      <c r="D102" s="29">
        <f>ROUND(D101*Labor!$D$4,0)</f>
        <v>0</v>
      </c>
      <c r="E102" s="29">
        <f>ROUND(E101*Labor!$D$5,0)</f>
        <v>0</v>
      </c>
      <c r="F102" s="29">
        <f>ROUND(F101*Labor!$D$6,0)</f>
        <v>662</v>
      </c>
      <c r="G102" s="29">
        <f>ROUND(G101*Labor!$D$7,0)</f>
        <v>376</v>
      </c>
      <c r="H102" s="29">
        <f>ROUND(H101*Labor!$D$8,0)</f>
        <v>0</v>
      </c>
      <c r="I102" s="33">
        <f>SUM(C102:H102)</f>
        <v>1038</v>
      </c>
      <c r="J102" s="284">
        <f>HLOOKUP(K$2,InflationTable,2)/HLOOKUP(Labor!$B$11,InflationTable,2)*$I102</f>
        <v>2220.5298269896193</v>
      </c>
      <c r="K102" s="219">
        <f>J102*$L$4</f>
        <v>95482.782560553635</v>
      </c>
      <c r="L102" s="256">
        <f>K102</f>
        <v>95482.782560553635</v>
      </c>
      <c r="M102" s="169">
        <f>HLOOKUP(N$2,InflationTable,2)/HLOOKUP(Labor!$B$11,InflationTable,2)*$I102</f>
        <v>2309.3510200692044</v>
      </c>
      <c r="N102" s="55">
        <f>M102*O$4</f>
        <v>99302.093862975787</v>
      </c>
      <c r="O102" s="33">
        <f>N102</f>
        <v>99302.093862975787</v>
      </c>
      <c r="P102" s="284">
        <f>HLOOKUP(Q$2,InflationTable,2)/HLOOKUP(Labor!$B$11,InflationTable,2)*$I102</f>
        <v>2355.5380404705879</v>
      </c>
      <c r="Q102" s="219">
        <f>P102*R$4</f>
        <v>101288.13574023529</v>
      </c>
      <c r="R102" s="256">
        <f>Q102</f>
        <v>101288.13574023529</v>
      </c>
      <c r="S102" s="103">
        <f t="shared" si="29"/>
        <v>98691.004054588222</v>
      </c>
      <c r="T102" s="110" t="s">
        <v>12</v>
      </c>
      <c r="U102" s="121" t="s">
        <v>12</v>
      </c>
    </row>
    <row r="103" spans="1:21" ht="13" x14ac:dyDescent="0.3">
      <c r="B103" s="459" t="s">
        <v>104</v>
      </c>
      <c r="C103" s="290">
        <v>0</v>
      </c>
      <c r="D103" s="290">
        <v>0</v>
      </c>
      <c r="E103" s="290">
        <v>0</v>
      </c>
      <c r="F103" s="290">
        <v>0</v>
      </c>
      <c r="G103" s="290">
        <v>24</v>
      </c>
      <c r="H103" s="290">
        <v>12</v>
      </c>
      <c r="I103" s="291">
        <f>SUM(C103:H103)</f>
        <v>36</v>
      </c>
      <c r="J103" s="242" t="s">
        <v>12</v>
      </c>
      <c r="K103" s="273">
        <f>I103*$L$4</f>
        <v>1548</v>
      </c>
      <c r="L103" s="274">
        <f>K103</f>
        <v>1548</v>
      </c>
      <c r="M103" s="53" t="s">
        <v>12</v>
      </c>
      <c r="N103" s="147">
        <f>$I103*O$4</f>
        <v>1548</v>
      </c>
      <c r="O103" s="148">
        <f>N103</f>
        <v>1548</v>
      </c>
      <c r="P103" s="242" t="s">
        <v>12</v>
      </c>
      <c r="Q103" s="273">
        <f>$I103*R$4</f>
        <v>1548</v>
      </c>
      <c r="R103" s="274">
        <f>Q103</f>
        <v>1548</v>
      </c>
      <c r="S103" s="96">
        <f t="shared" si="29"/>
        <v>1548</v>
      </c>
      <c r="T103" s="34" t="s">
        <v>12</v>
      </c>
      <c r="U103" s="42" t="s">
        <v>12</v>
      </c>
    </row>
    <row r="104" spans="1:21" ht="13.5" thickBot="1" x14ac:dyDescent="0.35">
      <c r="B104" s="466" t="s">
        <v>8</v>
      </c>
      <c r="C104" s="29">
        <f>ROUND(C103*Labor!$D$3,0)</f>
        <v>0</v>
      </c>
      <c r="D104" s="29">
        <f>ROUND(D103*Labor!$D$4,0)</f>
        <v>0</v>
      </c>
      <c r="E104" s="29">
        <f>ROUND(E103*Labor!$D$5,0)</f>
        <v>0</v>
      </c>
      <c r="F104" s="29">
        <f>ROUND(F103*Labor!$D$6,0)</f>
        <v>0</v>
      </c>
      <c r="G104" s="29">
        <f>ROUND(G103*Labor!$D$7,0)</f>
        <v>751</v>
      </c>
      <c r="H104" s="29">
        <f>ROUND(H103*Labor!$D$8,0)</f>
        <v>454</v>
      </c>
      <c r="I104" s="33">
        <f>SUM(C104:H104)</f>
        <v>1205</v>
      </c>
      <c r="J104" s="284">
        <f>HLOOKUP(K$2,InflationTable,2)/HLOOKUP(Labor!$B$11,InflationTable,2)*$I104</f>
        <v>2577.7826989619375</v>
      </c>
      <c r="K104" s="219">
        <f>J104*$L$4</f>
        <v>110844.65605536332</v>
      </c>
      <c r="L104" s="248">
        <f>K104</f>
        <v>110844.65605536332</v>
      </c>
      <c r="M104" s="169">
        <f>HLOOKUP(N$2,InflationTable,2)/HLOOKUP(Labor!$B$11,InflationTable,2)*$I104</f>
        <v>2680.8940069204154</v>
      </c>
      <c r="N104" s="55">
        <f>M104*O$4</f>
        <v>115278.44229757786</v>
      </c>
      <c r="O104" s="33">
        <f>N104</f>
        <v>115278.44229757786</v>
      </c>
      <c r="P104" s="284">
        <f>HLOOKUP(Q$2,InflationTable,2)/HLOOKUP(Labor!$B$11,InflationTable,2)*$I104</f>
        <v>2734.511887058823</v>
      </c>
      <c r="Q104" s="219">
        <f>P104*R$4</f>
        <v>117584.01114352939</v>
      </c>
      <c r="R104" s="248">
        <f>Q104</f>
        <v>117584.01114352939</v>
      </c>
      <c r="S104" s="103">
        <f t="shared" si="29"/>
        <v>114569.03649882351</v>
      </c>
      <c r="T104" s="110" t="s">
        <v>12</v>
      </c>
      <c r="U104" s="121" t="s">
        <v>12</v>
      </c>
    </row>
    <row r="105" spans="1:21" ht="13" x14ac:dyDescent="0.3">
      <c r="A105" t="s">
        <v>208</v>
      </c>
      <c r="B105" s="139" t="s">
        <v>66</v>
      </c>
      <c r="C105" s="30">
        <f t="shared" ref="C105:I106" si="30">C101+C103</f>
        <v>0</v>
      </c>
      <c r="D105" s="30">
        <f t="shared" si="30"/>
        <v>0</v>
      </c>
      <c r="E105" s="30">
        <f t="shared" si="30"/>
        <v>0</v>
      </c>
      <c r="F105" s="30">
        <f t="shared" si="30"/>
        <v>24</v>
      </c>
      <c r="G105" s="30">
        <f t="shared" si="30"/>
        <v>36</v>
      </c>
      <c r="H105" s="30">
        <f t="shared" si="30"/>
        <v>12</v>
      </c>
      <c r="I105" s="39">
        <f t="shared" si="30"/>
        <v>72</v>
      </c>
      <c r="J105" s="249" t="s">
        <v>12</v>
      </c>
      <c r="K105" s="267">
        <f>K101+K103</f>
        <v>3096</v>
      </c>
      <c r="L105" s="268">
        <f>L101+L103</f>
        <v>3096</v>
      </c>
      <c r="M105" s="70" t="s">
        <v>12</v>
      </c>
      <c r="N105" s="30">
        <f>N101+N103</f>
        <v>3096</v>
      </c>
      <c r="O105" s="82">
        <f>O101+O103</f>
        <v>3096</v>
      </c>
      <c r="P105" s="249" t="s">
        <v>12</v>
      </c>
      <c r="Q105" s="267">
        <f>Q101+Q103</f>
        <v>3096</v>
      </c>
      <c r="R105" s="269">
        <f>R101+R103</f>
        <v>3096</v>
      </c>
      <c r="S105" s="96">
        <f t="shared" si="29"/>
        <v>3096</v>
      </c>
      <c r="T105" s="34" t="s">
        <v>12</v>
      </c>
      <c r="U105" s="42" t="s">
        <v>12</v>
      </c>
    </row>
    <row r="106" spans="1:21" ht="13.5" thickBot="1" x14ac:dyDescent="0.35">
      <c r="B106" s="460" t="s">
        <v>67</v>
      </c>
      <c r="C106" s="194">
        <f t="shared" si="30"/>
        <v>0</v>
      </c>
      <c r="D106" s="194">
        <f t="shared" si="30"/>
        <v>0</v>
      </c>
      <c r="E106" s="194">
        <f t="shared" si="30"/>
        <v>0</v>
      </c>
      <c r="F106" s="194">
        <f t="shared" si="30"/>
        <v>662</v>
      </c>
      <c r="G106" s="194">
        <f t="shared" si="30"/>
        <v>1127</v>
      </c>
      <c r="H106" s="194">
        <f t="shared" si="30"/>
        <v>454</v>
      </c>
      <c r="I106" s="197">
        <f t="shared" si="30"/>
        <v>2243</v>
      </c>
      <c r="J106" s="224">
        <f>J102+J104</f>
        <v>4798.3125259515564</v>
      </c>
      <c r="K106" s="225">
        <f>K102+K104</f>
        <v>206327.43861591694</v>
      </c>
      <c r="L106" s="226">
        <f>L102+L104</f>
        <v>206327.43861591694</v>
      </c>
      <c r="M106" s="196">
        <f>M102+M104</f>
        <v>4990.2450269896199</v>
      </c>
      <c r="N106" s="194">
        <f>N102+N104</f>
        <v>214580.53616055363</v>
      </c>
      <c r="O106" s="197">
        <f>O102+O104</f>
        <v>214580.53616055363</v>
      </c>
      <c r="P106" s="261">
        <f>P102+P104</f>
        <v>5090.0499275294114</v>
      </c>
      <c r="Q106" s="225">
        <f>Q102+Q104</f>
        <v>218872.14688376468</v>
      </c>
      <c r="R106" s="226">
        <f>R102+R104</f>
        <v>218872.14688376468</v>
      </c>
      <c r="S106" s="206">
        <f t="shared" si="29"/>
        <v>213260.04055341173</v>
      </c>
      <c r="T106" s="208" t="s">
        <v>12</v>
      </c>
      <c r="U106" s="203" t="s">
        <v>12</v>
      </c>
    </row>
    <row r="107" spans="1:21" ht="13.5" thickTop="1" thickBot="1" x14ac:dyDescent="0.3">
      <c r="B107" s="144"/>
      <c r="D107" s="513"/>
      <c r="E107" s="513"/>
      <c r="F107" s="513"/>
      <c r="G107" s="513"/>
      <c r="H107" s="513"/>
      <c r="I107" s="513"/>
      <c r="J107" s="513"/>
      <c r="K107" s="513"/>
      <c r="L107" s="513"/>
      <c r="M107" s="513"/>
      <c r="N107" s="513"/>
      <c r="O107" s="513"/>
      <c r="P107" s="513"/>
      <c r="Q107" s="513"/>
      <c r="R107" s="513"/>
      <c r="S107" s="513"/>
      <c r="T107" s="513"/>
      <c r="U107" s="515"/>
    </row>
    <row r="108" spans="1:21" ht="19" thickTop="1" thickBot="1" x14ac:dyDescent="0.45">
      <c r="B108" s="456" t="s">
        <v>121</v>
      </c>
      <c r="C108" s="540" t="str">
        <f>C2</f>
        <v>PAMSCarbE</v>
      </c>
      <c r="E108" s="3"/>
      <c r="F108" s="9"/>
      <c r="G108" s="3"/>
      <c r="H108" s="3"/>
      <c r="I108" s="35"/>
      <c r="J108" s="67" t="str">
        <f>J2</f>
        <v>Year 1</v>
      </c>
      <c r="K108" s="67">
        <f>K2</f>
        <v>2023</v>
      </c>
      <c r="L108" s="35"/>
      <c r="M108" s="67" t="str">
        <f>M2</f>
        <v>Year 2</v>
      </c>
      <c r="N108" s="67">
        <f>N2</f>
        <v>2024</v>
      </c>
      <c r="O108" s="35"/>
      <c r="P108" s="67" t="str">
        <f>P2</f>
        <v>Year 3</v>
      </c>
      <c r="Q108" s="67">
        <f>Q2</f>
        <v>2025</v>
      </c>
      <c r="R108" s="35"/>
      <c r="S108" s="124"/>
      <c r="T108" s="105"/>
      <c r="U108" s="468"/>
    </row>
    <row r="109" spans="1:21" ht="13.5" thickBot="1" x14ac:dyDescent="0.35">
      <c r="B109" s="144"/>
      <c r="C109" s="152" t="s">
        <v>45</v>
      </c>
      <c r="D109" s="149" t="s">
        <v>46</v>
      </c>
      <c r="E109" s="149" t="s">
        <v>47</v>
      </c>
      <c r="F109" s="160" t="s">
        <v>48</v>
      </c>
      <c r="G109" s="151" t="s">
        <v>49</v>
      </c>
      <c r="H109" s="149" t="s">
        <v>50</v>
      </c>
      <c r="I109" s="150" t="s">
        <v>13</v>
      </c>
      <c r="J109" s="270" t="s">
        <v>56</v>
      </c>
      <c r="K109" s="271" t="s">
        <v>13</v>
      </c>
      <c r="L109" s="272" t="s">
        <v>68</v>
      </c>
      <c r="M109" s="151" t="s">
        <v>56</v>
      </c>
      <c r="N109" s="149" t="s">
        <v>13</v>
      </c>
      <c r="O109" s="150" t="s">
        <v>68</v>
      </c>
      <c r="P109" s="270" t="s">
        <v>56</v>
      </c>
      <c r="Q109" s="271" t="s">
        <v>13</v>
      </c>
      <c r="R109" s="272" t="s">
        <v>68</v>
      </c>
      <c r="S109" s="152"/>
      <c r="T109" s="153"/>
      <c r="U109" s="469"/>
    </row>
    <row r="110" spans="1:21" ht="13" x14ac:dyDescent="0.3">
      <c r="B110" s="470" t="s">
        <v>97</v>
      </c>
      <c r="C110" s="155">
        <f t="shared" ref="C110:S110" si="31">C15</f>
        <v>0</v>
      </c>
      <c r="D110" s="147">
        <f t="shared" si="31"/>
        <v>0</v>
      </c>
      <c r="E110" s="147">
        <f t="shared" si="31"/>
        <v>0</v>
      </c>
      <c r="F110" s="147">
        <f t="shared" si="31"/>
        <v>0</v>
      </c>
      <c r="G110" s="147">
        <f t="shared" si="31"/>
        <v>0</v>
      </c>
      <c r="H110" s="147">
        <f t="shared" si="31"/>
        <v>0</v>
      </c>
      <c r="I110" s="148">
        <f t="shared" si="31"/>
        <v>0</v>
      </c>
      <c r="J110" s="234" t="str">
        <f t="shared" si="31"/>
        <v>NA</v>
      </c>
      <c r="K110" s="273">
        <f t="shared" si="31"/>
        <v>0</v>
      </c>
      <c r="L110" s="274">
        <f t="shared" si="31"/>
        <v>0</v>
      </c>
      <c r="M110" s="38" t="str">
        <f t="shared" si="31"/>
        <v>NA</v>
      </c>
      <c r="N110" s="147">
        <f t="shared" si="31"/>
        <v>0</v>
      </c>
      <c r="O110" s="148">
        <f t="shared" si="31"/>
        <v>0</v>
      </c>
      <c r="P110" s="234" t="str">
        <f t="shared" si="31"/>
        <v>NA</v>
      </c>
      <c r="Q110" s="273">
        <f t="shared" si="31"/>
        <v>0</v>
      </c>
      <c r="R110" s="274">
        <f t="shared" si="31"/>
        <v>0</v>
      </c>
      <c r="S110" s="148">
        <f t="shared" si="31"/>
        <v>0</v>
      </c>
      <c r="T110" s="31"/>
      <c r="U110" s="111"/>
    </row>
    <row r="111" spans="1:21" ht="13.5" thickBot="1" x14ac:dyDescent="0.35">
      <c r="B111" s="471" t="s">
        <v>76</v>
      </c>
      <c r="C111" s="161">
        <f t="shared" ref="C111:S111" si="32">C16</f>
        <v>0</v>
      </c>
      <c r="D111" s="162">
        <f t="shared" si="32"/>
        <v>0</v>
      </c>
      <c r="E111" s="162">
        <f t="shared" si="32"/>
        <v>0</v>
      </c>
      <c r="F111" s="162">
        <f t="shared" si="32"/>
        <v>0</v>
      </c>
      <c r="G111" s="162">
        <f t="shared" si="32"/>
        <v>0</v>
      </c>
      <c r="H111" s="162">
        <f t="shared" si="32"/>
        <v>0</v>
      </c>
      <c r="I111" s="163">
        <f t="shared" si="32"/>
        <v>0</v>
      </c>
      <c r="J111" s="275">
        <f t="shared" si="32"/>
        <v>0</v>
      </c>
      <c r="K111" s="276">
        <f t="shared" si="32"/>
        <v>0</v>
      </c>
      <c r="L111" s="277">
        <f t="shared" si="32"/>
        <v>0</v>
      </c>
      <c r="M111" s="161">
        <f t="shared" si="32"/>
        <v>0</v>
      </c>
      <c r="N111" s="162">
        <f t="shared" si="32"/>
        <v>0</v>
      </c>
      <c r="O111" s="163">
        <f t="shared" si="32"/>
        <v>0</v>
      </c>
      <c r="P111" s="275">
        <f t="shared" si="32"/>
        <v>0</v>
      </c>
      <c r="Q111" s="276">
        <f t="shared" si="32"/>
        <v>0</v>
      </c>
      <c r="R111" s="277">
        <f t="shared" si="32"/>
        <v>0</v>
      </c>
      <c r="S111" s="163">
        <f t="shared" si="32"/>
        <v>0</v>
      </c>
      <c r="T111" s="164" t="str">
        <f>T16</f>
        <v>NA</v>
      </c>
      <c r="U111" s="322" t="s">
        <v>12</v>
      </c>
    </row>
    <row r="112" spans="1:21" ht="13" x14ac:dyDescent="0.3">
      <c r="B112" s="472" t="s">
        <v>98</v>
      </c>
      <c r="C112" s="155">
        <f t="shared" ref="C112:S112" si="33">C28</f>
        <v>0</v>
      </c>
      <c r="D112" s="147">
        <f t="shared" si="33"/>
        <v>6</v>
      </c>
      <c r="E112" s="147">
        <f t="shared" si="33"/>
        <v>0</v>
      </c>
      <c r="F112" s="147">
        <f t="shared" si="33"/>
        <v>8</v>
      </c>
      <c r="G112" s="147">
        <f t="shared" si="33"/>
        <v>0</v>
      </c>
      <c r="H112" s="147">
        <f t="shared" si="33"/>
        <v>0</v>
      </c>
      <c r="I112" s="148">
        <f t="shared" si="33"/>
        <v>14</v>
      </c>
      <c r="J112" s="234" t="str">
        <f t="shared" si="33"/>
        <v>NA</v>
      </c>
      <c r="K112" s="273">
        <f t="shared" si="33"/>
        <v>602</v>
      </c>
      <c r="L112" s="274">
        <f t="shared" si="33"/>
        <v>120.4</v>
      </c>
      <c r="M112" s="38" t="str">
        <f t="shared" si="33"/>
        <v>NA</v>
      </c>
      <c r="N112" s="147">
        <f t="shared" si="33"/>
        <v>602</v>
      </c>
      <c r="O112" s="148">
        <f t="shared" si="33"/>
        <v>120.4</v>
      </c>
      <c r="P112" s="234" t="str">
        <f t="shared" si="33"/>
        <v>NA</v>
      </c>
      <c r="Q112" s="273">
        <f t="shared" si="33"/>
        <v>602</v>
      </c>
      <c r="R112" s="274">
        <f t="shared" si="33"/>
        <v>120.4</v>
      </c>
      <c r="S112" s="148">
        <f t="shared" si="33"/>
        <v>120.40000000000002</v>
      </c>
      <c r="T112" s="31"/>
      <c r="U112" s="111"/>
    </row>
    <row r="113" spans="2:21" ht="13.5" thickBot="1" x14ac:dyDescent="0.35">
      <c r="B113" s="471" t="s">
        <v>76</v>
      </c>
      <c r="C113" s="165">
        <f t="shared" ref="C113:S113" si="34">C29</f>
        <v>0</v>
      </c>
      <c r="D113" s="166">
        <f t="shared" si="34"/>
        <v>145</v>
      </c>
      <c r="E113" s="166">
        <f t="shared" si="34"/>
        <v>0</v>
      </c>
      <c r="F113" s="166">
        <f t="shared" si="34"/>
        <v>221</v>
      </c>
      <c r="G113" s="166">
        <f t="shared" si="34"/>
        <v>0</v>
      </c>
      <c r="H113" s="166">
        <f t="shared" si="34"/>
        <v>0</v>
      </c>
      <c r="I113" s="167">
        <f t="shared" si="34"/>
        <v>366</v>
      </c>
      <c r="J113" s="278">
        <f t="shared" si="34"/>
        <v>782.961384083045</v>
      </c>
      <c r="K113" s="245">
        <f t="shared" si="34"/>
        <v>0</v>
      </c>
      <c r="L113" s="246">
        <f t="shared" si="34"/>
        <v>173080.40572086937</v>
      </c>
      <c r="M113" s="165">
        <f t="shared" si="34"/>
        <v>814.27983944636685</v>
      </c>
      <c r="N113" s="166">
        <f t="shared" si="34"/>
        <v>0</v>
      </c>
      <c r="O113" s="167">
        <f t="shared" si="34"/>
        <v>180003.62194970413</v>
      </c>
      <c r="P113" s="278">
        <f t="shared" si="34"/>
        <v>830.56543623529399</v>
      </c>
      <c r="Q113" s="245">
        <f t="shared" si="34"/>
        <v>0</v>
      </c>
      <c r="R113" s="246">
        <f t="shared" si="34"/>
        <v>183603.6943886982</v>
      </c>
      <c r="S113" s="167">
        <f t="shared" si="34"/>
        <v>6959.7124246588228</v>
      </c>
      <c r="T113" s="168" t="str">
        <f>T29</f>
        <v>NA</v>
      </c>
      <c r="U113" s="636">
        <f>U29</f>
        <v>171936.19492843177</v>
      </c>
    </row>
    <row r="114" spans="2:21" ht="13" x14ac:dyDescent="0.3">
      <c r="B114" s="472" t="s">
        <v>96</v>
      </c>
      <c r="C114" s="156">
        <f t="shared" ref="C114:S114" si="35">C44</f>
        <v>0</v>
      </c>
      <c r="D114" s="21">
        <f t="shared" si="35"/>
        <v>0</v>
      </c>
      <c r="E114" s="21">
        <f t="shared" si="35"/>
        <v>12</v>
      </c>
      <c r="F114" s="21">
        <f t="shared" si="35"/>
        <v>12</v>
      </c>
      <c r="G114" s="21">
        <f t="shared" si="35"/>
        <v>0</v>
      </c>
      <c r="H114" s="21">
        <f t="shared" si="35"/>
        <v>0</v>
      </c>
      <c r="I114" s="157">
        <f t="shared" si="35"/>
        <v>24</v>
      </c>
      <c r="J114" s="279" t="str">
        <f t="shared" si="35"/>
        <v>NA</v>
      </c>
      <c r="K114" s="280">
        <f t="shared" si="35"/>
        <v>1032</v>
      </c>
      <c r="L114" s="281">
        <f t="shared" si="35"/>
        <v>1032</v>
      </c>
      <c r="M114" s="158" t="str">
        <f t="shared" si="35"/>
        <v>NA</v>
      </c>
      <c r="N114" s="21">
        <f t="shared" si="35"/>
        <v>1032</v>
      </c>
      <c r="O114" s="157">
        <f t="shared" si="35"/>
        <v>1032</v>
      </c>
      <c r="P114" s="279" t="str">
        <f t="shared" si="35"/>
        <v>NA</v>
      </c>
      <c r="Q114" s="280">
        <f t="shared" si="35"/>
        <v>1032</v>
      </c>
      <c r="R114" s="281">
        <f t="shared" si="35"/>
        <v>1032</v>
      </c>
      <c r="S114" s="157">
        <f t="shared" si="35"/>
        <v>1032</v>
      </c>
      <c r="T114" s="159" t="str">
        <f>T21</f>
        <v>NA</v>
      </c>
      <c r="U114" s="119" t="s">
        <v>12</v>
      </c>
    </row>
    <row r="115" spans="2:21" ht="13.5" thickBot="1" x14ac:dyDescent="0.35">
      <c r="B115" s="471" t="s">
        <v>76</v>
      </c>
      <c r="C115" s="169">
        <f t="shared" ref="C115:S115" si="36">C45</f>
        <v>0</v>
      </c>
      <c r="D115" s="166">
        <f t="shared" si="36"/>
        <v>0</v>
      </c>
      <c r="E115" s="166">
        <f t="shared" si="36"/>
        <v>303</v>
      </c>
      <c r="F115" s="166">
        <f t="shared" si="36"/>
        <v>331</v>
      </c>
      <c r="G115" s="166">
        <f t="shared" si="36"/>
        <v>0</v>
      </c>
      <c r="H115" s="166">
        <f t="shared" si="36"/>
        <v>0</v>
      </c>
      <c r="I115" s="167">
        <f t="shared" si="36"/>
        <v>634</v>
      </c>
      <c r="J115" s="278">
        <f t="shared" si="36"/>
        <v>1356.2773702422144</v>
      </c>
      <c r="K115" s="245">
        <f t="shared" si="36"/>
        <v>58319.926920415215</v>
      </c>
      <c r="L115" s="246">
        <f t="shared" si="36"/>
        <v>58319.926920415215</v>
      </c>
      <c r="M115" s="165">
        <f t="shared" si="36"/>
        <v>1410.5284650519031</v>
      </c>
      <c r="N115" s="166">
        <f t="shared" si="36"/>
        <v>60652.723997231835</v>
      </c>
      <c r="O115" s="167">
        <f t="shared" si="36"/>
        <v>60652.723997231835</v>
      </c>
      <c r="P115" s="278">
        <f t="shared" si="36"/>
        <v>1438.739034352941</v>
      </c>
      <c r="Q115" s="245">
        <f t="shared" si="36"/>
        <v>61865.778477176464</v>
      </c>
      <c r="R115" s="246">
        <f t="shared" si="36"/>
        <v>61865.778477176464</v>
      </c>
      <c r="S115" s="167">
        <f t="shared" si="36"/>
        <v>62343.476464941174</v>
      </c>
      <c r="T115" s="167">
        <f>T45</f>
        <v>864006.91200000001</v>
      </c>
      <c r="U115" s="636">
        <f>U45</f>
        <v>10746.012183026985</v>
      </c>
    </row>
    <row r="116" spans="2:21" ht="13" x14ac:dyDescent="0.3">
      <c r="B116" s="472" t="s">
        <v>99</v>
      </c>
      <c r="C116" s="156">
        <f t="shared" ref="C116:S116" si="37">C58</f>
        <v>0</v>
      </c>
      <c r="D116" s="21">
        <f t="shared" si="37"/>
        <v>0</v>
      </c>
      <c r="E116" s="21">
        <f t="shared" si="37"/>
        <v>12</v>
      </c>
      <c r="F116" s="21">
        <f t="shared" si="37"/>
        <v>4</v>
      </c>
      <c r="G116" s="21">
        <f t="shared" si="37"/>
        <v>0</v>
      </c>
      <c r="H116" s="21">
        <f t="shared" si="37"/>
        <v>0</v>
      </c>
      <c r="I116" s="157">
        <f t="shared" si="37"/>
        <v>16</v>
      </c>
      <c r="J116" s="279" t="str">
        <f t="shared" si="37"/>
        <v>NA</v>
      </c>
      <c r="K116" s="280">
        <f t="shared" si="37"/>
        <v>688</v>
      </c>
      <c r="L116" s="281">
        <f t="shared" si="37"/>
        <v>688</v>
      </c>
      <c r="M116" s="158" t="str">
        <f t="shared" si="37"/>
        <v>NA</v>
      </c>
      <c r="N116" s="21">
        <f t="shared" si="37"/>
        <v>688</v>
      </c>
      <c r="O116" s="157">
        <f t="shared" si="37"/>
        <v>688</v>
      </c>
      <c r="P116" s="279" t="str">
        <f t="shared" si="37"/>
        <v>NA</v>
      </c>
      <c r="Q116" s="280">
        <f t="shared" si="37"/>
        <v>688</v>
      </c>
      <c r="R116" s="281">
        <f t="shared" si="37"/>
        <v>688</v>
      </c>
      <c r="S116" s="157">
        <f t="shared" si="37"/>
        <v>688</v>
      </c>
      <c r="T116" s="31"/>
      <c r="U116" s="111"/>
    </row>
    <row r="117" spans="2:21" ht="13.5" thickBot="1" x14ac:dyDescent="0.35">
      <c r="B117" s="471" t="s">
        <v>76</v>
      </c>
      <c r="C117" s="165">
        <f t="shared" ref="C117:S117" si="38">C59</f>
        <v>0</v>
      </c>
      <c r="D117" s="166">
        <f t="shared" si="38"/>
        <v>0</v>
      </c>
      <c r="E117" s="166">
        <f t="shared" si="38"/>
        <v>303</v>
      </c>
      <c r="F117" s="166">
        <f t="shared" si="38"/>
        <v>110</v>
      </c>
      <c r="G117" s="166">
        <f t="shared" si="38"/>
        <v>0</v>
      </c>
      <c r="H117" s="166">
        <f t="shared" si="38"/>
        <v>0</v>
      </c>
      <c r="I117" s="167">
        <f t="shared" si="38"/>
        <v>1207</v>
      </c>
      <c r="J117" s="278">
        <f t="shared" si="38"/>
        <v>1898.5179238754324</v>
      </c>
      <c r="K117" s="245">
        <f t="shared" si="38"/>
        <v>81636.27072664359</v>
      </c>
      <c r="L117" s="246">
        <f t="shared" si="38"/>
        <v>81636.27072664359</v>
      </c>
      <c r="M117" s="169">
        <f t="shared" si="38"/>
        <v>1974.4586408304499</v>
      </c>
      <c r="N117" s="166">
        <f t="shared" si="38"/>
        <v>84901.721555709344</v>
      </c>
      <c r="O117" s="167">
        <f t="shared" si="38"/>
        <v>84901.721555709344</v>
      </c>
      <c r="P117" s="278">
        <f t="shared" si="38"/>
        <v>2013.9478136470589</v>
      </c>
      <c r="Q117" s="245">
        <f t="shared" si="38"/>
        <v>86599.755986823511</v>
      </c>
      <c r="R117" s="246">
        <f t="shared" si="38"/>
        <v>86599.755986823511</v>
      </c>
      <c r="S117" s="167">
        <f t="shared" si="38"/>
        <v>57712.36942305883</v>
      </c>
      <c r="T117" s="167">
        <f>T59</f>
        <v>26666.880000000001</v>
      </c>
      <c r="U117" s="474" t="s">
        <v>12</v>
      </c>
    </row>
    <row r="118" spans="2:21" ht="13" x14ac:dyDescent="0.3">
      <c r="B118" s="472" t="s">
        <v>100</v>
      </c>
      <c r="C118" s="156">
        <f t="shared" ref="C118:U118" si="39">C74</f>
        <v>0</v>
      </c>
      <c r="D118" s="21">
        <f t="shared" si="39"/>
        <v>0.25</v>
      </c>
      <c r="E118" s="21">
        <f t="shared" si="39"/>
        <v>0</v>
      </c>
      <c r="F118" s="21">
        <f t="shared" si="39"/>
        <v>0</v>
      </c>
      <c r="G118" s="21">
        <f t="shared" si="39"/>
        <v>0</v>
      </c>
      <c r="H118" s="21">
        <f t="shared" si="39"/>
        <v>0</v>
      </c>
      <c r="I118" s="157">
        <f t="shared" si="39"/>
        <v>0.25</v>
      </c>
      <c r="J118" s="279" t="str">
        <f t="shared" si="39"/>
        <v>NA</v>
      </c>
      <c r="K118" s="280">
        <f t="shared" si="39"/>
        <v>10.75</v>
      </c>
      <c r="L118" s="281">
        <f t="shared" si="39"/>
        <v>10.75</v>
      </c>
      <c r="M118" s="158" t="str">
        <f t="shared" si="39"/>
        <v>NA</v>
      </c>
      <c r="N118" s="21">
        <f t="shared" si="39"/>
        <v>10.75</v>
      </c>
      <c r="O118" s="157">
        <f t="shared" si="39"/>
        <v>10.75</v>
      </c>
      <c r="P118" s="279" t="str">
        <f t="shared" si="39"/>
        <v>NA</v>
      </c>
      <c r="Q118" s="280">
        <f t="shared" si="39"/>
        <v>10.75</v>
      </c>
      <c r="R118" s="281">
        <f t="shared" si="39"/>
        <v>10.75</v>
      </c>
      <c r="S118" s="157">
        <f t="shared" si="39"/>
        <v>10.75</v>
      </c>
      <c r="T118" s="170" t="str">
        <f t="shared" si="39"/>
        <v>NA</v>
      </c>
      <c r="U118" s="475" t="str">
        <f t="shared" si="39"/>
        <v>NA</v>
      </c>
    </row>
    <row r="119" spans="2:21" ht="13.5" thickBot="1" x14ac:dyDescent="0.35">
      <c r="B119" s="471" t="s">
        <v>76</v>
      </c>
      <c r="C119" s="165">
        <f t="shared" ref="C119:T119" si="40">C75</f>
        <v>0</v>
      </c>
      <c r="D119" s="166">
        <f t="shared" si="40"/>
        <v>6</v>
      </c>
      <c r="E119" s="166">
        <f t="shared" si="40"/>
        <v>0</v>
      </c>
      <c r="F119" s="166">
        <f t="shared" si="40"/>
        <v>0</v>
      </c>
      <c r="G119" s="166">
        <f t="shared" si="40"/>
        <v>0</v>
      </c>
      <c r="H119" s="166">
        <f t="shared" si="40"/>
        <v>0</v>
      </c>
      <c r="I119" s="167">
        <f t="shared" si="40"/>
        <v>6</v>
      </c>
      <c r="J119" s="278">
        <f t="shared" si="40"/>
        <v>12.835432525951557</v>
      </c>
      <c r="K119" s="245">
        <f t="shared" si="40"/>
        <v>137.98089965397924</v>
      </c>
      <c r="L119" s="246">
        <f t="shared" si="40"/>
        <v>137.98089965397924</v>
      </c>
      <c r="M119" s="165">
        <f t="shared" si="40"/>
        <v>13.348849826989621</v>
      </c>
      <c r="N119" s="166">
        <f t="shared" si="40"/>
        <v>143.50013564013844</v>
      </c>
      <c r="O119" s="167">
        <f t="shared" si="40"/>
        <v>143.50013564013844</v>
      </c>
      <c r="P119" s="284">
        <f t="shared" si="40"/>
        <v>13.61582682352941</v>
      </c>
      <c r="Q119" s="245">
        <f t="shared" si="40"/>
        <v>146.37013835294115</v>
      </c>
      <c r="R119" s="246">
        <f t="shared" si="40"/>
        <v>146.37013835294115</v>
      </c>
      <c r="S119" s="167">
        <f t="shared" si="40"/>
        <v>142.61705788235292</v>
      </c>
      <c r="T119" s="168" t="str">
        <f t="shared" si="40"/>
        <v>NA</v>
      </c>
      <c r="U119" s="322" t="s">
        <v>12</v>
      </c>
    </row>
    <row r="120" spans="2:21" ht="13" x14ac:dyDescent="0.3">
      <c r="B120" s="472" t="s">
        <v>101</v>
      </c>
      <c r="C120" s="171">
        <f t="shared" ref="C120:S120" si="41">C95</f>
        <v>0</v>
      </c>
      <c r="D120" s="172">
        <f t="shared" si="41"/>
        <v>1</v>
      </c>
      <c r="E120" s="172">
        <f t="shared" si="41"/>
        <v>16</v>
      </c>
      <c r="F120" s="172">
        <f t="shared" si="41"/>
        <v>47</v>
      </c>
      <c r="G120" s="172">
        <f t="shared" si="41"/>
        <v>6</v>
      </c>
      <c r="H120" s="172">
        <f t="shared" si="41"/>
        <v>0</v>
      </c>
      <c r="I120" s="54">
        <f t="shared" si="41"/>
        <v>70</v>
      </c>
      <c r="J120" s="282" t="str">
        <f t="shared" si="41"/>
        <v>NA</v>
      </c>
      <c r="K120" s="263" t="str">
        <f t="shared" si="41"/>
        <v>NA</v>
      </c>
      <c r="L120" s="243">
        <f t="shared" si="41"/>
        <v>2587.6</v>
      </c>
      <c r="M120" s="173" t="str">
        <f t="shared" si="41"/>
        <v>NA</v>
      </c>
      <c r="N120" s="36" t="str">
        <f t="shared" si="41"/>
        <v>NA</v>
      </c>
      <c r="O120" s="54">
        <f t="shared" si="41"/>
        <v>2587.6</v>
      </c>
      <c r="P120" s="282" t="str">
        <f t="shared" si="41"/>
        <v>NA</v>
      </c>
      <c r="Q120" s="263" t="str">
        <f t="shared" si="41"/>
        <v>NA</v>
      </c>
      <c r="R120" s="243">
        <f t="shared" si="41"/>
        <v>2587.6</v>
      </c>
      <c r="S120" s="54">
        <f t="shared" si="41"/>
        <v>2587.6</v>
      </c>
      <c r="T120" s="42" t="s">
        <v>12</v>
      </c>
      <c r="U120" s="119" t="s">
        <v>12</v>
      </c>
    </row>
    <row r="121" spans="2:21" ht="13.5" thickBot="1" x14ac:dyDescent="0.35">
      <c r="B121" s="471" t="s">
        <v>76</v>
      </c>
      <c r="C121" s="165">
        <f t="shared" ref="C121:S121" si="42">C96</f>
        <v>0</v>
      </c>
      <c r="D121" s="166">
        <f t="shared" si="42"/>
        <v>24</v>
      </c>
      <c r="E121" s="166">
        <f t="shared" si="42"/>
        <v>404</v>
      </c>
      <c r="F121" s="166">
        <f t="shared" si="42"/>
        <v>1297</v>
      </c>
      <c r="G121" s="166">
        <f t="shared" si="42"/>
        <v>188</v>
      </c>
      <c r="H121" s="166">
        <f t="shared" si="42"/>
        <v>0</v>
      </c>
      <c r="I121" s="167">
        <f t="shared" si="42"/>
        <v>1913</v>
      </c>
      <c r="J121" s="278">
        <f t="shared" si="42"/>
        <v>4092.3637370242213</v>
      </c>
      <c r="K121" s="283">
        <f t="shared" si="42"/>
        <v>173139.28858131488</v>
      </c>
      <c r="L121" s="246">
        <f t="shared" si="42"/>
        <v>151046.94211764706</v>
      </c>
      <c r="M121" s="169">
        <f t="shared" si="42"/>
        <v>4256.0582865051902</v>
      </c>
      <c r="N121" s="175">
        <f t="shared" si="42"/>
        <v>180064.86012456749</v>
      </c>
      <c r="O121" s="167">
        <f t="shared" si="42"/>
        <v>157088.81980235295</v>
      </c>
      <c r="P121" s="278">
        <f t="shared" si="42"/>
        <v>4341.1794522352939</v>
      </c>
      <c r="Q121" s="283">
        <f t="shared" si="42"/>
        <v>183666.15732705881</v>
      </c>
      <c r="R121" s="246">
        <f t="shared" si="42"/>
        <v>160230.59619839999</v>
      </c>
      <c r="S121" s="167">
        <f t="shared" si="42"/>
        <v>156122.11937279999</v>
      </c>
      <c r="T121" s="167">
        <f>T96</f>
        <v>0</v>
      </c>
      <c r="U121" s="322" t="s">
        <v>12</v>
      </c>
    </row>
    <row r="122" spans="2:21" ht="13" x14ac:dyDescent="0.3">
      <c r="B122" s="472" t="s">
        <v>102</v>
      </c>
      <c r="C122" s="156">
        <f t="shared" ref="C122:S122" si="43">C105</f>
        <v>0</v>
      </c>
      <c r="D122" s="21">
        <f t="shared" si="43"/>
        <v>0</v>
      </c>
      <c r="E122" s="21">
        <f t="shared" si="43"/>
        <v>0</v>
      </c>
      <c r="F122" s="21">
        <f t="shared" si="43"/>
        <v>24</v>
      </c>
      <c r="G122" s="21">
        <f t="shared" si="43"/>
        <v>36</v>
      </c>
      <c r="H122" s="21">
        <f t="shared" si="43"/>
        <v>12</v>
      </c>
      <c r="I122" s="157">
        <f t="shared" si="43"/>
        <v>72</v>
      </c>
      <c r="J122" s="279" t="str">
        <f t="shared" si="43"/>
        <v>NA</v>
      </c>
      <c r="K122" s="280">
        <f t="shared" si="43"/>
        <v>3096</v>
      </c>
      <c r="L122" s="281">
        <f t="shared" si="43"/>
        <v>3096</v>
      </c>
      <c r="M122" s="158" t="str">
        <f t="shared" si="43"/>
        <v>NA</v>
      </c>
      <c r="N122" s="21">
        <f t="shared" si="43"/>
        <v>3096</v>
      </c>
      <c r="O122" s="157">
        <f t="shared" si="43"/>
        <v>3096</v>
      </c>
      <c r="P122" s="279" t="str">
        <f t="shared" si="43"/>
        <v>NA</v>
      </c>
      <c r="Q122" s="280">
        <f t="shared" si="43"/>
        <v>3096</v>
      </c>
      <c r="R122" s="281">
        <f t="shared" si="43"/>
        <v>3096</v>
      </c>
      <c r="S122" s="157">
        <f t="shared" si="43"/>
        <v>3096</v>
      </c>
      <c r="T122" s="42" t="s">
        <v>12</v>
      </c>
      <c r="U122" s="119" t="s">
        <v>12</v>
      </c>
    </row>
    <row r="123" spans="2:21" ht="13.5" thickBot="1" x14ac:dyDescent="0.35">
      <c r="B123" s="476" t="s">
        <v>76</v>
      </c>
      <c r="C123" s="176">
        <f t="shared" ref="C123:S123" si="44">C106</f>
        <v>0</v>
      </c>
      <c r="D123" s="177">
        <f t="shared" si="44"/>
        <v>0</v>
      </c>
      <c r="E123" s="177">
        <f t="shared" si="44"/>
        <v>0</v>
      </c>
      <c r="F123" s="177">
        <f t="shared" si="44"/>
        <v>662</v>
      </c>
      <c r="G123" s="177">
        <f t="shared" si="44"/>
        <v>1127</v>
      </c>
      <c r="H123" s="177">
        <f t="shared" si="44"/>
        <v>454</v>
      </c>
      <c r="I123" s="178">
        <f t="shared" si="44"/>
        <v>2243</v>
      </c>
      <c r="J123" s="252">
        <f t="shared" si="44"/>
        <v>4798.3125259515564</v>
      </c>
      <c r="K123" s="253">
        <f t="shared" si="44"/>
        <v>206327.43861591694</v>
      </c>
      <c r="L123" s="254">
        <f t="shared" si="44"/>
        <v>206327.43861591694</v>
      </c>
      <c r="M123" s="176">
        <f t="shared" si="44"/>
        <v>4990.2450269896199</v>
      </c>
      <c r="N123" s="177">
        <f t="shared" si="44"/>
        <v>214580.53616055363</v>
      </c>
      <c r="O123" s="178">
        <f t="shared" si="44"/>
        <v>214580.53616055363</v>
      </c>
      <c r="P123" s="259">
        <f t="shared" si="44"/>
        <v>5090.0499275294114</v>
      </c>
      <c r="Q123" s="253">
        <f t="shared" si="44"/>
        <v>218872.14688376468</v>
      </c>
      <c r="R123" s="254">
        <f t="shared" si="44"/>
        <v>218872.14688376468</v>
      </c>
      <c r="S123" s="178">
        <f t="shared" si="44"/>
        <v>213260.04055341173</v>
      </c>
      <c r="T123" s="179" t="str">
        <f>T106</f>
        <v>NA</v>
      </c>
      <c r="U123" s="180" t="s">
        <v>12</v>
      </c>
    </row>
    <row r="124" spans="2:21" ht="18.5" thickTop="1" x14ac:dyDescent="0.4">
      <c r="B124" s="477" t="s">
        <v>13</v>
      </c>
      <c r="C124" s="88" t="s">
        <v>45</v>
      </c>
      <c r="D124" s="86" t="s">
        <v>46</v>
      </c>
      <c r="E124" s="86" t="s">
        <v>47</v>
      </c>
      <c r="F124" s="86" t="s">
        <v>48</v>
      </c>
      <c r="G124" s="86" t="s">
        <v>49</v>
      </c>
      <c r="H124" s="86" t="s">
        <v>50</v>
      </c>
      <c r="I124" s="87" t="s">
        <v>13</v>
      </c>
      <c r="J124" s="88" t="s">
        <v>56</v>
      </c>
      <c r="K124" s="86" t="s">
        <v>13</v>
      </c>
      <c r="L124" s="87" t="s">
        <v>68</v>
      </c>
      <c r="M124" s="88" t="s">
        <v>56</v>
      </c>
      <c r="N124" s="86" t="s">
        <v>13</v>
      </c>
      <c r="O124" s="87" t="s">
        <v>68</v>
      </c>
      <c r="P124" s="88" t="s">
        <v>56</v>
      </c>
      <c r="Q124" s="86" t="s">
        <v>13</v>
      </c>
      <c r="R124" s="87" t="s">
        <v>68</v>
      </c>
      <c r="S124" s="87"/>
      <c r="T124" s="31"/>
      <c r="U124" s="111"/>
    </row>
    <row r="125" spans="2:21" x14ac:dyDescent="0.25">
      <c r="B125" s="478" t="s">
        <v>75</v>
      </c>
      <c r="C125" s="154">
        <f t="shared" ref="C125:I126" si="45">C110+C112+C114+C116+C118+C120+C122</f>
        <v>0</v>
      </c>
      <c r="D125" s="58">
        <f t="shared" si="45"/>
        <v>7.25</v>
      </c>
      <c r="E125" s="58">
        <f t="shared" si="45"/>
        <v>40</v>
      </c>
      <c r="F125" s="58">
        <f t="shared" si="45"/>
        <v>95</v>
      </c>
      <c r="G125" s="58">
        <f t="shared" si="45"/>
        <v>42</v>
      </c>
      <c r="H125" s="58">
        <f t="shared" si="45"/>
        <v>12</v>
      </c>
      <c r="I125" s="57">
        <f t="shared" si="45"/>
        <v>196.25</v>
      </c>
      <c r="J125" s="285" t="s">
        <v>12</v>
      </c>
      <c r="K125" s="231">
        <f>K110+K112+K114+K116+K118+K122</f>
        <v>5428.75</v>
      </c>
      <c r="L125" s="239">
        <f>L110+L112+L114+L116+L118+L120+L122</f>
        <v>7534.75</v>
      </c>
      <c r="M125" s="83" t="s">
        <v>12</v>
      </c>
      <c r="N125" s="58">
        <f>N110+N112+N114+N116+N118+N122</f>
        <v>5428.75</v>
      </c>
      <c r="O125" s="57">
        <f>O110+O112+O114+O116+O118+O120+O122</f>
        <v>7534.75</v>
      </c>
      <c r="P125" s="285" t="s">
        <v>12</v>
      </c>
      <c r="Q125" s="231">
        <f>Q110+Q112+Q114+Q116+Q118+Q122</f>
        <v>5428.75</v>
      </c>
      <c r="R125" s="239">
        <f>R110+R112+R114+R116+R118+R120+R122</f>
        <v>7534.75</v>
      </c>
      <c r="S125" s="57">
        <f>S110+S112+S114+S116+S118+S120+S122</f>
        <v>7534.75</v>
      </c>
      <c r="T125" s="57"/>
      <c r="U125" s="113" t="s">
        <v>12</v>
      </c>
    </row>
    <row r="126" spans="2:21" s="189" customFormat="1" ht="16" thickBot="1" x14ac:dyDescent="0.4">
      <c r="B126" s="479" t="s">
        <v>76</v>
      </c>
      <c r="C126" s="480">
        <f t="shared" si="45"/>
        <v>0</v>
      </c>
      <c r="D126" s="481">
        <f t="shared" si="45"/>
        <v>175</v>
      </c>
      <c r="E126" s="481">
        <f t="shared" si="45"/>
        <v>1010</v>
      </c>
      <c r="F126" s="481">
        <f t="shared" si="45"/>
        <v>2621</v>
      </c>
      <c r="G126" s="481">
        <f t="shared" si="45"/>
        <v>1315</v>
      </c>
      <c r="H126" s="481">
        <f t="shared" si="45"/>
        <v>454</v>
      </c>
      <c r="I126" s="482">
        <f t="shared" si="45"/>
        <v>6369</v>
      </c>
      <c r="J126" s="483">
        <f>J111+J113+J115+J117+J119+J121+J123</f>
        <v>12941.26837370242</v>
      </c>
      <c r="K126" s="484">
        <f>K111+K113+K115+K117+K119+K123</f>
        <v>346421.61716262973</v>
      </c>
      <c r="L126" s="485">
        <f>L111+L113+L115+L117+L119+L121+L123</f>
        <v>670548.96500114608</v>
      </c>
      <c r="M126" s="480">
        <f>M111+M113+M115+M117+M119+M121+M123</f>
        <v>13458.91910865052</v>
      </c>
      <c r="N126" s="486">
        <f>N111+N113+N115+N117+N119+N123</f>
        <v>360278.48184913496</v>
      </c>
      <c r="O126" s="482">
        <f>O111+O113+O115+O117+O119+O121+O123</f>
        <v>697370.92360119196</v>
      </c>
      <c r="P126" s="487">
        <f>P111+P113+P115+P117+P119+P121+P123</f>
        <v>13728.097490823528</v>
      </c>
      <c r="Q126" s="484">
        <f>Q111+Q113+Q115+Q117+Q119+Q123</f>
        <v>367484.05148611759</v>
      </c>
      <c r="R126" s="485">
        <f>R111+R113+R115+R117+R119+R121+R123</f>
        <v>711318.34207321575</v>
      </c>
      <c r="S126" s="482">
        <f>S111+S113+S115+S117+S119+S121+S123</f>
        <v>496540.33529675286</v>
      </c>
      <c r="T126" s="482">
        <f>SUM(T111,T113,T115,T117,T119,T121,T123)</f>
        <v>890673.79200000002</v>
      </c>
      <c r="U126" s="489">
        <f>SUM(U111,U113,U115,U117,U119,U121,U123)</f>
        <v>182682.20711145876</v>
      </c>
    </row>
    <row r="130" spans="2:2" x14ac:dyDescent="0.25">
      <c r="B130" t="s">
        <v>389</v>
      </c>
    </row>
    <row r="131" spans="2:2" x14ac:dyDescent="0.25">
      <c r="B131" t="s">
        <v>390</v>
      </c>
    </row>
  </sheetData>
  <mergeCells count="35">
    <mergeCell ref="Q99:R99"/>
    <mergeCell ref="Q32:R32"/>
    <mergeCell ref="Q48:R48"/>
    <mergeCell ref="Q62:R62"/>
    <mergeCell ref="Q92:R92"/>
    <mergeCell ref="Q79:R79"/>
    <mergeCell ref="G78:I78"/>
    <mergeCell ref="N92:O92"/>
    <mergeCell ref="K99:L99"/>
    <mergeCell ref="N32:O32"/>
    <mergeCell ref="N48:O48"/>
    <mergeCell ref="N79:O79"/>
    <mergeCell ref="N99:O99"/>
    <mergeCell ref="N62:O62"/>
    <mergeCell ref="K32:L32"/>
    <mergeCell ref="G98:I98"/>
    <mergeCell ref="K79:L79"/>
    <mergeCell ref="K62:L62"/>
    <mergeCell ref="G61:I61"/>
    <mergeCell ref="G32:I32"/>
    <mergeCell ref="K48:L48"/>
    <mergeCell ref="G18:I18"/>
    <mergeCell ref="G31:I31"/>
    <mergeCell ref="G48:I48"/>
    <mergeCell ref="G47:I47"/>
    <mergeCell ref="S2:T2"/>
    <mergeCell ref="Q19:R19"/>
    <mergeCell ref="G7:I7"/>
    <mergeCell ref="K19:L19"/>
    <mergeCell ref="F2:G2"/>
    <mergeCell ref="C5:I5"/>
    <mergeCell ref="Q8:R8"/>
    <mergeCell ref="K8:L8"/>
    <mergeCell ref="N8:O8"/>
    <mergeCell ref="N19:O19"/>
  </mergeCells>
  <phoneticPr fontId="2" type="noConversion"/>
  <dataValidations count="1">
    <dataValidation allowBlank="1" showInputMessage="1" showErrorMessage="1" sqref="D81 D39:D40 D21 D34:D37" xr:uid="{00000000-0002-0000-0F00-000000000000}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76" max="16383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63"/>
  <sheetViews>
    <sheetView zoomScaleNormal="100" workbookViewId="0">
      <selection activeCell="J20" sqref="J20"/>
    </sheetView>
  </sheetViews>
  <sheetFormatPr defaultRowHeight="12.5" x14ac:dyDescent="0.25"/>
  <cols>
    <col min="1" max="1" width="1.1796875" customWidth="1"/>
    <col min="2" max="2" width="31.453125" customWidth="1"/>
    <col min="3" max="3" width="12.81640625" customWidth="1"/>
    <col min="4" max="4" width="10.453125" bestFit="1" customWidth="1"/>
    <col min="5" max="5" width="11.26953125" customWidth="1"/>
    <col min="6" max="6" width="9.7265625" style="5" customWidth="1"/>
    <col min="7" max="7" width="9.7265625" bestFit="1" customWidth="1"/>
    <col min="8" max="8" width="9.81640625" bestFit="1" customWidth="1"/>
    <col min="9" max="9" width="13.26953125" customWidth="1"/>
    <col min="10" max="10" width="15" customWidth="1"/>
    <col min="11" max="11" width="14.453125" customWidth="1"/>
    <col min="12" max="12" width="14.7265625" bestFit="1" customWidth="1"/>
    <col min="13" max="13" width="15.54296875" customWidth="1"/>
    <col min="14" max="14" width="14.54296875" customWidth="1"/>
    <col min="15" max="15" width="14.453125" customWidth="1"/>
    <col min="16" max="16" width="15" customWidth="1"/>
    <col min="17" max="17" width="13.81640625" customWidth="1"/>
    <col min="18" max="18" width="14" customWidth="1"/>
    <col min="19" max="19" width="14.54296875" customWidth="1"/>
    <col min="20" max="20" width="14" customWidth="1"/>
    <col min="21" max="21" width="13.26953125" bestFit="1" customWidth="1"/>
  </cols>
  <sheetData>
    <row r="1" spans="1:22" ht="4.5" customHeight="1" thickBot="1" x14ac:dyDescent="0.3">
      <c r="B1" s="335"/>
      <c r="C1" s="335"/>
      <c r="D1" s="335"/>
      <c r="E1" s="335"/>
      <c r="F1" s="336"/>
      <c r="G1" s="335"/>
      <c r="H1" s="335"/>
      <c r="I1" s="335"/>
      <c r="J1" s="335"/>
      <c r="K1" s="335"/>
      <c r="L1" s="335"/>
      <c r="M1" s="335"/>
    </row>
    <row r="2" spans="1:22" ht="18.5" thickTop="1" x14ac:dyDescent="0.4">
      <c r="A2" s="510"/>
      <c r="B2" s="494" t="s">
        <v>0</v>
      </c>
      <c r="C2" s="491" t="s">
        <v>291</v>
      </c>
      <c r="E2" s="326" t="s">
        <v>31</v>
      </c>
      <c r="F2" s="1172">
        <v>43331</v>
      </c>
      <c r="G2" s="1173"/>
      <c r="J2" s="492" t="s">
        <v>5</v>
      </c>
      <c r="K2" s="493">
        <v>2023</v>
      </c>
      <c r="M2" s="490" t="s">
        <v>10</v>
      </c>
      <c r="N2" s="452">
        <f>K2+1</f>
        <v>2024</v>
      </c>
      <c r="O2" s="451"/>
      <c r="P2" s="453" t="s">
        <v>11</v>
      </c>
      <c r="Q2" s="452">
        <f>N2+1</f>
        <v>2025</v>
      </c>
      <c r="R2" s="454"/>
      <c r="S2" s="1165" t="s">
        <v>77</v>
      </c>
      <c r="T2" s="1166"/>
      <c r="U2" s="455" t="s">
        <v>79</v>
      </c>
    </row>
    <row r="3" spans="1:22" ht="15.5" x14ac:dyDescent="0.35">
      <c r="A3" s="510"/>
      <c r="C3" s="1"/>
      <c r="D3" s="25"/>
      <c r="E3" s="2"/>
      <c r="I3" s="326" t="s">
        <v>59</v>
      </c>
      <c r="J3" s="144"/>
      <c r="L3" s="145"/>
      <c r="O3" s="31"/>
      <c r="R3" s="31"/>
      <c r="S3" s="90" t="s">
        <v>71</v>
      </c>
      <c r="T3" s="91">
        <f>AVERAGE(J5,M5,P5)</f>
        <v>22</v>
      </c>
      <c r="U3" s="31"/>
    </row>
    <row r="4" spans="1:22" ht="13" x14ac:dyDescent="0.3">
      <c r="A4" s="510"/>
      <c r="I4" s="43">
        <v>0</v>
      </c>
      <c r="J4" s="326" t="s">
        <v>71</v>
      </c>
      <c r="K4" s="349" t="s">
        <v>72</v>
      </c>
      <c r="L4" s="17">
        <v>27</v>
      </c>
      <c r="M4" s="326" t="s">
        <v>71</v>
      </c>
      <c r="N4" s="349" t="s">
        <v>69</v>
      </c>
      <c r="O4" s="17">
        <v>27</v>
      </c>
      <c r="P4" s="326" t="s">
        <v>71</v>
      </c>
      <c r="Q4" s="349" t="s">
        <v>69</v>
      </c>
      <c r="R4" s="17">
        <v>27</v>
      </c>
      <c r="S4" s="90" t="s">
        <v>69</v>
      </c>
      <c r="T4" s="85">
        <f>AVERAGE(L4,O4,R4)</f>
        <v>27</v>
      </c>
      <c r="U4" s="31"/>
    </row>
    <row r="5" spans="1:22" ht="12.75" customHeight="1" thickBot="1" x14ac:dyDescent="0.35">
      <c r="A5" s="510"/>
      <c r="B5" s="495" t="s">
        <v>2</v>
      </c>
      <c r="C5" s="1174"/>
      <c r="D5" s="1175"/>
      <c r="E5" s="1175"/>
      <c r="F5" s="1175"/>
      <c r="G5" s="1175"/>
      <c r="H5" s="1175"/>
      <c r="I5" s="1175"/>
      <c r="J5" s="525">
        <v>22</v>
      </c>
      <c r="K5" s="287" t="s">
        <v>70</v>
      </c>
      <c r="L5" s="288">
        <f>L4*$I$4</f>
        <v>0</v>
      </c>
      <c r="M5" s="526">
        <v>22</v>
      </c>
      <c r="N5" s="287" t="s">
        <v>70</v>
      </c>
      <c r="O5" s="289">
        <f>O4*$I$4</f>
        <v>0</v>
      </c>
      <c r="P5" s="525">
        <v>22</v>
      </c>
      <c r="Q5" s="287" t="s">
        <v>70</v>
      </c>
      <c r="R5" s="288">
        <f>R4*$I$4</f>
        <v>0</v>
      </c>
      <c r="S5" s="191" t="s">
        <v>70</v>
      </c>
      <c r="T5" s="192">
        <f>AVERAGE(L5,O5,R5)</f>
        <v>0</v>
      </c>
      <c r="U5" s="31"/>
    </row>
    <row r="6" spans="1:22" ht="30" customHeight="1" thickTop="1" thickBot="1" x14ac:dyDescent="0.45">
      <c r="A6" s="510"/>
      <c r="B6" s="496" t="s">
        <v>73</v>
      </c>
      <c r="C6" s="3"/>
      <c r="D6" s="3"/>
      <c r="E6" s="3"/>
      <c r="F6" s="9"/>
      <c r="G6" s="3"/>
      <c r="H6" s="3"/>
      <c r="I6" s="3"/>
      <c r="J6" s="447"/>
      <c r="K6" s="3"/>
      <c r="L6" s="3"/>
      <c r="M6" s="447"/>
      <c r="N6" s="3"/>
      <c r="O6" s="3"/>
      <c r="P6" s="447"/>
      <c r="Q6" s="3"/>
      <c r="R6" s="3"/>
      <c r="S6" s="448" t="s">
        <v>17</v>
      </c>
      <c r="T6" s="449" t="s">
        <v>103</v>
      </c>
      <c r="U6" s="450"/>
    </row>
    <row r="7" spans="1:22" ht="15.5" x14ac:dyDescent="0.35">
      <c r="A7" s="510"/>
      <c r="B7" s="48" t="s">
        <v>3</v>
      </c>
      <c r="C7" s="451"/>
      <c r="D7" s="349"/>
      <c r="F7" s="1" t="s">
        <v>6</v>
      </c>
      <c r="G7" s="1169"/>
      <c r="H7" s="1170"/>
      <c r="I7" s="1171"/>
      <c r="J7" s="72" t="s">
        <v>3</v>
      </c>
      <c r="K7" s="146"/>
      <c r="L7" s="663"/>
      <c r="M7" s="72" t="s">
        <v>3</v>
      </c>
      <c r="N7" s="193"/>
      <c r="O7" s="663"/>
      <c r="P7" s="666" t="s">
        <v>3</v>
      </c>
      <c r="Q7" s="193"/>
      <c r="R7" s="663"/>
      <c r="S7" s="768"/>
      <c r="T7" s="92"/>
      <c r="U7" s="114"/>
    </row>
    <row r="8" spans="1:22" ht="13.5" thickBot="1" x14ac:dyDescent="0.35">
      <c r="A8" s="510"/>
      <c r="B8" s="765" t="s">
        <v>290</v>
      </c>
      <c r="C8" s="3"/>
      <c r="D8" s="3"/>
      <c r="E8" s="3"/>
      <c r="F8" s="3"/>
      <c r="G8" s="3"/>
      <c r="H8" s="3"/>
      <c r="I8" s="47"/>
      <c r="J8" s="3"/>
      <c r="K8" s="3"/>
      <c r="L8" s="35"/>
      <c r="M8" s="3"/>
      <c r="N8" s="3"/>
      <c r="O8" s="35"/>
      <c r="P8" s="3"/>
      <c r="Q8" s="3"/>
      <c r="R8" s="35"/>
      <c r="S8" s="3"/>
      <c r="T8" s="105"/>
      <c r="U8" s="766"/>
      <c r="V8" s="144"/>
    </row>
    <row r="9" spans="1:22" ht="13" x14ac:dyDescent="0.3">
      <c r="A9" s="510"/>
      <c r="B9" s="501" t="s">
        <v>66</v>
      </c>
      <c r="C9" s="7"/>
      <c r="D9" s="61"/>
      <c r="E9" s="61"/>
      <c r="F9" s="61"/>
      <c r="G9" s="61"/>
      <c r="H9" s="61"/>
      <c r="I9" s="62"/>
      <c r="J9" s="234" t="s">
        <v>12</v>
      </c>
      <c r="K9" s="235" t="s">
        <v>12</v>
      </c>
      <c r="L9" s="236" t="s">
        <v>12</v>
      </c>
      <c r="M9" s="38" t="s">
        <v>12</v>
      </c>
      <c r="N9" s="28" t="s">
        <v>12</v>
      </c>
      <c r="O9" s="34" t="s">
        <v>12</v>
      </c>
      <c r="P9" s="234" t="s">
        <v>12</v>
      </c>
      <c r="Q9" s="235" t="s">
        <v>12</v>
      </c>
      <c r="R9" s="236" t="s">
        <v>12</v>
      </c>
      <c r="S9" s="38" t="s">
        <v>12</v>
      </c>
      <c r="T9" s="81" t="s">
        <v>12</v>
      </c>
      <c r="U9" s="767" t="s">
        <v>12</v>
      </c>
    </row>
    <row r="10" spans="1:22" s="1" customFormat="1" ht="13.5" thickBot="1" x14ac:dyDescent="0.35">
      <c r="A10" s="511"/>
      <c r="B10" s="502" t="s">
        <v>67</v>
      </c>
      <c r="C10"/>
      <c r="D10"/>
      <c r="E10"/>
      <c r="F10"/>
      <c r="G10"/>
      <c r="H10"/>
      <c r="I10" s="190"/>
      <c r="J10" s="777" t="s">
        <v>12</v>
      </c>
      <c r="K10" s="778" t="s">
        <v>12</v>
      </c>
      <c r="L10" s="779" t="s">
        <v>12</v>
      </c>
      <c r="M10" s="769" t="s">
        <v>12</v>
      </c>
      <c r="N10" s="771" t="s">
        <v>12</v>
      </c>
      <c r="O10" s="770" t="s">
        <v>12</v>
      </c>
      <c r="P10" s="780" t="s">
        <v>12</v>
      </c>
      <c r="Q10" s="781" t="s">
        <v>12</v>
      </c>
      <c r="R10" s="782" t="s">
        <v>12</v>
      </c>
      <c r="S10" s="773" t="s">
        <v>12</v>
      </c>
      <c r="T10" s="208" t="s">
        <v>12</v>
      </c>
      <c r="U10" s="556" t="s">
        <v>12</v>
      </c>
    </row>
    <row r="11" spans="1:22" ht="13.5" thickTop="1" thickBot="1" x14ac:dyDescent="0.3">
      <c r="A11" s="510"/>
      <c r="B11" s="512"/>
      <c r="C11" s="513"/>
      <c r="D11" s="513"/>
      <c r="E11" s="513"/>
      <c r="F11" s="513"/>
      <c r="G11" s="513"/>
      <c r="H11" s="513"/>
      <c r="I11" s="513"/>
      <c r="J11" s="513"/>
      <c r="K11" s="513"/>
      <c r="L11" s="513"/>
      <c r="M11" s="513"/>
      <c r="N11" s="335"/>
      <c r="O11" s="513"/>
      <c r="P11" s="335"/>
      <c r="Q11" s="335"/>
      <c r="R11" s="335"/>
      <c r="S11" s="335"/>
      <c r="T11" s="335"/>
      <c r="U11" s="515"/>
    </row>
    <row r="12" spans="1:22" ht="16" thickTop="1" x14ac:dyDescent="0.35">
      <c r="A12" s="510"/>
      <c r="B12" s="2" t="s">
        <v>16</v>
      </c>
      <c r="C12" s="61"/>
      <c r="D12" s="349"/>
      <c r="F12" s="1" t="s">
        <v>6</v>
      </c>
      <c r="G12" s="1160"/>
      <c r="H12" s="1161"/>
      <c r="I12" s="1162"/>
      <c r="J12" s="774" t="s">
        <v>16</v>
      </c>
      <c r="K12" s="775"/>
      <c r="L12" s="776"/>
      <c r="M12" s="2" t="s">
        <v>16</v>
      </c>
      <c r="O12" s="31"/>
      <c r="P12" s="2" t="s">
        <v>16</v>
      </c>
      <c r="R12" s="62"/>
      <c r="S12" s="97"/>
      <c r="T12" s="31"/>
      <c r="U12" s="111"/>
    </row>
    <row r="13" spans="1:22" ht="13.5" thickBot="1" x14ac:dyDescent="0.35">
      <c r="A13" s="510"/>
      <c r="B13" s="765" t="s">
        <v>290</v>
      </c>
      <c r="C13" s="3"/>
      <c r="D13" s="3"/>
      <c r="E13" s="3"/>
      <c r="F13" s="3"/>
      <c r="G13" s="3"/>
      <c r="H13" s="3"/>
      <c r="I13" s="47"/>
      <c r="J13" s="3"/>
      <c r="K13" s="3"/>
      <c r="L13" s="35"/>
      <c r="M13" s="3"/>
      <c r="N13" s="3"/>
      <c r="O13" s="35"/>
      <c r="P13" s="3"/>
      <c r="Q13" s="3"/>
      <c r="R13" s="35"/>
      <c r="S13" s="3"/>
      <c r="T13" s="105"/>
      <c r="U13" s="766"/>
      <c r="V13" s="144"/>
    </row>
    <row r="14" spans="1:22" ht="13" x14ac:dyDescent="0.3">
      <c r="A14" s="510"/>
      <c r="B14" s="501" t="s">
        <v>66</v>
      </c>
      <c r="C14" s="7"/>
      <c r="D14" s="61"/>
      <c r="E14" s="61"/>
      <c r="F14" s="61"/>
      <c r="G14" s="61"/>
      <c r="H14" s="61"/>
      <c r="I14" s="62"/>
      <c r="J14" s="234" t="s">
        <v>12</v>
      </c>
      <c r="K14" s="235" t="s">
        <v>12</v>
      </c>
      <c r="L14" s="236" t="s">
        <v>12</v>
      </c>
      <c r="M14" s="38" t="s">
        <v>12</v>
      </c>
      <c r="N14" s="28" t="s">
        <v>12</v>
      </c>
      <c r="O14" s="34" t="s">
        <v>12</v>
      </c>
      <c r="P14" s="234" t="s">
        <v>12</v>
      </c>
      <c r="Q14" s="235" t="s">
        <v>12</v>
      </c>
      <c r="R14" s="236" t="s">
        <v>12</v>
      </c>
      <c r="S14" s="38" t="s">
        <v>12</v>
      </c>
      <c r="T14" s="81" t="s">
        <v>12</v>
      </c>
      <c r="U14" s="767" t="s">
        <v>12</v>
      </c>
    </row>
    <row r="15" spans="1:22" s="1" customFormat="1" ht="13.5" thickBot="1" x14ac:dyDescent="0.35">
      <c r="A15" s="511"/>
      <c r="B15" s="502" t="s">
        <v>67</v>
      </c>
      <c r="C15"/>
      <c r="D15"/>
      <c r="E15"/>
      <c r="F15"/>
      <c r="G15"/>
      <c r="H15"/>
      <c r="I15" s="190"/>
      <c r="J15" s="777" t="s">
        <v>12</v>
      </c>
      <c r="K15" s="778" t="s">
        <v>12</v>
      </c>
      <c r="L15" s="779" t="s">
        <v>12</v>
      </c>
      <c r="M15" s="769" t="s">
        <v>12</v>
      </c>
      <c r="N15" s="771" t="s">
        <v>12</v>
      </c>
      <c r="O15" s="770" t="s">
        <v>12</v>
      </c>
      <c r="P15" s="780" t="s">
        <v>12</v>
      </c>
      <c r="Q15" s="781" t="s">
        <v>12</v>
      </c>
      <c r="R15" s="782" t="s">
        <v>12</v>
      </c>
      <c r="S15" s="773" t="s">
        <v>12</v>
      </c>
      <c r="T15" s="208" t="s">
        <v>12</v>
      </c>
      <c r="U15" s="556" t="s">
        <v>12</v>
      </c>
    </row>
    <row r="16" spans="1:22" ht="13.5" thickTop="1" thickBot="1" x14ac:dyDescent="0.3">
      <c r="A16" s="510"/>
      <c r="C16" s="513"/>
      <c r="D16" s="513"/>
      <c r="E16" s="513"/>
      <c r="F16" s="513"/>
      <c r="G16" s="513"/>
      <c r="H16" s="513"/>
      <c r="I16" s="513"/>
      <c r="J16" s="513"/>
      <c r="K16" s="513"/>
      <c r="L16" s="513"/>
      <c r="M16" s="513"/>
      <c r="N16" s="513"/>
      <c r="O16" s="513"/>
      <c r="P16" s="513"/>
      <c r="Q16" s="513"/>
      <c r="R16" s="513"/>
      <c r="S16" s="513"/>
      <c r="T16" s="513"/>
      <c r="U16" s="515"/>
    </row>
    <row r="17" spans="1:22" ht="16" thickTop="1" x14ac:dyDescent="0.35">
      <c r="A17" s="510"/>
      <c r="B17" s="508" t="s">
        <v>22</v>
      </c>
      <c r="F17" s="1" t="s">
        <v>6</v>
      </c>
      <c r="G17" s="1160"/>
      <c r="H17" s="1161"/>
      <c r="I17" s="1162"/>
      <c r="J17" s="198" t="s">
        <v>22</v>
      </c>
      <c r="L17" s="62"/>
      <c r="M17" s="198" t="s">
        <v>22</v>
      </c>
      <c r="O17" s="31"/>
      <c r="P17" s="198" t="s">
        <v>22</v>
      </c>
      <c r="R17" s="31"/>
      <c r="S17" s="97"/>
      <c r="T17" s="31"/>
      <c r="U17" s="111"/>
    </row>
    <row r="18" spans="1:22" ht="13" x14ac:dyDescent="0.3">
      <c r="A18" s="510"/>
      <c r="F18" s="1"/>
      <c r="G18" s="1163"/>
      <c r="H18" s="1163"/>
      <c r="I18" s="1164"/>
      <c r="J18" s="227" t="s">
        <v>61</v>
      </c>
      <c r="K18" s="1182" t="s">
        <v>57</v>
      </c>
      <c r="L18" s="1183"/>
      <c r="M18" s="50" t="s">
        <v>61</v>
      </c>
      <c r="N18" s="1177" t="s">
        <v>57</v>
      </c>
      <c r="O18" s="1178"/>
      <c r="P18" s="227" t="s">
        <v>61</v>
      </c>
      <c r="Q18" s="1167" t="s">
        <v>57</v>
      </c>
      <c r="R18" s="1168"/>
      <c r="S18" s="106"/>
      <c r="T18" s="31"/>
      <c r="U18" s="111"/>
    </row>
    <row r="19" spans="1:22" ht="13" x14ac:dyDescent="0.3">
      <c r="A19" s="510"/>
      <c r="B19" s="506" t="s">
        <v>18</v>
      </c>
      <c r="C19" s="20" t="s">
        <v>60</v>
      </c>
      <c r="D19" s="20" t="s">
        <v>62</v>
      </c>
      <c r="E19" s="7"/>
      <c r="F19" s="61"/>
      <c r="G19" s="61"/>
      <c r="H19" s="61"/>
      <c r="I19" s="31"/>
      <c r="J19" s="211" t="s">
        <v>56</v>
      </c>
      <c r="K19" s="211" t="s">
        <v>13</v>
      </c>
      <c r="L19" s="212" t="s">
        <v>68</v>
      </c>
      <c r="M19" s="66" t="s">
        <v>56</v>
      </c>
      <c r="N19" s="20" t="s">
        <v>13</v>
      </c>
      <c r="O19" s="32" t="s">
        <v>68</v>
      </c>
      <c r="P19" s="210" t="s">
        <v>56</v>
      </c>
      <c r="Q19" s="211" t="s">
        <v>13</v>
      </c>
      <c r="R19" s="212" t="s">
        <v>68</v>
      </c>
      <c r="S19" s="98"/>
      <c r="T19" s="31"/>
      <c r="U19" s="111"/>
    </row>
    <row r="20" spans="1:22" ht="13.5" thickBot="1" x14ac:dyDescent="0.35">
      <c r="A20" s="510"/>
      <c r="B20" s="753" t="str">
        <f>VLOOKUP(C$2,Monitor_Costs,10,FALSE)</f>
        <v>Analysis (grant to RO)</v>
      </c>
      <c r="C20" s="752">
        <f>VLOOKUP(C$2,Monitor_Costs,11,FALSE)</f>
        <v>129385</v>
      </c>
      <c r="D20" s="29">
        <f>VLOOKUP(C$2,Monitor_Costs,12,FALSE)</f>
        <v>2019</v>
      </c>
      <c r="E20" s="3"/>
      <c r="F20" s="9"/>
      <c r="G20" s="3"/>
      <c r="H20" s="300"/>
      <c r="I20" s="301"/>
      <c r="J20" s="229">
        <f>HLOOKUP(K$2,InflationTable,2)/HLOOKUP($D20,InflationTable,2)*$C20</f>
        <v>156415.6871333594</v>
      </c>
      <c r="K20" s="295">
        <f>J20*J$5</f>
        <v>3441145.1169339069</v>
      </c>
      <c r="L20" s="256">
        <f>K20</f>
        <v>3441145.1169339069</v>
      </c>
      <c r="M20" s="23">
        <f>HLOOKUP(N$2,InflationTable,2)/HLOOKUP($D20,InflationTable,2)*$C20</f>
        <v>162672.31461869378</v>
      </c>
      <c r="N20" s="84">
        <f>M20*M$5</f>
        <v>3578790.9216112634</v>
      </c>
      <c r="O20" s="77">
        <f>N20</f>
        <v>3578790.9216112634</v>
      </c>
      <c r="P20" s="229">
        <f>HLOOKUP(Q$2,InflationTable,2)/HLOOKUP($D20,InflationTable,2)*$C20</f>
        <v>165925.76091106766</v>
      </c>
      <c r="Q20" s="295">
        <f>P20*P$5</f>
        <v>3650366.7400434883</v>
      </c>
      <c r="R20" s="256">
        <f>Q20</f>
        <v>3650366.7400434883</v>
      </c>
      <c r="S20" s="803" t="s">
        <v>12</v>
      </c>
      <c r="T20" s="110" t="s">
        <v>12</v>
      </c>
      <c r="U20" s="804">
        <f>AVERAGE(L20,O20,R20)</f>
        <v>3556767.5928628868</v>
      </c>
    </row>
    <row r="21" spans="1:22" ht="13" x14ac:dyDescent="0.3">
      <c r="A21" s="510"/>
      <c r="B21" s="501" t="s">
        <v>66</v>
      </c>
      <c r="F21"/>
      <c r="J21" s="255" t="s">
        <v>12</v>
      </c>
      <c r="K21" s="255" t="s">
        <v>12</v>
      </c>
      <c r="L21" s="255" t="s">
        <v>12</v>
      </c>
      <c r="M21" s="70" t="s">
        <v>12</v>
      </c>
      <c r="N21" s="70" t="s">
        <v>12</v>
      </c>
      <c r="O21" s="70" t="s">
        <v>12</v>
      </c>
      <c r="P21" s="249" t="s">
        <v>12</v>
      </c>
      <c r="Q21" s="249" t="s">
        <v>12</v>
      </c>
      <c r="R21" s="249" t="s">
        <v>12</v>
      </c>
      <c r="S21" s="805" t="s">
        <v>12</v>
      </c>
      <c r="T21" s="42" t="s">
        <v>12</v>
      </c>
      <c r="U21" s="119" t="s">
        <v>12</v>
      </c>
    </row>
    <row r="22" spans="1:22" ht="13.5" thickBot="1" x14ac:dyDescent="0.35">
      <c r="A22" s="510"/>
      <c r="B22" s="502" t="s">
        <v>67</v>
      </c>
      <c r="F22"/>
      <c r="J22" s="253">
        <f t="shared" ref="J22:U22" si="0">J20</f>
        <v>156415.6871333594</v>
      </c>
      <c r="K22" s="253">
        <f t="shared" si="0"/>
        <v>3441145.1169339069</v>
      </c>
      <c r="L22" s="253">
        <f t="shared" si="0"/>
        <v>3441145.1169339069</v>
      </c>
      <c r="M22" s="177">
        <f t="shared" si="0"/>
        <v>162672.31461869378</v>
      </c>
      <c r="N22" s="177">
        <f t="shared" si="0"/>
        <v>3578790.9216112634</v>
      </c>
      <c r="O22" s="177">
        <f t="shared" si="0"/>
        <v>3578790.9216112634</v>
      </c>
      <c r="P22" s="253">
        <f t="shared" si="0"/>
        <v>165925.76091106766</v>
      </c>
      <c r="Q22" s="253">
        <f t="shared" si="0"/>
        <v>3650366.7400434883</v>
      </c>
      <c r="R22" s="802">
        <f t="shared" si="0"/>
        <v>3650366.7400434883</v>
      </c>
      <c r="S22" s="196" t="str">
        <f t="shared" si="0"/>
        <v>NA</v>
      </c>
      <c r="T22" s="195" t="str">
        <f t="shared" si="0"/>
        <v>NA</v>
      </c>
      <c r="U22" s="180">
        <f t="shared" si="0"/>
        <v>3556767.5928628868</v>
      </c>
    </row>
    <row r="23" spans="1:22" ht="13.5" thickTop="1" thickBot="1" x14ac:dyDescent="0.3">
      <c r="A23" s="510"/>
      <c r="B23" s="512"/>
      <c r="C23" s="513"/>
      <c r="D23" s="513"/>
      <c r="E23" s="513"/>
      <c r="F23" s="513"/>
      <c r="G23" s="513"/>
      <c r="H23" s="513"/>
      <c r="I23" s="513"/>
      <c r="J23" s="513"/>
      <c r="K23" s="513"/>
      <c r="L23" s="513"/>
      <c r="M23" s="513"/>
      <c r="N23" s="512"/>
      <c r="O23" s="513"/>
      <c r="P23" s="513"/>
      <c r="Q23" s="513"/>
      <c r="R23" s="513"/>
      <c r="S23" s="513"/>
      <c r="T23" s="513"/>
      <c r="U23" s="515"/>
    </row>
    <row r="24" spans="1:22" ht="16" thickTop="1" x14ac:dyDescent="0.35">
      <c r="A24" s="510"/>
      <c r="B24" s="2" t="s">
        <v>24</v>
      </c>
      <c r="F24" s="1" t="s">
        <v>6</v>
      </c>
      <c r="G24" s="1160"/>
      <c r="H24" s="1161"/>
      <c r="I24" s="1162"/>
      <c r="J24" s="2" t="s">
        <v>24</v>
      </c>
      <c r="L24" s="31"/>
      <c r="M24" s="2" t="s">
        <v>24</v>
      </c>
      <c r="O24" s="31"/>
      <c r="P24" s="2" t="s">
        <v>24</v>
      </c>
      <c r="R24" s="31"/>
      <c r="S24" s="97"/>
      <c r="T24" s="31"/>
      <c r="U24" s="111"/>
    </row>
    <row r="25" spans="1:22" ht="13.5" thickBot="1" x14ac:dyDescent="0.35">
      <c r="A25" s="510"/>
      <c r="B25" s="765" t="s">
        <v>290</v>
      </c>
      <c r="C25" s="3"/>
      <c r="D25" s="3"/>
      <c r="E25" s="3"/>
      <c r="F25" s="3"/>
      <c r="G25" s="3"/>
      <c r="H25" s="3"/>
      <c r="I25" s="47"/>
      <c r="J25" s="3"/>
      <c r="K25" s="3"/>
      <c r="L25" s="35"/>
      <c r="M25" s="3"/>
      <c r="N25" s="3"/>
      <c r="O25" s="35"/>
      <c r="P25" s="3"/>
      <c r="Q25" s="3"/>
      <c r="R25" s="35"/>
      <c r="S25" s="3"/>
      <c r="T25" s="105"/>
      <c r="U25" s="766"/>
      <c r="V25" s="144"/>
    </row>
    <row r="26" spans="1:22" ht="13" x14ac:dyDescent="0.3">
      <c r="A26" s="510"/>
      <c r="B26" s="501" t="s">
        <v>66</v>
      </c>
      <c r="C26" s="7"/>
      <c r="D26" s="61"/>
      <c r="E26" s="61"/>
      <c r="F26" s="61"/>
      <c r="G26" s="61"/>
      <c r="H26" s="61"/>
      <c r="I26" s="62"/>
      <c r="J26" s="234" t="s">
        <v>12</v>
      </c>
      <c r="K26" s="235" t="s">
        <v>12</v>
      </c>
      <c r="L26" s="236" t="s">
        <v>12</v>
      </c>
      <c r="M26" s="38" t="s">
        <v>12</v>
      </c>
      <c r="N26" s="28" t="s">
        <v>12</v>
      </c>
      <c r="O26" s="34" t="s">
        <v>12</v>
      </c>
      <c r="P26" s="234" t="s">
        <v>12</v>
      </c>
      <c r="Q26" s="235" t="s">
        <v>12</v>
      </c>
      <c r="R26" s="236" t="s">
        <v>12</v>
      </c>
      <c r="S26" s="38" t="s">
        <v>12</v>
      </c>
      <c r="T26" s="81" t="s">
        <v>12</v>
      </c>
      <c r="U26" s="767" t="s">
        <v>12</v>
      </c>
    </row>
    <row r="27" spans="1:22" s="1" customFormat="1" ht="13.5" thickBot="1" x14ac:dyDescent="0.35">
      <c r="A27" s="511"/>
      <c r="B27" s="502" t="s">
        <v>67</v>
      </c>
      <c r="C27"/>
      <c r="D27"/>
      <c r="E27"/>
      <c r="F27"/>
      <c r="G27"/>
      <c r="H27"/>
      <c r="I27" s="190"/>
      <c r="J27" s="777" t="s">
        <v>12</v>
      </c>
      <c r="K27" s="778" t="s">
        <v>12</v>
      </c>
      <c r="L27" s="779" t="s">
        <v>12</v>
      </c>
      <c r="M27" s="769" t="s">
        <v>12</v>
      </c>
      <c r="N27" s="771" t="s">
        <v>12</v>
      </c>
      <c r="O27" s="770" t="s">
        <v>12</v>
      </c>
      <c r="P27" s="780" t="s">
        <v>12</v>
      </c>
      <c r="Q27" s="781" t="s">
        <v>12</v>
      </c>
      <c r="R27" s="782" t="s">
        <v>12</v>
      </c>
      <c r="S27" s="773" t="s">
        <v>12</v>
      </c>
      <c r="T27" s="208" t="s">
        <v>12</v>
      </c>
      <c r="U27" s="556" t="s">
        <v>12</v>
      </c>
    </row>
    <row r="28" spans="1:22" ht="13.5" thickTop="1" thickBot="1" x14ac:dyDescent="0.3">
      <c r="A28" s="510"/>
      <c r="C28" s="513"/>
      <c r="D28" s="513"/>
      <c r="E28" s="513"/>
      <c r="F28" s="513"/>
      <c r="G28" s="513"/>
      <c r="H28" s="513"/>
      <c r="I28" s="513"/>
      <c r="J28" s="513"/>
      <c r="K28" s="513"/>
      <c r="L28" s="513"/>
      <c r="M28" s="513"/>
      <c r="N28" s="513"/>
      <c r="O28" s="513"/>
      <c r="P28" s="513"/>
      <c r="Q28" s="513"/>
      <c r="R28" s="513"/>
      <c r="S28" s="513"/>
      <c r="T28" s="513"/>
      <c r="U28" s="515"/>
    </row>
    <row r="29" spans="1:22" ht="16" thickTop="1" x14ac:dyDescent="0.35">
      <c r="A29" s="510"/>
      <c r="B29" s="508" t="s">
        <v>26</v>
      </c>
      <c r="F29" s="1" t="s">
        <v>6</v>
      </c>
      <c r="G29" s="1160"/>
      <c r="H29" s="1161"/>
      <c r="I29" s="1162"/>
      <c r="J29" s="2" t="s">
        <v>26</v>
      </c>
      <c r="L29" s="31"/>
      <c r="M29" s="787" t="s">
        <v>26</v>
      </c>
      <c r="P29" s="461" t="s">
        <v>26</v>
      </c>
      <c r="R29" s="31"/>
      <c r="S29" s="97"/>
      <c r="T29" s="31"/>
      <c r="U29" s="111"/>
    </row>
    <row r="30" spans="1:22" ht="13.5" thickBot="1" x14ac:dyDescent="0.35">
      <c r="A30" s="510"/>
      <c r="B30" s="561" t="s">
        <v>290</v>
      </c>
      <c r="C30" s="3"/>
      <c r="D30" s="3"/>
      <c r="E30" s="3"/>
      <c r="F30" s="3"/>
      <c r="G30" s="3"/>
      <c r="H30" s="3"/>
      <c r="I30" s="47"/>
      <c r="J30" s="3"/>
      <c r="K30" s="3"/>
      <c r="L30" s="35"/>
      <c r="M30" s="3"/>
      <c r="N30" s="3"/>
      <c r="O30" s="35"/>
      <c r="P30" s="766"/>
      <c r="Q30" s="3"/>
      <c r="R30" s="35"/>
      <c r="S30" s="3"/>
      <c r="T30" s="105"/>
      <c r="U30" s="766"/>
      <c r="V30" s="144"/>
    </row>
    <row r="31" spans="1:22" ht="13" x14ac:dyDescent="0.3">
      <c r="A31" s="510"/>
      <c r="B31" s="501" t="s">
        <v>66</v>
      </c>
      <c r="C31" s="7"/>
      <c r="D31" s="61"/>
      <c r="E31" s="61"/>
      <c r="F31" s="61"/>
      <c r="G31" s="61"/>
      <c r="H31" s="61"/>
      <c r="I31" s="62"/>
      <c r="J31" s="234" t="s">
        <v>12</v>
      </c>
      <c r="K31" s="235" t="s">
        <v>12</v>
      </c>
      <c r="L31" s="236" t="s">
        <v>12</v>
      </c>
      <c r="M31" s="38" t="s">
        <v>12</v>
      </c>
      <c r="N31" s="28" t="s">
        <v>12</v>
      </c>
      <c r="O31" s="34" t="s">
        <v>12</v>
      </c>
      <c r="P31" s="234" t="s">
        <v>12</v>
      </c>
      <c r="Q31" s="235" t="s">
        <v>12</v>
      </c>
      <c r="R31" s="236" t="s">
        <v>12</v>
      </c>
      <c r="S31" s="38" t="s">
        <v>12</v>
      </c>
      <c r="T31" s="81" t="s">
        <v>12</v>
      </c>
      <c r="U31" s="767" t="s">
        <v>12</v>
      </c>
    </row>
    <row r="32" spans="1:22" s="1" customFormat="1" ht="13.5" thickBot="1" x14ac:dyDescent="0.35">
      <c r="A32" s="511"/>
      <c r="B32" s="502" t="s">
        <v>67</v>
      </c>
      <c r="C32"/>
      <c r="D32"/>
      <c r="E32"/>
      <c r="F32"/>
      <c r="G32"/>
      <c r="H32"/>
      <c r="I32" s="190"/>
      <c r="J32" s="780" t="s">
        <v>12</v>
      </c>
      <c r="K32" s="781" t="s">
        <v>12</v>
      </c>
      <c r="L32" s="779" t="s">
        <v>12</v>
      </c>
      <c r="M32" s="772" t="s">
        <v>12</v>
      </c>
      <c r="N32" s="771" t="s">
        <v>12</v>
      </c>
      <c r="O32" s="208" t="s">
        <v>12</v>
      </c>
      <c r="P32" s="780" t="s">
        <v>12</v>
      </c>
      <c r="Q32" s="781" t="s">
        <v>12</v>
      </c>
      <c r="R32" s="782" t="s">
        <v>12</v>
      </c>
      <c r="S32" s="773" t="s">
        <v>12</v>
      </c>
      <c r="T32" s="208" t="s">
        <v>12</v>
      </c>
      <c r="U32" s="556" t="s">
        <v>12</v>
      </c>
    </row>
    <row r="33" spans="1:22" ht="13.5" thickTop="1" x14ac:dyDescent="0.3">
      <c r="B33" s="519"/>
      <c r="C33" s="516"/>
      <c r="D33" s="516"/>
      <c r="E33" s="516"/>
      <c r="F33" s="516"/>
      <c r="G33" s="516"/>
      <c r="H33" s="516"/>
      <c r="I33" s="517"/>
      <c r="J33" s="517"/>
      <c r="K33" s="517"/>
      <c r="L33" s="517"/>
      <c r="M33" s="517"/>
      <c r="N33" s="517"/>
      <c r="O33" s="517"/>
      <c r="P33" s="517"/>
      <c r="Q33" s="517"/>
      <c r="R33" s="517"/>
      <c r="S33" s="520"/>
      <c r="T33" s="521"/>
      <c r="U33" s="522"/>
    </row>
    <row r="34" spans="1:22" ht="13" thickBot="1" x14ac:dyDescent="0.3">
      <c r="B34" s="335"/>
      <c r="C34" s="335"/>
      <c r="D34" s="335"/>
      <c r="E34" s="335"/>
      <c r="F34" s="335"/>
      <c r="G34" s="335"/>
      <c r="H34" s="335"/>
      <c r="I34" s="335"/>
      <c r="J34" s="335"/>
      <c r="K34" s="335"/>
      <c r="L34" s="335"/>
      <c r="M34" s="335"/>
      <c r="N34" s="335"/>
      <c r="O34" s="335"/>
      <c r="P34" s="335"/>
      <c r="Q34" s="335"/>
      <c r="R34" s="335"/>
      <c r="S34" s="335"/>
      <c r="T34" s="335"/>
      <c r="U34" s="335"/>
    </row>
    <row r="35" spans="1:22" ht="27.5" thickTop="1" thickBot="1" x14ac:dyDescent="0.4">
      <c r="A35" s="510"/>
      <c r="B35" s="508" t="s">
        <v>28</v>
      </c>
      <c r="F35" s="1" t="s">
        <v>6</v>
      </c>
      <c r="G35" s="1160"/>
      <c r="H35" s="1161"/>
      <c r="I35" s="1162"/>
      <c r="J35" s="2" t="s">
        <v>28</v>
      </c>
      <c r="L35" s="31"/>
      <c r="M35" s="2" t="s">
        <v>28</v>
      </c>
      <c r="O35" s="31"/>
      <c r="P35" s="2" t="s">
        <v>28</v>
      </c>
      <c r="R35" s="31"/>
      <c r="S35" s="448" t="s">
        <v>17</v>
      </c>
      <c r="T35" s="449" t="s">
        <v>103</v>
      </c>
      <c r="U35" s="523" t="s">
        <v>79</v>
      </c>
    </row>
    <row r="36" spans="1:22" ht="13.5" thickBot="1" x14ac:dyDescent="0.35">
      <c r="A36" s="510"/>
      <c r="B36" s="561" t="s">
        <v>290</v>
      </c>
      <c r="C36" s="3"/>
      <c r="D36" s="3"/>
      <c r="E36" s="3"/>
      <c r="F36" s="3"/>
      <c r="G36" s="3"/>
      <c r="H36" s="3"/>
      <c r="I36" s="47"/>
      <c r="J36" s="3"/>
      <c r="K36" s="3"/>
      <c r="L36" s="35"/>
      <c r="M36" s="3"/>
      <c r="N36" s="3"/>
      <c r="O36" s="35"/>
      <c r="P36" s="3"/>
      <c r="Q36" s="3"/>
      <c r="R36" s="35"/>
      <c r="S36" s="3"/>
      <c r="T36" s="105"/>
      <c r="U36" s="766"/>
      <c r="V36" s="144"/>
    </row>
    <row r="37" spans="1:22" ht="13" x14ac:dyDescent="0.3">
      <c r="A37" s="510"/>
      <c r="B37" s="501" t="s">
        <v>66</v>
      </c>
      <c r="C37" s="7"/>
      <c r="D37" s="61"/>
      <c r="E37" s="61"/>
      <c r="F37" s="61"/>
      <c r="G37" s="61"/>
      <c r="H37" s="61"/>
      <c r="I37" s="62"/>
      <c r="J37" s="234" t="s">
        <v>12</v>
      </c>
      <c r="K37" s="235" t="s">
        <v>12</v>
      </c>
      <c r="L37" s="236" t="s">
        <v>12</v>
      </c>
      <c r="M37" s="38" t="s">
        <v>12</v>
      </c>
      <c r="N37" s="28" t="s">
        <v>12</v>
      </c>
      <c r="O37" s="34" t="s">
        <v>12</v>
      </c>
      <c r="P37" s="234" t="s">
        <v>12</v>
      </c>
      <c r="Q37" s="235" t="s">
        <v>12</v>
      </c>
      <c r="R37" s="236" t="s">
        <v>12</v>
      </c>
      <c r="S37" s="38" t="s">
        <v>12</v>
      </c>
      <c r="T37" s="81" t="s">
        <v>12</v>
      </c>
      <c r="U37" s="767" t="s">
        <v>12</v>
      </c>
    </row>
    <row r="38" spans="1:22" s="1" customFormat="1" ht="13.5" thickBot="1" x14ac:dyDescent="0.35">
      <c r="A38" s="511"/>
      <c r="B38" s="502" t="s">
        <v>67</v>
      </c>
      <c r="C38"/>
      <c r="D38"/>
      <c r="E38"/>
      <c r="F38"/>
      <c r="G38"/>
      <c r="H38"/>
      <c r="I38" s="190"/>
      <c r="J38" s="777" t="s">
        <v>12</v>
      </c>
      <c r="K38" s="778" t="s">
        <v>12</v>
      </c>
      <c r="L38" s="779" t="s">
        <v>12</v>
      </c>
      <c r="M38" s="769" t="s">
        <v>12</v>
      </c>
      <c r="N38" s="771" t="s">
        <v>12</v>
      </c>
      <c r="O38" s="770" t="s">
        <v>12</v>
      </c>
      <c r="P38" s="780" t="s">
        <v>12</v>
      </c>
      <c r="Q38" s="781" t="s">
        <v>12</v>
      </c>
      <c r="R38" s="782" t="s">
        <v>12</v>
      </c>
      <c r="S38" s="773" t="s">
        <v>12</v>
      </c>
      <c r="T38" s="208" t="s">
        <v>12</v>
      </c>
      <c r="U38" s="556" t="s">
        <v>12</v>
      </c>
    </row>
    <row r="39" spans="1:22" ht="13.5" thickTop="1" thickBot="1" x14ac:dyDescent="0.3">
      <c r="A39" s="510"/>
      <c r="B39" s="513"/>
      <c r="C39" s="513"/>
      <c r="D39" s="513"/>
      <c r="E39" s="513"/>
      <c r="F39" s="513"/>
      <c r="G39" s="513"/>
      <c r="H39" s="513"/>
      <c r="I39" s="513"/>
      <c r="J39" s="513"/>
      <c r="K39" s="513"/>
      <c r="L39" s="513"/>
      <c r="M39" s="513"/>
      <c r="N39" s="513"/>
      <c r="O39" s="513"/>
      <c r="P39" s="513"/>
      <c r="Q39" s="513"/>
      <c r="R39" s="513"/>
      <c r="S39" s="513"/>
      <c r="T39" s="513"/>
      <c r="U39" s="515"/>
    </row>
    <row r="40" spans="1:22" ht="16" thickTop="1" x14ac:dyDescent="0.35">
      <c r="A40" s="510"/>
      <c r="B40" s="2" t="s">
        <v>30</v>
      </c>
      <c r="F40" s="1" t="s">
        <v>6</v>
      </c>
      <c r="G40" s="1160"/>
      <c r="H40" s="1161"/>
      <c r="I40" s="1162"/>
      <c r="J40" s="2" t="s">
        <v>30</v>
      </c>
      <c r="L40" s="31"/>
      <c r="M40" s="2" t="s">
        <v>30</v>
      </c>
      <c r="O40" s="31"/>
      <c r="P40" s="2" t="s">
        <v>30</v>
      </c>
      <c r="Q40" s="61"/>
      <c r="R40" s="62"/>
      <c r="S40" s="97"/>
      <c r="T40" s="108"/>
      <c r="U40" s="31"/>
    </row>
    <row r="41" spans="1:22" ht="13.5" thickBot="1" x14ac:dyDescent="0.35">
      <c r="A41" s="510"/>
      <c r="B41" s="561" t="s">
        <v>290</v>
      </c>
      <c r="C41" s="3"/>
      <c r="D41" s="3"/>
      <c r="E41" s="3"/>
      <c r="F41" s="3"/>
      <c r="G41" s="3"/>
      <c r="H41" s="3"/>
      <c r="I41" s="47"/>
      <c r="J41" s="3"/>
      <c r="K41" s="3"/>
      <c r="L41" s="35"/>
      <c r="M41" s="3"/>
      <c r="N41" s="3"/>
      <c r="O41" s="35"/>
      <c r="P41" s="3"/>
      <c r="Q41" s="3"/>
      <c r="R41" s="35"/>
      <c r="S41" s="3"/>
      <c r="T41" s="105"/>
      <c r="U41" s="766"/>
      <c r="V41" s="144"/>
    </row>
    <row r="42" spans="1:22" ht="13" x14ac:dyDescent="0.3">
      <c r="A42" s="510"/>
      <c r="B42" s="501" t="s">
        <v>66</v>
      </c>
      <c r="C42" s="7"/>
      <c r="D42" s="61"/>
      <c r="E42" s="61"/>
      <c r="F42" s="61"/>
      <c r="G42" s="61"/>
      <c r="H42" s="61"/>
      <c r="I42" s="62"/>
      <c r="J42" s="234" t="s">
        <v>12</v>
      </c>
      <c r="K42" s="235" t="s">
        <v>12</v>
      </c>
      <c r="L42" s="236" t="s">
        <v>12</v>
      </c>
      <c r="M42" s="38" t="s">
        <v>12</v>
      </c>
      <c r="N42" s="28" t="s">
        <v>12</v>
      </c>
      <c r="O42" s="34" t="s">
        <v>12</v>
      </c>
      <c r="P42" s="234" t="s">
        <v>12</v>
      </c>
      <c r="Q42" s="235" t="s">
        <v>12</v>
      </c>
      <c r="R42" s="236" t="s">
        <v>12</v>
      </c>
      <c r="S42" s="38" t="s">
        <v>12</v>
      </c>
      <c r="T42" s="81" t="s">
        <v>12</v>
      </c>
      <c r="U42" s="767" t="s">
        <v>12</v>
      </c>
    </row>
    <row r="43" spans="1:22" s="1" customFormat="1" ht="13.5" thickBot="1" x14ac:dyDescent="0.35">
      <c r="A43" s="511"/>
      <c r="B43" s="502" t="s">
        <v>67</v>
      </c>
      <c r="C43" s="783"/>
      <c r="D43"/>
      <c r="E43"/>
      <c r="F43"/>
      <c r="G43"/>
      <c r="H43"/>
      <c r="I43" s="190"/>
      <c r="J43" s="777" t="s">
        <v>12</v>
      </c>
      <c r="K43" s="778" t="s">
        <v>12</v>
      </c>
      <c r="L43" s="779" t="s">
        <v>12</v>
      </c>
      <c r="M43" s="769" t="s">
        <v>12</v>
      </c>
      <c r="N43" s="771" t="s">
        <v>12</v>
      </c>
      <c r="O43" s="770" t="s">
        <v>12</v>
      </c>
      <c r="P43" s="780" t="s">
        <v>12</v>
      </c>
      <c r="Q43" s="781" t="s">
        <v>12</v>
      </c>
      <c r="R43" s="782" t="s">
        <v>12</v>
      </c>
      <c r="S43" s="773" t="s">
        <v>12</v>
      </c>
      <c r="T43" s="208" t="s">
        <v>12</v>
      </c>
      <c r="U43" s="556" t="s">
        <v>12</v>
      </c>
    </row>
    <row r="44" spans="1:22" ht="13.5" thickTop="1" thickBot="1" x14ac:dyDescent="0.3">
      <c r="B44" s="144"/>
      <c r="D44" s="513"/>
      <c r="E44" s="513"/>
      <c r="F44" s="513"/>
      <c r="G44" s="513"/>
      <c r="H44" s="513"/>
      <c r="I44" s="513"/>
      <c r="J44" s="513"/>
      <c r="K44" s="513"/>
      <c r="L44" s="513"/>
      <c r="M44" s="513"/>
      <c r="N44" s="513"/>
      <c r="O44" s="513"/>
      <c r="P44" s="513"/>
      <c r="Q44" s="513"/>
      <c r="R44" s="513"/>
      <c r="S44" s="513"/>
      <c r="T44" s="513"/>
      <c r="U44" s="515"/>
    </row>
    <row r="45" spans="1:22" ht="19" thickTop="1" thickBot="1" x14ac:dyDescent="0.45">
      <c r="B45" s="456" t="s">
        <v>121</v>
      </c>
      <c r="C45" s="188" t="str">
        <f>C2</f>
        <v>NATTS</v>
      </c>
      <c r="E45" s="3"/>
      <c r="F45" s="9"/>
      <c r="G45" s="3"/>
      <c r="H45" s="3"/>
      <c r="I45" s="35"/>
      <c r="J45" s="67" t="str">
        <f>J2</f>
        <v>Year 1</v>
      </c>
      <c r="K45" s="67">
        <f>K2</f>
        <v>2023</v>
      </c>
      <c r="L45" s="35"/>
      <c r="M45" s="67" t="str">
        <f>M2</f>
        <v>Year 2</v>
      </c>
      <c r="N45" s="67">
        <f>N2</f>
        <v>2024</v>
      </c>
      <c r="O45" s="35"/>
      <c r="P45" s="67" t="str">
        <f>P2</f>
        <v>Year 3</v>
      </c>
      <c r="Q45" s="67">
        <f>Q2</f>
        <v>2025</v>
      </c>
      <c r="R45" s="35"/>
      <c r="S45" s="124"/>
      <c r="T45" s="105"/>
      <c r="U45" s="468"/>
    </row>
    <row r="46" spans="1:22" ht="13.5" thickBot="1" x14ac:dyDescent="0.35">
      <c r="B46" s="144"/>
      <c r="C46" s="152" t="s">
        <v>45</v>
      </c>
      <c r="D46" s="149" t="s">
        <v>46</v>
      </c>
      <c r="E46" s="149" t="s">
        <v>47</v>
      </c>
      <c r="F46" s="160" t="s">
        <v>48</v>
      </c>
      <c r="G46" s="151" t="s">
        <v>49</v>
      </c>
      <c r="H46" s="149" t="s">
        <v>50</v>
      </c>
      <c r="I46" s="150" t="s">
        <v>13</v>
      </c>
      <c r="J46" s="270" t="s">
        <v>56</v>
      </c>
      <c r="K46" s="271" t="s">
        <v>13</v>
      </c>
      <c r="L46" s="272" t="s">
        <v>68</v>
      </c>
      <c r="M46" s="151" t="s">
        <v>56</v>
      </c>
      <c r="N46" s="149" t="s">
        <v>13</v>
      </c>
      <c r="O46" s="150" t="s">
        <v>68</v>
      </c>
      <c r="P46" s="270" t="s">
        <v>56</v>
      </c>
      <c r="Q46" s="271" t="s">
        <v>13</v>
      </c>
      <c r="R46" s="272" t="s">
        <v>68</v>
      </c>
      <c r="S46" s="152"/>
      <c r="T46" s="153"/>
      <c r="U46" s="469"/>
    </row>
    <row r="47" spans="1:22" ht="13" x14ac:dyDescent="0.3">
      <c r="B47" s="470" t="s">
        <v>97</v>
      </c>
      <c r="C47" s="155">
        <f t="shared" ref="C47:S47" si="1">C9</f>
        <v>0</v>
      </c>
      <c r="D47" s="147">
        <f t="shared" si="1"/>
        <v>0</v>
      </c>
      <c r="E47" s="147">
        <f t="shared" si="1"/>
        <v>0</v>
      </c>
      <c r="F47" s="147">
        <f t="shared" si="1"/>
        <v>0</v>
      </c>
      <c r="G47" s="147">
        <f t="shared" si="1"/>
        <v>0</v>
      </c>
      <c r="H47" s="147">
        <f t="shared" si="1"/>
        <v>0</v>
      </c>
      <c r="I47" s="148">
        <f t="shared" si="1"/>
        <v>0</v>
      </c>
      <c r="J47" s="234" t="str">
        <f t="shared" si="1"/>
        <v>NA</v>
      </c>
      <c r="K47" s="235" t="str">
        <f t="shared" si="1"/>
        <v>NA</v>
      </c>
      <c r="L47" s="236" t="str">
        <f t="shared" si="1"/>
        <v>NA</v>
      </c>
      <c r="M47" s="38" t="str">
        <f t="shared" si="1"/>
        <v>NA</v>
      </c>
      <c r="N47" s="28" t="str">
        <f t="shared" si="1"/>
        <v>NA</v>
      </c>
      <c r="O47" s="34" t="str">
        <f t="shared" si="1"/>
        <v>NA</v>
      </c>
      <c r="P47" s="234" t="str">
        <f t="shared" si="1"/>
        <v>NA</v>
      </c>
      <c r="Q47" s="235" t="str">
        <f t="shared" si="1"/>
        <v>NA</v>
      </c>
      <c r="R47" s="236" t="str">
        <f t="shared" si="1"/>
        <v>NA</v>
      </c>
      <c r="S47" s="34" t="str">
        <f t="shared" si="1"/>
        <v>NA</v>
      </c>
      <c r="T47" s="800"/>
      <c r="U47" s="691"/>
    </row>
    <row r="48" spans="1:22" ht="13.5" thickBot="1" x14ac:dyDescent="0.35">
      <c r="B48" s="471" t="s">
        <v>76</v>
      </c>
      <c r="C48" s="161">
        <f t="shared" ref="C48:S48" si="2">C10</f>
        <v>0</v>
      </c>
      <c r="D48" s="162">
        <f t="shared" si="2"/>
        <v>0</v>
      </c>
      <c r="E48" s="162">
        <f t="shared" si="2"/>
        <v>0</v>
      </c>
      <c r="F48" s="162">
        <f t="shared" si="2"/>
        <v>0</v>
      </c>
      <c r="G48" s="162">
        <f t="shared" si="2"/>
        <v>0</v>
      </c>
      <c r="H48" s="162">
        <f t="shared" si="2"/>
        <v>0</v>
      </c>
      <c r="I48" s="163">
        <f t="shared" si="2"/>
        <v>0</v>
      </c>
      <c r="J48" s="789" t="str">
        <f t="shared" si="2"/>
        <v>NA</v>
      </c>
      <c r="K48" s="790" t="str">
        <f t="shared" si="2"/>
        <v>NA</v>
      </c>
      <c r="L48" s="791" t="str">
        <f t="shared" si="2"/>
        <v>NA</v>
      </c>
      <c r="M48" s="796" t="str">
        <f t="shared" si="2"/>
        <v>NA</v>
      </c>
      <c r="N48" s="797" t="str">
        <f t="shared" si="2"/>
        <v>NA</v>
      </c>
      <c r="O48" s="164" t="str">
        <f t="shared" si="2"/>
        <v>NA</v>
      </c>
      <c r="P48" s="789" t="str">
        <f t="shared" si="2"/>
        <v>NA</v>
      </c>
      <c r="Q48" s="790" t="str">
        <f t="shared" si="2"/>
        <v>NA</v>
      </c>
      <c r="R48" s="791" t="str">
        <f t="shared" si="2"/>
        <v>NA</v>
      </c>
      <c r="S48" s="164" t="str">
        <f t="shared" si="2"/>
        <v>NA</v>
      </c>
      <c r="T48" s="164" t="str">
        <f>T10</f>
        <v>NA</v>
      </c>
      <c r="U48" s="322" t="s">
        <v>12</v>
      </c>
    </row>
    <row r="49" spans="2:21" ht="13" x14ac:dyDescent="0.3">
      <c r="B49" s="472" t="s">
        <v>98</v>
      </c>
      <c r="C49" s="155">
        <f t="shared" ref="C49:S49" si="3">C14</f>
        <v>0</v>
      </c>
      <c r="D49" s="147">
        <f t="shared" si="3"/>
        <v>0</v>
      </c>
      <c r="E49" s="147">
        <f t="shared" si="3"/>
        <v>0</v>
      </c>
      <c r="F49" s="147">
        <f t="shared" si="3"/>
        <v>0</v>
      </c>
      <c r="G49" s="147">
        <f t="shared" si="3"/>
        <v>0</v>
      </c>
      <c r="H49" s="147">
        <f t="shared" si="3"/>
        <v>0</v>
      </c>
      <c r="I49" s="148">
        <f t="shared" si="3"/>
        <v>0</v>
      </c>
      <c r="J49" s="234" t="str">
        <f t="shared" si="3"/>
        <v>NA</v>
      </c>
      <c r="K49" s="235" t="str">
        <f t="shared" si="3"/>
        <v>NA</v>
      </c>
      <c r="L49" s="236" t="str">
        <f t="shared" si="3"/>
        <v>NA</v>
      </c>
      <c r="M49" s="38" t="str">
        <f t="shared" si="3"/>
        <v>NA</v>
      </c>
      <c r="N49" s="28" t="str">
        <f t="shared" si="3"/>
        <v>NA</v>
      </c>
      <c r="O49" s="34" t="str">
        <f t="shared" si="3"/>
        <v>NA</v>
      </c>
      <c r="P49" s="234" t="str">
        <f t="shared" si="3"/>
        <v>NA</v>
      </c>
      <c r="Q49" s="235" t="str">
        <f t="shared" si="3"/>
        <v>NA</v>
      </c>
      <c r="R49" s="236" t="str">
        <f t="shared" si="3"/>
        <v>NA</v>
      </c>
      <c r="S49" s="34" t="str">
        <f t="shared" si="3"/>
        <v>NA</v>
      </c>
      <c r="T49" s="800"/>
      <c r="U49" s="691"/>
    </row>
    <row r="50" spans="2:21" ht="13.5" thickBot="1" x14ac:dyDescent="0.35">
      <c r="B50" s="471" t="s">
        <v>76</v>
      </c>
      <c r="C50" s="165">
        <f t="shared" ref="C50:S50" si="4">C15</f>
        <v>0</v>
      </c>
      <c r="D50" s="166">
        <f t="shared" si="4"/>
        <v>0</v>
      </c>
      <c r="E50" s="166">
        <f t="shared" si="4"/>
        <v>0</v>
      </c>
      <c r="F50" s="166">
        <f t="shared" si="4"/>
        <v>0</v>
      </c>
      <c r="G50" s="166">
        <f t="shared" si="4"/>
        <v>0</v>
      </c>
      <c r="H50" s="166">
        <f t="shared" si="4"/>
        <v>0</v>
      </c>
      <c r="I50" s="167">
        <f t="shared" si="4"/>
        <v>0</v>
      </c>
      <c r="J50" s="792" t="str">
        <f t="shared" si="4"/>
        <v>NA</v>
      </c>
      <c r="K50" s="283" t="str">
        <f t="shared" si="4"/>
        <v>NA</v>
      </c>
      <c r="L50" s="793" t="str">
        <f t="shared" si="4"/>
        <v>NA</v>
      </c>
      <c r="M50" s="598" t="str">
        <f t="shared" si="4"/>
        <v>NA</v>
      </c>
      <c r="N50" s="175" t="str">
        <f t="shared" si="4"/>
        <v>NA</v>
      </c>
      <c r="O50" s="168" t="str">
        <f t="shared" si="4"/>
        <v>NA</v>
      </c>
      <c r="P50" s="792" t="str">
        <f t="shared" si="4"/>
        <v>NA</v>
      </c>
      <c r="Q50" s="283" t="str">
        <f t="shared" si="4"/>
        <v>NA</v>
      </c>
      <c r="R50" s="793" t="str">
        <f t="shared" si="4"/>
        <v>NA</v>
      </c>
      <c r="S50" s="168" t="str">
        <f t="shared" si="4"/>
        <v>NA</v>
      </c>
      <c r="T50" s="168" t="str">
        <f>T15</f>
        <v>NA</v>
      </c>
      <c r="U50" s="801" t="str">
        <f>U15</f>
        <v>NA</v>
      </c>
    </row>
    <row r="51" spans="2:21" ht="13" x14ac:dyDescent="0.3">
      <c r="B51" s="472" t="s">
        <v>96</v>
      </c>
      <c r="C51" s="156">
        <f t="shared" ref="C51:T51" si="5">C21</f>
        <v>0</v>
      </c>
      <c r="D51" s="21">
        <f t="shared" si="5"/>
        <v>0</v>
      </c>
      <c r="E51" s="21">
        <f t="shared" si="5"/>
        <v>0</v>
      </c>
      <c r="F51" s="21">
        <f t="shared" si="5"/>
        <v>0</v>
      </c>
      <c r="G51" s="21">
        <f t="shared" si="5"/>
        <v>0</v>
      </c>
      <c r="H51" s="21">
        <f t="shared" si="5"/>
        <v>0</v>
      </c>
      <c r="I51" s="157">
        <f t="shared" si="5"/>
        <v>0</v>
      </c>
      <c r="J51" s="279" t="str">
        <f t="shared" si="5"/>
        <v>NA</v>
      </c>
      <c r="K51" s="267" t="str">
        <f t="shared" si="5"/>
        <v>NA</v>
      </c>
      <c r="L51" s="794" t="str">
        <f t="shared" si="5"/>
        <v>NA</v>
      </c>
      <c r="M51" s="158" t="str">
        <f t="shared" si="5"/>
        <v>NA</v>
      </c>
      <c r="N51" s="30" t="str">
        <f t="shared" si="5"/>
        <v>NA</v>
      </c>
      <c r="O51" s="39" t="str">
        <f t="shared" si="5"/>
        <v>NA</v>
      </c>
      <c r="P51" s="279" t="str">
        <f t="shared" si="5"/>
        <v>NA</v>
      </c>
      <c r="Q51" s="267" t="str">
        <f t="shared" si="5"/>
        <v>NA</v>
      </c>
      <c r="R51" s="794" t="str">
        <f t="shared" si="5"/>
        <v>NA</v>
      </c>
      <c r="S51" s="39" t="str">
        <f t="shared" si="5"/>
        <v>NA</v>
      </c>
      <c r="T51" s="39" t="str">
        <f t="shared" si="5"/>
        <v>NA</v>
      </c>
      <c r="U51" s="119" t="s">
        <v>12</v>
      </c>
    </row>
    <row r="52" spans="2:21" ht="13.5" thickBot="1" x14ac:dyDescent="0.35">
      <c r="B52" s="471" t="s">
        <v>76</v>
      </c>
      <c r="C52" s="169">
        <f t="shared" ref="C52:S52" si="6">C22</f>
        <v>0</v>
      </c>
      <c r="D52" s="166">
        <f t="shared" si="6"/>
        <v>0</v>
      </c>
      <c r="E52" s="166">
        <f t="shared" si="6"/>
        <v>0</v>
      </c>
      <c r="F52" s="166">
        <f t="shared" si="6"/>
        <v>0</v>
      </c>
      <c r="G52" s="166">
        <f t="shared" si="6"/>
        <v>0</v>
      </c>
      <c r="H52" s="166">
        <f t="shared" si="6"/>
        <v>0</v>
      </c>
      <c r="I52" s="167">
        <f t="shared" si="6"/>
        <v>0</v>
      </c>
      <c r="J52" s="278">
        <f t="shared" si="6"/>
        <v>156415.6871333594</v>
      </c>
      <c r="K52" s="245">
        <f t="shared" si="6"/>
        <v>3441145.1169339069</v>
      </c>
      <c r="L52" s="246">
        <f t="shared" si="6"/>
        <v>3441145.1169339069</v>
      </c>
      <c r="M52" s="165">
        <f t="shared" si="6"/>
        <v>162672.31461869378</v>
      </c>
      <c r="N52" s="166">
        <f t="shared" si="6"/>
        <v>3578790.9216112634</v>
      </c>
      <c r="O52" s="167">
        <f t="shared" si="6"/>
        <v>3578790.9216112634</v>
      </c>
      <c r="P52" s="278">
        <f t="shared" si="6"/>
        <v>165925.76091106766</v>
      </c>
      <c r="Q52" s="245">
        <f t="shared" si="6"/>
        <v>3650366.7400434883</v>
      </c>
      <c r="R52" s="246">
        <f t="shared" si="6"/>
        <v>3650366.7400434883</v>
      </c>
      <c r="S52" s="168" t="str">
        <f t="shared" si="6"/>
        <v>NA</v>
      </c>
      <c r="T52" s="168" t="str">
        <f>T22</f>
        <v>NA</v>
      </c>
      <c r="U52" s="322">
        <f>U22</f>
        <v>3556767.5928628868</v>
      </c>
    </row>
    <row r="53" spans="2:21" ht="13" x14ac:dyDescent="0.3">
      <c r="B53" s="472" t="s">
        <v>99</v>
      </c>
      <c r="C53" s="156">
        <f t="shared" ref="C53:S53" si="7">C26</f>
        <v>0</v>
      </c>
      <c r="D53" s="21">
        <f t="shared" si="7"/>
        <v>0</v>
      </c>
      <c r="E53" s="21">
        <f t="shared" si="7"/>
        <v>0</v>
      </c>
      <c r="F53" s="21">
        <f t="shared" si="7"/>
        <v>0</v>
      </c>
      <c r="G53" s="21">
        <f t="shared" si="7"/>
        <v>0</v>
      </c>
      <c r="H53" s="21">
        <f t="shared" si="7"/>
        <v>0</v>
      </c>
      <c r="I53" s="157">
        <f t="shared" si="7"/>
        <v>0</v>
      </c>
      <c r="J53" s="279" t="str">
        <f t="shared" si="7"/>
        <v>NA</v>
      </c>
      <c r="K53" s="267" t="str">
        <f t="shared" si="7"/>
        <v>NA</v>
      </c>
      <c r="L53" s="794" t="str">
        <f t="shared" si="7"/>
        <v>NA</v>
      </c>
      <c r="M53" s="158" t="str">
        <f t="shared" si="7"/>
        <v>NA</v>
      </c>
      <c r="N53" s="30" t="str">
        <f t="shared" si="7"/>
        <v>NA</v>
      </c>
      <c r="O53" s="39" t="str">
        <f t="shared" si="7"/>
        <v>NA</v>
      </c>
      <c r="P53" s="279" t="str">
        <f t="shared" si="7"/>
        <v>NA</v>
      </c>
      <c r="Q53" s="267" t="str">
        <f t="shared" si="7"/>
        <v>NA</v>
      </c>
      <c r="R53" s="794" t="str">
        <f t="shared" si="7"/>
        <v>NA</v>
      </c>
      <c r="S53" s="39" t="str">
        <f t="shared" si="7"/>
        <v>NA</v>
      </c>
      <c r="T53" s="800"/>
      <c r="U53" s="691"/>
    </row>
    <row r="54" spans="2:21" ht="13.5" thickBot="1" x14ac:dyDescent="0.35">
      <c r="B54" s="471" t="s">
        <v>76</v>
      </c>
      <c r="C54" s="165">
        <f t="shared" ref="C54:S54" si="8">C27</f>
        <v>0</v>
      </c>
      <c r="D54" s="166">
        <f t="shared" si="8"/>
        <v>0</v>
      </c>
      <c r="E54" s="166">
        <f t="shared" si="8"/>
        <v>0</v>
      </c>
      <c r="F54" s="166">
        <f t="shared" si="8"/>
        <v>0</v>
      </c>
      <c r="G54" s="166">
        <f t="shared" si="8"/>
        <v>0</v>
      </c>
      <c r="H54" s="166">
        <f t="shared" si="8"/>
        <v>0</v>
      </c>
      <c r="I54" s="167">
        <f t="shared" si="8"/>
        <v>0</v>
      </c>
      <c r="J54" s="792" t="str">
        <f t="shared" si="8"/>
        <v>NA</v>
      </c>
      <c r="K54" s="283" t="str">
        <f t="shared" si="8"/>
        <v>NA</v>
      </c>
      <c r="L54" s="793" t="str">
        <f t="shared" si="8"/>
        <v>NA</v>
      </c>
      <c r="M54" s="798" t="str">
        <f t="shared" si="8"/>
        <v>NA</v>
      </c>
      <c r="N54" s="175" t="str">
        <f t="shared" si="8"/>
        <v>NA</v>
      </c>
      <c r="O54" s="168" t="str">
        <f t="shared" si="8"/>
        <v>NA</v>
      </c>
      <c r="P54" s="792" t="str">
        <f t="shared" si="8"/>
        <v>NA</v>
      </c>
      <c r="Q54" s="283" t="str">
        <f t="shared" si="8"/>
        <v>NA</v>
      </c>
      <c r="R54" s="793" t="str">
        <f t="shared" si="8"/>
        <v>NA</v>
      </c>
      <c r="S54" s="168" t="str">
        <f t="shared" si="8"/>
        <v>NA</v>
      </c>
      <c r="T54" s="168" t="str">
        <f>T27</f>
        <v>NA</v>
      </c>
      <c r="U54" s="474" t="s">
        <v>12</v>
      </c>
    </row>
    <row r="55" spans="2:21" ht="13" x14ac:dyDescent="0.3">
      <c r="B55" s="472" t="s">
        <v>100</v>
      </c>
      <c r="C55" s="156">
        <f t="shared" ref="C55:U55" si="9">C31</f>
        <v>0</v>
      </c>
      <c r="D55" s="21">
        <f t="shared" si="9"/>
        <v>0</v>
      </c>
      <c r="E55" s="21">
        <f t="shared" si="9"/>
        <v>0</v>
      </c>
      <c r="F55" s="21">
        <f t="shared" si="9"/>
        <v>0</v>
      </c>
      <c r="G55" s="21">
        <f t="shared" si="9"/>
        <v>0</v>
      </c>
      <c r="H55" s="21">
        <f t="shared" si="9"/>
        <v>0</v>
      </c>
      <c r="I55" s="157">
        <f t="shared" si="9"/>
        <v>0</v>
      </c>
      <c r="J55" s="279" t="str">
        <f t="shared" si="9"/>
        <v>NA</v>
      </c>
      <c r="K55" s="267" t="str">
        <f t="shared" si="9"/>
        <v>NA</v>
      </c>
      <c r="L55" s="794" t="str">
        <f t="shared" si="9"/>
        <v>NA</v>
      </c>
      <c r="M55" s="158" t="str">
        <f t="shared" si="9"/>
        <v>NA</v>
      </c>
      <c r="N55" s="30" t="str">
        <f t="shared" si="9"/>
        <v>NA</v>
      </c>
      <c r="O55" s="39" t="str">
        <f t="shared" si="9"/>
        <v>NA</v>
      </c>
      <c r="P55" s="279" t="str">
        <f t="shared" si="9"/>
        <v>NA</v>
      </c>
      <c r="Q55" s="267" t="str">
        <f t="shared" si="9"/>
        <v>NA</v>
      </c>
      <c r="R55" s="794" t="str">
        <f t="shared" si="9"/>
        <v>NA</v>
      </c>
      <c r="S55" s="39" t="str">
        <f t="shared" si="9"/>
        <v>NA</v>
      </c>
      <c r="T55" s="170" t="str">
        <f t="shared" si="9"/>
        <v>NA</v>
      </c>
      <c r="U55" s="475" t="str">
        <f t="shared" si="9"/>
        <v>NA</v>
      </c>
    </row>
    <row r="56" spans="2:21" ht="13.5" thickBot="1" x14ac:dyDescent="0.35">
      <c r="B56" s="471" t="s">
        <v>76</v>
      </c>
      <c r="C56" s="165">
        <f t="shared" ref="C56:T56" si="10">C32</f>
        <v>0</v>
      </c>
      <c r="D56" s="166">
        <f t="shared" si="10"/>
        <v>0</v>
      </c>
      <c r="E56" s="166">
        <f t="shared" si="10"/>
        <v>0</v>
      </c>
      <c r="F56" s="166">
        <f t="shared" si="10"/>
        <v>0</v>
      </c>
      <c r="G56" s="166">
        <f t="shared" si="10"/>
        <v>0</v>
      </c>
      <c r="H56" s="166">
        <f t="shared" si="10"/>
        <v>0</v>
      </c>
      <c r="I56" s="167">
        <f t="shared" si="10"/>
        <v>0</v>
      </c>
      <c r="J56" s="792" t="str">
        <f t="shared" si="10"/>
        <v>NA</v>
      </c>
      <c r="K56" s="283" t="str">
        <f t="shared" si="10"/>
        <v>NA</v>
      </c>
      <c r="L56" s="793" t="str">
        <f t="shared" si="10"/>
        <v>NA</v>
      </c>
      <c r="M56" s="598" t="str">
        <f t="shared" si="10"/>
        <v>NA</v>
      </c>
      <c r="N56" s="175" t="str">
        <f t="shared" si="10"/>
        <v>NA</v>
      </c>
      <c r="O56" s="168" t="str">
        <f t="shared" si="10"/>
        <v>NA</v>
      </c>
      <c r="P56" s="799" t="str">
        <f t="shared" si="10"/>
        <v>NA</v>
      </c>
      <c r="Q56" s="283" t="str">
        <f t="shared" si="10"/>
        <v>NA</v>
      </c>
      <c r="R56" s="793" t="str">
        <f t="shared" si="10"/>
        <v>NA</v>
      </c>
      <c r="S56" s="168" t="str">
        <f t="shared" si="10"/>
        <v>NA</v>
      </c>
      <c r="T56" s="168" t="str">
        <f t="shared" si="10"/>
        <v>NA</v>
      </c>
      <c r="U56" s="322" t="s">
        <v>12</v>
      </c>
    </row>
    <row r="57" spans="2:21" ht="13" x14ac:dyDescent="0.3">
      <c r="B57" s="472" t="s">
        <v>101</v>
      </c>
      <c r="C57" s="171">
        <f t="shared" ref="C57:S57" si="11">C37</f>
        <v>0</v>
      </c>
      <c r="D57" s="172">
        <f t="shared" si="11"/>
        <v>0</v>
      </c>
      <c r="E57" s="172">
        <f t="shared" si="11"/>
        <v>0</v>
      </c>
      <c r="F57" s="172">
        <f t="shared" si="11"/>
        <v>0</v>
      </c>
      <c r="G57" s="172">
        <f t="shared" si="11"/>
        <v>0</v>
      </c>
      <c r="H57" s="172">
        <f t="shared" si="11"/>
        <v>0</v>
      </c>
      <c r="I57" s="54">
        <f t="shared" si="11"/>
        <v>0</v>
      </c>
      <c r="J57" s="282" t="str">
        <f t="shared" si="11"/>
        <v>NA</v>
      </c>
      <c r="K57" s="263" t="str">
        <f t="shared" si="11"/>
        <v>NA</v>
      </c>
      <c r="L57" s="795" t="str">
        <f t="shared" si="11"/>
        <v>NA</v>
      </c>
      <c r="M57" s="173" t="str">
        <f t="shared" si="11"/>
        <v>NA</v>
      </c>
      <c r="N57" s="36" t="str">
        <f t="shared" si="11"/>
        <v>NA</v>
      </c>
      <c r="O57" s="46" t="str">
        <f t="shared" si="11"/>
        <v>NA</v>
      </c>
      <c r="P57" s="282" t="str">
        <f t="shared" si="11"/>
        <v>NA</v>
      </c>
      <c r="Q57" s="263" t="str">
        <f t="shared" si="11"/>
        <v>NA</v>
      </c>
      <c r="R57" s="795" t="str">
        <f t="shared" si="11"/>
        <v>NA</v>
      </c>
      <c r="S57" s="46" t="str">
        <f t="shared" si="11"/>
        <v>NA</v>
      </c>
      <c r="T57" s="42" t="s">
        <v>12</v>
      </c>
      <c r="U57" s="119" t="s">
        <v>12</v>
      </c>
    </row>
    <row r="58" spans="2:21" ht="13.5" thickBot="1" x14ac:dyDescent="0.35">
      <c r="B58" s="471" t="s">
        <v>76</v>
      </c>
      <c r="C58" s="165">
        <f t="shared" ref="C58:S58" si="12">C38</f>
        <v>0</v>
      </c>
      <c r="D58" s="166">
        <f t="shared" si="12"/>
        <v>0</v>
      </c>
      <c r="E58" s="166">
        <f t="shared" si="12"/>
        <v>0</v>
      </c>
      <c r="F58" s="166">
        <f t="shared" si="12"/>
        <v>0</v>
      </c>
      <c r="G58" s="166">
        <f t="shared" si="12"/>
        <v>0</v>
      </c>
      <c r="H58" s="166">
        <f t="shared" si="12"/>
        <v>0</v>
      </c>
      <c r="I58" s="167">
        <f t="shared" si="12"/>
        <v>0</v>
      </c>
      <c r="J58" s="792" t="str">
        <f t="shared" si="12"/>
        <v>NA</v>
      </c>
      <c r="K58" s="283" t="str">
        <f t="shared" si="12"/>
        <v>NA</v>
      </c>
      <c r="L58" s="793" t="str">
        <f t="shared" si="12"/>
        <v>NA</v>
      </c>
      <c r="M58" s="798" t="str">
        <f t="shared" si="12"/>
        <v>NA</v>
      </c>
      <c r="N58" s="175" t="str">
        <f t="shared" si="12"/>
        <v>NA</v>
      </c>
      <c r="O58" s="168" t="str">
        <f t="shared" si="12"/>
        <v>NA</v>
      </c>
      <c r="P58" s="792" t="str">
        <f t="shared" si="12"/>
        <v>NA</v>
      </c>
      <c r="Q58" s="283" t="str">
        <f t="shared" si="12"/>
        <v>NA</v>
      </c>
      <c r="R58" s="793" t="str">
        <f t="shared" si="12"/>
        <v>NA</v>
      </c>
      <c r="S58" s="168" t="str">
        <f t="shared" si="12"/>
        <v>NA</v>
      </c>
      <c r="T58" s="168" t="str">
        <f>T38</f>
        <v>NA</v>
      </c>
      <c r="U58" s="322" t="s">
        <v>12</v>
      </c>
    </row>
    <row r="59" spans="2:21" ht="13" x14ac:dyDescent="0.3">
      <c r="B59" s="472" t="s">
        <v>102</v>
      </c>
      <c r="C59" s="156">
        <f t="shared" ref="C59:S59" si="13">C42</f>
        <v>0</v>
      </c>
      <c r="D59" s="21">
        <f t="shared" si="13"/>
        <v>0</v>
      </c>
      <c r="E59" s="21">
        <f t="shared" si="13"/>
        <v>0</v>
      </c>
      <c r="F59" s="21">
        <f t="shared" si="13"/>
        <v>0</v>
      </c>
      <c r="G59" s="21">
        <f t="shared" si="13"/>
        <v>0</v>
      </c>
      <c r="H59" s="21">
        <f t="shared" si="13"/>
        <v>0</v>
      </c>
      <c r="I59" s="157">
        <f t="shared" si="13"/>
        <v>0</v>
      </c>
      <c r="J59" s="279" t="str">
        <f t="shared" si="13"/>
        <v>NA</v>
      </c>
      <c r="K59" s="267" t="str">
        <f t="shared" si="13"/>
        <v>NA</v>
      </c>
      <c r="L59" s="794" t="str">
        <f t="shared" si="13"/>
        <v>NA</v>
      </c>
      <c r="M59" s="158" t="str">
        <f t="shared" si="13"/>
        <v>NA</v>
      </c>
      <c r="N59" s="30" t="str">
        <f t="shared" si="13"/>
        <v>NA</v>
      </c>
      <c r="O59" s="39" t="str">
        <f t="shared" si="13"/>
        <v>NA</v>
      </c>
      <c r="P59" s="279" t="str">
        <f t="shared" si="13"/>
        <v>NA</v>
      </c>
      <c r="Q59" s="267" t="str">
        <f t="shared" si="13"/>
        <v>NA</v>
      </c>
      <c r="R59" s="794" t="str">
        <f t="shared" si="13"/>
        <v>NA</v>
      </c>
      <c r="S59" s="39" t="str">
        <f t="shared" si="13"/>
        <v>NA</v>
      </c>
      <c r="T59" s="42" t="s">
        <v>12</v>
      </c>
      <c r="U59" s="119" t="s">
        <v>12</v>
      </c>
    </row>
    <row r="60" spans="2:21" ht="13.5" thickBot="1" x14ac:dyDescent="0.35">
      <c r="B60" s="476" t="s">
        <v>76</v>
      </c>
      <c r="C60" s="176">
        <f t="shared" ref="C60:S60" si="14">C43</f>
        <v>0</v>
      </c>
      <c r="D60" s="177">
        <f t="shared" si="14"/>
        <v>0</v>
      </c>
      <c r="E60" s="177">
        <f t="shared" si="14"/>
        <v>0</v>
      </c>
      <c r="F60" s="177">
        <f t="shared" si="14"/>
        <v>0</v>
      </c>
      <c r="G60" s="177">
        <f t="shared" si="14"/>
        <v>0</v>
      </c>
      <c r="H60" s="177">
        <f t="shared" si="14"/>
        <v>0</v>
      </c>
      <c r="I60" s="178">
        <f t="shared" si="14"/>
        <v>0</v>
      </c>
      <c r="J60" s="261" t="str">
        <f t="shared" si="14"/>
        <v>NA</v>
      </c>
      <c r="K60" s="225" t="str">
        <f t="shared" si="14"/>
        <v>NA</v>
      </c>
      <c r="L60" s="226" t="str">
        <f t="shared" si="14"/>
        <v>NA</v>
      </c>
      <c r="M60" s="196" t="str">
        <f t="shared" si="14"/>
        <v>NA</v>
      </c>
      <c r="N60" s="194" t="str">
        <f t="shared" si="14"/>
        <v>NA</v>
      </c>
      <c r="O60" s="197" t="str">
        <f t="shared" si="14"/>
        <v>NA</v>
      </c>
      <c r="P60" s="224" t="str">
        <f t="shared" si="14"/>
        <v>NA</v>
      </c>
      <c r="Q60" s="225" t="str">
        <f t="shared" si="14"/>
        <v>NA</v>
      </c>
      <c r="R60" s="226" t="str">
        <f t="shared" si="14"/>
        <v>NA</v>
      </c>
      <c r="S60" s="197" t="str">
        <f t="shared" si="14"/>
        <v>NA</v>
      </c>
      <c r="T60" s="179" t="str">
        <f>T43</f>
        <v>NA</v>
      </c>
      <c r="U60" s="180" t="s">
        <v>12</v>
      </c>
    </row>
    <row r="61" spans="2:21" ht="18.5" thickTop="1" x14ac:dyDescent="0.4">
      <c r="B61" s="477" t="s">
        <v>13</v>
      </c>
      <c r="C61" s="88" t="s">
        <v>45</v>
      </c>
      <c r="D61" s="86" t="s">
        <v>46</v>
      </c>
      <c r="E61" s="86" t="s">
        <v>47</v>
      </c>
      <c r="F61" s="86" t="s">
        <v>48</v>
      </c>
      <c r="G61" s="86" t="s">
        <v>49</v>
      </c>
      <c r="H61" s="86" t="s">
        <v>50</v>
      </c>
      <c r="I61" s="87" t="s">
        <v>13</v>
      </c>
      <c r="J61" s="88" t="s">
        <v>56</v>
      </c>
      <c r="K61" s="86" t="s">
        <v>13</v>
      </c>
      <c r="L61" s="87" t="s">
        <v>68</v>
      </c>
      <c r="M61" s="88" t="s">
        <v>56</v>
      </c>
      <c r="N61" s="86" t="s">
        <v>13</v>
      </c>
      <c r="O61" s="87" t="s">
        <v>68</v>
      </c>
      <c r="P61" s="88" t="s">
        <v>56</v>
      </c>
      <c r="Q61" s="86" t="s">
        <v>13</v>
      </c>
      <c r="R61" s="87" t="s">
        <v>68</v>
      </c>
      <c r="S61" s="87"/>
      <c r="T61" s="31"/>
      <c r="U61" s="111"/>
    </row>
    <row r="62" spans="2:21" x14ac:dyDescent="0.25">
      <c r="B62" s="478" t="s">
        <v>75</v>
      </c>
      <c r="C62" s="154">
        <f t="shared" ref="C62:I63" si="15">C47+C49+C51+C53+C55+C57+C59</f>
        <v>0</v>
      </c>
      <c r="D62" s="58">
        <f t="shared" si="15"/>
        <v>0</v>
      </c>
      <c r="E62" s="58">
        <f t="shared" si="15"/>
        <v>0</v>
      </c>
      <c r="F62" s="58">
        <f t="shared" si="15"/>
        <v>0</v>
      </c>
      <c r="G62" s="58">
        <f t="shared" si="15"/>
        <v>0</v>
      </c>
      <c r="H62" s="58">
        <f t="shared" si="15"/>
        <v>0</v>
      </c>
      <c r="I62" s="57">
        <f t="shared" si="15"/>
        <v>0</v>
      </c>
      <c r="J62" s="285" t="s">
        <v>12</v>
      </c>
      <c r="K62" s="285" t="s">
        <v>12</v>
      </c>
      <c r="L62" s="285" t="s">
        <v>12</v>
      </c>
      <c r="M62" s="83" t="s">
        <v>12</v>
      </c>
      <c r="N62" s="83" t="s">
        <v>12</v>
      </c>
      <c r="O62" s="83" t="s">
        <v>12</v>
      </c>
      <c r="P62" s="788" t="s">
        <v>12</v>
      </c>
      <c r="Q62" s="788" t="s">
        <v>12</v>
      </c>
      <c r="R62" s="788" t="s">
        <v>12</v>
      </c>
      <c r="S62" s="83" t="s">
        <v>12</v>
      </c>
      <c r="T62" s="83" t="s">
        <v>12</v>
      </c>
      <c r="U62" s="113" t="s">
        <v>12</v>
      </c>
    </row>
    <row r="63" spans="2:21" s="189" customFormat="1" ht="16" thickBot="1" x14ac:dyDescent="0.4">
      <c r="B63" s="479" t="s">
        <v>76</v>
      </c>
      <c r="C63" s="480">
        <f t="shared" si="15"/>
        <v>0</v>
      </c>
      <c r="D63" s="481">
        <f t="shared" si="15"/>
        <v>0</v>
      </c>
      <c r="E63" s="481">
        <f t="shared" si="15"/>
        <v>0</v>
      </c>
      <c r="F63" s="481">
        <f t="shared" si="15"/>
        <v>0</v>
      </c>
      <c r="G63" s="481">
        <f t="shared" si="15"/>
        <v>0</v>
      </c>
      <c r="H63" s="481">
        <f t="shared" si="15"/>
        <v>0</v>
      </c>
      <c r="I63" s="482">
        <f t="shared" si="15"/>
        <v>0</v>
      </c>
      <c r="J63" s="483">
        <f>J52</f>
        <v>156415.6871333594</v>
      </c>
      <c r="K63" s="483">
        <f>K52</f>
        <v>3441145.1169339069</v>
      </c>
      <c r="L63" s="483">
        <f>L52</f>
        <v>3441145.1169339069</v>
      </c>
      <c r="M63" s="480">
        <f>M52</f>
        <v>162672.31461869378</v>
      </c>
      <c r="N63" s="480">
        <f t="shared" ref="N63:T63" si="16">N52</f>
        <v>3578790.9216112634</v>
      </c>
      <c r="O63" s="480">
        <f t="shared" si="16"/>
        <v>3578790.9216112634</v>
      </c>
      <c r="P63" s="483">
        <f t="shared" si="16"/>
        <v>165925.76091106766</v>
      </c>
      <c r="Q63" s="483">
        <f t="shared" si="16"/>
        <v>3650366.7400434883</v>
      </c>
      <c r="R63" s="483">
        <f t="shared" si="16"/>
        <v>3650366.7400434883</v>
      </c>
      <c r="S63" s="806" t="str">
        <f t="shared" si="16"/>
        <v>NA</v>
      </c>
      <c r="T63" s="806" t="str">
        <f t="shared" si="16"/>
        <v>NA</v>
      </c>
      <c r="U63" s="489">
        <f>SUM(U48,U50,U52,U54,U56,U58,U60)</f>
        <v>3556767.5928628868</v>
      </c>
    </row>
  </sheetData>
  <mergeCells count="14">
    <mergeCell ref="G40:I40"/>
    <mergeCell ref="G29:I29"/>
    <mergeCell ref="G35:I35"/>
    <mergeCell ref="G24:I24"/>
    <mergeCell ref="C5:I5"/>
    <mergeCell ref="G12:I12"/>
    <mergeCell ref="G17:I17"/>
    <mergeCell ref="S2:T2"/>
    <mergeCell ref="G7:I7"/>
    <mergeCell ref="F2:G2"/>
    <mergeCell ref="Q18:R18"/>
    <mergeCell ref="N18:O18"/>
    <mergeCell ref="K18:L18"/>
    <mergeCell ref="G18:I18"/>
  </mergeCells>
  <phoneticPr fontId="2" type="noConversion"/>
  <dataValidations count="1">
    <dataValidation allowBlank="1" showInputMessage="1" showErrorMessage="1" sqref="D20" xr:uid="{00000000-0002-0000-1200-000000000000}"/>
  </dataValidations>
  <pageMargins left="0.25" right="0.28000000000000003" top="0.64" bottom="0.47" header="0.5" footer="0.44"/>
  <pageSetup scale="46" fitToHeight="2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105"/>
  <sheetViews>
    <sheetView topLeftCell="F1" zoomScaleNormal="100" workbookViewId="0">
      <selection activeCell="S73" sqref="S73"/>
    </sheetView>
  </sheetViews>
  <sheetFormatPr defaultRowHeight="12.5" x14ac:dyDescent="0.25"/>
  <cols>
    <col min="1" max="1" width="1.1796875" customWidth="1"/>
    <col min="2" max="2" width="31.453125" customWidth="1"/>
    <col min="3" max="3" width="12.81640625" customWidth="1"/>
    <col min="4" max="4" width="10.26953125" bestFit="1" customWidth="1"/>
    <col min="5" max="5" width="11.26953125" customWidth="1"/>
    <col min="6" max="6" width="9.7265625" style="5" customWidth="1"/>
    <col min="7" max="7" width="9.7265625" bestFit="1" customWidth="1"/>
    <col min="8" max="8" width="9.81640625" bestFit="1" customWidth="1"/>
    <col min="9" max="9" width="13.26953125" customWidth="1"/>
    <col min="10" max="10" width="15" customWidth="1"/>
    <col min="11" max="11" width="15.7265625" customWidth="1"/>
    <col min="12" max="12" width="14.7265625" customWidth="1"/>
    <col min="13" max="13" width="15.54296875" customWidth="1"/>
    <col min="14" max="14" width="14.54296875" customWidth="1"/>
    <col min="15" max="15" width="14.453125" customWidth="1"/>
    <col min="16" max="16" width="15" customWidth="1"/>
    <col min="17" max="17" width="13.81640625" customWidth="1"/>
    <col min="18" max="18" width="14" customWidth="1"/>
    <col min="19" max="19" width="14.54296875" customWidth="1"/>
    <col min="20" max="20" width="14" customWidth="1"/>
    <col min="21" max="21" width="14.1796875" bestFit="1" customWidth="1"/>
    <col min="22" max="22" width="3" customWidth="1"/>
  </cols>
  <sheetData>
    <row r="1" spans="1:21" ht="4.5" customHeight="1" thickBot="1" x14ac:dyDescent="0.3">
      <c r="B1" s="335"/>
      <c r="C1" s="335"/>
      <c r="D1" s="335"/>
      <c r="E1" s="335"/>
      <c r="F1" s="336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</row>
    <row r="2" spans="1:21" ht="18.5" thickTop="1" x14ac:dyDescent="0.4">
      <c r="A2" s="510"/>
      <c r="B2" s="494" t="s">
        <v>0</v>
      </c>
      <c r="C2" s="537" t="s">
        <v>247</v>
      </c>
      <c r="F2" s="349" t="s">
        <v>31</v>
      </c>
      <c r="G2" s="1201">
        <v>43331</v>
      </c>
      <c r="H2" s="1202"/>
      <c r="I2" s="1203"/>
      <c r="J2" s="492" t="s">
        <v>5</v>
      </c>
      <c r="K2" s="493">
        <v>2023</v>
      </c>
      <c r="M2" s="490" t="s">
        <v>10</v>
      </c>
      <c r="N2" s="494">
        <f>K2+1</f>
        <v>2024</v>
      </c>
      <c r="P2" s="490" t="s">
        <v>11</v>
      </c>
      <c r="Q2" s="494">
        <f>N2+1</f>
        <v>2025</v>
      </c>
      <c r="R2" s="31"/>
      <c r="S2" s="1204" t="s">
        <v>77</v>
      </c>
      <c r="T2" s="1205"/>
      <c r="U2" s="957" t="s">
        <v>79</v>
      </c>
    </row>
    <row r="3" spans="1:21" ht="15.5" x14ac:dyDescent="0.35">
      <c r="A3" s="510"/>
      <c r="C3" s="1"/>
      <c r="D3" s="25"/>
      <c r="E3" s="2"/>
      <c r="J3" s="144"/>
      <c r="L3" s="145"/>
      <c r="O3" s="31"/>
      <c r="R3" s="31"/>
      <c r="S3" s="90" t="s">
        <v>71</v>
      </c>
      <c r="T3" s="91">
        <f>AVERAGE(J11,M11,P11)</f>
        <v>168</v>
      </c>
      <c r="U3" s="182"/>
    </row>
    <row r="4" spans="1:21" ht="13" x14ac:dyDescent="0.3">
      <c r="A4" s="510"/>
      <c r="I4" s="31"/>
      <c r="K4" s="681" t="s">
        <v>242</v>
      </c>
      <c r="L4" s="680">
        <v>1789</v>
      </c>
      <c r="N4" s="681" t="s">
        <v>242</v>
      </c>
      <c r="O4" s="680">
        <v>1789</v>
      </c>
      <c r="Q4" s="681" t="s">
        <v>242</v>
      </c>
      <c r="R4" s="680">
        <v>1789</v>
      </c>
      <c r="S4" s="90" t="s">
        <v>69</v>
      </c>
      <c r="T4" s="85">
        <f>AVERAGE(L4,O4,R4)</f>
        <v>1789</v>
      </c>
      <c r="U4" s="182"/>
    </row>
    <row r="5" spans="1:21" ht="13" x14ac:dyDescent="0.3">
      <c r="A5" s="510"/>
      <c r="I5" s="678"/>
      <c r="J5" s="326"/>
      <c r="K5" s="681" t="s">
        <v>243</v>
      </c>
      <c r="L5" s="659">
        <v>444</v>
      </c>
      <c r="M5" s="326"/>
      <c r="N5" s="681" t="s">
        <v>243</v>
      </c>
      <c r="O5" s="659">
        <v>444</v>
      </c>
      <c r="P5" s="326"/>
      <c r="Q5" s="681" t="s">
        <v>243</v>
      </c>
      <c r="R5" s="659">
        <v>444</v>
      </c>
      <c r="S5" s="90"/>
      <c r="T5" s="131"/>
      <c r="U5" s="182"/>
    </row>
    <row r="6" spans="1:21" ht="13" x14ac:dyDescent="0.3">
      <c r="A6" s="510"/>
      <c r="I6" s="678"/>
      <c r="J6" s="326"/>
      <c r="K6" s="681" t="s">
        <v>245</v>
      </c>
      <c r="L6" s="660">
        <f>SUM(L4:L5)</f>
        <v>2233</v>
      </c>
      <c r="M6" s="326"/>
      <c r="N6" s="681" t="s">
        <v>245</v>
      </c>
      <c r="O6" s="660">
        <f>SUM(O4:O5)</f>
        <v>2233</v>
      </c>
      <c r="P6" s="326"/>
      <c r="Q6" s="681" t="s">
        <v>245</v>
      </c>
      <c r="R6" s="660">
        <f>SUM(R4:R5)</f>
        <v>2233</v>
      </c>
      <c r="S6" s="90"/>
      <c r="T6" s="131"/>
      <c r="U6" s="182"/>
    </row>
    <row r="7" spans="1:21" ht="13" x14ac:dyDescent="0.3">
      <c r="A7" s="510"/>
      <c r="I7" s="678"/>
      <c r="J7" s="326"/>
      <c r="K7" s="681" t="s">
        <v>244</v>
      </c>
      <c r="L7" s="659">
        <v>0</v>
      </c>
      <c r="M7" s="326"/>
      <c r="N7" s="681" t="s">
        <v>244</v>
      </c>
      <c r="O7" s="659">
        <v>0</v>
      </c>
      <c r="P7" s="326"/>
      <c r="Q7" s="681" t="s">
        <v>244</v>
      </c>
      <c r="R7" s="659">
        <v>0</v>
      </c>
      <c r="S7" s="90"/>
      <c r="T7" s="131"/>
      <c r="U7" s="182"/>
    </row>
    <row r="8" spans="1:21" ht="13" x14ac:dyDescent="0.3">
      <c r="A8" s="510"/>
      <c r="I8" s="678"/>
      <c r="J8" s="326"/>
      <c r="K8" s="681" t="s">
        <v>89</v>
      </c>
      <c r="L8" s="660">
        <f>L6+L7</f>
        <v>2233</v>
      </c>
      <c r="M8" s="326"/>
      <c r="N8" s="681" t="s">
        <v>89</v>
      </c>
      <c r="O8" s="660">
        <f>O6+O7</f>
        <v>2233</v>
      </c>
      <c r="P8" s="326"/>
      <c r="Q8" s="681" t="s">
        <v>89</v>
      </c>
      <c r="R8" s="660">
        <f>R6+R7</f>
        <v>2233</v>
      </c>
      <c r="S8" s="90"/>
      <c r="T8" s="131"/>
      <c r="U8" s="182"/>
    </row>
    <row r="9" spans="1:21" ht="13" x14ac:dyDescent="0.3">
      <c r="A9" s="510"/>
      <c r="I9" s="678"/>
      <c r="J9" s="326"/>
      <c r="K9" s="349"/>
      <c r="L9" s="37"/>
      <c r="M9" s="326"/>
      <c r="N9" s="349"/>
      <c r="P9" s="715"/>
      <c r="Q9" s="349"/>
      <c r="S9" s="90"/>
      <c r="T9" s="131"/>
      <c r="U9" s="182"/>
    </row>
    <row r="10" spans="1:21" ht="13" x14ac:dyDescent="0.3">
      <c r="A10" s="510"/>
      <c r="I10" s="679"/>
      <c r="J10" s="326" t="s">
        <v>71</v>
      </c>
      <c r="K10" s="349"/>
      <c r="L10" s="118" t="s">
        <v>271</v>
      </c>
      <c r="M10" s="326" t="s">
        <v>71</v>
      </c>
      <c r="N10" s="349"/>
      <c r="O10" s="118" t="s">
        <v>271</v>
      </c>
      <c r="P10" s="326" t="s">
        <v>71</v>
      </c>
      <c r="Q10" s="349"/>
      <c r="R10" s="118" t="s">
        <v>271</v>
      </c>
      <c r="S10" s="90"/>
      <c r="T10" s="131"/>
      <c r="U10" s="182"/>
    </row>
    <row r="11" spans="1:21" ht="12.75" customHeight="1" thickBot="1" x14ac:dyDescent="0.35">
      <c r="A11" s="510"/>
      <c r="B11" s="495" t="s">
        <v>2</v>
      </c>
      <c r="C11" s="1174"/>
      <c r="D11" s="1175"/>
      <c r="E11" s="1175"/>
      <c r="F11" s="1175"/>
      <c r="G11" s="1175"/>
      <c r="H11" s="1175"/>
      <c r="I11" s="1191"/>
      <c r="J11" s="677">
        <v>168</v>
      </c>
      <c r="K11" s="287"/>
      <c r="L11" s="714">
        <v>156</v>
      </c>
      <c r="M11" s="526">
        <v>168</v>
      </c>
      <c r="N11" s="287"/>
      <c r="O11" s="714">
        <v>156</v>
      </c>
      <c r="P11" s="525">
        <v>168</v>
      </c>
      <c r="Q11" s="287"/>
      <c r="R11" s="714">
        <v>156</v>
      </c>
      <c r="S11" s="191"/>
      <c r="T11" s="192"/>
      <c r="U11" s="182"/>
    </row>
    <row r="12" spans="1:21" ht="30" customHeight="1" thickTop="1" thickBot="1" x14ac:dyDescent="0.45">
      <c r="A12" s="510"/>
      <c r="B12" s="496" t="s">
        <v>73</v>
      </c>
      <c r="C12" s="3"/>
      <c r="D12" s="3"/>
      <c r="E12" s="3"/>
      <c r="F12" s="9"/>
      <c r="G12" s="3"/>
      <c r="H12" s="3"/>
      <c r="I12" s="3"/>
      <c r="J12" s="929"/>
      <c r="K12" s="3"/>
      <c r="L12" s="3"/>
      <c r="M12" s="929"/>
      <c r="N12" s="3"/>
      <c r="O12" s="450"/>
      <c r="P12" s="447"/>
      <c r="Q12" s="3"/>
      <c r="R12" s="450"/>
      <c r="S12" s="448" t="s">
        <v>17</v>
      </c>
      <c r="T12" s="449" t="s">
        <v>103</v>
      </c>
      <c r="U12" s="956"/>
    </row>
    <row r="13" spans="1:21" ht="15.5" x14ac:dyDescent="0.35">
      <c r="A13" s="510"/>
      <c r="B13" s="48" t="s">
        <v>3</v>
      </c>
      <c r="C13" s="193"/>
      <c r="D13" s="349" t="s">
        <v>54</v>
      </c>
      <c r="E13" s="24">
        <v>7</v>
      </c>
      <c r="F13" s="1" t="s">
        <v>6</v>
      </c>
      <c r="G13" s="1169"/>
      <c r="H13" s="1170"/>
      <c r="I13" s="1171"/>
      <c r="J13" s="72" t="s">
        <v>3</v>
      </c>
      <c r="K13" s="146"/>
      <c r="L13" s="62"/>
      <c r="M13" s="72" t="s">
        <v>3</v>
      </c>
      <c r="N13" s="193"/>
      <c r="O13" s="663"/>
      <c r="P13" s="666" t="s">
        <v>3</v>
      </c>
      <c r="Q13" s="193"/>
      <c r="R13" s="663"/>
      <c r="S13" s="99"/>
      <c r="T13" s="92"/>
      <c r="U13" s="421"/>
    </row>
    <row r="14" spans="1:21" ht="13" x14ac:dyDescent="0.3">
      <c r="A14" s="510"/>
      <c r="B14" s="654" t="s">
        <v>235</v>
      </c>
      <c r="C14" s="65"/>
      <c r="D14" s="65"/>
      <c r="E14" s="65"/>
      <c r="F14" s="64"/>
      <c r="G14" s="65"/>
      <c r="H14" s="65"/>
      <c r="I14" s="40"/>
      <c r="J14" s="661"/>
      <c r="K14" s="541"/>
      <c r="L14" s="664" t="s">
        <v>57</v>
      </c>
      <c r="M14" s="65"/>
      <c r="N14" s="541"/>
      <c r="O14" s="667" t="s">
        <v>57</v>
      </c>
      <c r="P14" s="61"/>
      <c r="Q14" s="156"/>
      <c r="R14" s="658" t="s">
        <v>57</v>
      </c>
      <c r="S14" s="100"/>
      <c r="T14" s="118"/>
      <c r="U14" s="442"/>
    </row>
    <row r="15" spans="1:21" ht="13" x14ac:dyDescent="0.3">
      <c r="A15" s="510"/>
      <c r="B15" s="651" t="s">
        <v>236</v>
      </c>
      <c r="C15" s="61"/>
      <c r="D15" s="61"/>
      <c r="E15" s="61"/>
      <c r="F15" s="579"/>
      <c r="G15" s="61"/>
      <c r="H15" s="501" t="s">
        <v>241</v>
      </c>
      <c r="I15" s="670">
        <v>2019</v>
      </c>
      <c r="J15" s="65"/>
      <c r="K15" s="541"/>
      <c r="L15" s="296" t="s">
        <v>56</v>
      </c>
      <c r="M15" s="65"/>
      <c r="N15" s="541"/>
      <c r="O15" s="87" t="s">
        <v>56</v>
      </c>
      <c r="P15" s="65"/>
      <c r="Q15" s="541"/>
      <c r="R15" s="209" t="s">
        <v>56</v>
      </c>
      <c r="S15" s="97"/>
      <c r="T15" s="31"/>
      <c r="U15" s="182"/>
    </row>
    <row r="16" spans="1:21" ht="13" x14ac:dyDescent="0.3">
      <c r="A16" s="510"/>
      <c r="B16" s="653" t="s">
        <v>237</v>
      </c>
      <c r="F16"/>
      <c r="H16" s="509" t="s">
        <v>238</v>
      </c>
      <c r="I16" s="671">
        <v>35000</v>
      </c>
      <c r="J16" s="65"/>
      <c r="K16" s="541"/>
      <c r="L16" s="665">
        <f>I16</f>
        <v>35000</v>
      </c>
      <c r="M16" s="65"/>
      <c r="N16" s="541"/>
      <c r="O16" s="668">
        <f>I16</f>
        <v>35000</v>
      </c>
      <c r="P16" s="65"/>
      <c r="Q16" s="541"/>
      <c r="R16" s="650">
        <f>I16</f>
        <v>35000</v>
      </c>
      <c r="S16" s="96">
        <f t="shared" ref="S16:S21" si="0">AVERAGE(L16,O16,R16)</f>
        <v>35000</v>
      </c>
      <c r="T16" s="94" t="s">
        <v>12</v>
      </c>
      <c r="U16" s="187" t="s">
        <v>12</v>
      </c>
    </row>
    <row r="17" spans="1:22" s="1" customFormat="1" ht="13" x14ac:dyDescent="0.3">
      <c r="A17" s="511"/>
      <c r="B17" s="652"/>
      <c r="C17" s="61"/>
      <c r="D17" s="61"/>
      <c r="E17" s="61"/>
      <c r="F17" s="61"/>
      <c r="G17" s="61"/>
      <c r="H17" s="327" t="s">
        <v>239</v>
      </c>
      <c r="I17" s="672">
        <f>1052498</f>
        <v>1052498</v>
      </c>
      <c r="J17" s="374"/>
      <c r="K17" s="503"/>
      <c r="L17" s="229">
        <f>HLOOKUP(K$2,InflationTable,2)/HLOOKUP($I$15,InflationTable,2)*$I17</f>
        <v>1272382.4081345326</v>
      </c>
      <c r="M17" s="65"/>
      <c r="N17" s="541"/>
      <c r="O17" s="23">
        <f>HLOOKUP(N$2,InflationTable,2)/HLOOKUP($I$15,InflationTable,2)*$I17</f>
        <v>1323277.704459914</v>
      </c>
      <c r="P17" s="65"/>
      <c r="Q17" s="541"/>
      <c r="R17" s="229">
        <f>HLOOKUP(Q$2,InflationTable,2)/HLOOKUP($I$15,InflationTable,2)*$I17</f>
        <v>1349743.2585491121</v>
      </c>
      <c r="S17" s="312">
        <f t="shared" si="0"/>
        <v>1315134.4570478529</v>
      </c>
      <c r="T17" s="313" t="s">
        <v>12</v>
      </c>
      <c r="U17" s="417" t="s">
        <v>12</v>
      </c>
    </row>
    <row r="18" spans="1:22" ht="13" x14ac:dyDescent="0.3">
      <c r="A18" s="510"/>
      <c r="B18" s="1" t="s">
        <v>240</v>
      </c>
      <c r="F18"/>
      <c r="H18" s="509" t="s">
        <v>238</v>
      </c>
      <c r="I18" s="671">
        <v>21475</v>
      </c>
      <c r="J18" s="65"/>
      <c r="K18" s="541"/>
      <c r="L18" s="665">
        <f>I18</f>
        <v>21475</v>
      </c>
      <c r="M18" s="65"/>
      <c r="N18" s="541"/>
      <c r="O18" s="669">
        <f>I18</f>
        <v>21475</v>
      </c>
      <c r="P18" s="65"/>
      <c r="Q18" s="541"/>
      <c r="R18" s="650">
        <f>I18</f>
        <v>21475</v>
      </c>
      <c r="S18" s="96">
        <f t="shared" si="0"/>
        <v>21475</v>
      </c>
      <c r="T18" s="94" t="s">
        <v>12</v>
      </c>
      <c r="U18" s="187" t="s">
        <v>12</v>
      </c>
    </row>
    <row r="19" spans="1:22" s="1" customFormat="1" ht="13" x14ac:dyDescent="0.3">
      <c r="A19" s="511"/>
      <c r="B19" s="652"/>
      <c r="C19" s="61"/>
      <c r="D19" s="61"/>
      <c r="E19" s="61"/>
      <c r="F19" s="61"/>
      <c r="G19" s="61"/>
      <c r="H19" s="327" t="s">
        <v>239</v>
      </c>
      <c r="I19" s="672">
        <f>828343</f>
        <v>828343</v>
      </c>
      <c r="J19" s="374"/>
      <c r="K19" s="503"/>
      <c r="L19" s="229">
        <f>HLOOKUP(K$2,InflationTable,2)/HLOOKUP($I$15,InflationTable,2)*$I19</f>
        <v>1001397.685412593</v>
      </c>
      <c r="M19" s="65"/>
      <c r="N19" s="541"/>
      <c r="O19" s="23">
        <f>HLOOKUP(N$2,InflationTable,2)/HLOOKUP($I$15,InflationTable,2)*$I19</f>
        <v>1041453.5928290966</v>
      </c>
      <c r="P19" s="65"/>
      <c r="Q19" s="541"/>
      <c r="R19" s="229">
        <f>HLOOKUP(Q$2,InflationTable,2)/HLOOKUP($I$15,InflationTable,2)*$I19</f>
        <v>1062282.6646856784</v>
      </c>
      <c r="S19" s="312">
        <f t="shared" si="0"/>
        <v>1035044.647642456</v>
      </c>
      <c r="T19" s="313" t="s">
        <v>12</v>
      </c>
      <c r="U19" s="417" t="s">
        <v>12</v>
      </c>
    </row>
    <row r="20" spans="1:22" ht="13" x14ac:dyDescent="0.3">
      <c r="A20" s="510"/>
      <c r="B20" s="1" t="s">
        <v>256</v>
      </c>
      <c r="D20" s="1" t="s">
        <v>241</v>
      </c>
      <c r="E20">
        <v>2023</v>
      </c>
      <c r="F20" s="61"/>
      <c r="G20" s="61"/>
      <c r="H20" s="327" t="s">
        <v>239</v>
      </c>
      <c r="I20" s="672">
        <f>4345772/1.0319</f>
        <v>4211427.4639015403</v>
      </c>
      <c r="J20" s="374"/>
      <c r="K20" s="503"/>
      <c r="L20" s="229">
        <f>HLOOKUP(K$2,InflationTable,2)/HLOOKUP($I$15,InflationTable,2)*$I20</f>
        <v>5091264.9888198832</v>
      </c>
      <c r="M20" s="65"/>
      <c r="N20" s="541"/>
      <c r="O20" s="23">
        <f>HLOOKUP(N$2,InflationTable,2)/HLOOKUP($I$15,InflationTable,2)*$I20</f>
        <v>5294915.5883726785</v>
      </c>
      <c r="P20" s="65"/>
      <c r="Q20" s="541"/>
      <c r="R20" s="229">
        <f>HLOOKUP(Q$2,InflationTable,2)/HLOOKUP($I$15,InflationTable,2)*$I20</f>
        <v>5400813.9001401318</v>
      </c>
      <c r="T20" s="313" t="s">
        <v>12</v>
      </c>
      <c r="U20" s="415">
        <f>AVERAGE(L20,O20,R20)</f>
        <v>5262331.4924442312</v>
      </c>
    </row>
    <row r="21" spans="1:22" ht="13" x14ac:dyDescent="0.3">
      <c r="A21" s="510"/>
      <c r="B21" s="655" t="s">
        <v>66</v>
      </c>
      <c r="C21" s="656"/>
      <c r="D21" s="656"/>
      <c r="E21" s="656"/>
      <c r="F21" s="656"/>
      <c r="G21" s="656"/>
      <c r="H21" s="83"/>
      <c r="I21" s="34">
        <f>I16+I18</f>
        <v>56475</v>
      </c>
      <c r="J21" s="65"/>
      <c r="K21" s="541"/>
      <c r="L21" s="665">
        <f>I21</f>
        <v>56475</v>
      </c>
      <c r="M21" s="65"/>
      <c r="N21" s="541"/>
      <c r="O21" s="669">
        <f>I21</f>
        <v>56475</v>
      </c>
      <c r="P21" s="65"/>
      <c r="Q21" s="541"/>
      <c r="R21" s="650">
        <f>I21</f>
        <v>56475</v>
      </c>
      <c r="S21" s="96">
        <f t="shared" si="0"/>
        <v>56475</v>
      </c>
      <c r="T21" s="94" t="s">
        <v>12</v>
      </c>
      <c r="U21" s="187" t="s">
        <v>12</v>
      </c>
    </row>
    <row r="22" spans="1:22" ht="13.5" thickBot="1" x14ac:dyDescent="0.35">
      <c r="A22" s="510"/>
      <c r="B22" s="657" t="s">
        <v>67</v>
      </c>
      <c r="C22" s="578"/>
      <c r="D22" s="578"/>
      <c r="E22" s="578"/>
      <c r="F22" s="578"/>
      <c r="G22" s="578"/>
      <c r="H22" s="196"/>
      <c r="I22" s="195">
        <f>I20+I19+I17</f>
        <v>6092268.4639015403</v>
      </c>
      <c r="K22" s="662"/>
      <c r="L22" s="195">
        <f>+L20</f>
        <v>5091264.9888198832</v>
      </c>
      <c r="N22" s="662"/>
      <c r="O22" s="195">
        <f>+O20</f>
        <v>5294915.5883726785</v>
      </c>
      <c r="P22" s="335"/>
      <c r="Q22" s="662"/>
      <c r="R22" s="195">
        <f>+R20</f>
        <v>5400813.9001401318</v>
      </c>
      <c r="S22" s="206">
        <f>SUM(S20+S17+S19)</f>
        <v>2350179.1046903087</v>
      </c>
      <c r="T22" s="203" t="s">
        <v>12</v>
      </c>
      <c r="U22" s="958">
        <f>U20</f>
        <v>5262331.4924442312</v>
      </c>
      <c r="V22" s="238"/>
    </row>
    <row r="23" spans="1:22" ht="13.5" thickTop="1" thickBot="1" x14ac:dyDescent="0.3">
      <c r="B23" s="513"/>
      <c r="C23" s="513"/>
      <c r="D23" s="513"/>
      <c r="E23" s="513"/>
      <c r="F23" s="513"/>
      <c r="G23" s="513"/>
      <c r="H23" s="513"/>
      <c r="I23" s="513"/>
      <c r="J23" s="513"/>
      <c r="K23" s="513"/>
      <c r="L23" s="513"/>
      <c r="M23" s="513"/>
      <c r="N23" s="335"/>
      <c r="O23" s="335"/>
      <c r="P23" s="335"/>
      <c r="Q23" s="335"/>
      <c r="R23" s="335"/>
      <c r="S23" s="335"/>
      <c r="T23" s="335"/>
      <c r="U23" s="190"/>
    </row>
    <row r="24" spans="1:22" ht="16" thickTop="1" x14ac:dyDescent="0.35">
      <c r="A24" s="510"/>
      <c r="B24" s="2" t="s">
        <v>16</v>
      </c>
      <c r="F24" s="1" t="s">
        <v>6</v>
      </c>
      <c r="G24" s="1160"/>
      <c r="H24" s="1161"/>
      <c r="I24" s="1162"/>
      <c r="J24" s="2" t="s">
        <v>16</v>
      </c>
      <c r="L24" s="62"/>
      <c r="M24" s="2" t="s">
        <v>16</v>
      </c>
      <c r="O24" s="31"/>
      <c r="P24" s="2" t="s">
        <v>16</v>
      </c>
      <c r="R24" s="62"/>
      <c r="S24" s="97"/>
      <c r="T24" s="31"/>
      <c r="U24" s="414"/>
    </row>
    <row r="25" spans="1:22" ht="13" x14ac:dyDescent="0.3">
      <c r="A25" s="510"/>
      <c r="H25" s="4"/>
      <c r="I25" s="37"/>
      <c r="J25" s="227" t="s">
        <v>61</v>
      </c>
      <c r="K25" s="1167" t="s">
        <v>57</v>
      </c>
      <c r="L25" s="1168"/>
      <c r="M25" s="50" t="s">
        <v>61</v>
      </c>
      <c r="N25" s="1177" t="s">
        <v>57</v>
      </c>
      <c r="O25" s="1178"/>
      <c r="P25" s="212" t="s">
        <v>61</v>
      </c>
      <c r="Q25" s="1167" t="s">
        <v>57</v>
      </c>
      <c r="R25" s="1168"/>
      <c r="S25" s="106"/>
      <c r="T25" s="31"/>
      <c r="U25" s="182"/>
    </row>
    <row r="26" spans="1:22" ht="13" x14ac:dyDescent="0.3">
      <c r="A26" s="510"/>
      <c r="B26" s="503" t="s">
        <v>58</v>
      </c>
      <c r="C26" s="20" t="s">
        <v>60</v>
      </c>
      <c r="D26" s="20" t="s">
        <v>62</v>
      </c>
      <c r="E26" s="61"/>
      <c r="F26" s="349" t="s">
        <v>54</v>
      </c>
      <c r="G26" s="59">
        <v>7</v>
      </c>
      <c r="H26" s="61"/>
      <c r="I26" s="62"/>
      <c r="J26" s="210" t="s">
        <v>56</v>
      </c>
      <c r="K26" s="211" t="s">
        <v>13</v>
      </c>
      <c r="L26" s="212" t="s">
        <v>68</v>
      </c>
      <c r="M26" s="66" t="s">
        <v>56</v>
      </c>
      <c r="N26" s="20" t="s">
        <v>13</v>
      </c>
      <c r="O26" s="32" t="s">
        <v>68</v>
      </c>
      <c r="P26" s="210" t="s">
        <v>56</v>
      </c>
      <c r="Q26" s="211" t="s">
        <v>13</v>
      </c>
      <c r="R26" s="212" t="s">
        <v>68</v>
      </c>
      <c r="S26" s="98"/>
      <c r="T26" s="31"/>
      <c r="U26" s="182"/>
    </row>
    <row r="27" spans="1:22" s="1" customFormat="1" ht="13" x14ac:dyDescent="0.3">
      <c r="A27" s="511"/>
      <c r="B27" s="959" t="str">
        <f>VLOOKUP($C$2,Monitor_Costs,10,FALSE)</f>
        <v>Multigas calibrator</v>
      </c>
      <c r="C27" s="317">
        <f>VLOOKUP($C$2,Monitor_Costs,11,FALSE)</f>
        <v>14000</v>
      </c>
      <c r="D27" s="721">
        <f>VLOOKUP($C$2,Monitor_Costs,12,FALSE)</f>
        <v>2019</v>
      </c>
      <c r="E27" s="373"/>
      <c r="F27" s="50"/>
      <c r="G27" s="374"/>
      <c r="H27" s="374"/>
      <c r="I27" s="375"/>
      <c r="J27" s="229">
        <f>HLOOKUP(K$2,InflationTable,2)/HLOOKUP($D27,InflationTable,2)*$C27</f>
        <v>16924.833789597185</v>
      </c>
      <c r="K27" s="315">
        <f>J27*$L$6</f>
        <v>37793153.852170512</v>
      </c>
      <c r="L27" s="316">
        <f>K27/$G$26</f>
        <v>5399021.9788815016</v>
      </c>
      <c r="M27" s="23">
        <f>HLOOKUP(N$2,InflationTable,2)/HLOOKUP($D27,InflationTable,2)*$C27</f>
        <v>17601.827141181071</v>
      </c>
      <c r="N27" s="317">
        <f>M27*O$6</f>
        <v>39304880.006257333</v>
      </c>
      <c r="O27" s="365">
        <f>N27/$G$26</f>
        <v>5614982.8580367621</v>
      </c>
      <c r="P27" s="229">
        <f>HLOOKUP(Q$2,InflationTable,2)/HLOOKUP($D27,InflationTable,2)*$C27</f>
        <v>17953.863684004693</v>
      </c>
      <c r="Q27" s="315">
        <f>P27*$L$6</f>
        <v>40090977.606382482</v>
      </c>
      <c r="R27" s="316">
        <f>Q27/$G$26</f>
        <v>5727282.5151974978</v>
      </c>
      <c r="S27" s="376" t="s">
        <v>12</v>
      </c>
      <c r="T27" s="313" t="s">
        <v>12</v>
      </c>
      <c r="U27" s="415">
        <f>AVERAGE(L27,O27,R27)</f>
        <v>5580429.1173719205</v>
      </c>
    </row>
    <row r="28" spans="1:22" s="1" customFormat="1" ht="13" x14ac:dyDescent="0.3">
      <c r="A28" s="511"/>
      <c r="B28" s="959" t="str">
        <f>VLOOKUP($C$2,Monitor_Costs,13,FALSE)</f>
        <v>Zero air supply</v>
      </c>
      <c r="C28" s="317">
        <f>VLOOKUP($C$2,Monitor_Costs,14,FALSE)</f>
        <v>5980</v>
      </c>
      <c r="D28" s="721">
        <f>VLOOKUP($C$2,Monitor_Costs,15,FALSE)</f>
        <v>2019</v>
      </c>
      <c r="E28" s="373"/>
      <c r="F28" s="50"/>
      <c r="G28" s="374"/>
      <c r="H28" s="374"/>
      <c r="I28" s="930"/>
      <c r="J28" s="229">
        <f>HLOOKUP(K$2,InflationTable,2)/HLOOKUP($D28,InflationTable,2)*$C28</f>
        <v>7229.321861556512</v>
      </c>
      <c r="K28" s="315">
        <f>J28*$L$6</f>
        <v>16143075.716855692</v>
      </c>
      <c r="L28" s="316">
        <f>K28/$G$26</f>
        <v>2306153.6738365274</v>
      </c>
      <c r="M28" s="23">
        <f>HLOOKUP(N$2,InflationTable,2)/HLOOKUP($D28,InflationTable,2)*$C28</f>
        <v>7518.4947360187716</v>
      </c>
      <c r="N28" s="317">
        <f>M28*O$6</f>
        <v>16788798.745529916</v>
      </c>
      <c r="O28" s="365">
        <f>N28/$G$26</f>
        <v>2398399.8207899882</v>
      </c>
      <c r="P28" s="229">
        <f>HLOOKUP(Q$2,InflationTable,2)/HLOOKUP($D28,InflationTable,2)*$C28</f>
        <v>7668.8646307391473</v>
      </c>
      <c r="Q28" s="315">
        <f>P28*$L$6</f>
        <v>17124574.720440514</v>
      </c>
      <c r="R28" s="316">
        <f>Q28/$G$26</f>
        <v>2446367.8172057876</v>
      </c>
      <c r="S28" s="376" t="s">
        <v>12</v>
      </c>
      <c r="T28" s="313" t="s">
        <v>12</v>
      </c>
      <c r="U28" s="415">
        <f>AVERAGE(L28,O28,R28)</f>
        <v>2383640.4372774344</v>
      </c>
    </row>
    <row r="29" spans="1:22" s="1" customFormat="1" ht="13" x14ac:dyDescent="0.3">
      <c r="A29" s="511"/>
      <c r="B29" s="959" t="str">
        <f>VLOOKUP($C$2,Monitor_Costs,16,FALSE)</f>
        <v>Ambient air intake manifold assembly</v>
      </c>
      <c r="C29" s="317">
        <f>VLOOKUP($C$2,Monitor_Costs,17,FALSE)</f>
        <v>1500</v>
      </c>
      <c r="D29" s="721">
        <f>VLOOKUP($C$2,Monitor_Costs,18,FALSE)</f>
        <v>2019</v>
      </c>
      <c r="E29" s="373"/>
      <c r="F29" s="50"/>
      <c r="G29" s="374"/>
      <c r="H29" s="374"/>
      <c r="I29" s="930"/>
      <c r="J29" s="229">
        <f>HLOOKUP(K$2,InflationTable,2)/HLOOKUP($D29,InflationTable,2)*$C29</f>
        <v>1813.3750488854128</v>
      </c>
      <c r="K29" s="315">
        <f>J29*$L$6</f>
        <v>4049266.4841611269</v>
      </c>
      <c r="L29" s="316">
        <f>K29/$G$26</f>
        <v>578466.64059444668</v>
      </c>
      <c r="M29" s="23">
        <f>HLOOKUP(N$2,InflationTable,2)/HLOOKUP($D29,InflationTable,2)*$C29</f>
        <v>1885.9100508408292</v>
      </c>
      <c r="N29" s="317">
        <f>M29*O$6</f>
        <v>4211237.1435275711</v>
      </c>
      <c r="O29" s="365">
        <f>N29/$G$26</f>
        <v>601605.30621822446</v>
      </c>
      <c r="P29" s="229">
        <f>HLOOKUP(Q$2,InflationTable,2)/HLOOKUP($D29,InflationTable,2)*$C29</f>
        <v>1923.6282518576456</v>
      </c>
      <c r="Q29" s="315">
        <f>P29*$L$6</f>
        <v>4295461.8863981226</v>
      </c>
      <c r="R29" s="316">
        <f>Q29/$G$26</f>
        <v>613637.412342589</v>
      </c>
      <c r="S29" s="376" t="s">
        <v>12</v>
      </c>
      <c r="T29" s="313" t="s">
        <v>12</v>
      </c>
      <c r="U29" s="415">
        <f>AVERAGE(L29,O29,R29)</f>
        <v>597903.11971841997</v>
      </c>
    </row>
    <row r="30" spans="1:22" s="1" customFormat="1" ht="13" x14ac:dyDescent="0.3">
      <c r="A30" s="511"/>
      <c r="B30" s="960" t="s">
        <v>246</v>
      </c>
      <c r="C30" s="86" t="s">
        <v>60</v>
      </c>
      <c r="D30" s="20" t="s">
        <v>62</v>
      </c>
      <c r="E30" s="655"/>
      <c r="F30" s="349" t="s">
        <v>54</v>
      </c>
      <c r="G30" s="931">
        <v>10</v>
      </c>
      <c r="H30" s="655"/>
      <c r="I30" s="930"/>
      <c r="J30" s="210" t="s">
        <v>56</v>
      </c>
      <c r="K30" s="211" t="s">
        <v>13</v>
      </c>
      <c r="L30" s="212" t="s">
        <v>68</v>
      </c>
      <c r="M30" s="66" t="s">
        <v>56</v>
      </c>
      <c r="N30" s="20" t="s">
        <v>13</v>
      </c>
      <c r="O30" s="32" t="s">
        <v>68</v>
      </c>
      <c r="P30" s="210" t="s">
        <v>56</v>
      </c>
      <c r="Q30" s="211" t="s">
        <v>13</v>
      </c>
      <c r="R30" s="212" t="s">
        <v>68</v>
      </c>
      <c r="S30" s="98"/>
      <c r="T30" s="379"/>
      <c r="U30" s="952"/>
    </row>
    <row r="31" spans="1:22" s="1" customFormat="1" ht="13" x14ac:dyDescent="0.3">
      <c r="A31" s="511"/>
      <c r="B31" s="959" t="str">
        <f>VLOOKUP($C$2,Monitor_Costs,19,FALSE)</f>
        <v>Shelter (large, temp controlled)</v>
      </c>
      <c r="C31" s="317">
        <f>VLOOKUP($C$2,Monitor_Costs,20,FALSE)</f>
        <v>30000</v>
      </c>
      <c r="D31" s="721">
        <f>VLOOKUP($C$2,Monitor_Costs,21,FALSE)</f>
        <v>2019</v>
      </c>
      <c r="E31" s="373"/>
      <c r="F31" s="50"/>
      <c r="G31" s="374"/>
      <c r="H31" s="374"/>
      <c r="I31" s="379"/>
      <c r="J31" s="229">
        <f>HLOOKUP(K$2,InflationTable,2)/HLOOKUP($D31,InflationTable,2)*$C31</f>
        <v>36267.500977708252</v>
      </c>
      <c r="K31" s="315">
        <f>J31*L$5</f>
        <v>16102770.434102464</v>
      </c>
      <c r="L31" s="316">
        <f>K31/$G$30</f>
        <v>1610277.0434102465</v>
      </c>
      <c r="M31" s="23">
        <f>HLOOKUP(N$2,InflationTable,2)/HLOOKUP($D31,InflationTable,2)*$C31</f>
        <v>37718.20101681658</v>
      </c>
      <c r="N31" s="317">
        <f>M31*O$5</f>
        <v>16746881.251466561</v>
      </c>
      <c r="O31" s="318">
        <f>N31/$G$30</f>
        <v>1674688.1251466561</v>
      </c>
      <c r="P31" s="229">
        <f>HLOOKUP(Q$2,InflationTable,2)/HLOOKUP($D31,InflationTable,2)*$C31</f>
        <v>38472.565037152912</v>
      </c>
      <c r="Q31" s="315">
        <f>P31*R$5</f>
        <v>17081818.876495894</v>
      </c>
      <c r="R31" s="316">
        <f>Q31/$G$30</f>
        <v>1708181.8876495895</v>
      </c>
      <c r="S31" s="376" t="s">
        <v>12</v>
      </c>
      <c r="T31" s="313" t="s">
        <v>12</v>
      </c>
      <c r="U31" s="415">
        <f>AVERAGE(L31,O31,R31)</f>
        <v>1664382.3520688305</v>
      </c>
    </row>
    <row r="32" spans="1:22" s="1" customFormat="1" ht="13" x14ac:dyDescent="0.3">
      <c r="A32" s="511"/>
      <c r="B32" s="959" t="str">
        <f>VLOOKUP($C$2,Monitor_Costs,22,FALSE)</f>
        <v>Shelter (small, temp controlled)</v>
      </c>
      <c r="C32" s="317">
        <f>VLOOKUP($C$2,Monitor_Costs,23,FALSE)</f>
        <v>13000</v>
      </c>
      <c r="D32" s="721">
        <f>VLOOKUP($C$2,Monitor_Costs,24,FALSE)</f>
        <v>2019</v>
      </c>
      <c r="E32" s="373"/>
      <c r="F32" s="50"/>
      <c r="G32" s="374"/>
      <c r="H32" s="374"/>
      <c r="I32" s="932"/>
      <c r="J32" s="229">
        <f>HLOOKUP(K$2,InflationTable,2)/HLOOKUP($D32,InflationTable,2)*$C32</f>
        <v>15715.917090340243</v>
      </c>
      <c r="K32" s="315">
        <f>J32*L$4</f>
        <v>28115775.674618695</v>
      </c>
      <c r="L32" s="316">
        <f>K32/$G$30</f>
        <v>2811577.5674618697</v>
      </c>
      <c r="M32" s="23">
        <f>HLOOKUP(N$2,InflationTable,2)/HLOOKUP($D32,InflationTable,2)*$C32</f>
        <v>16344.553773953852</v>
      </c>
      <c r="N32" s="317">
        <f>M32*O$4</f>
        <v>29240406.701603442</v>
      </c>
      <c r="O32" s="318">
        <f>N32/$G$30</f>
        <v>2924040.6701603443</v>
      </c>
      <c r="P32" s="229">
        <f>HLOOKUP(Q$2,InflationTable,2)/HLOOKUP($D32,InflationTable,2)*$C32</f>
        <v>16671.44484943293</v>
      </c>
      <c r="Q32" s="315">
        <f>P32*R$4</f>
        <v>29825214.835635513</v>
      </c>
      <c r="R32" s="316">
        <f>Q32/$G$30</f>
        <v>2982521.4835635512</v>
      </c>
      <c r="S32" s="376" t="s">
        <v>12</v>
      </c>
      <c r="T32" s="313" t="s">
        <v>12</v>
      </c>
      <c r="U32" s="415">
        <f>AVERAGE(L32,O32,R32)</f>
        <v>2906046.5737285889</v>
      </c>
    </row>
    <row r="33" spans="1:21" s="1" customFormat="1" ht="13" x14ac:dyDescent="0.3">
      <c r="A33" s="511"/>
      <c r="B33" s="959" t="str">
        <f>VLOOKUP($C$2,Monitor_Costs,25,FALSE)</f>
        <v>Shelter delivery charges</v>
      </c>
      <c r="C33" s="317">
        <f>VLOOKUP($C$2,Monitor_Costs,26,FALSE)</f>
        <v>1500</v>
      </c>
      <c r="D33" s="721">
        <f>VLOOKUP($C$2,Monitor_Costs,27,FALSE)</f>
        <v>2019</v>
      </c>
      <c r="E33" s="373"/>
      <c r="F33" s="50"/>
      <c r="G33" s="374"/>
      <c r="H33" s="374"/>
      <c r="I33" s="375"/>
      <c r="J33" s="229">
        <f>HLOOKUP(K$2,InflationTable,2)/HLOOKUP($D33,InflationTable,2)*$C33</f>
        <v>1813.3750488854128</v>
      </c>
      <c r="K33" s="315">
        <f>J33*L$6</f>
        <v>4049266.4841611269</v>
      </c>
      <c r="L33" s="316">
        <f>K33/$G$30</f>
        <v>404926.6484161127</v>
      </c>
      <c r="M33" s="23">
        <f>HLOOKUP(N$2,InflationTable,2)/HLOOKUP($D33,InflationTable,2)*$C33</f>
        <v>1885.9100508408292</v>
      </c>
      <c r="N33" s="317">
        <f>M33*O$6</f>
        <v>4211237.1435275711</v>
      </c>
      <c r="O33" s="318">
        <f>N33/$G$30</f>
        <v>421123.71435275709</v>
      </c>
      <c r="P33" s="229">
        <f>HLOOKUP(Q$2,InflationTable,2)/HLOOKUP($D33,InflationTable,2)*$C33</f>
        <v>1923.6282518576456</v>
      </c>
      <c r="Q33" s="315">
        <f>P33*R$6</f>
        <v>4295461.8863981226</v>
      </c>
      <c r="R33" s="316">
        <f>Q33/$G$30</f>
        <v>429546.18863981229</v>
      </c>
      <c r="S33" s="376" t="s">
        <v>12</v>
      </c>
      <c r="T33" s="313" t="s">
        <v>12</v>
      </c>
      <c r="U33" s="415">
        <f>AVERAGE(L33,O33,R33)</f>
        <v>418532.18380289403</v>
      </c>
    </row>
    <row r="34" spans="1:21" s="1" customFormat="1" ht="13" x14ac:dyDescent="0.3">
      <c r="A34" s="511"/>
      <c r="B34" s="959" t="str">
        <f>VLOOKUP($C$2,Monitor_Costs,28,FALSE)</f>
        <v>Other shelter equipment/accessories</v>
      </c>
      <c r="C34" s="317">
        <f>VLOOKUP($C$2,Monitor_Costs,29,FALSE)</f>
        <v>5000</v>
      </c>
      <c r="D34" s="721">
        <f>VLOOKUP($C$2,Monitor_Costs,30,FALSE)</f>
        <v>2019</v>
      </c>
      <c r="E34" s="373"/>
      <c r="F34" s="50"/>
      <c r="G34" s="374"/>
      <c r="H34" s="374"/>
      <c r="I34" s="379"/>
      <c r="J34" s="229">
        <f>HLOOKUP(K$2,InflationTable,2)/HLOOKUP($D34,InflationTable,2)*$C34</f>
        <v>6044.5834962847093</v>
      </c>
      <c r="K34" s="315">
        <f>J34*L$6</f>
        <v>13497554.947203755</v>
      </c>
      <c r="L34" s="316">
        <f>K34/$G$30</f>
        <v>1349755.4947203756</v>
      </c>
      <c r="M34" s="23">
        <f>HLOOKUP(N$2,InflationTable,2)/HLOOKUP($D34,InflationTable,2)*$C34</f>
        <v>6286.3668361360969</v>
      </c>
      <c r="N34" s="317">
        <f>M34*O$6</f>
        <v>14037457.145091904</v>
      </c>
      <c r="O34" s="318">
        <f>N34/$G$30</f>
        <v>1403745.7145091905</v>
      </c>
      <c r="P34" s="229">
        <f>HLOOKUP(Q$2,InflationTable,2)/HLOOKUP($D34,InflationTable,2)*$C34</f>
        <v>6412.0941728588186</v>
      </c>
      <c r="Q34" s="315">
        <f>P34*R$6</f>
        <v>14318206.287993742</v>
      </c>
      <c r="R34" s="316">
        <f>Q34/$G$30</f>
        <v>1431820.6287993742</v>
      </c>
      <c r="S34" s="376" t="s">
        <v>12</v>
      </c>
      <c r="T34" s="313" t="s">
        <v>12</v>
      </c>
      <c r="U34" s="415">
        <f>AVERAGE(L34,O34,R34)</f>
        <v>1395107.2793429801</v>
      </c>
    </row>
    <row r="35" spans="1:21" s="1" customFormat="1" ht="13" x14ac:dyDescent="0.3">
      <c r="A35" s="511"/>
      <c r="B35" s="675" t="s">
        <v>152</v>
      </c>
      <c r="C35" s="623"/>
      <c r="D35" s="933"/>
      <c r="E35" s="899"/>
      <c r="F35" s="130"/>
      <c r="G35" s="655"/>
      <c r="H35" s="655"/>
      <c r="I35" s="932"/>
      <c r="J35" s="900"/>
      <c r="K35" s="621"/>
      <c r="L35" s="622"/>
      <c r="M35" s="1128"/>
      <c r="N35" s="623"/>
      <c r="O35" s="624"/>
      <c r="P35" s="900"/>
      <c r="Q35" s="621"/>
      <c r="R35" s="622"/>
      <c r="S35" s="934"/>
      <c r="T35" s="556"/>
      <c r="U35" s="953"/>
    </row>
    <row r="36" spans="1:21" s="1" customFormat="1" ht="13" x14ac:dyDescent="0.3">
      <c r="A36" s="511"/>
      <c r="B36" s="959" t="str">
        <f>VLOOKUP($C$2,Monitor_Costs,31,FALSE)</f>
        <v>Site preparation</v>
      </c>
      <c r="C36" s="317">
        <f>VLOOKUP($C$2,Monitor_Costs,32,FALSE)</f>
        <v>4500</v>
      </c>
      <c r="D36" s="721">
        <f>VLOOKUP($C$2,Monitor_Costs,33,FALSE)</f>
        <v>2019</v>
      </c>
      <c r="E36" s="373"/>
      <c r="F36" s="50"/>
      <c r="G36" s="374"/>
      <c r="H36" s="374"/>
      <c r="I36" s="932"/>
      <c r="J36" s="229">
        <f>HLOOKUP(K$2,InflationTable,2)/HLOOKUP($D36,InflationTable,2)*$C36</f>
        <v>5440.125146656238</v>
      </c>
      <c r="K36" s="315">
        <f>J36*L$8</f>
        <v>12147799.45248338</v>
      </c>
      <c r="L36" s="316">
        <f>K36/$G$26</f>
        <v>1735399.9217833399</v>
      </c>
      <c r="M36" s="23">
        <f>HLOOKUP(N$2,InflationTable,2)/HLOOKUP($D36,InflationTable,2)*$C36</f>
        <v>5657.7301525224875</v>
      </c>
      <c r="N36" s="317">
        <f>M36*O$8</f>
        <v>12633711.430582715</v>
      </c>
      <c r="O36" s="318">
        <f>N36/$G$26</f>
        <v>1804815.9186546735</v>
      </c>
      <c r="P36" s="229">
        <f>HLOOKUP(Q$2,InflationTable,2)/HLOOKUP($D36,InflationTable,2)*$C36</f>
        <v>5770.8847555729371</v>
      </c>
      <c r="Q36" s="315">
        <f>P36*R$8</f>
        <v>12886385.659194369</v>
      </c>
      <c r="R36" s="316">
        <f>Q36/$G$26</f>
        <v>1840912.2370277669</v>
      </c>
      <c r="S36" s="376" t="s">
        <v>12</v>
      </c>
      <c r="T36" s="313" t="s">
        <v>12</v>
      </c>
      <c r="U36" s="415">
        <f>AVERAGE(L36,O36,R36)</f>
        <v>1793709.35915526</v>
      </c>
    </row>
    <row r="37" spans="1:21" s="1" customFormat="1" ht="13" x14ac:dyDescent="0.3">
      <c r="A37" s="511"/>
      <c r="B37" s="959" t="str">
        <f>VLOOKUP($C$2,Monitor_Costs,34,FALSE)</f>
        <v>Power drop</v>
      </c>
      <c r="C37" s="317">
        <f>VLOOKUP($C$2,Monitor_Costs,35,FALSE)</f>
        <v>800</v>
      </c>
      <c r="D37" s="721">
        <f>VLOOKUP($C$2,Monitor_Costs,36,FALSE)</f>
        <v>2019</v>
      </c>
      <c r="E37" s="373"/>
      <c r="F37" s="50"/>
      <c r="G37" s="374"/>
      <c r="H37" s="374"/>
      <c r="I37" s="932"/>
      <c r="J37" s="229">
        <f>HLOOKUP(K$2,InflationTable,2)/HLOOKUP($D37,InflationTable,2)*$C37</f>
        <v>967.13335940555339</v>
      </c>
      <c r="K37" s="315">
        <f>J37*L$8</f>
        <v>2159608.7915526009</v>
      </c>
      <c r="L37" s="316">
        <f>K37/$G$26</f>
        <v>308515.54165037157</v>
      </c>
      <c r="M37" s="23">
        <f>HLOOKUP(N$2,InflationTable,2)/HLOOKUP($D37,InflationTable,2)*$C37</f>
        <v>1005.8186937817756</v>
      </c>
      <c r="N37" s="317">
        <f>M37*O$8</f>
        <v>2245993.1432147049</v>
      </c>
      <c r="O37" s="318">
        <f>N37/$G$26</f>
        <v>320856.1633163864</v>
      </c>
      <c r="P37" s="229">
        <f>HLOOKUP(Q$2,InflationTable,2)/HLOOKUP($D37,InflationTable,2)*$C37</f>
        <v>1025.9350676574111</v>
      </c>
      <c r="Q37" s="315">
        <f>P37*R$8</f>
        <v>2290913.006078999</v>
      </c>
      <c r="R37" s="316">
        <f>Q37/$G$26</f>
        <v>327273.28658271412</v>
      </c>
      <c r="S37" s="376" t="s">
        <v>12</v>
      </c>
      <c r="T37" s="313" t="s">
        <v>12</v>
      </c>
      <c r="U37" s="415">
        <f>AVERAGE(L37,O37,R37)</f>
        <v>318881.66384982405</v>
      </c>
    </row>
    <row r="38" spans="1:21" s="1" customFormat="1" ht="13" x14ac:dyDescent="0.3">
      <c r="A38" s="511"/>
      <c r="B38" s="959" t="str">
        <f>VLOOKUP($C$2,Monitor_Costs,37,FALSE)</f>
        <v>Land/Lease</v>
      </c>
      <c r="C38" s="317">
        <f>VLOOKUP($C$2,Monitor_Costs,38,FALSE)</f>
        <v>4000</v>
      </c>
      <c r="D38" s="721">
        <f>VLOOKUP($C$2,Monitor_Costs,39,FALSE)</f>
        <v>2019</v>
      </c>
      <c r="E38" s="373"/>
      <c r="F38" s="50"/>
      <c r="G38" s="374"/>
      <c r="H38" s="374"/>
      <c r="I38" s="932"/>
      <c r="J38" s="229">
        <f>HLOOKUP(K$2,InflationTable,2)/HLOOKUP($D38,InflationTable,2)*$C38</f>
        <v>4835.6667970277667</v>
      </c>
      <c r="K38" s="315">
        <f>J38*L$8</f>
        <v>10798043.957763003</v>
      </c>
      <c r="L38" s="316">
        <f>K38</f>
        <v>10798043.957763003</v>
      </c>
      <c r="M38" s="23">
        <f>HLOOKUP(N$2,InflationTable,2)/HLOOKUP($D38,InflationTable,2)*$C38</f>
        <v>5029.0934689088772</v>
      </c>
      <c r="N38" s="317">
        <f>M38*O$8</f>
        <v>11229965.716073522</v>
      </c>
      <c r="O38" s="318">
        <f>N38</f>
        <v>11229965.716073522</v>
      </c>
      <c r="P38" s="229">
        <f>HLOOKUP(Q$2,InflationTable,2)/HLOOKUP($D38,InflationTable,2)*$C38</f>
        <v>5129.6753382870547</v>
      </c>
      <c r="Q38" s="315">
        <f>P38*R$8</f>
        <v>11454565.030394994</v>
      </c>
      <c r="R38" s="316">
        <f>Q38</f>
        <v>11454565.030394994</v>
      </c>
      <c r="S38" s="376" t="s">
        <v>12</v>
      </c>
      <c r="T38" s="313" t="s">
        <v>12</v>
      </c>
      <c r="U38" s="415">
        <f>AVERAGE(L38,O38,R38)</f>
        <v>11160858.234743839</v>
      </c>
    </row>
    <row r="39" spans="1:21" s="1" customFormat="1" ht="13" x14ac:dyDescent="0.3">
      <c r="A39" s="511"/>
      <c r="B39" s="959" t="str">
        <f>VLOOKUP($C$2,Monitor_Costs,40,FALSE)</f>
        <v>Rent</v>
      </c>
      <c r="C39" s="317">
        <f>VLOOKUP($C$2,Monitor_Costs,41,FALSE)</f>
        <v>283.84991394148022</v>
      </c>
      <c r="D39" s="721">
        <f>VLOOKUP($C$2,Monitor_Costs,42,FALSE)</f>
        <v>2019</v>
      </c>
      <c r="E39" s="373"/>
      <c r="F39" s="50"/>
      <c r="G39" s="374"/>
      <c r="H39" s="374"/>
      <c r="I39" s="375"/>
      <c r="J39" s="229">
        <f>HLOOKUP(K$2,InflationTable,2)/HLOOKUP($D39,InflationTable,2)*$C39</f>
        <v>343.15090104650125</v>
      </c>
      <c r="K39" s="315">
        <f>J39*L$8</f>
        <v>766255.96203683724</v>
      </c>
      <c r="L39" s="316">
        <f>K39</f>
        <v>766255.96203683724</v>
      </c>
      <c r="M39" s="23">
        <f>HLOOKUP(N$2,InflationTable,2)/HLOOKUP($D39,InflationTable,2)*$C39</f>
        <v>356.87693708836127</v>
      </c>
      <c r="N39" s="317">
        <f>M39*O$8</f>
        <v>796906.20051831077</v>
      </c>
      <c r="O39" s="318">
        <f>N39</f>
        <v>796906.20051831077</v>
      </c>
      <c r="P39" s="229">
        <f>HLOOKUP(Q$2,InflationTable,2)/HLOOKUP($D39,InflationTable,2)*$C39</f>
        <v>364.0144758301285</v>
      </c>
      <c r="Q39" s="315">
        <f>P39*R$8</f>
        <v>812844.32452867692</v>
      </c>
      <c r="R39" s="316">
        <f>Q39</f>
        <v>812844.32452867692</v>
      </c>
      <c r="S39" s="376" t="s">
        <v>12</v>
      </c>
      <c r="T39" s="313" t="s">
        <v>12</v>
      </c>
      <c r="U39" s="415">
        <f>AVERAGE(L39,O39,R39)</f>
        <v>792002.16236127494</v>
      </c>
    </row>
    <row r="40" spans="1:21" ht="13" x14ac:dyDescent="0.3">
      <c r="A40" s="510"/>
      <c r="B40" s="501" t="s">
        <v>66</v>
      </c>
      <c r="F40" s="1"/>
      <c r="G40" s="8"/>
      <c r="H40" s="8"/>
      <c r="I40" s="649"/>
      <c r="J40" s="686">
        <v>0</v>
      </c>
      <c r="K40" s="687">
        <v>0</v>
      </c>
      <c r="L40" s="688">
        <v>0</v>
      </c>
      <c r="M40" s="387">
        <v>0</v>
      </c>
      <c r="N40" s="689">
        <v>0</v>
      </c>
      <c r="O40" s="690">
        <v>0</v>
      </c>
      <c r="P40" s="686">
        <v>0</v>
      </c>
      <c r="Q40" s="687">
        <v>0</v>
      </c>
      <c r="R40" s="688">
        <v>0</v>
      </c>
      <c r="S40" s="106">
        <v>0</v>
      </c>
      <c r="T40" s="31">
        <v>0</v>
      </c>
      <c r="U40" s="954" t="s">
        <v>12</v>
      </c>
    </row>
    <row r="41" spans="1:21" ht="13.5" thickBot="1" x14ac:dyDescent="0.35">
      <c r="A41" s="510"/>
      <c r="B41" s="502" t="s">
        <v>67</v>
      </c>
      <c r="C41" s="201"/>
      <c r="D41" s="716"/>
      <c r="E41" s="578"/>
      <c r="F41" s="578"/>
      <c r="G41" s="578"/>
      <c r="H41" s="578"/>
      <c r="I41" s="195"/>
      <c r="J41" s="224"/>
      <c r="K41" s="237">
        <f>SUM(K27:K39)</f>
        <v>145622571.75710919</v>
      </c>
      <c r="L41" s="237">
        <f>SUM(L27:L39)</f>
        <v>28068394.430554632</v>
      </c>
      <c r="M41" s="333"/>
      <c r="N41" s="197">
        <f>SUM(N27:N39)</f>
        <v>151447474.62739351</v>
      </c>
      <c r="O41" s="197">
        <f>SUM(O27:O39)</f>
        <v>29191130.207776815</v>
      </c>
      <c r="P41" s="224"/>
      <c r="Q41" s="237">
        <f>SUM(Q27:Q39)</f>
        <v>154476424.11994141</v>
      </c>
      <c r="R41" s="237">
        <f>SUM(R27:R39)</f>
        <v>29774952.811932355</v>
      </c>
      <c r="S41" s="333" t="s">
        <v>12</v>
      </c>
      <c r="T41" s="203" t="s">
        <v>12</v>
      </c>
      <c r="U41" s="955">
        <f>SUM(U27:U39)</f>
        <v>29011492.483421262</v>
      </c>
    </row>
    <row r="42" spans="1:21" ht="13.5" thickTop="1" thickBot="1" x14ac:dyDescent="0.3">
      <c r="A42" s="510"/>
      <c r="C42" s="513"/>
      <c r="D42" s="513"/>
      <c r="E42" s="513"/>
      <c r="F42" s="513"/>
      <c r="G42" s="513"/>
      <c r="H42" s="335"/>
      <c r="I42" s="513"/>
      <c r="J42" s="513"/>
      <c r="K42" s="513"/>
      <c r="L42" s="513"/>
      <c r="M42" s="513"/>
      <c r="N42" s="513"/>
      <c r="O42" s="513"/>
      <c r="P42" s="513"/>
      <c r="Q42" s="513"/>
      <c r="R42" s="513"/>
      <c r="S42" s="513"/>
      <c r="T42" s="513"/>
      <c r="U42" s="515"/>
    </row>
    <row r="43" spans="1:21" ht="16" thickTop="1" x14ac:dyDescent="0.35">
      <c r="A43" s="510"/>
      <c r="B43" s="508" t="s">
        <v>155</v>
      </c>
      <c r="F43" s="1" t="s">
        <v>6</v>
      </c>
      <c r="G43" s="1160"/>
      <c r="H43" s="1161"/>
      <c r="I43" s="1162"/>
      <c r="J43" s="198" t="s">
        <v>22</v>
      </c>
      <c r="L43" s="62"/>
      <c r="M43" s="198" t="s">
        <v>22</v>
      </c>
      <c r="O43" s="31"/>
      <c r="P43" s="198" t="s">
        <v>22</v>
      </c>
      <c r="R43" s="31"/>
      <c r="S43" s="97"/>
      <c r="T43" s="31"/>
      <c r="U43" s="414"/>
    </row>
    <row r="44" spans="1:21" ht="13" x14ac:dyDescent="0.3">
      <c r="A44" s="510"/>
      <c r="F44" s="1"/>
      <c r="G44" s="1163"/>
      <c r="H44" s="1163"/>
      <c r="I44" s="1164"/>
      <c r="J44" s="227" t="s">
        <v>61</v>
      </c>
      <c r="K44" s="1182" t="s">
        <v>57</v>
      </c>
      <c r="L44" s="1183"/>
      <c r="M44" s="50" t="s">
        <v>61</v>
      </c>
      <c r="N44" s="1177" t="s">
        <v>57</v>
      </c>
      <c r="O44" s="1178"/>
      <c r="P44" s="227" t="s">
        <v>61</v>
      </c>
      <c r="Q44" s="1167" t="s">
        <v>57</v>
      </c>
      <c r="R44" s="1168"/>
      <c r="S44" s="106"/>
      <c r="T44" s="31"/>
      <c r="U44" s="182"/>
    </row>
    <row r="45" spans="1:21" ht="13" x14ac:dyDescent="0.3">
      <c r="A45" s="510"/>
      <c r="B45" s="506" t="s">
        <v>18</v>
      </c>
      <c r="C45" s="20" t="s">
        <v>60</v>
      </c>
      <c r="D45" s="20" t="s">
        <v>62</v>
      </c>
      <c r="E45" s="7"/>
      <c r="F45" s="61"/>
      <c r="G45" s="61"/>
      <c r="H45" s="61"/>
      <c r="I45" s="31"/>
      <c r="J45" s="211" t="s">
        <v>56</v>
      </c>
      <c r="K45" s="211" t="s">
        <v>13</v>
      </c>
      <c r="L45" s="212" t="s">
        <v>68</v>
      </c>
      <c r="M45" s="66" t="s">
        <v>56</v>
      </c>
      <c r="N45" s="20" t="s">
        <v>13</v>
      </c>
      <c r="O45" s="32" t="s">
        <v>68</v>
      </c>
      <c r="P45" s="210" t="s">
        <v>56</v>
      </c>
      <c r="Q45" s="211" t="s">
        <v>13</v>
      </c>
      <c r="R45" s="212" t="s">
        <v>68</v>
      </c>
      <c r="S45" s="98"/>
      <c r="T45" s="31"/>
      <c r="U45" s="182"/>
    </row>
    <row r="46" spans="1:21" s="1" customFormat="1" ht="13" x14ac:dyDescent="0.3">
      <c r="A46" s="511"/>
      <c r="B46" s="720" t="str">
        <f>VLOOKUP($C$2,Monitor_Costs,46,FALSE)</f>
        <v>Utilities</v>
      </c>
      <c r="C46" s="380">
        <f>VLOOKUP($C$2,Monitor_Costs,47,FALSE)</f>
        <v>1500</v>
      </c>
      <c r="D46" s="721">
        <f>VLOOKUP($C$2,Monitor_Costs,48,FALSE)</f>
        <v>2019</v>
      </c>
      <c r="E46" s="374"/>
      <c r="F46" s="50"/>
      <c r="G46" s="374"/>
      <c r="H46" s="374"/>
      <c r="I46" s="375"/>
      <c r="J46" s="229">
        <f>HLOOKUP(K$2,InflationTable,2)/HLOOKUP($D46,InflationTable,2)*$C46</f>
        <v>1813.3750488854128</v>
      </c>
      <c r="K46" s="315">
        <f>$J46*L8</f>
        <v>4049266.4841611269</v>
      </c>
      <c r="L46" s="316">
        <f>K46</f>
        <v>4049266.4841611269</v>
      </c>
      <c r="M46" s="23">
        <f>HLOOKUP(N$2,InflationTable,2)/HLOOKUP($D46,InflationTable,2)*$C46</f>
        <v>1885.9100508408292</v>
      </c>
      <c r="N46" s="317">
        <f>M46*O8</f>
        <v>4211237.1435275711</v>
      </c>
      <c r="O46" s="318">
        <f>N46</f>
        <v>4211237.1435275711</v>
      </c>
      <c r="P46" s="229">
        <f>HLOOKUP(Q$2,InflationTable,2)/HLOOKUP($D46,InflationTable,2)*$C46</f>
        <v>1923.6282518576456</v>
      </c>
      <c r="Q46" s="315">
        <f>P46*R8</f>
        <v>4295461.8863981226</v>
      </c>
      <c r="R46" s="316">
        <f>Q46</f>
        <v>4295461.8863981226</v>
      </c>
      <c r="S46" s="376" t="s">
        <v>12</v>
      </c>
      <c r="T46" s="314">
        <f>AVERAGE(L46,O46,R46)</f>
        <v>4185321.8380289399</v>
      </c>
      <c r="U46" s="442" t="s">
        <v>12</v>
      </c>
    </row>
    <row r="47" spans="1:21" s="1" customFormat="1" ht="13.5" thickBot="1" x14ac:dyDescent="0.35">
      <c r="A47" s="511"/>
      <c r="B47" s="722" t="str">
        <f>VLOOKUP($C$2,Monitor_Costs,49,FALSE)</f>
        <v>Vehicle</v>
      </c>
      <c r="C47" s="165">
        <f>VLOOKUP($C$2,Monitor_Costs,50,FALSE)</f>
        <v>75000</v>
      </c>
      <c r="D47" s="723">
        <f>VLOOKUP($C$2,Monitor_Costs,51,FALSE)</f>
        <v>2019</v>
      </c>
      <c r="E47" s="381"/>
      <c r="F47" s="382"/>
      <c r="G47" s="381"/>
      <c r="H47" s="381"/>
      <c r="I47" s="375"/>
      <c r="J47" s="229">
        <f>HLOOKUP(K$2,InflationTable,2)/HLOOKUP($D47,InflationTable,2)*$C47</f>
        <v>90668.752444270634</v>
      </c>
      <c r="K47" s="315">
        <f>J47</f>
        <v>90668.752444270634</v>
      </c>
      <c r="L47" s="316">
        <f>K47</f>
        <v>90668.752444270634</v>
      </c>
      <c r="M47" s="23">
        <f>HLOOKUP(N$2,InflationTable,2)/HLOOKUP($D47,InflationTable,2)*$C47</f>
        <v>94295.50254204146</v>
      </c>
      <c r="N47" s="317">
        <f>M47</f>
        <v>94295.50254204146</v>
      </c>
      <c r="O47" s="318">
        <f>N47</f>
        <v>94295.50254204146</v>
      </c>
      <c r="P47" s="229">
        <f>HLOOKUP(Q$2,InflationTable,2)/HLOOKUP($D47,InflationTable,2)*$C47</f>
        <v>96181.412592882276</v>
      </c>
      <c r="Q47" s="315">
        <f>P47</f>
        <v>96181.412592882276</v>
      </c>
      <c r="R47" s="316">
        <f>Q47</f>
        <v>96181.412592882276</v>
      </c>
      <c r="S47" s="376" t="s">
        <v>12</v>
      </c>
      <c r="T47" s="314">
        <f>AVERAGE(L47,O47,R47)</f>
        <v>93715.222526398124</v>
      </c>
      <c r="U47" s="442" t="s">
        <v>12</v>
      </c>
    </row>
    <row r="48" spans="1:21" s="1" customFormat="1" ht="13.5" thickBot="1" x14ac:dyDescent="0.35">
      <c r="A48" s="511"/>
      <c r="B48" s="718" t="s">
        <v>275</v>
      </c>
      <c r="C48" s="724">
        <f>SUM(C46:C47)</f>
        <v>76500</v>
      </c>
      <c r="D48" s="725"/>
      <c r="E48" s="726"/>
      <c r="F48" s="727"/>
      <c r="G48" s="726"/>
      <c r="H48" s="726"/>
      <c r="I48" s="936"/>
      <c r="J48" s="937">
        <f t="shared" ref="J48:R48" si="1">SUM(J46:J47)</f>
        <v>92482.127493156047</v>
      </c>
      <c r="K48" s="937">
        <f t="shared" si="1"/>
        <v>4139935.2366053974</v>
      </c>
      <c r="L48" s="938">
        <f t="shared" si="1"/>
        <v>4139935.2366053974</v>
      </c>
      <c r="M48" s="939">
        <f t="shared" si="1"/>
        <v>96181.41259288229</v>
      </c>
      <c r="N48" s="939">
        <f t="shared" si="1"/>
        <v>4305532.6460696124</v>
      </c>
      <c r="O48" s="626">
        <f t="shared" si="1"/>
        <v>4305532.6460696124</v>
      </c>
      <c r="P48" s="937">
        <f t="shared" si="1"/>
        <v>98105.040844739924</v>
      </c>
      <c r="Q48" s="937">
        <f t="shared" si="1"/>
        <v>4391643.2989910049</v>
      </c>
      <c r="R48" s="937">
        <f t="shared" si="1"/>
        <v>4391643.2989910049</v>
      </c>
      <c r="S48" s="625" t="s">
        <v>12</v>
      </c>
      <c r="T48" s="626">
        <f>SUM(T46:T47)</f>
        <v>4279037.0605553379</v>
      </c>
      <c r="U48" s="184">
        <f>SUM(U46:U47)</f>
        <v>0</v>
      </c>
    </row>
    <row r="49" spans="1:21" ht="13" x14ac:dyDescent="0.3">
      <c r="A49" s="510"/>
      <c r="B49" s="653" t="s">
        <v>272</v>
      </c>
      <c r="F49"/>
      <c r="H49" s="509" t="s">
        <v>238</v>
      </c>
      <c r="I49" s="717">
        <v>2610</v>
      </c>
      <c r="J49" s="944"/>
      <c r="K49" s="719">
        <f>I49</f>
        <v>2610</v>
      </c>
      <c r="L49" s="223">
        <f>K49</f>
        <v>2610</v>
      </c>
      <c r="M49" s="943"/>
      <c r="N49" s="942">
        <f>L49</f>
        <v>2610</v>
      </c>
      <c r="O49" s="941">
        <f>N49</f>
        <v>2610</v>
      </c>
      <c r="P49" s="944"/>
      <c r="Q49" s="719">
        <f>O49</f>
        <v>2610</v>
      </c>
      <c r="R49" s="223">
        <f>Q49</f>
        <v>2610</v>
      </c>
      <c r="S49" s="104">
        <f>AVERAGE(L49,O49,R49)</f>
        <v>2610</v>
      </c>
      <c r="T49" s="42" t="s">
        <v>12</v>
      </c>
      <c r="U49" s="185" t="s">
        <v>12</v>
      </c>
    </row>
    <row r="50" spans="1:21" s="1" customFormat="1" ht="13.5" thickBot="1" x14ac:dyDescent="0.35">
      <c r="A50" s="511"/>
      <c r="B50" s="652"/>
      <c r="C50" s="61"/>
      <c r="D50" s="61"/>
      <c r="E50" s="61"/>
      <c r="F50" s="61"/>
      <c r="G50" s="61"/>
      <c r="H50" s="327" t="s">
        <v>239</v>
      </c>
      <c r="I50" s="672">
        <v>108460</v>
      </c>
      <c r="J50" s="945"/>
      <c r="K50" s="229">
        <f>HLOOKUP(K$2,InflationTable,2)/HLOOKUP(Labor!$B$11,InflationTable,2)*$I50</f>
        <v>232021.83529411763</v>
      </c>
      <c r="L50" s="246">
        <f>K50</f>
        <v>232021.83529411763</v>
      </c>
      <c r="M50" s="935"/>
      <c r="N50" s="23">
        <f>HLOOKUP(N$2,InflationTable,2)/HLOOKUP(Labor!$B$11,InflationTable,2)*$I50</f>
        <v>241302.70870588237</v>
      </c>
      <c r="O50" s="311">
        <f>N50</f>
        <v>241302.70870588237</v>
      </c>
      <c r="P50" s="946"/>
      <c r="Q50" s="229">
        <f>HLOOKUP(Q$2,InflationTable,2)/HLOOKUP(Labor!$B$11,InflationTable,2)*$I50</f>
        <v>246128.76287999997</v>
      </c>
      <c r="R50" s="947">
        <f>Q50</f>
        <v>246128.76287999997</v>
      </c>
      <c r="S50" s="169">
        <f>AVERAGE(K50,O50,R50)</f>
        <v>239817.76895999999</v>
      </c>
      <c r="T50" s="174" t="s">
        <v>12</v>
      </c>
      <c r="U50" s="183" t="s">
        <v>12</v>
      </c>
    </row>
    <row r="51" spans="1:21" ht="13" x14ac:dyDescent="0.3">
      <c r="A51" s="510"/>
      <c r="B51" s="378" t="s">
        <v>23</v>
      </c>
      <c r="C51" s="86" t="s">
        <v>45</v>
      </c>
      <c r="D51" s="86" t="s">
        <v>46</v>
      </c>
      <c r="E51" s="86" t="s">
        <v>47</v>
      </c>
      <c r="F51" s="86" t="s">
        <v>48</v>
      </c>
      <c r="G51" s="86" t="s">
        <v>49</v>
      </c>
      <c r="H51" s="86" t="s">
        <v>50</v>
      </c>
      <c r="I51" s="145" t="s">
        <v>74</v>
      </c>
      <c r="J51" s="293"/>
      <c r="K51" s="293"/>
      <c r="L51" s="296"/>
      <c r="M51" s="88"/>
      <c r="N51" s="86"/>
      <c r="O51" s="87"/>
      <c r="P51" s="292"/>
      <c r="Q51" s="293"/>
      <c r="R51" s="296"/>
      <c r="S51" s="98"/>
      <c r="T51" s="31"/>
      <c r="U51" s="182"/>
    </row>
    <row r="52" spans="1:21" x14ac:dyDescent="0.25">
      <c r="A52" s="510"/>
      <c r="B52" s="509" t="s">
        <v>4</v>
      </c>
      <c r="C52" s="18">
        <v>0</v>
      </c>
      <c r="D52" s="18">
        <v>0</v>
      </c>
      <c r="E52" s="18">
        <v>0</v>
      </c>
      <c r="F52" s="18">
        <v>0</v>
      </c>
      <c r="G52" s="18">
        <v>1.6</v>
      </c>
      <c r="H52" s="18">
        <v>1.6</v>
      </c>
      <c r="I52" s="41">
        <f>SUM(C52:H52)</f>
        <v>3.2</v>
      </c>
      <c r="J52" s="247">
        <f>I52</f>
        <v>3.2</v>
      </c>
      <c r="K52" s="231">
        <f>$I52*L$8</f>
        <v>7145.6</v>
      </c>
      <c r="L52" s="239">
        <f>K52</f>
        <v>7145.6</v>
      </c>
      <c r="M52" s="51">
        <f>I52</f>
        <v>3.2</v>
      </c>
      <c r="N52" s="58">
        <f>$I52*O$8</f>
        <v>7145.6</v>
      </c>
      <c r="O52" s="57">
        <f>N52</f>
        <v>7145.6</v>
      </c>
      <c r="P52" s="213">
        <f>I52</f>
        <v>3.2</v>
      </c>
      <c r="Q52" s="231">
        <f>$I52*R$8</f>
        <v>7145.6</v>
      </c>
      <c r="R52" s="239">
        <f>Q52</f>
        <v>7145.6</v>
      </c>
      <c r="S52" s="96">
        <f>AVERAGE(L52,O52,R52)</f>
        <v>7145.6000000000013</v>
      </c>
      <c r="T52" s="94" t="s">
        <v>12</v>
      </c>
      <c r="U52" s="187" t="s">
        <v>12</v>
      </c>
    </row>
    <row r="53" spans="1:21" s="1" customFormat="1" ht="13.5" thickBot="1" x14ac:dyDescent="0.35">
      <c r="A53" s="511"/>
      <c r="B53" s="500" t="s">
        <v>8</v>
      </c>
      <c r="C53" s="310">
        <f>ROUND(C52*Labor!$D$3,0)</f>
        <v>0</v>
      </c>
      <c r="D53" s="310">
        <f>ROUND(D52*Labor!$D$4,0)</f>
        <v>0</v>
      </c>
      <c r="E53" s="310">
        <f>ROUND(E52*Labor!$D$5,0)</f>
        <v>0</v>
      </c>
      <c r="F53" s="310">
        <f>ROUND(F52*Labor!$D$6,0)</f>
        <v>0</v>
      </c>
      <c r="G53" s="310">
        <f>ROUND(G52*Labor!$D$7,0)</f>
        <v>50</v>
      </c>
      <c r="H53" s="310">
        <f>ROUND(H52*Labor!$D$8,0)</f>
        <v>61</v>
      </c>
      <c r="I53" s="311">
        <f>SUM(C53:H53)</f>
        <v>111</v>
      </c>
      <c r="J53" s="284">
        <f>HLOOKUP(K$2,InflationTable,2)/HLOOKUP(Labor!$B$11,InflationTable,2)*$I53</f>
        <v>237.45550173010378</v>
      </c>
      <c r="K53" s="245">
        <f>J53*L$8</f>
        <v>530238.13536332175</v>
      </c>
      <c r="L53" s="320">
        <f>K53</f>
        <v>530238.13536332175</v>
      </c>
      <c r="M53" s="169">
        <f>HLOOKUP(N$2,InflationTable,2)/HLOOKUP(Labor!$B$11,InflationTable,2)*$I53</f>
        <v>246.95372179930797</v>
      </c>
      <c r="N53" s="166">
        <f>M53*O$8</f>
        <v>551447.66077785473</v>
      </c>
      <c r="O53" s="167">
        <f>N53</f>
        <v>551447.66077785473</v>
      </c>
      <c r="P53" s="284">
        <f>HLOOKUP(Q$2,InflationTable,2)/HLOOKUP(Labor!$B$11,InflationTable,2)*$I53</f>
        <v>251.8927962352941</v>
      </c>
      <c r="Q53" s="245">
        <f>P53*R$8</f>
        <v>562476.61399341177</v>
      </c>
      <c r="R53" s="246">
        <f>Q53</f>
        <v>562476.61399341177</v>
      </c>
      <c r="S53" s="169">
        <f>AVERAGE(L53,O53,R53)</f>
        <v>548054.13671152946</v>
      </c>
      <c r="T53" s="174" t="s">
        <v>12</v>
      </c>
      <c r="U53" s="183" t="s">
        <v>12</v>
      </c>
    </row>
    <row r="54" spans="1:21" ht="13" x14ac:dyDescent="0.3">
      <c r="A54" s="510"/>
      <c r="B54" s="501" t="s">
        <v>66</v>
      </c>
      <c r="C54" s="30">
        <f t="shared" ref="C54:J54" si="2">C52</f>
        <v>0</v>
      </c>
      <c r="D54" s="30">
        <f t="shared" si="2"/>
        <v>0</v>
      </c>
      <c r="E54" s="30">
        <f t="shared" si="2"/>
        <v>0</v>
      </c>
      <c r="F54" s="30">
        <f t="shared" si="2"/>
        <v>0</v>
      </c>
      <c r="G54" s="30">
        <f t="shared" si="2"/>
        <v>1.6</v>
      </c>
      <c r="H54" s="30">
        <f t="shared" si="2"/>
        <v>1.6</v>
      </c>
      <c r="I54" s="44">
        <f t="shared" si="2"/>
        <v>3.2</v>
      </c>
      <c r="J54" s="949">
        <f t="shared" si="2"/>
        <v>3.2</v>
      </c>
      <c r="K54" s="948">
        <f>K52+K49</f>
        <v>9755.6</v>
      </c>
      <c r="L54" s="251">
        <f>L52+L49</f>
        <v>9755.6</v>
      </c>
      <c r="M54" s="699">
        <f>M52</f>
        <v>3.2</v>
      </c>
      <c r="N54" s="950">
        <f>N52+N49</f>
        <v>9755.6</v>
      </c>
      <c r="O54" s="74">
        <f>O52+O49</f>
        <v>9755.6</v>
      </c>
      <c r="P54" s="703">
        <f>P52</f>
        <v>3.2</v>
      </c>
      <c r="Q54" s="948">
        <f>Q52+Q49</f>
        <v>9755.6</v>
      </c>
      <c r="R54" s="250">
        <f>R52+R49</f>
        <v>9755.6</v>
      </c>
      <c r="S54" s="940">
        <f>AVERAGE(L54,O54,R54)</f>
        <v>9755.6</v>
      </c>
      <c r="T54" s="42" t="s">
        <v>12</v>
      </c>
      <c r="U54" s="185" t="s">
        <v>12</v>
      </c>
    </row>
    <row r="55" spans="1:21" ht="13.5" thickBot="1" x14ac:dyDescent="0.35">
      <c r="A55" s="510"/>
      <c r="B55" s="502" t="s">
        <v>67</v>
      </c>
      <c r="C55" s="194">
        <f>C53</f>
        <v>0</v>
      </c>
      <c r="D55" s="194">
        <f t="shared" ref="D55:H55" si="3">D53</f>
        <v>0</v>
      </c>
      <c r="E55" s="194">
        <f t="shared" si="3"/>
        <v>0</v>
      </c>
      <c r="F55" s="194">
        <f t="shared" si="3"/>
        <v>0</v>
      </c>
      <c r="G55" s="194">
        <f t="shared" si="3"/>
        <v>50</v>
      </c>
      <c r="H55" s="194">
        <f t="shared" si="3"/>
        <v>61</v>
      </c>
      <c r="I55" s="205">
        <f>I53</f>
        <v>111</v>
      </c>
      <c r="J55" s="253">
        <f>J53</f>
        <v>237.45550173010378</v>
      </c>
      <c r="K55" s="253">
        <f>K53+K50</f>
        <v>762259.97065743944</v>
      </c>
      <c r="L55" s="254">
        <f>L53+L50</f>
        <v>762259.97065743944</v>
      </c>
      <c r="M55" s="176">
        <f>M53</f>
        <v>246.95372179930797</v>
      </c>
      <c r="N55" s="177">
        <f>N53+N50</f>
        <v>792750.36948373704</v>
      </c>
      <c r="O55" s="178">
        <f>O53+O50</f>
        <v>792750.36948373704</v>
      </c>
      <c r="P55" s="259">
        <f>P53</f>
        <v>251.8927962352941</v>
      </c>
      <c r="Q55" s="253">
        <f>Q53+Q50</f>
        <v>808605.3768734117</v>
      </c>
      <c r="R55" s="253">
        <f>R53+R50</f>
        <v>808605.3768734117</v>
      </c>
      <c r="S55" s="206">
        <f>AVERAGE(L55,O55,R55)</f>
        <v>787871.90567152947</v>
      </c>
      <c r="T55" s="195" t="s">
        <v>12</v>
      </c>
      <c r="U55" s="951" t="s">
        <v>12</v>
      </c>
    </row>
    <row r="56" spans="1:21" ht="13.5" thickTop="1" thickBot="1" x14ac:dyDescent="0.3">
      <c r="B56" s="513"/>
      <c r="C56" s="513"/>
      <c r="D56" s="513"/>
      <c r="E56" s="513"/>
      <c r="F56" s="513"/>
      <c r="G56" s="513"/>
      <c r="H56" s="513"/>
      <c r="I56" s="513"/>
      <c r="J56" s="513"/>
      <c r="K56" s="513"/>
      <c r="L56" s="513"/>
      <c r="M56" s="513"/>
      <c r="N56" s="513"/>
      <c r="O56" s="513"/>
      <c r="P56" s="513"/>
      <c r="Q56" s="513"/>
      <c r="R56" s="513"/>
      <c r="S56" s="513"/>
      <c r="T56" s="513"/>
      <c r="U56" s="513"/>
    </row>
    <row r="57" spans="1:21" ht="16" thickTop="1" x14ac:dyDescent="0.35">
      <c r="A57" s="510"/>
      <c r="B57" s="2" t="s">
        <v>265</v>
      </c>
      <c r="F57" s="1" t="s">
        <v>6</v>
      </c>
      <c r="G57" s="1160"/>
      <c r="H57" s="1161"/>
      <c r="I57" s="1162"/>
      <c r="J57" s="2" t="s">
        <v>24</v>
      </c>
      <c r="L57" s="62"/>
      <c r="M57" s="2" t="s">
        <v>24</v>
      </c>
      <c r="N57" s="61"/>
      <c r="O57" s="31"/>
      <c r="P57" s="2" t="s">
        <v>24</v>
      </c>
      <c r="R57" s="31"/>
      <c r="S57" s="97"/>
      <c r="T57" s="31"/>
      <c r="U57" s="111"/>
    </row>
    <row r="58" spans="1:21" ht="13" x14ac:dyDescent="0.3">
      <c r="A58" s="510"/>
      <c r="F58" s="1"/>
      <c r="G58" s="1163"/>
      <c r="H58" s="1163"/>
      <c r="I58" s="1164"/>
      <c r="J58" s="227" t="s">
        <v>61</v>
      </c>
      <c r="K58" s="1167" t="s">
        <v>57</v>
      </c>
      <c r="L58" s="1168"/>
      <c r="M58" s="50" t="s">
        <v>61</v>
      </c>
      <c r="N58" s="1177" t="s">
        <v>57</v>
      </c>
      <c r="O58" s="1178"/>
      <c r="P58" s="227" t="s">
        <v>61</v>
      </c>
      <c r="Q58" s="1167" t="s">
        <v>57</v>
      </c>
      <c r="R58" s="1168"/>
      <c r="S58" s="106"/>
      <c r="T58" s="31"/>
      <c r="U58" s="111"/>
    </row>
    <row r="59" spans="1:21" ht="13.5" thickBot="1" x14ac:dyDescent="0.35">
      <c r="A59" s="510"/>
      <c r="B59" s="654" t="s">
        <v>66</v>
      </c>
      <c r="C59" s="65"/>
      <c r="D59" s="65"/>
      <c r="E59" s="65"/>
      <c r="F59" s="374"/>
      <c r="G59" s="64"/>
      <c r="H59" s="64"/>
      <c r="I59" s="649"/>
      <c r="J59" s="284">
        <f>HLOOKUP(K$2,InflationTable,2)/HLOOKUP(Labor!$B$11,InflationTable,2)*$I59</f>
        <v>0</v>
      </c>
      <c r="K59" s="687">
        <v>0</v>
      </c>
      <c r="L59" s="688">
        <v>0</v>
      </c>
      <c r="M59" s="169">
        <f>HLOOKUP(N$2,InflationTable,2)/HLOOKUP(Labor!$B$11,InflationTable,2)*$I59</f>
        <v>0</v>
      </c>
      <c r="N59" s="689">
        <v>0</v>
      </c>
      <c r="O59" s="690">
        <v>0</v>
      </c>
      <c r="P59" s="284">
        <f>HLOOKUP(Q$2,InflationTable,2)/HLOOKUP(Labor!$B$11,InflationTable,2)*$I59</f>
        <v>0</v>
      </c>
      <c r="Q59" s="687">
        <v>0</v>
      </c>
      <c r="R59" s="688">
        <v>0</v>
      </c>
      <c r="S59" s="106">
        <v>0</v>
      </c>
      <c r="T59" s="31">
        <v>0</v>
      </c>
      <c r="U59" s="691" t="s">
        <v>12</v>
      </c>
    </row>
    <row r="60" spans="1:21" ht="13.5" thickBot="1" x14ac:dyDescent="0.35">
      <c r="A60" s="510"/>
      <c r="B60" s="657" t="s">
        <v>67</v>
      </c>
      <c r="C60" s="578"/>
      <c r="D60" s="578"/>
      <c r="E60" s="716"/>
      <c r="F60" s="578"/>
      <c r="G60" s="578"/>
      <c r="H60" s="578"/>
      <c r="I60" s="205"/>
      <c r="J60" s="259">
        <v>0</v>
      </c>
      <c r="K60" s="253">
        <v>0</v>
      </c>
      <c r="L60" s="254">
        <v>0</v>
      </c>
      <c r="M60" s="176">
        <v>0</v>
      </c>
      <c r="N60" s="177">
        <v>0</v>
      </c>
      <c r="O60" s="178">
        <v>0</v>
      </c>
      <c r="P60" s="259">
        <v>0</v>
      </c>
      <c r="Q60" s="253">
        <v>0</v>
      </c>
      <c r="R60" s="254">
        <v>0</v>
      </c>
      <c r="S60" s="206">
        <v>0</v>
      </c>
      <c r="T60" s="205">
        <v>0</v>
      </c>
      <c r="U60" s="180" t="s">
        <v>12</v>
      </c>
    </row>
    <row r="61" spans="1:21" ht="13.5" thickTop="1" thickBot="1" x14ac:dyDescent="0.3">
      <c r="B61" s="144"/>
      <c r="C61" s="513"/>
      <c r="D61" s="513"/>
      <c r="E61" s="513"/>
      <c r="F61" s="513"/>
      <c r="G61" s="513"/>
      <c r="H61" s="513"/>
      <c r="I61" s="513"/>
      <c r="J61" s="513"/>
      <c r="K61" s="513"/>
      <c r="L61" s="513"/>
      <c r="M61" s="513"/>
      <c r="N61" s="513"/>
      <c r="O61" s="513"/>
      <c r="P61" s="513"/>
      <c r="Q61" s="513"/>
      <c r="R61" s="513"/>
      <c r="S61" s="513"/>
      <c r="T61" s="513"/>
      <c r="U61" s="513"/>
    </row>
    <row r="62" spans="1:21" ht="16" thickTop="1" x14ac:dyDescent="0.35">
      <c r="B62" s="463" t="s">
        <v>26</v>
      </c>
      <c r="F62" s="1" t="s">
        <v>6</v>
      </c>
      <c r="G62" s="1160"/>
      <c r="H62" s="1161"/>
      <c r="I62" s="1162"/>
      <c r="J62" s="2" t="s">
        <v>26</v>
      </c>
      <c r="L62" s="31"/>
      <c r="M62" s="199" t="s">
        <v>26</v>
      </c>
      <c r="P62" s="199" t="s">
        <v>26</v>
      </c>
      <c r="R62" s="31"/>
      <c r="S62" s="97"/>
      <c r="T62" s="31"/>
      <c r="U62" s="111"/>
    </row>
    <row r="63" spans="1:21" ht="13" x14ac:dyDescent="0.3">
      <c r="B63" s="144"/>
      <c r="I63" s="32" t="s">
        <v>61</v>
      </c>
      <c r="J63" s="227" t="s">
        <v>61</v>
      </c>
      <c r="K63" s="1167" t="s">
        <v>57</v>
      </c>
      <c r="L63" s="1168"/>
      <c r="M63" s="50" t="s">
        <v>61</v>
      </c>
      <c r="N63" s="1177" t="s">
        <v>57</v>
      </c>
      <c r="O63" s="1178"/>
      <c r="P63" s="227" t="s">
        <v>61</v>
      </c>
      <c r="Q63" s="1167" t="s">
        <v>57</v>
      </c>
      <c r="R63" s="1168"/>
      <c r="S63" s="106"/>
      <c r="T63" s="31"/>
      <c r="U63" s="111"/>
    </row>
    <row r="64" spans="1:21" ht="13" x14ac:dyDescent="0.3">
      <c r="B64" s="462" t="s">
        <v>264</v>
      </c>
      <c r="C64" s="20" t="s">
        <v>45</v>
      </c>
      <c r="D64" s="20" t="s">
        <v>46</v>
      </c>
      <c r="E64" s="20" t="s">
        <v>47</v>
      </c>
      <c r="F64" s="20" t="s">
        <v>48</v>
      </c>
      <c r="G64" s="20" t="s">
        <v>49</v>
      </c>
      <c r="H64" s="20" t="s">
        <v>50</v>
      </c>
      <c r="I64" s="32" t="s">
        <v>13</v>
      </c>
      <c r="J64" s="210" t="s">
        <v>56</v>
      </c>
      <c r="K64" s="211" t="s">
        <v>13</v>
      </c>
      <c r="L64" s="212" t="s">
        <v>68</v>
      </c>
      <c r="M64" s="66" t="s">
        <v>56</v>
      </c>
      <c r="N64" s="20" t="s">
        <v>13</v>
      </c>
      <c r="O64" s="32" t="s">
        <v>68</v>
      </c>
      <c r="P64" s="210" t="s">
        <v>56</v>
      </c>
      <c r="Q64" s="211" t="s">
        <v>13</v>
      </c>
      <c r="R64" s="212" t="s">
        <v>68</v>
      </c>
      <c r="S64" s="98"/>
      <c r="T64" s="31"/>
      <c r="U64" s="111"/>
    </row>
    <row r="65" spans="1:21" x14ac:dyDescent="0.25">
      <c r="B65" s="464" t="s">
        <v>4</v>
      </c>
      <c r="C65" s="18">
        <v>0</v>
      </c>
      <c r="D65" s="18">
        <v>0</v>
      </c>
      <c r="E65" s="18">
        <v>1040</v>
      </c>
      <c r="F65" s="18">
        <v>0</v>
      </c>
      <c r="G65" s="18">
        <v>0</v>
      </c>
      <c r="H65" s="18">
        <v>0</v>
      </c>
      <c r="I65" s="45">
        <f>SUM(C65:H65)</f>
        <v>1040</v>
      </c>
      <c r="J65" s="213">
        <f>I65</f>
        <v>1040</v>
      </c>
      <c r="K65" s="231">
        <f>$I65*J$11</f>
        <v>174720</v>
      </c>
      <c r="L65" s="239">
        <f>K65</f>
        <v>174720</v>
      </c>
      <c r="M65" s="504">
        <f>I65</f>
        <v>1040</v>
      </c>
      <c r="N65" s="73">
        <f>$I65*M$11</f>
        <v>174720</v>
      </c>
      <c r="O65" s="682">
        <f>N65</f>
        <v>174720</v>
      </c>
      <c r="P65" s="213">
        <f>I65</f>
        <v>1040</v>
      </c>
      <c r="Q65" s="231">
        <f>$I65*P$11</f>
        <v>174720</v>
      </c>
      <c r="R65" s="239">
        <f>Q65</f>
        <v>174720</v>
      </c>
      <c r="S65" s="96">
        <f>AVERAGE(L65,O65,R65)</f>
        <v>174720</v>
      </c>
      <c r="T65" s="94" t="s">
        <v>12</v>
      </c>
      <c r="U65" s="113" t="s">
        <v>12</v>
      </c>
    </row>
    <row r="66" spans="1:21" ht="13.5" thickBot="1" x14ac:dyDescent="0.35">
      <c r="B66" s="465" t="s">
        <v>8</v>
      </c>
      <c r="C66" s="29">
        <f>ROUND(C65*Labor!$D$3,0)</f>
        <v>0</v>
      </c>
      <c r="D66" s="29">
        <f>ROUND(D65*Labor!$D$4,0)</f>
        <v>0</v>
      </c>
      <c r="E66" s="29">
        <f>ROUND(E65*Labor!$D$5,0)</f>
        <v>26230</v>
      </c>
      <c r="F66" s="29">
        <f>ROUND(F65*Labor!$D$6,0)</f>
        <v>0</v>
      </c>
      <c r="G66" s="29">
        <f>ROUND(G65*Labor!$D$7,0)</f>
        <v>0</v>
      </c>
      <c r="H66" s="29">
        <f>ROUND(H65*Labor!$D$8,0)</f>
        <v>0</v>
      </c>
      <c r="I66" s="33">
        <f>SUM(C66:H66)</f>
        <v>26230</v>
      </c>
      <c r="J66" s="284">
        <f>HLOOKUP(K$2,InflationTable,2)/HLOOKUP(Labor!$B$11,InflationTable,2)*$I66</f>
        <v>56112.232525951549</v>
      </c>
      <c r="K66" s="685">
        <f>J66*J$11</f>
        <v>9426855.0643598605</v>
      </c>
      <c r="L66" s="256">
        <f>K66</f>
        <v>9426855.0643598605</v>
      </c>
      <c r="M66" s="169">
        <f>HLOOKUP(N$2,InflationTable,2)/HLOOKUP(Labor!$B$11,InflationTable,2)*$I66</f>
        <v>58356.721826989626</v>
      </c>
      <c r="N66" s="684">
        <f>M66*M$11</f>
        <v>9803929.266934257</v>
      </c>
      <c r="O66" s="683">
        <f>N66</f>
        <v>9803929.266934257</v>
      </c>
      <c r="P66" s="284">
        <f>HLOOKUP(Q$2,InflationTable,2)/HLOOKUP(Labor!$B$11,InflationTable,2)*$I66</f>
        <v>59523.856263529407</v>
      </c>
      <c r="Q66" s="231">
        <f>P66*P$11</f>
        <v>10000007.852272941</v>
      </c>
      <c r="R66" s="256">
        <f>Q66</f>
        <v>10000007.852272941</v>
      </c>
      <c r="S66" s="103">
        <f>AVERAGE(L66,O66,R66)</f>
        <v>9743597.394522354</v>
      </c>
      <c r="T66" s="121" t="s">
        <v>12</v>
      </c>
      <c r="U66" s="115" t="s">
        <v>12</v>
      </c>
    </row>
    <row r="67" spans="1:21" ht="13" x14ac:dyDescent="0.3">
      <c r="B67" s="1095" t="s">
        <v>376</v>
      </c>
      <c r="C67" s="1100">
        <v>0</v>
      </c>
      <c r="D67" s="1100">
        <v>0.25</v>
      </c>
      <c r="E67" s="1100">
        <v>0</v>
      </c>
      <c r="F67" s="1100">
        <v>0</v>
      </c>
      <c r="G67" s="1100">
        <v>0</v>
      </c>
      <c r="H67" s="1100">
        <v>0</v>
      </c>
      <c r="I67" s="291">
        <f t="shared" ref="I67:I68" si="4">SUM(C67:H67)</f>
        <v>0.25</v>
      </c>
      <c r="J67" s="242">
        <f>I67</f>
        <v>0.25</v>
      </c>
      <c r="K67" s="273">
        <f>J67*L6</f>
        <v>558.25</v>
      </c>
      <c r="L67" s="274">
        <f t="shared" ref="L67:L68" si="5">K67</f>
        <v>558.25</v>
      </c>
      <c r="M67" s="53">
        <f>I67</f>
        <v>0.25</v>
      </c>
      <c r="N67" s="147">
        <f>M67*O6</f>
        <v>558.25</v>
      </c>
      <c r="O67" s="148">
        <f t="shared" ref="O67:O68" si="6">N67</f>
        <v>558.25</v>
      </c>
      <c r="P67" s="242">
        <f>I67</f>
        <v>0.25</v>
      </c>
      <c r="Q67" s="273">
        <f>P67*R6</f>
        <v>558.25</v>
      </c>
      <c r="R67" s="274">
        <f t="shared" ref="R67:R68" si="7">Q67</f>
        <v>558.25</v>
      </c>
      <c r="S67" s="104">
        <f t="shared" ref="S67:S68" si="8">AVERAGE(L67,O67,R67)</f>
        <v>558.25</v>
      </c>
      <c r="T67" s="42" t="s">
        <v>12</v>
      </c>
      <c r="U67" s="119" t="s">
        <v>12</v>
      </c>
    </row>
    <row r="68" spans="1:21" ht="13.5" thickBot="1" x14ac:dyDescent="0.35">
      <c r="B68" s="465" t="s">
        <v>8</v>
      </c>
      <c r="C68" s="1097">
        <f>ROUND(C67*Labor!$D$3,0)</f>
        <v>0</v>
      </c>
      <c r="D68" s="1097">
        <f>ROUND(D67*Labor!$D$3,0)</f>
        <v>6</v>
      </c>
      <c r="E68" s="1097">
        <f>ROUND(E67*Labor!$D$3,0)</f>
        <v>0</v>
      </c>
      <c r="F68" s="1097">
        <f>ROUND(F67*Labor!$D$3,0)</f>
        <v>0</v>
      </c>
      <c r="G68" s="1097">
        <f>ROUND(G67*Labor!$D$3,0)</f>
        <v>0</v>
      </c>
      <c r="H68" s="1097">
        <f>ROUND(H67*Labor!$D$3,0)</f>
        <v>0</v>
      </c>
      <c r="I68" s="1094">
        <f t="shared" si="4"/>
        <v>6</v>
      </c>
      <c r="J68" s="284">
        <f>HLOOKUP(K$2,InflationTable,2)/HLOOKUP(Labor!$B$11,InflationTable,2)*$I68</f>
        <v>12.835432525951557</v>
      </c>
      <c r="K68" s="245">
        <f>K67*J68</f>
        <v>7165.3802076124566</v>
      </c>
      <c r="L68" s="246">
        <f t="shared" si="5"/>
        <v>7165.3802076124566</v>
      </c>
      <c r="M68" s="169">
        <f>HLOOKUP(N$2,InflationTable,2)/HLOOKUP(Labor!$B$11,InflationTable,2)*$I68</f>
        <v>13.348849826989621</v>
      </c>
      <c r="N68" s="166">
        <f>N67*M68</f>
        <v>7451.9954159169556</v>
      </c>
      <c r="O68" s="167">
        <f t="shared" si="6"/>
        <v>7451.9954159169556</v>
      </c>
      <c r="P68" s="284">
        <f>HLOOKUP(Q$2,InflationTable,2)/HLOOKUP(Labor!$B$11,InflationTable,2)*$I68</f>
        <v>13.61582682352941</v>
      </c>
      <c r="Q68" s="245">
        <f>Q67*P68</f>
        <v>7601.035324235293</v>
      </c>
      <c r="R68" s="246">
        <f t="shared" si="7"/>
        <v>7601.035324235293</v>
      </c>
      <c r="S68" s="169">
        <f t="shared" si="8"/>
        <v>7406.1369825882357</v>
      </c>
      <c r="T68" s="110" t="s">
        <v>12</v>
      </c>
      <c r="U68" s="115" t="s">
        <v>12</v>
      </c>
    </row>
    <row r="69" spans="1:21" ht="13" x14ac:dyDescent="0.3">
      <c r="B69" s="139" t="s">
        <v>66</v>
      </c>
      <c r="C69" s="30">
        <f>C65+C67</f>
        <v>0</v>
      </c>
      <c r="D69" s="30">
        <f t="shared" ref="D69:I69" si="9">D65+D67</f>
        <v>0.25</v>
      </c>
      <c r="E69" s="30">
        <f t="shared" si="9"/>
        <v>1040</v>
      </c>
      <c r="F69" s="30">
        <f t="shared" si="9"/>
        <v>0</v>
      </c>
      <c r="G69" s="30">
        <f t="shared" si="9"/>
        <v>0</v>
      </c>
      <c r="H69" s="30">
        <f t="shared" si="9"/>
        <v>0</v>
      </c>
      <c r="I69" s="30">
        <f t="shared" si="9"/>
        <v>1040.25</v>
      </c>
      <c r="J69" s="235">
        <f>J65+J67</f>
        <v>1040.25</v>
      </c>
      <c r="K69" s="235">
        <f>K65+K67</f>
        <v>175278.25</v>
      </c>
      <c r="L69" s="235">
        <f>L65+L67</f>
        <v>175278.25</v>
      </c>
      <c r="M69" s="30">
        <f>M65+M67</f>
        <v>1040.25</v>
      </c>
      <c r="N69" s="30">
        <f t="shared" ref="N69:O69" si="10">N65+N67</f>
        <v>175278.25</v>
      </c>
      <c r="O69" s="30">
        <f t="shared" si="10"/>
        <v>175278.25</v>
      </c>
      <c r="P69" s="235">
        <f>P65+P67</f>
        <v>1040.25</v>
      </c>
      <c r="Q69" s="235">
        <f t="shared" ref="Q69:R69" si="11">Q65+Q67</f>
        <v>175278.25</v>
      </c>
      <c r="R69" s="235">
        <f t="shared" si="11"/>
        <v>175278.25</v>
      </c>
      <c r="S69" s="104">
        <f>AVERAGE(L69,O69,R69)</f>
        <v>175278.25</v>
      </c>
      <c r="T69" s="42" t="s">
        <v>12</v>
      </c>
      <c r="U69" s="119" t="s">
        <v>12</v>
      </c>
    </row>
    <row r="70" spans="1:21" ht="13.5" thickBot="1" x14ac:dyDescent="0.35">
      <c r="B70" s="460" t="s">
        <v>67</v>
      </c>
      <c r="C70" s="194">
        <f>C66+C68</f>
        <v>0</v>
      </c>
      <c r="D70" s="194">
        <f t="shared" ref="D70:I70" si="12">D66+D68</f>
        <v>6</v>
      </c>
      <c r="E70" s="194">
        <f t="shared" si="12"/>
        <v>26230</v>
      </c>
      <c r="F70" s="194">
        <f t="shared" si="12"/>
        <v>0</v>
      </c>
      <c r="G70" s="194">
        <f t="shared" si="12"/>
        <v>0</v>
      </c>
      <c r="H70" s="194">
        <f t="shared" si="12"/>
        <v>0</v>
      </c>
      <c r="I70" s="194">
        <f t="shared" si="12"/>
        <v>26236</v>
      </c>
      <c r="J70" s="225">
        <f>J66+J68</f>
        <v>56125.067958477499</v>
      </c>
      <c r="K70" s="225">
        <f>K66+K68</f>
        <v>9434020.4445674736</v>
      </c>
      <c r="L70" s="225">
        <f>L66+L68</f>
        <v>9434020.4445674736</v>
      </c>
      <c r="M70" s="194">
        <f t="shared" ref="M70" si="13">M66+M68</f>
        <v>58370.070676816613</v>
      </c>
      <c r="N70" s="194">
        <f>N66+N68</f>
        <v>9811381.2623501737</v>
      </c>
      <c r="O70" s="194">
        <f>O66+O68</f>
        <v>9811381.2623501737</v>
      </c>
      <c r="P70" s="225">
        <f>P66+P68</f>
        <v>59537.472090352938</v>
      </c>
      <c r="Q70" s="225">
        <f>Q66+Q68</f>
        <v>10007608.887597175</v>
      </c>
      <c r="R70" s="225">
        <f>R66+R68</f>
        <v>10007608.887597175</v>
      </c>
      <c r="S70" s="206">
        <f>AVERAGE(L70,O70,R70)</f>
        <v>9751003.5315049421</v>
      </c>
      <c r="T70" s="203" t="s">
        <v>12</v>
      </c>
      <c r="U70" s="180" t="s">
        <v>12</v>
      </c>
    </row>
    <row r="71" spans="1:21" ht="13.5" thickTop="1" x14ac:dyDescent="0.3">
      <c r="B71" s="519"/>
      <c r="C71" s="516"/>
      <c r="D71" s="516"/>
      <c r="E71" s="516"/>
      <c r="F71" s="516"/>
      <c r="G71" s="516"/>
      <c r="H71" s="516"/>
      <c r="I71" s="517"/>
      <c r="J71" s="517"/>
      <c r="K71" s="517"/>
      <c r="L71" s="517"/>
      <c r="M71" s="517"/>
      <c r="N71" s="517"/>
      <c r="O71" s="517"/>
      <c r="P71" s="517"/>
      <c r="Q71" s="517"/>
      <c r="R71" s="517"/>
      <c r="S71" s="520"/>
      <c r="T71" s="521"/>
      <c r="U71" s="522"/>
    </row>
    <row r="72" spans="1:21" ht="13" thickBot="1" x14ac:dyDescent="0.3">
      <c r="B72" s="335"/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335"/>
      <c r="Q72" s="335"/>
      <c r="R72" s="335"/>
      <c r="S72" s="335"/>
      <c r="T72" s="335"/>
      <c r="U72" s="335"/>
    </row>
    <row r="73" spans="1:21" ht="27.5" thickTop="1" thickBot="1" x14ac:dyDescent="0.4">
      <c r="B73" s="463" t="s">
        <v>28</v>
      </c>
      <c r="F73" s="1" t="s">
        <v>6</v>
      </c>
      <c r="G73" s="1160"/>
      <c r="H73" s="1161"/>
      <c r="I73" s="1162"/>
      <c r="J73" s="2" t="s">
        <v>28</v>
      </c>
      <c r="L73" s="31"/>
      <c r="M73" s="2" t="s">
        <v>28</v>
      </c>
      <c r="O73" s="31"/>
      <c r="P73" s="2" t="s">
        <v>28</v>
      </c>
      <c r="R73" s="62"/>
      <c r="S73" s="448" t="s">
        <v>17</v>
      </c>
      <c r="T73" s="449" t="s">
        <v>103</v>
      </c>
      <c r="U73" s="523" t="s">
        <v>79</v>
      </c>
    </row>
    <row r="74" spans="1:21" ht="13" x14ac:dyDescent="0.3">
      <c r="B74" s="144"/>
      <c r="C74" s="61"/>
      <c r="D74" s="61"/>
      <c r="G74" s="65"/>
      <c r="I74" s="37"/>
      <c r="J74" s="227" t="s">
        <v>61</v>
      </c>
      <c r="K74" s="1167" t="s">
        <v>57</v>
      </c>
      <c r="L74" s="1168"/>
      <c r="M74" s="50" t="s">
        <v>61</v>
      </c>
      <c r="N74" s="1177" t="s">
        <v>57</v>
      </c>
      <c r="O74" s="1181"/>
      <c r="P74" s="266" t="s">
        <v>61</v>
      </c>
      <c r="Q74" s="1167" t="s">
        <v>57</v>
      </c>
      <c r="R74" s="1168"/>
      <c r="S74" s="501"/>
      <c r="T74" s="157"/>
      <c r="U74" s="62"/>
    </row>
    <row r="75" spans="1:21" ht="13" x14ac:dyDescent="0.3">
      <c r="B75" s="462" t="s">
        <v>79</v>
      </c>
      <c r="C75" s="559" t="s">
        <v>60</v>
      </c>
      <c r="D75" s="712" t="s">
        <v>62</v>
      </c>
      <c r="E75" s="61"/>
      <c r="F75" s="539" t="s">
        <v>54</v>
      </c>
      <c r="G75" s="59">
        <v>7</v>
      </c>
      <c r="H75" s="61"/>
      <c r="I75" s="62"/>
      <c r="J75" s="210" t="s">
        <v>56</v>
      </c>
      <c r="K75" s="211" t="s">
        <v>13</v>
      </c>
      <c r="L75" s="212" t="s">
        <v>68</v>
      </c>
      <c r="M75" s="66" t="s">
        <v>56</v>
      </c>
      <c r="N75" s="20" t="s">
        <v>13</v>
      </c>
      <c r="O75" s="32" t="s">
        <v>68</v>
      </c>
      <c r="P75" s="210" t="s">
        <v>56</v>
      </c>
      <c r="Q75" s="211" t="s">
        <v>13</v>
      </c>
      <c r="R75" s="212" t="s">
        <v>68</v>
      </c>
      <c r="S75" s="66"/>
      <c r="T75" s="108"/>
      <c r="U75" s="31"/>
    </row>
    <row r="76" spans="1:21" x14ac:dyDescent="0.25">
      <c r="A76" s="510"/>
      <c r="B76" s="568" t="str">
        <f>VLOOKUP($C$2,Monitor_Costs,10,FALSE)</f>
        <v>Multigas calibrator</v>
      </c>
      <c r="C76" s="713">
        <f>VLOOKUP($C$2,Monitor_Costs,11,FALSE)</f>
        <v>14000</v>
      </c>
      <c r="D76" s="674">
        <f>VLOOKUP($C$2,Monitor_Costs,12,FALSE)</f>
        <v>2019</v>
      </c>
      <c r="E76" s="65"/>
      <c r="F76" s="64"/>
      <c r="G76" s="65"/>
      <c r="H76" s="65"/>
      <c r="I76" s="711"/>
      <c r="J76" s="229">
        <f>HLOOKUP(K$2,InflationTable,2)/HLOOKUP($D76,InflationTable,2)*$C76</f>
        <v>16924.833789597185</v>
      </c>
      <c r="K76" s="229">
        <f>J76*L$11</f>
        <v>2640274.0711771608</v>
      </c>
      <c r="L76" s="230">
        <f>K76/$G$75</f>
        <v>377182.01016816584</v>
      </c>
      <c r="M76" s="23">
        <f>HLOOKUP(N$2,InflationTable,2)/HLOOKUP($D76,InflationTable,2)*$C76</f>
        <v>17601.827141181071</v>
      </c>
      <c r="N76" s="23">
        <f>M76*O$11</f>
        <v>2745885.034024247</v>
      </c>
      <c r="O76" s="592">
        <f>N76/$G$75</f>
        <v>392269.29057489242</v>
      </c>
      <c r="P76" s="229">
        <f>HLOOKUP(Q$2,InflationTable,2)/HLOOKUP($D76,InflationTable,2)*$C76</f>
        <v>17953.863684004693</v>
      </c>
      <c r="Q76" s="229">
        <f>P76*R$11</f>
        <v>2800802.734704732</v>
      </c>
      <c r="R76" s="230">
        <f>Q76/$G$75</f>
        <v>400114.67638639029</v>
      </c>
      <c r="S76" s="83" t="s">
        <v>12</v>
      </c>
      <c r="T76" s="94" t="s">
        <v>12</v>
      </c>
      <c r="U76" s="112">
        <f>AVERAGE(L76,O76,R76)</f>
        <v>389855.32570981624</v>
      </c>
    </row>
    <row r="77" spans="1:21" x14ac:dyDescent="0.25">
      <c r="A77" s="510"/>
      <c r="B77" s="568" t="str">
        <f>VLOOKUP($C$2,Monitor_Costs,13,FALSE)</f>
        <v>Zero air supply</v>
      </c>
      <c r="C77" s="23">
        <f>VLOOKUP($C$2,Monitor_Costs,14,FALSE)</f>
        <v>5980</v>
      </c>
      <c r="D77" s="674">
        <f>VLOOKUP($C$2,Monitor_Costs,15,FALSE)</f>
        <v>2019</v>
      </c>
      <c r="E77" s="63"/>
      <c r="F77" s="64"/>
      <c r="G77" s="65"/>
      <c r="H77" s="65"/>
      <c r="I77" s="711"/>
      <c r="J77" s="229">
        <f>HLOOKUP(K$2,InflationTable,2)/HLOOKUP($D77,InflationTable,2)*$C77</f>
        <v>7229.321861556512</v>
      </c>
      <c r="K77" s="229">
        <f>J77*L$11</f>
        <v>1127774.2104028158</v>
      </c>
      <c r="L77" s="230">
        <f>K77/$G$75</f>
        <v>161110.60148611656</v>
      </c>
      <c r="M77" s="23">
        <f>HLOOKUP(N$2,InflationTable,2)/HLOOKUP($D77,InflationTable,2)*$C77</f>
        <v>7518.4947360187716</v>
      </c>
      <c r="N77" s="23">
        <f>M77*O$11</f>
        <v>1172885.1788189283</v>
      </c>
      <c r="O77" s="592">
        <f>N77/$G$75</f>
        <v>167555.02554556119</v>
      </c>
      <c r="P77" s="229">
        <f>HLOOKUP(Q$2,InflationTable,2)/HLOOKUP($D77,InflationTable,2)*$C77</f>
        <v>7668.8646307391473</v>
      </c>
      <c r="Q77" s="229">
        <f>P77*R$11</f>
        <v>1196342.8823953071</v>
      </c>
      <c r="R77" s="230">
        <f>Q77/$G$75</f>
        <v>170906.12605647245</v>
      </c>
      <c r="S77" s="83" t="s">
        <v>12</v>
      </c>
      <c r="T77" s="94" t="s">
        <v>12</v>
      </c>
      <c r="U77" s="112">
        <f>AVERAGE(L77,O77,R77)</f>
        <v>166523.91769605005</v>
      </c>
    </row>
    <row r="78" spans="1:21" ht="13" thickBot="1" x14ac:dyDescent="0.3">
      <c r="A78" s="510"/>
      <c r="B78" s="708" t="str">
        <f>VLOOKUP($C$2,Monitor_Costs,43,FALSE)</f>
        <v>Miscellaneous equipment</v>
      </c>
      <c r="C78" s="84">
        <f>VLOOKUP($C$2,Monitor_Costs,44,FALSE)</f>
        <v>2500</v>
      </c>
      <c r="D78" s="709">
        <f>VLOOKUP($C$2,Monitor_Costs,45,FALSE)</f>
        <v>2019</v>
      </c>
      <c r="E78" s="534"/>
      <c r="F78" s="9"/>
      <c r="G78" s="3"/>
      <c r="H78" s="3"/>
      <c r="I78" s="35"/>
      <c r="J78" s="229">
        <f>HLOOKUP(K$2,InflationTable,2)/HLOOKUP($D78,InflationTable,2)*$C78</f>
        <v>3022.2917481423547</v>
      </c>
      <c r="K78" s="295">
        <f>J78*L$11</f>
        <v>471477.51271020732</v>
      </c>
      <c r="L78" s="256">
        <f>K78/$G$75</f>
        <v>67353.93038717247</v>
      </c>
      <c r="M78" s="23">
        <f>HLOOKUP(N$2,InflationTable,2)/HLOOKUP($D78,InflationTable,2)*$C78</f>
        <v>3143.1834180680485</v>
      </c>
      <c r="N78" s="84">
        <f>M78*O$11</f>
        <v>490336.61321861559</v>
      </c>
      <c r="O78" s="77">
        <f>N78/$G$75</f>
        <v>70048.087602659376</v>
      </c>
      <c r="P78" s="229">
        <f>HLOOKUP(Q$2,InflationTable,2)/HLOOKUP($D78,InflationTable,2)*$C78</f>
        <v>3206.0470864294093</v>
      </c>
      <c r="Q78" s="229">
        <f>P78*R$11</f>
        <v>500143.34548298788</v>
      </c>
      <c r="R78" s="248">
        <f>Q78/$G$75</f>
        <v>71449.049354712552</v>
      </c>
      <c r="S78" s="83" t="s">
        <v>12</v>
      </c>
      <c r="T78" s="110" t="s">
        <v>12</v>
      </c>
      <c r="U78" s="309">
        <f>AVERAGE(L78,O78,R78)</f>
        <v>69617.022448181466</v>
      </c>
    </row>
    <row r="79" spans="1:21" ht="13" x14ac:dyDescent="0.3">
      <c r="B79" s="139" t="s">
        <v>66</v>
      </c>
      <c r="C79" s="710"/>
      <c r="D79" s="193"/>
      <c r="E79" s="193"/>
      <c r="F79" s="193"/>
      <c r="G79" s="193"/>
      <c r="H79" s="193"/>
      <c r="I79" s="663"/>
      <c r="J79" s="242">
        <v>0</v>
      </c>
      <c r="K79" s="263">
        <v>0</v>
      </c>
      <c r="L79" s="264">
        <v>0</v>
      </c>
      <c r="M79" s="75">
        <v>0</v>
      </c>
      <c r="N79" s="36">
        <v>0</v>
      </c>
      <c r="O79" s="74">
        <v>0</v>
      </c>
      <c r="P79" s="629">
        <v>0</v>
      </c>
      <c r="Q79" s="707">
        <v>0</v>
      </c>
      <c r="R79" s="251">
        <v>0</v>
      </c>
      <c r="S79" s="942">
        <f>AVERAGE(L79,O79,R79)</f>
        <v>0</v>
      </c>
      <c r="T79" s="108"/>
      <c r="U79" s="31"/>
    </row>
    <row r="80" spans="1:21" ht="13.5" thickBot="1" x14ac:dyDescent="0.35">
      <c r="B80" s="460" t="s">
        <v>67</v>
      </c>
      <c r="F80"/>
      <c r="I80" s="190"/>
      <c r="J80" s="224">
        <f>SUM(J76:J78)</f>
        <v>27176.447399296052</v>
      </c>
      <c r="K80" s="224">
        <f t="shared" ref="K80:R80" si="14">SUM(K76:K78)</f>
        <v>4239525.794290184</v>
      </c>
      <c r="L80" s="226">
        <f t="shared" si="14"/>
        <v>605646.54204145493</v>
      </c>
      <c r="M80" s="196">
        <f t="shared" si="14"/>
        <v>28263.505295267893</v>
      </c>
      <c r="N80" s="196">
        <f t="shared" si="14"/>
        <v>4409106.8260617908</v>
      </c>
      <c r="O80" s="197">
        <f t="shared" si="14"/>
        <v>629872.40372311301</v>
      </c>
      <c r="P80" s="224">
        <f t="shared" si="14"/>
        <v>28828.775401173247</v>
      </c>
      <c r="Q80" s="224">
        <f t="shared" si="14"/>
        <v>4497288.9625830268</v>
      </c>
      <c r="R80" s="802">
        <f t="shared" si="14"/>
        <v>642469.85179757536</v>
      </c>
      <c r="S80" s="961"/>
      <c r="T80" s="962"/>
      <c r="U80" s="206">
        <f>SUM(U76:U78)</f>
        <v>625996.26585404784</v>
      </c>
    </row>
    <row r="81" spans="2:21" ht="13.5" thickTop="1" thickBot="1" x14ac:dyDescent="0.3">
      <c r="B81" s="514"/>
      <c r="C81" s="513"/>
      <c r="D81" s="513"/>
      <c r="E81" s="513"/>
      <c r="F81" s="513"/>
      <c r="G81" s="513"/>
      <c r="H81" s="513"/>
      <c r="I81" s="513"/>
      <c r="J81" s="513"/>
      <c r="K81" s="513"/>
      <c r="L81" s="513"/>
      <c r="M81" s="513"/>
      <c r="N81" s="513"/>
      <c r="O81" s="513"/>
      <c r="P81" s="513"/>
      <c r="Q81" s="513"/>
      <c r="R81" s="513"/>
      <c r="S81" s="513"/>
      <c r="T81" s="513"/>
      <c r="U81" s="513"/>
    </row>
    <row r="82" spans="2:21" ht="16" thickTop="1" x14ac:dyDescent="0.35">
      <c r="B82" s="461" t="s">
        <v>266</v>
      </c>
      <c r="F82" s="1" t="s">
        <v>6</v>
      </c>
      <c r="G82" s="1160"/>
      <c r="H82" s="1161"/>
      <c r="I82" s="1162"/>
      <c r="J82" s="2" t="s">
        <v>30</v>
      </c>
      <c r="L82" s="31"/>
      <c r="M82" s="2" t="s">
        <v>30</v>
      </c>
      <c r="O82" s="31"/>
      <c r="P82" s="2" t="s">
        <v>30</v>
      </c>
      <c r="Q82" s="61"/>
      <c r="R82" s="62"/>
      <c r="S82" s="97"/>
      <c r="T82" s="108"/>
      <c r="U82" s="31"/>
    </row>
    <row r="83" spans="2:21" ht="13.5" thickBot="1" x14ac:dyDescent="0.35">
      <c r="B83" s="706"/>
      <c r="C83" s="61"/>
      <c r="D83" s="61"/>
      <c r="E83" s="61"/>
      <c r="F83" s="579"/>
      <c r="G83" s="61"/>
      <c r="H83" s="156"/>
      <c r="I83" s="32" t="s">
        <v>61</v>
      </c>
      <c r="J83" s="227" t="s">
        <v>61</v>
      </c>
      <c r="K83" s="1167" t="s">
        <v>57</v>
      </c>
      <c r="L83" s="1168"/>
      <c r="M83" s="50" t="s">
        <v>61</v>
      </c>
      <c r="N83" s="1177" t="s">
        <v>57</v>
      </c>
      <c r="O83" s="1181"/>
      <c r="P83" s="266" t="s">
        <v>61</v>
      </c>
      <c r="Q83" s="1176" t="s">
        <v>57</v>
      </c>
      <c r="R83" s="1184"/>
      <c r="S83" s="106"/>
      <c r="T83" s="108"/>
      <c r="U83" s="31"/>
    </row>
    <row r="84" spans="2:21" ht="13.5" thickBot="1" x14ac:dyDescent="0.35">
      <c r="B84" s="139" t="s">
        <v>66</v>
      </c>
      <c r="C84" s="63"/>
      <c r="D84" s="65"/>
      <c r="E84" s="65"/>
      <c r="F84" s="65"/>
      <c r="G84" s="65"/>
      <c r="H84" s="541"/>
      <c r="I84" s="39">
        <v>0</v>
      </c>
      <c r="J84" s="284">
        <f>HLOOKUP(K$2,InflationTable,2)/HLOOKUP(Labor!$B$11,InflationTable,2)*$I84</f>
        <v>0</v>
      </c>
      <c r="K84" s="267">
        <v>0</v>
      </c>
      <c r="L84" s="268">
        <v>0</v>
      </c>
      <c r="M84" s="169">
        <f>HLOOKUP(N$2,InflationTable,2)/HLOOKUP(Labor!$B$11,InflationTable,2)*$I84</f>
        <v>0</v>
      </c>
      <c r="N84" s="30">
        <v>0</v>
      </c>
      <c r="O84" s="82">
        <v>0</v>
      </c>
      <c r="P84" s="284">
        <f>HLOOKUP(Q$2,InflationTable,2)/HLOOKUP(Labor!$B$11,InflationTable,2)*$I84</f>
        <v>0</v>
      </c>
      <c r="Q84" s="267">
        <v>0</v>
      </c>
      <c r="R84" s="269">
        <v>0</v>
      </c>
      <c r="S84" s="96">
        <f>AVERAGE(L84,O84,R84)</f>
        <v>0</v>
      </c>
      <c r="T84" s="34" t="s">
        <v>12</v>
      </c>
      <c r="U84" s="42" t="s">
        <v>12</v>
      </c>
    </row>
    <row r="85" spans="2:21" ht="13.5" thickBot="1" x14ac:dyDescent="0.35">
      <c r="B85" s="460" t="s">
        <v>67</v>
      </c>
      <c r="F85"/>
      <c r="I85" s="197">
        <v>0</v>
      </c>
      <c r="J85" s="224">
        <v>0</v>
      </c>
      <c r="K85" s="225">
        <v>0</v>
      </c>
      <c r="L85" s="226">
        <v>0</v>
      </c>
      <c r="M85" s="196">
        <v>0</v>
      </c>
      <c r="N85" s="194">
        <v>0</v>
      </c>
      <c r="O85" s="197">
        <v>0</v>
      </c>
      <c r="P85" s="261">
        <v>0</v>
      </c>
      <c r="Q85" s="225">
        <v>0</v>
      </c>
      <c r="R85" s="226">
        <v>0</v>
      </c>
      <c r="S85" s="206">
        <f>AVERAGE(L85,O85,R85)</f>
        <v>0</v>
      </c>
      <c r="T85" s="208" t="s">
        <v>12</v>
      </c>
      <c r="U85" s="203" t="s">
        <v>12</v>
      </c>
    </row>
    <row r="86" spans="2:21" ht="13.5" thickTop="1" thickBot="1" x14ac:dyDescent="0.3">
      <c r="B86" s="144"/>
      <c r="C86" s="513"/>
      <c r="D86" s="513"/>
      <c r="E86" s="513"/>
      <c r="F86" s="513"/>
      <c r="G86" s="513"/>
      <c r="H86" s="513"/>
      <c r="I86" s="513"/>
      <c r="J86" s="513"/>
      <c r="K86" s="513"/>
      <c r="L86" s="513"/>
      <c r="M86" s="513"/>
      <c r="N86" s="513"/>
      <c r="O86" s="513"/>
      <c r="P86" s="513"/>
      <c r="Q86" s="513"/>
      <c r="R86" s="513"/>
      <c r="S86" s="513"/>
      <c r="T86" s="513"/>
      <c r="U86" s="515"/>
    </row>
    <row r="87" spans="2:21" ht="19" thickTop="1" thickBot="1" x14ac:dyDescent="0.45">
      <c r="B87" s="456" t="s">
        <v>121</v>
      </c>
      <c r="C87" s="540" t="str">
        <f>C2</f>
        <v>Generic Network</v>
      </c>
      <c r="E87" s="3"/>
      <c r="F87" s="9"/>
      <c r="G87" s="3"/>
      <c r="H87" s="3"/>
      <c r="I87" s="35"/>
      <c r="J87" s="67" t="str">
        <f>J2</f>
        <v>Year 1</v>
      </c>
      <c r="K87" s="67">
        <f>K2</f>
        <v>2023</v>
      </c>
      <c r="L87" s="35"/>
      <c r="M87" s="67" t="str">
        <f>M2</f>
        <v>Year 2</v>
      </c>
      <c r="N87" s="67">
        <f>N2</f>
        <v>2024</v>
      </c>
      <c r="O87" s="35"/>
      <c r="P87" s="67" t="str">
        <f>P2</f>
        <v>Year 3</v>
      </c>
      <c r="Q87" s="67">
        <f>Q2</f>
        <v>2025</v>
      </c>
      <c r="R87" s="35"/>
      <c r="S87" s="124"/>
      <c r="T87" s="105"/>
      <c r="U87" s="468"/>
    </row>
    <row r="88" spans="2:21" ht="13.5" thickBot="1" x14ac:dyDescent="0.35">
      <c r="B88" s="144"/>
      <c r="C88" s="152" t="s">
        <v>45</v>
      </c>
      <c r="D88" s="149" t="s">
        <v>46</v>
      </c>
      <c r="E88" s="149" t="s">
        <v>47</v>
      </c>
      <c r="F88" s="160" t="s">
        <v>48</v>
      </c>
      <c r="G88" s="151" t="s">
        <v>49</v>
      </c>
      <c r="H88" s="149" t="s">
        <v>50</v>
      </c>
      <c r="I88" s="150" t="s">
        <v>13</v>
      </c>
      <c r="J88" s="270" t="s">
        <v>56</v>
      </c>
      <c r="K88" s="271" t="s">
        <v>13</v>
      </c>
      <c r="L88" s="272" t="s">
        <v>68</v>
      </c>
      <c r="M88" s="151" t="s">
        <v>56</v>
      </c>
      <c r="N88" s="149" t="s">
        <v>13</v>
      </c>
      <c r="O88" s="150" t="s">
        <v>68</v>
      </c>
      <c r="P88" s="270" t="s">
        <v>56</v>
      </c>
      <c r="Q88" s="271" t="s">
        <v>13</v>
      </c>
      <c r="R88" s="272" t="s">
        <v>68</v>
      </c>
      <c r="S88" s="152"/>
      <c r="T88" s="153"/>
      <c r="U88" s="469"/>
    </row>
    <row r="89" spans="2:21" ht="13" x14ac:dyDescent="0.3">
      <c r="B89" s="470" t="s">
        <v>97</v>
      </c>
      <c r="C89" s="155">
        <f t="shared" ref="C89:S89" si="15">C21</f>
        <v>0</v>
      </c>
      <c r="D89" s="147">
        <f t="shared" si="15"/>
        <v>0</v>
      </c>
      <c r="E89" s="147">
        <f t="shared" si="15"/>
        <v>0</v>
      </c>
      <c r="F89" s="147">
        <f t="shared" si="15"/>
        <v>0</v>
      </c>
      <c r="G89" s="147">
        <f t="shared" si="15"/>
        <v>0</v>
      </c>
      <c r="H89" s="147">
        <f t="shared" si="15"/>
        <v>0</v>
      </c>
      <c r="I89" s="148">
        <f t="shared" si="15"/>
        <v>56475</v>
      </c>
      <c r="J89" s="234">
        <f>L21</f>
        <v>56475</v>
      </c>
      <c r="K89" s="273"/>
      <c r="L89" s="274"/>
      <c r="M89" s="38">
        <f t="shared" si="15"/>
        <v>0</v>
      </c>
      <c r="N89" s="147">
        <f t="shared" si="15"/>
        <v>0</v>
      </c>
      <c r="O89" s="148">
        <f t="shared" si="15"/>
        <v>56475</v>
      </c>
      <c r="P89" s="234">
        <f t="shared" si="15"/>
        <v>0</v>
      </c>
      <c r="Q89" s="273">
        <f t="shared" si="15"/>
        <v>0</v>
      </c>
      <c r="R89" s="274">
        <f t="shared" si="15"/>
        <v>56475</v>
      </c>
      <c r="S89" s="148">
        <f t="shared" si="15"/>
        <v>56475</v>
      </c>
      <c r="T89" s="31"/>
      <c r="U89" s="111"/>
    </row>
    <row r="90" spans="2:21" ht="13.5" thickBot="1" x14ac:dyDescent="0.35">
      <c r="B90" s="471" t="s">
        <v>76</v>
      </c>
      <c r="C90" s="161">
        <f t="shared" ref="C90:S90" si="16">C22</f>
        <v>0</v>
      </c>
      <c r="D90" s="162">
        <f t="shared" si="16"/>
        <v>0</v>
      </c>
      <c r="E90" s="162">
        <f t="shared" si="16"/>
        <v>0</v>
      </c>
      <c r="F90" s="162">
        <f t="shared" si="16"/>
        <v>0</v>
      </c>
      <c r="G90" s="162">
        <f t="shared" si="16"/>
        <v>0</v>
      </c>
      <c r="H90" s="162">
        <f t="shared" si="16"/>
        <v>0</v>
      </c>
      <c r="I90" s="163">
        <f t="shared" si="16"/>
        <v>6092268.4639015403</v>
      </c>
      <c r="J90" s="275">
        <f>L22</f>
        <v>5091264.9888198832</v>
      </c>
      <c r="K90" s="276"/>
      <c r="L90" s="277"/>
      <c r="M90" s="161">
        <f t="shared" si="16"/>
        <v>0</v>
      </c>
      <c r="N90" s="162">
        <f t="shared" si="16"/>
        <v>0</v>
      </c>
      <c r="O90" s="163">
        <f t="shared" si="16"/>
        <v>5294915.5883726785</v>
      </c>
      <c r="P90" s="275">
        <f t="shared" si="16"/>
        <v>0</v>
      </c>
      <c r="Q90" s="276">
        <f t="shared" si="16"/>
        <v>0</v>
      </c>
      <c r="R90" s="277">
        <f t="shared" si="16"/>
        <v>5400813.9001401318</v>
      </c>
      <c r="S90" s="163">
        <f t="shared" si="16"/>
        <v>2350179.1046903087</v>
      </c>
      <c r="T90" s="164" t="str">
        <f>T22</f>
        <v>NA</v>
      </c>
      <c r="U90" s="322">
        <f>U22</f>
        <v>5262331.4924442312</v>
      </c>
    </row>
    <row r="91" spans="2:21" ht="13" x14ac:dyDescent="0.3">
      <c r="B91" s="472" t="s">
        <v>98</v>
      </c>
      <c r="C91" s="699">
        <f t="shared" ref="C91:S91" si="17">C40</f>
        <v>0</v>
      </c>
      <c r="D91" s="700">
        <f t="shared" si="17"/>
        <v>0</v>
      </c>
      <c r="E91" s="700">
        <f t="shared" si="17"/>
        <v>0</v>
      </c>
      <c r="F91" s="700">
        <f t="shared" si="17"/>
        <v>0</v>
      </c>
      <c r="G91" s="700">
        <f t="shared" si="17"/>
        <v>0</v>
      </c>
      <c r="H91" s="700">
        <f t="shared" si="17"/>
        <v>0</v>
      </c>
      <c r="I91" s="702">
        <f t="shared" si="17"/>
        <v>0</v>
      </c>
      <c r="J91" s="703">
        <f t="shared" si="17"/>
        <v>0</v>
      </c>
      <c r="K91" s="704">
        <f t="shared" si="17"/>
        <v>0</v>
      </c>
      <c r="L91" s="705">
        <f t="shared" si="17"/>
        <v>0</v>
      </c>
      <c r="M91" s="699">
        <f t="shared" si="17"/>
        <v>0</v>
      </c>
      <c r="N91" s="700">
        <f t="shared" si="17"/>
        <v>0</v>
      </c>
      <c r="O91" s="702">
        <f t="shared" si="17"/>
        <v>0</v>
      </c>
      <c r="P91" s="703">
        <f t="shared" si="17"/>
        <v>0</v>
      </c>
      <c r="Q91" s="704">
        <f t="shared" si="17"/>
        <v>0</v>
      </c>
      <c r="R91" s="251">
        <f t="shared" si="17"/>
        <v>0</v>
      </c>
      <c r="S91" s="696">
        <f t="shared" si="17"/>
        <v>0</v>
      </c>
      <c r="T91" s="694"/>
      <c r="U91" s="694"/>
    </row>
    <row r="92" spans="2:21" ht="13.5" thickBot="1" x14ac:dyDescent="0.35">
      <c r="B92" s="471" t="s">
        <v>76</v>
      </c>
      <c r="C92" s="701">
        <f t="shared" ref="C92:S92" si="18">C41</f>
        <v>0</v>
      </c>
      <c r="D92" s="614">
        <f t="shared" si="18"/>
        <v>0</v>
      </c>
      <c r="E92" s="614">
        <f t="shared" si="18"/>
        <v>0</v>
      </c>
      <c r="F92" s="614">
        <f t="shared" si="18"/>
        <v>0</v>
      </c>
      <c r="G92" s="614">
        <f t="shared" si="18"/>
        <v>0</v>
      </c>
      <c r="H92" s="614">
        <f t="shared" si="18"/>
        <v>0</v>
      </c>
      <c r="I92" s="563">
        <f t="shared" si="18"/>
        <v>0</v>
      </c>
      <c r="J92" s="698">
        <f t="shared" si="18"/>
        <v>0</v>
      </c>
      <c r="K92" s="619">
        <f t="shared" si="18"/>
        <v>145622571.75710919</v>
      </c>
      <c r="L92" s="620">
        <f t="shared" si="18"/>
        <v>28068394.430554632</v>
      </c>
      <c r="M92" s="701">
        <f t="shared" si="18"/>
        <v>0</v>
      </c>
      <c r="N92" s="614">
        <f t="shared" si="18"/>
        <v>151447474.62739351</v>
      </c>
      <c r="O92" s="563">
        <f t="shared" si="18"/>
        <v>29191130.207776815</v>
      </c>
      <c r="P92" s="698">
        <f t="shared" si="18"/>
        <v>0</v>
      </c>
      <c r="Q92" s="619">
        <f t="shared" si="18"/>
        <v>154476424.11994141</v>
      </c>
      <c r="R92" s="620">
        <f t="shared" si="18"/>
        <v>29774952.811932355</v>
      </c>
      <c r="S92" s="563" t="str">
        <f t="shared" si="18"/>
        <v>NA</v>
      </c>
      <c r="T92" s="697" t="str">
        <f>T41</f>
        <v>NA</v>
      </c>
      <c r="U92" s="695">
        <f>U41</f>
        <v>29011492.483421262</v>
      </c>
    </row>
    <row r="93" spans="2:21" ht="13" x14ac:dyDescent="0.3">
      <c r="B93" s="472" t="s">
        <v>156</v>
      </c>
      <c r="C93" s="156">
        <f t="shared" ref="C93:S93" si="19">C54</f>
        <v>0</v>
      </c>
      <c r="D93" s="21">
        <f t="shared" si="19"/>
        <v>0</v>
      </c>
      <c r="E93" s="21">
        <f t="shared" si="19"/>
        <v>0</v>
      </c>
      <c r="F93" s="21">
        <f t="shared" si="19"/>
        <v>0</v>
      </c>
      <c r="G93" s="21">
        <f t="shared" si="19"/>
        <v>1.6</v>
      </c>
      <c r="H93" s="21">
        <f t="shared" si="19"/>
        <v>1.6</v>
      </c>
      <c r="I93" s="157">
        <f t="shared" si="19"/>
        <v>3.2</v>
      </c>
      <c r="J93" s="279">
        <f t="shared" si="19"/>
        <v>3.2</v>
      </c>
      <c r="K93" s="273">
        <f t="shared" si="19"/>
        <v>9755.6</v>
      </c>
      <c r="L93" s="274">
        <f t="shared" si="19"/>
        <v>9755.6</v>
      </c>
      <c r="M93" s="158">
        <f t="shared" si="19"/>
        <v>3.2</v>
      </c>
      <c r="N93" s="147">
        <f t="shared" si="19"/>
        <v>9755.6</v>
      </c>
      <c r="O93" s="148">
        <f t="shared" si="19"/>
        <v>9755.6</v>
      </c>
      <c r="P93" s="279">
        <f t="shared" si="19"/>
        <v>3.2</v>
      </c>
      <c r="Q93" s="273">
        <f t="shared" si="19"/>
        <v>9755.6</v>
      </c>
      <c r="R93" s="274">
        <f t="shared" si="19"/>
        <v>9755.6</v>
      </c>
      <c r="S93" s="157">
        <f t="shared" si="19"/>
        <v>9755.6</v>
      </c>
      <c r="T93" s="159" t="str">
        <f>T27</f>
        <v>NA</v>
      </c>
      <c r="U93" s="728" t="str">
        <f>U55</f>
        <v>NA</v>
      </c>
    </row>
    <row r="94" spans="2:21" ht="13.5" thickBot="1" x14ac:dyDescent="0.35">
      <c r="B94" s="471" t="s">
        <v>76</v>
      </c>
      <c r="C94" s="169">
        <f t="shared" ref="C94:S94" si="20">C55</f>
        <v>0</v>
      </c>
      <c r="D94" s="166">
        <f t="shared" si="20"/>
        <v>0</v>
      </c>
      <c r="E94" s="166">
        <f t="shared" si="20"/>
        <v>0</v>
      </c>
      <c r="F94" s="166">
        <f t="shared" si="20"/>
        <v>0</v>
      </c>
      <c r="G94" s="166">
        <f t="shared" si="20"/>
        <v>50</v>
      </c>
      <c r="H94" s="166">
        <f t="shared" si="20"/>
        <v>61</v>
      </c>
      <c r="I94" s="167">
        <f>I55</f>
        <v>111</v>
      </c>
      <c r="J94" s="278">
        <f t="shared" si="20"/>
        <v>237.45550173010378</v>
      </c>
      <c r="K94" s="246">
        <f t="shared" si="20"/>
        <v>762259.97065743944</v>
      </c>
      <c r="L94" s="246">
        <f t="shared" si="20"/>
        <v>762259.97065743944</v>
      </c>
      <c r="M94" s="165">
        <f t="shared" si="20"/>
        <v>246.95372179930797</v>
      </c>
      <c r="N94" s="166">
        <f t="shared" si="20"/>
        <v>792750.36948373704</v>
      </c>
      <c r="O94" s="167">
        <f t="shared" si="20"/>
        <v>792750.36948373704</v>
      </c>
      <c r="P94" s="278">
        <f t="shared" si="20"/>
        <v>251.8927962352941</v>
      </c>
      <c r="Q94" s="245">
        <f t="shared" si="20"/>
        <v>808605.3768734117</v>
      </c>
      <c r="R94" s="246">
        <f t="shared" si="20"/>
        <v>808605.3768734117</v>
      </c>
      <c r="S94" s="167">
        <f t="shared" si="20"/>
        <v>787871.90567152947</v>
      </c>
      <c r="T94" s="167">
        <f>T48</f>
        <v>4279037.0605553379</v>
      </c>
      <c r="U94" s="322" t="s">
        <v>12</v>
      </c>
    </row>
    <row r="95" spans="2:21" ht="13.5" thickBot="1" x14ac:dyDescent="0.35">
      <c r="B95" s="472" t="s">
        <v>99</v>
      </c>
      <c r="C95" s="692">
        <f t="shared" ref="C95:S95" si="21">C59</f>
        <v>0</v>
      </c>
      <c r="D95" s="692">
        <f t="shared" si="21"/>
        <v>0</v>
      </c>
      <c r="E95" s="692">
        <f t="shared" si="21"/>
        <v>0</v>
      </c>
      <c r="F95" s="692">
        <f t="shared" si="21"/>
        <v>0</v>
      </c>
      <c r="G95" s="692">
        <f t="shared" si="21"/>
        <v>0</v>
      </c>
      <c r="H95" s="692">
        <f t="shared" si="21"/>
        <v>0</v>
      </c>
      <c r="I95" s="692">
        <f t="shared" si="21"/>
        <v>0</v>
      </c>
      <c r="J95" s="693">
        <f t="shared" si="21"/>
        <v>0</v>
      </c>
      <c r="K95" s="693">
        <f t="shared" si="21"/>
        <v>0</v>
      </c>
      <c r="L95" s="693">
        <f t="shared" si="21"/>
        <v>0</v>
      </c>
      <c r="M95" s="692">
        <f t="shared" si="21"/>
        <v>0</v>
      </c>
      <c r="N95" s="692">
        <f t="shared" si="21"/>
        <v>0</v>
      </c>
      <c r="O95" s="692">
        <f t="shared" si="21"/>
        <v>0</v>
      </c>
      <c r="P95" s="693">
        <f t="shared" si="21"/>
        <v>0</v>
      </c>
      <c r="Q95" s="693">
        <f t="shared" si="21"/>
        <v>0</v>
      </c>
      <c r="R95" s="693">
        <f t="shared" si="21"/>
        <v>0</v>
      </c>
      <c r="S95" s="692">
        <f t="shared" si="21"/>
        <v>0</v>
      </c>
      <c r="T95" s="31"/>
      <c r="U95" s="111"/>
    </row>
    <row r="96" spans="2:21" ht="13.5" thickBot="1" x14ac:dyDescent="0.35">
      <c r="B96" s="471" t="s">
        <v>76</v>
      </c>
      <c r="C96" s="165">
        <f t="shared" ref="C96:S96" si="22">C60</f>
        <v>0</v>
      </c>
      <c r="D96" s="166">
        <f t="shared" si="22"/>
        <v>0</v>
      </c>
      <c r="E96" s="166">
        <f t="shared" si="22"/>
        <v>0</v>
      </c>
      <c r="F96" s="166">
        <f t="shared" si="22"/>
        <v>0</v>
      </c>
      <c r="G96" s="166">
        <f t="shared" si="22"/>
        <v>0</v>
      </c>
      <c r="H96" s="166">
        <f t="shared" si="22"/>
        <v>0</v>
      </c>
      <c r="I96" s="167">
        <f t="shared" si="22"/>
        <v>0</v>
      </c>
      <c r="J96" s="278">
        <f t="shared" si="22"/>
        <v>0</v>
      </c>
      <c r="K96" s="245">
        <f t="shared" si="22"/>
        <v>0</v>
      </c>
      <c r="L96" s="246">
        <f t="shared" si="22"/>
        <v>0</v>
      </c>
      <c r="M96" s="169">
        <f t="shared" si="22"/>
        <v>0</v>
      </c>
      <c r="N96" s="166">
        <f t="shared" si="22"/>
        <v>0</v>
      </c>
      <c r="O96" s="167">
        <f t="shared" si="22"/>
        <v>0</v>
      </c>
      <c r="P96" s="278">
        <f t="shared" si="22"/>
        <v>0</v>
      </c>
      <c r="Q96" s="245">
        <f t="shared" si="22"/>
        <v>0</v>
      </c>
      <c r="R96" s="246">
        <f t="shared" si="22"/>
        <v>0</v>
      </c>
      <c r="S96" s="167">
        <f t="shared" si="22"/>
        <v>0</v>
      </c>
      <c r="T96" s="167">
        <f>T60</f>
        <v>0</v>
      </c>
      <c r="U96" s="474" t="s">
        <v>12</v>
      </c>
    </row>
    <row r="97" spans="2:21" ht="13" x14ac:dyDescent="0.3">
      <c r="B97" s="472" t="s">
        <v>100</v>
      </c>
      <c r="C97" s="156">
        <f t="shared" ref="C97:U97" si="23">C69</f>
        <v>0</v>
      </c>
      <c r="D97" s="21">
        <f t="shared" si="23"/>
        <v>0.25</v>
      </c>
      <c r="E97" s="21">
        <f t="shared" si="23"/>
        <v>1040</v>
      </c>
      <c r="F97" s="21">
        <f t="shared" si="23"/>
        <v>0</v>
      </c>
      <c r="G97" s="21">
        <f t="shared" si="23"/>
        <v>0</v>
      </c>
      <c r="H97" s="21">
        <f t="shared" si="23"/>
        <v>0</v>
      </c>
      <c r="I97" s="157">
        <f t="shared" si="23"/>
        <v>1040.25</v>
      </c>
      <c r="J97" s="279">
        <f t="shared" si="23"/>
        <v>1040.25</v>
      </c>
      <c r="K97" s="273">
        <f t="shared" si="23"/>
        <v>175278.25</v>
      </c>
      <c r="L97" s="274">
        <f t="shared" si="23"/>
        <v>175278.25</v>
      </c>
      <c r="M97" s="158">
        <f t="shared" si="23"/>
        <v>1040.25</v>
      </c>
      <c r="N97" s="147">
        <f t="shared" si="23"/>
        <v>175278.25</v>
      </c>
      <c r="O97" s="148">
        <f t="shared" si="23"/>
        <v>175278.25</v>
      </c>
      <c r="P97" s="279">
        <f t="shared" si="23"/>
        <v>1040.25</v>
      </c>
      <c r="Q97" s="273">
        <f t="shared" si="23"/>
        <v>175278.25</v>
      </c>
      <c r="R97" s="274">
        <f t="shared" si="23"/>
        <v>175278.25</v>
      </c>
      <c r="S97" s="157">
        <f t="shared" si="23"/>
        <v>175278.25</v>
      </c>
      <c r="T97" s="170" t="str">
        <f t="shared" si="23"/>
        <v>NA</v>
      </c>
      <c r="U97" s="475" t="str">
        <f t="shared" si="23"/>
        <v>NA</v>
      </c>
    </row>
    <row r="98" spans="2:21" ht="13.5" thickBot="1" x14ac:dyDescent="0.35">
      <c r="B98" s="471" t="s">
        <v>76</v>
      </c>
      <c r="C98" s="165">
        <f t="shared" ref="C98:T98" si="24">C70</f>
        <v>0</v>
      </c>
      <c r="D98" s="166">
        <f t="shared" si="24"/>
        <v>6</v>
      </c>
      <c r="E98" s="166">
        <f t="shared" si="24"/>
        <v>26230</v>
      </c>
      <c r="F98" s="166">
        <f t="shared" si="24"/>
        <v>0</v>
      </c>
      <c r="G98" s="166">
        <f t="shared" si="24"/>
        <v>0</v>
      </c>
      <c r="H98" s="166">
        <f t="shared" si="24"/>
        <v>0</v>
      </c>
      <c r="I98" s="167">
        <f t="shared" si="24"/>
        <v>26236</v>
      </c>
      <c r="J98" s="278">
        <f t="shared" si="24"/>
        <v>56125.067958477499</v>
      </c>
      <c r="K98" s="245">
        <f t="shared" si="24"/>
        <v>9434020.4445674736</v>
      </c>
      <c r="L98" s="246">
        <f t="shared" si="24"/>
        <v>9434020.4445674736</v>
      </c>
      <c r="M98" s="165">
        <f t="shared" si="24"/>
        <v>58370.070676816613</v>
      </c>
      <c r="N98" s="166">
        <f t="shared" si="24"/>
        <v>9811381.2623501737</v>
      </c>
      <c r="O98" s="167">
        <f t="shared" si="24"/>
        <v>9811381.2623501737</v>
      </c>
      <c r="P98" s="284">
        <f t="shared" si="24"/>
        <v>59537.472090352938</v>
      </c>
      <c r="Q98" s="245">
        <f t="shared" si="24"/>
        <v>10007608.887597175</v>
      </c>
      <c r="R98" s="246">
        <f t="shared" si="24"/>
        <v>10007608.887597175</v>
      </c>
      <c r="S98" s="167">
        <f t="shared" si="24"/>
        <v>9751003.5315049421</v>
      </c>
      <c r="T98" s="168" t="str">
        <f t="shared" si="24"/>
        <v>NA</v>
      </c>
      <c r="U98" s="322" t="s">
        <v>12</v>
      </c>
    </row>
    <row r="99" spans="2:21" ht="13" x14ac:dyDescent="0.3">
      <c r="B99" s="472" t="s">
        <v>101</v>
      </c>
      <c r="C99" s="171">
        <f t="shared" ref="C99:R99" si="25">C79</f>
        <v>0</v>
      </c>
      <c r="D99" s="172">
        <f t="shared" si="25"/>
        <v>0</v>
      </c>
      <c r="E99" s="172">
        <f t="shared" si="25"/>
        <v>0</v>
      </c>
      <c r="F99" s="172">
        <f t="shared" si="25"/>
        <v>0</v>
      </c>
      <c r="G99" s="172">
        <f t="shared" si="25"/>
        <v>0</v>
      </c>
      <c r="H99" s="172">
        <f t="shared" si="25"/>
        <v>0</v>
      </c>
      <c r="I99" s="54">
        <f t="shared" si="25"/>
        <v>0</v>
      </c>
      <c r="J99" s="282">
        <f t="shared" si="25"/>
        <v>0</v>
      </c>
      <c r="K99" s="263">
        <f t="shared" si="25"/>
        <v>0</v>
      </c>
      <c r="L99" s="243">
        <f t="shared" si="25"/>
        <v>0</v>
      </c>
      <c r="M99" s="173">
        <f t="shared" si="25"/>
        <v>0</v>
      </c>
      <c r="N99" s="36">
        <f t="shared" si="25"/>
        <v>0</v>
      </c>
      <c r="O99" s="54">
        <f t="shared" si="25"/>
        <v>0</v>
      </c>
      <c r="P99" s="282">
        <f t="shared" si="25"/>
        <v>0</v>
      </c>
      <c r="Q99" s="263">
        <f t="shared" si="25"/>
        <v>0</v>
      </c>
      <c r="R99" s="243">
        <f t="shared" si="25"/>
        <v>0</v>
      </c>
      <c r="S99" s="46" t="s">
        <v>12</v>
      </c>
      <c r="T99" s="42" t="s">
        <v>12</v>
      </c>
      <c r="U99" s="119" t="s">
        <v>12</v>
      </c>
    </row>
    <row r="100" spans="2:21" ht="13.5" thickBot="1" x14ac:dyDescent="0.35">
      <c r="B100" s="471" t="s">
        <v>76</v>
      </c>
      <c r="C100" s="165">
        <f t="shared" ref="C100:R100" si="26">C80</f>
        <v>0</v>
      </c>
      <c r="D100" s="166">
        <f t="shared" si="26"/>
        <v>0</v>
      </c>
      <c r="E100" s="166">
        <f t="shared" si="26"/>
        <v>0</v>
      </c>
      <c r="F100" s="166">
        <f t="shared" si="26"/>
        <v>0</v>
      </c>
      <c r="G100" s="166">
        <f t="shared" si="26"/>
        <v>0</v>
      </c>
      <c r="H100" s="166">
        <f t="shared" si="26"/>
        <v>0</v>
      </c>
      <c r="I100" s="167">
        <f t="shared" si="26"/>
        <v>0</v>
      </c>
      <c r="J100" s="278">
        <f t="shared" si="26"/>
        <v>27176.447399296052</v>
      </c>
      <c r="K100" s="283">
        <f t="shared" si="26"/>
        <v>4239525.794290184</v>
      </c>
      <c r="L100" s="246">
        <f t="shared" si="26"/>
        <v>605646.54204145493</v>
      </c>
      <c r="M100" s="169">
        <f t="shared" si="26"/>
        <v>28263.505295267893</v>
      </c>
      <c r="N100" s="175">
        <f t="shared" si="26"/>
        <v>4409106.8260617908</v>
      </c>
      <c r="O100" s="167">
        <f t="shared" si="26"/>
        <v>629872.40372311301</v>
      </c>
      <c r="P100" s="278">
        <f t="shared" si="26"/>
        <v>28828.775401173247</v>
      </c>
      <c r="Q100" s="283">
        <f t="shared" si="26"/>
        <v>4497288.9625830268</v>
      </c>
      <c r="R100" s="246">
        <f t="shared" si="26"/>
        <v>642469.85179757536</v>
      </c>
      <c r="S100" s="168" t="s">
        <v>12</v>
      </c>
      <c r="T100" s="167">
        <f>T80</f>
        <v>0</v>
      </c>
      <c r="U100" s="322">
        <f>R100</f>
        <v>642469.85179757536</v>
      </c>
    </row>
    <row r="101" spans="2:21" ht="13" x14ac:dyDescent="0.3">
      <c r="B101" s="472" t="s">
        <v>102</v>
      </c>
      <c r="C101" s="156">
        <f t="shared" ref="C101:S101" si="27">C84</f>
        <v>0</v>
      </c>
      <c r="D101" s="21">
        <f t="shared" si="27"/>
        <v>0</v>
      </c>
      <c r="E101" s="21">
        <f t="shared" si="27"/>
        <v>0</v>
      </c>
      <c r="F101" s="21">
        <f t="shared" si="27"/>
        <v>0</v>
      </c>
      <c r="G101" s="21">
        <f t="shared" si="27"/>
        <v>0</v>
      </c>
      <c r="H101" s="21">
        <f t="shared" si="27"/>
        <v>0</v>
      </c>
      <c r="I101" s="157">
        <f t="shared" si="27"/>
        <v>0</v>
      </c>
      <c r="J101" s="279">
        <f t="shared" si="27"/>
        <v>0</v>
      </c>
      <c r="K101" s="280">
        <f t="shared" si="27"/>
        <v>0</v>
      </c>
      <c r="L101" s="281">
        <f t="shared" si="27"/>
        <v>0</v>
      </c>
      <c r="M101" s="158">
        <f t="shared" si="27"/>
        <v>0</v>
      </c>
      <c r="N101" s="21">
        <f t="shared" si="27"/>
        <v>0</v>
      </c>
      <c r="O101" s="157">
        <f t="shared" si="27"/>
        <v>0</v>
      </c>
      <c r="P101" s="279">
        <f t="shared" si="27"/>
        <v>0</v>
      </c>
      <c r="Q101" s="280">
        <f t="shared" si="27"/>
        <v>0</v>
      </c>
      <c r="R101" s="281">
        <f t="shared" si="27"/>
        <v>0</v>
      </c>
      <c r="S101" s="157">
        <f t="shared" si="27"/>
        <v>0</v>
      </c>
      <c r="T101" s="42" t="s">
        <v>12</v>
      </c>
      <c r="U101" s="119" t="s">
        <v>12</v>
      </c>
    </row>
    <row r="102" spans="2:21" ht="13.5" thickBot="1" x14ac:dyDescent="0.35">
      <c r="B102" s="476" t="s">
        <v>76</v>
      </c>
      <c r="C102" s="176">
        <f t="shared" ref="C102:S102" si="28">C85</f>
        <v>0</v>
      </c>
      <c r="D102" s="177">
        <f t="shared" si="28"/>
        <v>0</v>
      </c>
      <c r="E102" s="177">
        <f t="shared" si="28"/>
        <v>0</v>
      </c>
      <c r="F102" s="177">
        <f t="shared" si="28"/>
        <v>0</v>
      </c>
      <c r="G102" s="177">
        <f t="shared" si="28"/>
        <v>0</v>
      </c>
      <c r="H102" s="177">
        <f t="shared" si="28"/>
        <v>0</v>
      </c>
      <c r="I102" s="178">
        <f t="shared" si="28"/>
        <v>0</v>
      </c>
      <c r="J102" s="252">
        <f t="shared" si="28"/>
        <v>0</v>
      </c>
      <c r="K102" s="253">
        <f t="shared" si="28"/>
        <v>0</v>
      </c>
      <c r="L102" s="254">
        <f t="shared" si="28"/>
        <v>0</v>
      </c>
      <c r="M102" s="176">
        <f t="shared" si="28"/>
        <v>0</v>
      </c>
      <c r="N102" s="177">
        <f t="shared" si="28"/>
        <v>0</v>
      </c>
      <c r="O102" s="178">
        <f t="shared" si="28"/>
        <v>0</v>
      </c>
      <c r="P102" s="259">
        <f t="shared" si="28"/>
        <v>0</v>
      </c>
      <c r="Q102" s="253">
        <f t="shared" si="28"/>
        <v>0</v>
      </c>
      <c r="R102" s="254">
        <f t="shared" si="28"/>
        <v>0</v>
      </c>
      <c r="S102" s="178">
        <f t="shared" si="28"/>
        <v>0</v>
      </c>
      <c r="T102" s="179" t="str">
        <f>T85</f>
        <v>NA</v>
      </c>
      <c r="U102" s="180" t="s">
        <v>12</v>
      </c>
    </row>
    <row r="103" spans="2:21" ht="18.5" thickTop="1" x14ac:dyDescent="0.4">
      <c r="B103" s="477" t="s">
        <v>13</v>
      </c>
      <c r="C103" s="88" t="s">
        <v>45</v>
      </c>
      <c r="D103" s="86" t="s">
        <v>46</v>
      </c>
      <c r="E103" s="86" t="s">
        <v>47</v>
      </c>
      <c r="F103" s="86" t="s">
        <v>48</v>
      </c>
      <c r="G103" s="86" t="s">
        <v>49</v>
      </c>
      <c r="H103" s="86" t="s">
        <v>50</v>
      </c>
      <c r="I103" s="87" t="s">
        <v>13</v>
      </c>
      <c r="J103" s="88" t="s">
        <v>56</v>
      </c>
      <c r="K103" s="86" t="s">
        <v>13</v>
      </c>
      <c r="L103" s="87" t="s">
        <v>68</v>
      </c>
      <c r="M103" s="88" t="s">
        <v>56</v>
      </c>
      <c r="N103" s="86" t="s">
        <v>13</v>
      </c>
      <c r="O103" s="87" t="s">
        <v>68</v>
      </c>
      <c r="P103" s="88" t="s">
        <v>56</v>
      </c>
      <c r="Q103" s="86" t="s">
        <v>13</v>
      </c>
      <c r="R103" s="87" t="s">
        <v>68</v>
      </c>
      <c r="S103" s="87"/>
      <c r="T103" s="31"/>
      <c r="U103" s="111"/>
    </row>
    <row r="104" spans="2:21" x14ac:dyDescent="0.25">
      <c r="B104" s="478" t="s">
        <v>75</v>
      </c>
      <c r="C104" s="154">
        <f t="shared" ref="C104:I105" si="29">C89+C91+C93+C95+C97+C99+C101</f>
        <v>0</v>
      </c>
      <c r="D104" s="58">
        <f t="shared" si="29"/>
        <v>0.25</v>
      </c>
      <c r="E104" s="58">
        <f t="shared" si="29"/>
        <v>1040</v>
      </c>
      <c r="F104" s="58">
        <f t="shared" si="29"/>
        <v>0</v>
      </c>
      <c r="G104" s="58">
        <f t="shared" si="29"/>
        <v>1.6</v>
      </c>
      <c r="H104" s="58">
        <f t="shared" si="29"/>
        <v>1.6</v>
      </c>
      <c r="I104" s="57">
        <f t="shared" si="29"/>
        <v>57518.45</v>
      </c>
      <c r="J104" s="285" t="s">
        <v>12</v>
      </c>
      <c r="K104" s="231">
        <f>K89+K91+K93+K95+K97+K101</f>
        <v>185033.85</v>
      </c>
      <c r="L104" s="239">
        <f>L89+L91+L93+L95+L97+L99+L101</f>
        <v>185033.85</v>
      </c>
      <c r="M104" s="83" t="s">
        <v>12</v>
      </c>
      <c r="N104" s="58">
        <f>N89+N91+N93+N95+N97+N101</f>
        <v>185033.85</v>
      </c>
      <c r="O104" s="57">
        <f>O89+O91+O93+O95+O97+O99+O101</f>
        <v>241508.85</v>
      </c>
      <c r="P104" s="285" t="s">
        <v>12</v>
      </c>
      <c r="Q104" s="231">
        <f>Q89+Q91+Q93+Q95+Q97+Q101</f>
        <v>185033.85</v>
      </c>
      <c r="R104" s="239">
        <f>R89+R91+R93+R95+R97+R99+R101</f>
        <v>241508.85</v>
      </c>
      <c r="S104" s="57">
        <f>S89+S91+S93+S95+S97+S101</f>
        <v>241508.85</v>
      </c>
      <c r="T104" s="57"/>
      <c r="U104" s="113" t="s">
        <v>12</v>
      </c>
    </row>
    <row r="105" spans="2:21" s="189" customFormat="1" ht="16" thickBot="1" x14ac:dyDescent="0.4">
      <c r="B105" s="479" t="s">
        <v>76</v>
      </c>
      <c r="C105" s="480">
        <f t="shared" si="29"/>
        <v>0</v>
      </c>
      <c r="D105" s="481">
        <f t="shared" si="29"/>
        <v>6</v>
      </c>
      <c r="E105" s="481">
        <f t="shared" si="29"/>
        <v>26230</v>
      </c>
      <c r="F105" s="481">
        <f t="shared" si="29"/>
        <v>0</v>
      </c>
      <c r="G105" s="481">
        <f t="shared" si="29"/>
        <v>50</v>
      </c>
      <c r="H105" s="481">
        <f t="shared" si="29"/>
        <v>61</v>
      </c>
      <c r="I105" s="482">
        <f>I90+I92+I94+I96+I98+I100+I102</f>
        <v>6118615.4639015403</v>
      </c>
      <c r="J105" s="483">
        <f>J90+J92+J94+J96+J98+J100+J102</f>
        <v>5174803.9596793875</v>
      </c>
      <c r="K105" s="485">
        <f>K90+K92+K94+K96+K98+K100+K102</f>
        <v>160058377.96662429</v>
      </c>
      <c r="L105" s="485">
        <f>L90+L92+L94+L96+L98+L100+L102</f>
        <v>38870321.387821004</v>
      </c>
      <c r="M105" s="480">
        <f>M90+M92+M94+M96+M98+M100+M102</f>
        <v>86880.529693883815</v>
      </c>
      <c r="N105" s="486">
        <f>N90+N92+N94+N96+N98+N102</f>
        <v>162051606.25922742</v>
      </c>
      <c r="O105" s="482">
        <f>O90+O92+O94+O96+O98+O100+O102</f>
        <v>45720049.831706516</v>
      </c>
      <c r="P105" s="487">
        <f>P90+P92+P94+P96+P98+P100+P102</f>
        <v>88618.140287761489</v>
      </c>
      <c r="Q105" s="484">
        <f>Q90+Q92+Q94+Q96+Q98+Q102</f>
        <v>165292638.38441199</v>
      </c>
      <c r="R105" s="485">
        <f>R90+R92+R94+R96+R98+R100+R102</f>
        <v>46634450.828340642</v>
      </c>
      <c r="S105" s="482">
        <f>S90+S94+S96+S98+S102</f>
        <v>12889054.541866779</v>
      </c>
      <c r="T105" s="482">
        <f>SUM(T90,T92,T94,T96,T98,T100,T102)</f>
        <v>4279037.0605553379</v>
      </c>
      <c r="U105" s="489">
        <f>SUM(U90,U92,U94,U96,U98,U100,U102,U93,U80)</f>
        <v>35542290.09351711</v>
      </c>
    </row>
  </sheetData>
  <mergeCells count="30">
    <mergeCell ref="G82:I82"/>
    <mergeCell ref="Q83:R83"/>
    <mergeCell ref="Q44:R44"/>
    <mergeCell ref="Q58:R58"/>
    <mergeCell ref="Q63:R63"/>
    <mergeCell ref="Q74:R74"/>
    <mergeCell ref="K83:L83"/>
    <mergeCell ref="N44:O44"/>
    <mergeCell ref="N58:O58"/>
    <mergeCell ref="N74:O74"/>
    <mergeCell ref="N83:O83"/>
    <mergeCell ref="N63:O63"/>
    <mergeCell ref="K44:L44"/>
    <mergeCell ref="S2:T2"/>
    <mergeCell ref="Q25:R25"/>
    <mergeCell ref="N25:O25"/>
    <mergeCell ref="K74:L74"/>
    <mergeCell ref="K58:L58"/>
    <mergeCell ref="K63:L63"/>
    <mergeCell ref="G13:I13"/>
    <mergeCell ref="K25:L25"/>
    <mergeCell ref="G2:I2"/>
    <mergeCell ref="C11:I11"/>
    <mergeCell ref="G24:I24"/>
    <mergeCell ref="G43:I43"/>
    <mergeCell ref="G62:I62"/>
    <mergeCell ref="G73:I73"/>
    <mergeCell ref="G58:I58"/>
    <mergeCell ref="G57:I57"/>
    <mergeCell ref="G44:I44"/>
  </mergeCells>
  <phoneticPr fontId="2" type="noConversion"/>
  <pageMargins left="0.25" right="0.28000000000000003" top="0.64" bottom="0.47" header="0.5" footer="0.44"/>
  <pageSetup scale="46" fitToHeight="25" orientation="landscape" r:id="rId1"/>
  <headerFooter alignWithMargins="0"/>
  <rowBreaks count="1" manualBreakCount="1">
    <brk id="71" max="21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DEDB1-4903-4741-A7D4-7A8A4BB04194}">
  <dimension ref="A1:U121"/>
  <sheetViews>
    <sheetView workbookViewId="0">
      <selection activeCell="V14" sqref="V14"/>
    </sheetView>
  </sheetViews>
  <sheetFormatPr defaultRowHeight="12.5" x14ac:dyDescent="0.25"/>
  <cols>
    <col min="1" max="1" width="1.1796875" customWidth="1"/>
    <col min="2" max="2" width="31.453125" customWidth="1"/>
    <col min="3" max="3" width="12.81640625" customWidth="1"/>
    <col min="4" max="4" width="10.26953125" bestFit="1" customWidth="1"/>
    <col min="5" max="5" width="11.26953125" customWidth="1"/>
    <col min="6" max="6" width="9.7265625" style="5" customWidth="1"/>
    <col min="7" max="7" width="9.7265625" customWidth="1"/>
    <col min="8" max="8" width="9.81640625" customWidth="1"/>
    <col min="9" max="9" width="13.26953125" customWidth="1"/>
    <col min="10" max="10" width="15" customWidth="1"/>
    <col min="11" max="11" width="14.453125" customWidth="1"/>
    <col min="12" max="12" width="14.26953125" customWidth="1"/>
    <col min="13" max="13" width="15.54296875" customWidth="1"/>
    <col min="14" max="14" width="14.54296875" customWidth="1"/>
    <col min="15" max="15" width="14.453125" customWidth="1"/>
    <col min="16" max="16" width="15" customWidth="1"/>
    <col min="17" max="17" width="13.81640625" customWidth="1"/>
    <col min="18" max="18" width="14" customWidth="1"/>
    <col min="19" max="19" width="14.54296875" customWidth="1"/>
    <col min="20" max="20" width="14" customWidth="1"/>
    <col min="21" max="21" width="13.26953125" bestFit="1" customWidth="1"/>
  </cols>
  <sheetData>
    <row r="1" spans="1:21" ht="4.5" customHeight="1" thickBot="1" x14ac:dyDescent="0.3">
      <c r="B1" s="335"/>
      <c r="C1" s="335"/>
      <c r="D1" s="335"/>
      <c r="E1" s="335"/>
      <c r="F1" s="336"/>
      <c r="G1" s="335"/>
      <c r="H1" s="335"/>
      <c r="I1" s="335"/>
      <c r="J1" s="335"/>
      <c r="K1" s="335"/>
      <c r="L1" s="335"/>
      <c r="M1" s="335"/>
    </row>
    <row r="2" spans="1:21" ht="18.5" thickTop="1" x14ac:dyDescent="0.4">
      <c r="A2" s="510"/>
      <c r="B2" s="494" t="s">
        <v>0</v>
      </c>
      <c r="C2" s="491" t="s">
        <v>395</v>
      </c>
      <c r="E2" s="326" t="s">
        <v>31</v>
      </c>
      <c r="F2" s="1172">
        <v>43331</v>
      </c>
      <c r="G2" s="1173"/>
      <c r="J2" s="492" t="s">
        <v>5</v>
      </c>
      <c r="K2" s="493">
        <v>2023</v>
      </c>
      <c r="M2" s="490" t="s">
        <v>10</v>
      </c>
      <c r="N2" s="452">
        <f>K2+1</f>
        <v>2024</v>
      </c>
      <c r="O2" s="451"/>
      <c r="P2" s="453" t="s">
        <v>11</v>
      </c>
      <c r="Q2" s="452">
        <f>N2+1</f>
        <v>2025</v>
      </c>
      <c r="R2" s="454"/>
      <c r="S2" s="1165" t="s">
        <v>77</v>
      </c>
      <c r="T2" s="1166"/>
      <c r="U2" s="455" t="s">
        <v>79</v>
      </c>
    </row>
    <row r="3" spans="1:21" ht="15.5" x14ac:dyDescent="0.35">
      <c r="A3" s="510"/>
      <c r="C3" s="1"/>
      <c r="D3" s="25"/>
      <c r="E3" s="2"/>
      <c r="I3" s="326" t="s">
        <v>59</v>
      </c>
      <c r="J3" s="144"/>
      <c r="L3" s="145"/>
      <c r="O3" s="31"/>
      <c r="R3" s="31"/>
      <c r="S3" s="90" t="s">
        <v>71</v>
      </c>
      <c r="T3" s="91">
        <f>AVERAGE(J5,M5,P5)</f>
        <v>50</v>
      </c>
      <c r="U3" s="31"/>
    </row>
    <row r="4" spans="1:21" ht="13" x14ac:dyDescent="0.3">
      <c r="A4" s="510"/>
      <c r="I4" s="43">
        <v>0</v>
      </c>
      <c r="J4" s="326" t="s">
        <v>71</v>
      </c>
      <c r="K4" s="349" t="s">
        <v>72</v>
      </c>
      <c r="L4" s="17">
        <v>500</v>
      </c>
      <c r="M4" s="326" t="s">
        <v>71</v>
      </c>
      <c r="N4" s="349" t="s">
        <v>69</v>
      </c>
      <c r="O4" s="17">
        <v>750</v>
      </c>
      <c r="P4" s="326" t="s">
        <v>71</v>
      </c>
      <c r="Q4" s="349" t="s">
        <v>69</v>
      </c>
      <c r="R4" s="17">
        <v>1000</v>
      </c>
      <c r="S4" s="90" t="s">
        <v>69</v>
      </c>
      <c r="T4" s="85">
        <f>AVERAGE(L4,O4,R4)</f>
        <v>750</v>
      </c>
      <c r="U4" s="31"/>
    </row>
    <row r="5" spans="1:21" ht="12.75" customHeight="1" thickBot="1" x14ac:dyDescent="0.35">
      <c r="A5" s="510"/>
      <c r="B5" s="495" t="s">
        <v>2</v>
      </c>
      <c r="C5" s="1174"/>
      <c r="D5" s="1175"/>
      <c r="E5" s="1175"/>
      <c r="F5" s="1175"/>
      <c r="G5" s="1175"/>
      <c r="H5" s="1175"/>
      <c r="I5" s="1175"/>
      <c r="J5" s="525">
        <v>30</v>
      </c>
      <c r="K5" s="287" t="s">
        <v>70</v>
      </c>
      <c r="L5" s="288">
        <f>L4*$I$4</f>
        <v>0</v>
      </c>
      <c r="M5" s="526">
        <v>50</v>
      </c>
      <c r="N5" s="287" t="s">
        <v>70</v>
      </c>
      <c r="O5" s="289">
        <f>O4*$I$4</f>
        <v>0</v>
      </c>
      <c r="P5" s="525">
        <v>70</v>
      </c>
      <c r="Q5" s="287" t="s">
        <v>70</v>
      </c>
      <c r="R5" s="288">
        <f>R4*$I$4</f>
        <v>0</v>
      </c>
      <c r="S5" s="191" t="s">
        <v>70</v>
      </c>
      <c r="T5" s="192">
        <f>AVERAGE(L5,O5,R5)</f>
        <v>0</v>
      </c>
      <c r="U5" s="31"/>
    </row>
    <row r="6" spans="1:21" ht="30" customHeight="1" thickTop="1" thickBot="1" x14ac:dyDescent="0.45">
      <c r="A6" s="510"/>
      <c r="B6" s="496" t="s">
        <v>73</v>
      </c>
      <c r="C6" s="3"/>
      <c r="D6" s="3"/>
      <c r="E6" s="3"/>
      <c r="F6" s="9"/>
      <c r="G6" s="3"/>
      <c r="H6" s="3"/>
      <c r="I6" s="3"/>
      <c r="J6" s="447"/>
      <c r="K6" s="3"/>
      <c r="L6" s="3"/>
      <c r="M6" s="447"/>
      <c r="N6" s="3"/>
      <c r="O6" s="3"/>
      <c r="P6" s="447"/>
      <c r="Q6" s="3"/>
      <c r="R6" s="3"/>
      <c r="S6" s="448" t="s">
        <v>17</v>
      </c>
      <c r="T6" s="449" t="s">
        <v>103</v>
      </c>
      <c r="U6" s="450"/>
    </row>
    <row r="7" spans="1:21" ht="15.5" x14ac:dyDescent="0.35">
      <c r="A7" s="510"/>
      <c r="B7" s="48" t="s">
        <v>3</v>
      </c>
      <c r="C7" s="193"/>
      <c r="D7" s="349" t="s">
        <v>54</v>
      </c>
      <c r="E7" s="24">
        <v>7</v>
      </c>
      <c r="F7" s="1" t="s">
        <v>6</v>
      </c>
      <c r="G7" s="1169"/>
      <c r="H7" s="1170"/>
      <c r="I7" s="1171"/>
      <c r="J7" s="72" t="s">
        <v>3</v>
      </c>
      <c r="K7" s="146"/>
      <c r="L7" s="62"/>
      <c r="M7" s="48" t="s">
        <v>3</v>
      </c>
      <c r="O7" s="31"/>
      <c r="P7" s="48" t="s">
        <v>3</v>
      </c>
      <c r="R7" s="31"/>
      <c r="S7" s="99"/>
      <c r="T7" s="92"/>
      <c r="U7" s="114"/>
    </row>
    <row r="8" spans="1:21" ht="13" x14ac:dyDescent="0.3">
      <c r="A8" s="510"/>
      <c r="B8" s="497" t="s">
        <v>44</v>
      </c>
      <c r="C8" s="4"/>
      <c r="D8" s="4"/>
      <c r="E8" s="4"/>
      <c r="F8" s="8"/>
      <c r="G8" s="4"/>
      <c r="H8" s="4"/>
      <c r="I8" s="40" t="s">
        <v>55</v>
      </c>
      <c r="J8" s="209" t="s">
        <v>55</v>
      </c>
      <c r="K8" s="1176" t="s">
        <v>57</v>
      </c>
      <c r="L8" s="1168"/>
      <c r="M8" s="50" t="s">
        <v>55</v>
      </c>
      <c r="N8" s="1177" t="s">
        <v>57</v>
      </c>
      <c r="O8" s="1178"/>
      <c r="P8" s="227" t="s">
        <v>55</v>
      </c>
      <c r="Q8" s="1167" t="s">
        <v>57</v>
      </c>
      <c r="R8" s="1168"/>
      <c r="S8" s="100"/>
      <c r="T8" s="118"/>
      <c r="U8" s="116"/>
    </row>
    <row r="9" spans="1:21" ht="13" x14ac:dyDescent="0.3">
      <c r="A9" s="510"/>
      <c r="B9" s="498" t="s">
        <v>53</v>
      </c>
      <c r="C9" s="20" t="s">
        <v>45</v>
      </c>
      <c r="D9" s="20" t="s">
        <v>46</v>
      </c>
      <c r="E9" s="20" t="s">
        <v>47</v>
      </c>
      <c r="F9" s="20" t="s">
        <v>48</v>
      </c>
      <c r="G9" s="20" t="s">
        <v>49</v>
      </c>
      <c r="H9" s="20" t="s">
        <v>50</v>
      </c>
      <c r="I9" s="40" t="s">
        <v>13</v>
      </c>
      <c r="J9" s="210" t="s">
        <v>56</v>
      </c>
      <c r="K9" s="211" t="s">
        <v>13</v>
      </c>
      <c r="L9" s="212" t="s">
        <v>68</v>
      </c>
      <c r="M9" s="66" t="s">
        <v>56</v>
      </c>
      <c r="N9" s="20" t="s">
        <v>13</v>
      </c>
      <c r="O9" s="32" t="s">
        <v>68</v>
      </c>
      <c r="P9" s="211" t="s">
        <v>56</v>
      </c>
      <c r="Q9" s="211" t="s">
        <v>13</v>
      </c>
      <c r="R9" s="212" t="s">
        <v>68</v>
      </c>
      <c r="S9" s="98"/>
      <c r="T9" s="44"/>
      <c r="U9" s="117"/>
    </row>
    <row r="10" spans="1:21" x14ac:dyDescent="0.25">
      <c r="A10" s="510"/>
      <c r="B10" s="499" t="s">
        <v>51</v>
      </c>
      <c r="C10" s="18">
        <v>0</v>
      </c>
      <c r="D10" s="18">
        <v>0</v>
      </c>
      <c r="E10" s="18">
        <v>0</v>
      </c>
      <c r="F10" s="18">
        <v>5</v>
      </c>
      <c r="G10" s="18">
        <v>5</v>
      </c>
      <c r="H10" s="18">
        <v>5</v>
      </c>
      <c r="I10" s="41">
        <f>SUM(C10:H10)</f>
        <v>15</v>
      </c>
      <c r="J10" s="213" t="s">
        <v>12</v>
      </c>
      <c r="K10" s="214">
        <f>I10*$J$5</f>
        <v>450</v>
      </c>
      <c r="L10" s="215">
        <f>K10/$E$7</f>
        <v>64.285714285714292</v>
      </c>
      <c r="M10" s="51" t="s">
        <v>12</v>
      </c>
      <c r="N10" s="351">
        <f>I10*$M$5</f>
        <v>750</v>
      </c>
      <c r="O10" s="57">
        <f>N10/$E$7</f>
        <v>107.14285714285714</v>
      </c>
      <c r="P10" s="213" t="s">
        <v>12</v>
      </c>
      <c r="Q10" s="352">
        <f>$I10*$M$5</f>
        <v>750</v>
      </c>
      <c r="R10" s="239">
        <f>Q10/$E$7</f>
        <v>107.14285714285714</v>
      </c>
      <c r="S10" s="96">
        <f>AVERAGE(L10,O10,R10)</f>
        <v>92.857142857142847</v>
      </c>
      <c r="T10" s="94" t="s">
        <v>12</v>
      </c>
      <c r="U10" s="94" t="s">
        <v>12</v>
      </c>
    </row>
    <row r="11" spans="1:21" s="1" customFormat="1" ht="13.5" thickBot="1" x14ac:dyDescent="0.35">
      <c r="A11" s="511"/>
      <c r="B11" s="327" t="s">
        <v>52</v>
      </c>
      <c r="C11" s="20">
        <f>ROUND(C10*Labor!$D$3,0)</f>
        <v>0</v>
      </c>
      <c r="D11" s="20">
        <f>ROUND(D10*Labor!$D$4,0)</f>
        <v>0</v>
      </c>
      <c r="E11" s="20">
        <f>ROUND(E10*Labor!$D$5,0)</f>
        <v>0</v>
      </c>
      <c r="F11" s="20">
        <f>ROUND(F10*Labor!$D$6,0)</f>
        <v>138</v>
      </c>
      <c r="G11" s="20">
        <f>ROUND(G10*Labor!$D$7,0)</f>
        <v>157</v>
      </c>
      <c r="H11" s="20">
        <f>ROUND(H10*Labor!$D$8,0)</f>
        <v>189</v>
      </c>
      <c r="I11" s="314">
        <f>SUM(C11:H11)</f>
        <v>484</v>
      </c>
      <c r="J11" s="1124">
        <f>HLOOKUP(K$2,InflationTable,2)/HLOOKUP(Labor!$B$11,InflationTable,2)*$I11</f>
        <v>1035.3915570934255</v>
      </c>
      <c r="K11" s="315">
        <f>J11*$J$5</f>
        <v>31061.746712802764</v>
      </c>
      <c r="L11" s="316">
        <f>K11/$E$7</f>
        <v>4437.392387543252</v>
      </c>
      <c r="M11" s="169">
        <f>HLOOKUP(N$2,InflationTable,2)/HLOOKUP(Labor!$B$11,InflationTable,2)*$I11</f>
        <v>1076.8072193771627</v>
      </c>
      <c r="N11" s="317">
        <f>M11*$J$5</f>
        <v>32304.216581314882</v>
      </c>
      <c r="O11" s="318">
        <f>N11/$E$7</f>
        <v>4614.8880830449834</v>
      </c>
      <c r="P11" s="284">
        <f>HLOOKUP(Q$2,InflationTable,2)/HLOOKUP(Labor!$B$11,InflationTable,2)*$I11</f>
        <v>1098.3433637647058</v>
      </c>
      <c r="Q11" s="315">
        <f>P11*$J$5</f>
        <v>32950.300912941173</v>
      </c>
      <c r="R11" s="316">
        <f>Q11/$E$7</f>
        <v>4707.1858447058821</v>
      </c>
      <c r="S11" s="312">
        <f>AVERAGE(L11,O11,R11)</f>
        <v>4586.4887717647061</v>
      </c>
      <c r="T11" s="313" t="s">
        <v>12</v>
      </c>
      <c r="U11" s="313" t="s">
        <v>12</v>
      </c>
    </row>
    <row r="12" spans="1:21" ht="13" x14ac:dyDescent="0.3">
      <c r="A12" s="510"/>
      <c r="B12" s="1" t="s">
        <v>7</v>
      </c>
      <c r="H12" s="6"/>
      <c r="I12" s="31"/>
      <c r="J12" s="1127"/>
      <c r="K12" s="216"/>
      <c r="L12" s="217"/>
      <c r="O12" s="37"/>
      <c r="P12" s="330"/>
      <c r="Q12" s="330"/>
      <c r="R12" s="240"/>
      <c r="S12" s="97"/>
      <c r="T12" s="31"/>
      <c r="U12" s="31"/>
    </row>
    <row r="13" spans="1:21" x14ac:dyDescent="0.25">
      <c r="A13" s="510"/>
      <c r="B13" s="499" t="s">
        <v>51</v>
      </c>
      <c r="C13" s="18">
        <v>0</v>
      </c>
      <c r="D13" s="18">
        <v>0</v>
      </c>
      <c r="E13" s="18">
        <v>0</v>
      </c>
      <c r="F13" s="18">
        <v>4</v>
      </c>
      <c r="G13" s="18">
        <v>4</v>
      </c>
      <c r="H13" s="18">
        <v>0</v>
      </c>
      <c r="I13" s="41">
        <f>SUM(C13:H13)</f>
        <v>8</v>
      </c>
      <c r="J13" s="1123" t="s">
        <v>12</v>
      </c>
      <c r="K13" s="214">
        <f>I13*$J$5</f>
        <v>240</v>
      </c>
      <c r="L13" s="215">
        <f>K13/$E$7</f>
        <v>34.285714285714285</v>
      </c>
      <c r="M13" s="51" t="s">
        <v>12</v>
      </c>
      <c r="N13" s="10">
        <f>I13*$M$5</f>
        <v>400</v>
      </c>
      <c r="O13" s="52">
        <f>N13/$E$7</f>
        <v>57.142857142857146</v>
      </c>
      <c r="P13" s="213" t="s">
        <v>12</v>
      </c>
      <c r="Q13" s="241">
        <f>$I13*$P$5</f>
        <v>560</v>
      </c>
      <c r="R13" s="232">
        <f>Q13/$E$7</f>
        <v>80</v>
      </c>
      <c r="S13" s="96">
        <f>AVERAGE(L13,O13,R13)</f>
        <v>57.142857142857146</v>
      </c>
      <c r="T13" s="94" t="s">
        <v>12</v>
      </c>
      <c r="U13" s="94" t="s">
        <v>12</v>
      </c>
    </row>
    <row r="14" spans="1:21" s="1" customFormat="1" ht="13.5" thickBot="1" x14ac:dyDescent="0.35">
      <c r="A14" s="511"/>
      <c r="B14" s="500" t="s">
        <v>52</v>
      </c>
      <c r="C14" s="310">
        <f>ROUND(C13*Labor!$D$3,0)</f>
        <v>0</v>
      </c>
      <c r="D14" s="310">
        <f>ROUND(D13*Labor!$D$4,0)</f>
        <v>0</v>
      </c>
      <c r="E14" s="310">
        <f>ROUND(E13*Labor!$D$5,0)</f>
        <v>0</v>
      </c>
      <c r="F14" s="310">
        <f>ROUND(F13*Labor!$D$6,0)</f>
        <v>110</v>
      </c>
      <c r="G14" s="310">
        <f>ROUND(G13*Labor!$D$7,0)</f>
        <v>125</v>
      </c>
      <c r="H14" s="310">
        <f>ROUND(H13*Labor!$D$8,0)</f>
        <v>0</v>
      </c>
      <c r="I14" s="311">
        <f>SUM(C14:H14)</f>
        <v>235</v>
      </c>
      <c r="J14" s="1124">
        <f>HLOOKUP(K$2,InflationTable,2)/HLOOKUP(Labor!$B$11,InflationTable,2)*$I14</f>
        <v>502.72110726643592</v>
      </c>
      <c r="K14" s="245">
        <f>J14*$J$5</f>
        <v>15081.633217993078</v>
      </c>
      <c r="L14" s="246">
        <f>K14/$E$7</f>
        <v>2154.5190311418683</v>
      </c>
      <c r="M14" s="169">
        <f>HLOOKUP(N$2,InflationTable,2)/HLOOKUP(Labor!$B$11,InflationTable,2)*$I14</f>
        <v>522.82995155709341</v>
      </c>
      <c r="N14" s="166">
        <f>M14*$J$5</f>
        <v>15684.898546712802</v>
      </c>
      <c r="O14" s="167">
        <f>N14/$E$7</f>
        <v>2240.6997923875433</v>
      </c>
      <c r="P14" s="284">
        <f>HLOOKUP(Q$2,InflationTable,2)/HLOOKUP(Labor!$B$11,InflationTable,2)*$I14</f>
        <v>533.28655058823529</v>
      </c>
      <c r="Q14" s="245">
        <f>P14*$J$5</f>
        <v>15998.596517647058</v>
      </c>
      <c r="R14" s="246">
        <f>Q14/$E$7</f>
        <v>2285.5137882352942</v>
      </c>
      <c r="S14" s="312">
        <f>AVERAGE(L14,O14,R14)</f>
        <v>2226.9108705882354</v>
      </c>
      <c r="T14" s="313" t="s">
        <v>12</v>
      </c>
      <c r="U14" s="313" t="s">
        <v>12</v>
      </c>
    </row>
    <row r="15" spans="1:21" ht="13" x14ac:dyDescent="0.3">
      <c r="A15" s="510"/>
      <c r="B15" s="501" t="s">
        <v>66</v>
      </c>
      <c r="C15" s="28">
        <f t="shared" ref="C15:I16" si="0">C10+C13</f>
        <v>0</v>
      </c>
      <c r="D15" s="28">
        <f t="shared" si="0"/>
        <v>0</v>
      </c>
      <c r="E15" s="28">
        <f t="shared" si="0"/>
        <v>0</v>
      </c>
      <c r="F15" s="28">
        <f t="shared" si="0"/>
        <v>9</v>
      </c>
      <c r="G15" s="28">
        <f t="shared" si="0"/>
        <v>9</v>
      </c>
      <c r="H15" s="28">
        <f t="shared" si="0"/>
        <v>5</v>
      </c>
      <c r="I15" s="42">
        <f t="shared" si="0"/>
        <v>23</v>
      </c>
      <c r="J15" s="221" t="s">
        <v>12</v>
      </c>
      <c r="K15" s="222">
        <f>K10+K13</f>
        <v>690</v>
      </c>
      <c r="L15" s="223">
        <f>L10+L13</f>
        <v>98.571428571428584</v>
      </c>
      <c r="M15" s="53" t="s">
        <v>12</v>
      </c>
      <c r="N15">
        <f>I15*$M$5</f>
        <v>1150</v>
      </c>
      <c r="O15" s="54">
        <f>N15/$E$7</f>
        <v>164.28571428571428</v>
      </c>
      <c r="P15" s="242" t="s">
        <v>12</v>
      </c>
      <c r="Q15" s="352">
        <f>$I15*$P$5</f>
        <v>1610</v>
      </c>
      <c r="R15" s="243">
        <f>Q15/$E$7</f>
        <v>230</v>
      </c>
      <c r="S15" s="96">
        <f>AVERAGE(L15,O15,R15)</f>
        <v>164.28571428571431</v>
      </c>
      <c r="T15" s="94" t="s">
        <v>12</v>
      </c>
      <c r="U15" s="94" t="s">
        <v>12</v>
      </c>
    </row>
    <row r="16" spans="1:21" ht="13.5" thickBot="1" x14ac:dyDescent="0.35">
      <c r="A16" s="510"/>
      <c r="B16" s="502" t="s">
        <v>67</v>
      </c>
      <c r="C16" s="194">
        <f t="shared" si="0"/>
        <v>0</v>
      </c>
      <c r="D16" s="194">
        <f t="shared" si="0"/>
        <v>0</v>
      </c>
      <c r="E16" s="194">
        <f t="shared" si="0"/>
        <v>0</v>
      </c>
      <c r="F16" s="194">
        <f t="shared" si="0"/>
        <v>248</v>
      </c>
      <c r="G16" s="194">
        <f t="shared" si="0"/>
        <v>282</v>
      </c>
      <c r="H16" s="194">
        <f t="shared" si="0"/>
        <v>189</v>
      </c>
      <c r="I16" s="195">
        <f t="shared" si="0"/>
        <v>719</v>
      </c>
      <c r="J16" s="224">
        <f>J11+J14</f>
        <v>1538.1126643598614</v>
      </c>
      <c r="K16" s="225">
        <f>K11+K14</f>
        <v>46143.37993079584</v>
      </c>
      <c r="L16" s="226">
        <f>L11+L14</f>
        <v>6591.9114186851202</v>
      </c>
      <c r="M16" s="196">
        <f>M11+M14</f>
        <v>1599.6371709342561</v>
      </c>
      <c r="N16" s="194">
        <f>N11+N14</f>
        <v>47989.115128027683</v>
      </c>
      <c r="O16" s="197">
        <f>O11+O14</f>
        <v>6855.5878754325267</v>
      </c>
      <c r="P16" s="244">
        <f>P11+P14</f>
        <v>1631.6299143529411</v>
      </c>
      <c r="Q16" s="245">
        <f>P16*$P$5</f>
        <v>114214.09400470588</v>
      </c>
      <c r="R16" s="246">
        <f>Q16/$E$7</f>
        <v>16316.299143529412</v>
      </c>
      <c r="S16" s="169">
        <f>AVERAGE(L16,O16,R16)</f>
        <v>9921.2661458823513</v>
      </c>
      <c r="T16" s="174" t="s">
        <v>12</v>
      </c>
      <c r="U16" s="174" t="s">
        <v>12</v>
      </c>
    </row>
    <row r="17" spans="1:21" ht="13.5" thickTop="1" thickBot="1" x14ac:dyDescent="0.3">
      <c r="A17" s="510"/>
      <c r="B17" s="512"/>
      <c r="C17" s="513"/>
      <c r="D17" s="513"/>
      <c r="E17" s="513"/>
      <c r="F17" s="513"/>
      <c r="G17" s="513"/>
      <c r="H17" s="513"/>
      <c r="I17" s="513"/>
      <c r="J17" s="513"/>
      <c r="K17" s="513"/>
      <c r="L17" s="513"/>
      <c r="M17" s="513"/>
      <c r="N17" s="335"/>
      <c r="O17" s="335"/>
      <c r="P17" s="335"/>
      <c r="Q17" s="335"/>
      <c r="R17" s="335"/>
      <c r="S17" s="335"/>
      <c r="T17" s="335"/>
      <c r="U17" s="190"/>
    </row>
    <row r="18" spans="1:21" ht="16" thickTop="1" x14ac:dyDescent="0.35">
      <c r="A18" s="510"/>
      <c r="B18" s="2" t="s">
        <v>16</v>
      </c>
      <c r="C18" s="61"/>
      <c r="D18" s="349" t="s">
        <v>54</v>
      </c>
      <c r="E18" s="59">
        <v>7</v>
      </c>
      <c r="F18" s="1" t="s">
        <v>6</v>
      </c>
      <c r="G18" s="1160"/>
      <c r="H18" s="1161"/>
      <c r="I18" s="1162"/>
      <c r="J18" s="2" t="s">
        <v>16</v>
      </c>
      <c r="L18" s="62"/>
      <c r="M18" s="2" t="s">
        <v>16</v>
      </c>
      <c r="O18" s="31"/>
      <c r="P18" s="2" t="s">
        <v>16</v>
      </c>
      <c r="R18" s="62"/>
      <c r="S18" s="97"/>
      <c r="T18" s="31"/>
      <c r="U18" s="111"/>
    </row>
    <row r="19" spans="1:21" ht="13" x14ac:dyDescent="0.3">
      <c r="A19" s="510"/>
      <c r="C19" s="86" t="s">
        <v>60</v>
      </c>
      <c r="D19" s="20" t="s">
        <v>62</v>
      </c>
      <c r="F19"/>
      <c r="H19" s="4"/>
      <c r="I19" s="37"/>
      <c r="J19" s="227" t="s">
        <v>61</v>
      </c>
      <c r="K19" s="1167" t="s">
        <v>57</v>
      </c>
      <c r="L19" s="1168"/>
      <c r="M19" s="50" t="s">
        <v>61</v>
      </c>
      <c r="N19" s="1177" t="s">
        <v>57</v>
      </c>
      <c r="O19" s="1178"/>
      <c r="P19" s="212" t="s">
        <v>61</v>
      </c>
      <c r="Q19" s="1167" t="s">
        <v>57</v>
      </c>
      <c r="R19" s="1168"/>
      <c r="S19" s="106"/>
      <c r="T19" s="31"/>
      <c r="U19" s="111"/>
    </row>
    <row r="20" spans="1:21" ht="13" x14ac:dyDescent="0.3">
      <c r="A20" s="510"/>
      <c r="B20" s="503" t="s">
        <v>58</v>
      </c>
      <c r="C20" s="20"/>
      <c r="D20" s="20"/>
      <c r="E20" s="7"/>
      <c r="F20" s="61"/>
      <c r="G20" s="61"/>
      <c r="H20" s="61"/>
      <c r="I20" s="62"/>
      <c r="J20" s="210" t="s">
        <v>56</v>
      </c>
      <c r="K20" s="211" t="s">
        <v>13</v>
      </c>
      <c r="L20" s="212" t="s">
        <v>68</v>
      </c>
      <c r="M20" s="66" t="s">
        <v>56</v>
      </c>
      <c r="N20" s="20" t="s">
        <v>13</v>
      </c>
      <c r="O20" s="32" t="s">
        <v>68</v>
      </c>
      <c r="P20" s="210" t="s">
        <v>56</v>
      </c>
      <c r="Q20" s="211" t="s">
        <v>13</v>
      </c>
      <c r="R20" s="212" t="s">
        <v>68</v>
      </c>
      <c r="S20" s="98"/>
      <c r="T20" s="31"/>
      <c r="U20" s="111"/>
    </row>
    <row r="21" spans="1:21" x14ac:dyDescent="0.25">
      <c r="A21" s="510"/>
      <c r="B21" s="1132" t="s">
        <v>394</v>
      </c>
      <c r="C21" s="23">
        <f>VLOOKUP(C$2,Monitor_Costs,2,FALSE)</f>
        <v>1000</v>
      </c>
      <c r="D21" s="19">
        <f>VLOOKUP(C$2,Monitor_Costs,3,FALSE)</f>
        <v>2023</v>
      </c>
      <c r="E21" s="63"/>
      <c r="F21" s="64"/>
      <c r="G21" s="65"/>
      <c r="H21" s="65"/>
      <c r="I21" s="31"/>
      <c r="J21" s="229">
        <f>HLOOKUP(K$2,InflationTable,2)/HLOOKUP($D21,InflationTable,2)*$C21</f>
        <v>1000</v>
      </c>
      <c r="K21" s="229">
        <f>J21*$L$4</f>
        <v>500000</v>
      </c>
      <c r="L21" s="230">
        <f>K21/$E$18</f>
        <v>71428.571428571435</v>
      </c>
      <c r="M21" s="23">
        <f>HLOOKUP(N$2,InflationTable,2)/HLOOKUP($D21,InflationTable,2)*$C$21</f>
        <v>1040</v>
      </c>
      <c r="N21" s="23">
        <f>M21*$L$4</f>
        <v>520000</v>
      </c>
      <c r="O21" s="80">
        <f>N21/$E$18</f>
        <v>74285.71428571429</v>
      </c>
      <c r="P21" s="229">
        <f>HLOOKUP(Q$2,InflationTable,2)/HLOOKUP($D21,InflationTable,2)*$C$21</f>
        <v>1060.8</v>
      </c>
      <c r="Q21" s="229">
        <f>P21*$L$4</f>
        <v>530400</v>
      </c>
      <c r="R21" s="230">
        <f>Q21/$E$18</f>
        <v>75771.428571428565</v>
      </c>
      <c r="S21" s="102" t="s">
        <v>12</v>
      </c>
      <c r="T21" s="94" t="s">
        <v>12</v>
      </c>
      <c r="U21" s="112">
        <f>AVERAGE(L21,O21,R21)</f>
        <v>73828.571428571435</v>
      </c>
    </row>
    <row r="22" spans="1:21" ht="13.5" thickBot="1" x14ac:dyDescent="0.35">
      <c r="A22" s="510"/>
      <c r="B22" s="505" t="s">
        <v>15</v>
      </c>
      <c r="C22" s="3"/>
      <c r="D22" s="3"/>
      <c r="E22" s="3"/>
      <c r="F22" s="9"/>
      <c r="G22" s="3"/>
      <c r="H22" s="3"/>
      <c r="I22" s="305"/>
      <c r="J22" s="306"/>
      <c r="K22" s="295">
        <f>J21*$L$5</f>
        <v>0</v>
      </c>
      <c r="L22" s="256">
        <f>K22/$E$18</f>
        <v>0</v>
      </c>
      <c r="M22" s="3"/>
      <c r="N22" s="84">
        <f>M21*$L$5</f>
        <v>0</v>
      </c>
      <c r="O22" s="307">
        <f>N22/$E$18</f>
        <v>0</v>
      </c>
      <c r="P22" s="308"/>
      <c r="Q22" s="295">
        <f>P21*$L$5</f>
        <v>0</v>
      </c>
      <c r="R22" s="256">
        <f>Q22/$E$18</f>
        <v>0</v>
      </c>
      <c r="S22" s="298" t="s">
        <v>12</v>
      </c>
      <c r="T22" s="121" t="s">
        <v>12</v>
      </c>
      <c r="U22" s="309">
        <f>AVERAGE(L22,O22,R22)</f>
        <v>0</v>
      </c>
    </row>
    <row r="23" spans="1:21" ht="13" x14ac:dyDescent="0.3">
      <c r="A23" s="510"/>
      <c r="B23" s="1" t="s">
        <v>17</v>
      </c>
      <c r="C23" s="86" t="s">
        <v>45</v>
      </c>
      <c r="D23" s="86" t="s">
        <v>46</v>
      </c>
      <c r="E23" s="86" t="s">
        <v>47</v>
      </c>
      <c r="F23" s="86" t="s">
        <v>48</v>
      </c>
      <c r="G23" s="86" t="s">
        <v>49</v>
      </c>
      <c r="H23" s="86" t="s">
        <v>50</v>
      </c>
      <c r="I23" s="145" t="s">
        <v>74</v>
      </c>
      <c r="J23" s="292"/>
      <c r="K23" s="293"/>
      <c r="L23" s="296"/>
      <c r="M23" s="88"/>
      <c r="N23" s="86"/>
      <c r="O23" s="87"/>
      <c r="P23" s="293"/>
      <c r="Q23" s="293"/>
      <c r="R23" s="296"/>
      <c r="S23" s="100"/>
      <c r="T23" s="31"/>
      <c r="U23" s="111"/>
    </row>
    <row r="24" spans="1:21" ht="13" x14ac:dyDescent="0.3">
      <c r="A24" s="510"/>
      <c r="B24" s="506" t="s">
        <v>119</v>
      </c>
      <c r="C24" s="27">
        <v>0</v>
      </c>
      <c r="D24" s="18">
        <v>0</v>
      </c>
      <c r="E24" s="18">
        <v>0</v>
      </c>
      <c r="F24" s="18">
        <v>4</v>
      </c>
      <c r="G24" s="18">
        <v>0</v>
      </c>
      <c r="H24" s="18">
        <v>0</v>
      </c>
      <c r="I24" s="41">
        <f>SUM(C24:H24)</f>
        <v>4</v>
      </c>
      <c r="J24" s="213" t="s">
        <v>12</v>
      </c>
      <c r="K24" s="231">
        <f>I24*($L$4+$L$5)</f>
        <v>2000</v>
      </c>
      <c r="L24" s="232">
        <f>K24/$E$18</f>
        <v>285.71428571428572</v>
      </c>
      <c r="M24" s="51" t="s">
        <v>12</v>
      </c>
      <c r="N24" s="58">
        <f>$I$24*($O$4+$O$5)</f>
        <v>3000</v>
      </c>
      <c r="O24" s="52">
        <f>N24/$E$18</f>
        <v>428.57142857142856</v>
      </c>
      <c r="P24" s="213" t="s">
        <v>12</v>
      </c>
      <c r="Q24" s="231">
        <f>$I$24*($R$4+$R$5)</f>
        <v>4000</v>
      </c>
      <c r="R24" s="232">
        <f>Q24/$E$18</f>
        <v>571.42857142857144</v>
      </c>
      <c r="S24" s="123">
        <f>AVERAGE(L24,O24,R24)</f>
        <v>428.57142857142861</v>
      </c>
      <c r="T24" s="94" t="s">
        <v>12</v>
      </c>
      <c r="U24" s="113" t="s">
        <v>12</v>
      </c>
    </row>
    <row r="25" spans="1:21" s="1" customFormat="1" ht="13.5" thickBot="1" x14ac:dyDescent="0.35">
      <c r="A25" s="511"/>
      <c r="B25" s="500" t="s">
        <v>8</v>
      </c>
      <c r="C25" s="319">
        <f>ROUND(C24*Labor!$D$3,0)</f>
        <v>0</v>
      </c>
      <c r="D25" s="310">
        <f>ROUND(D24*Labor!$D$4,0)</f>
        <v>0</v>
      </c>
      <c r="E25" s="310">
        <f>ROUND(E24*Labor!$D$5,0)</f>
        <v>0</v>
      </c>
      <c r="F25" s="310">
        <f>ROUND(F24*Labor!$D$6,0)</f>
        <v>110</v>
      </c>
      <c r="G25" s="310">
        <f>ROUND(G24*Labor!$D$7,0)</f>
        <v>0</v>
      </c>
      <c r="H25" s="310">
        <f>ROUND(H24*Labor!$D$8,0)</f>
        <v>0</v>
      </c>
      <c r="I25" s="311">
        <f>SUM(C25:H25)</f>
        <v>110</v>
      </c>
      <c r="J25" s="1124">
        <f>HLOOKUP(K$2,InflationTable,2)/HLOOKUP(Labor!$B$11,InflationTable,2)*$I25</f>
        <v>235.31626297577853</v>
      </c>
      <c r="K25" s="245">
        <f>J25*($L$4+$L$5)</f>
        <v>117658.13148788926</v>
      </c>
      <c r="L25" s="246">
        <f>K25/$E$18</f>
        <v>16808.304498269896</v>
      </c>
      <c r="M25" s="169">
        <f>HLOOKUP(N$2,InflationTable,2)/HLOOKUP(Labor!$B$11,InflationTable,2)*$I25</f>
        <v>244.72891349480972</v>
      </c>
      <c r="N25" s="166">
        <f>M25*$L$4</f>
        <v>122364.45674740485</v>
      </c>
      <c r="O25" s="167">
        <f>N25/$E$18</f>
        <v>17480.636678200692</v>
      </c>
      <c r="P25" s="284">
        <f>HLOOKUP(Q$2,InflationTable,2)/HLOOKUP(Labor!$B$11,InflationTable,2)*$I25</f>
        <v>249.62349176470585</v>
      </c>
      <c r="Q25" s="245">
        <f>P25*$L$4</f>
        <v>124811.74588235293</v>
      </c>
      <c r="R25" s="320">
        <f>Q25/$E$18</f>
        <v>17830.249411764704</v>
      </c>
      <c r="S25" s="321">
        <f>AVERAGE(L25,O25,R25)</f>
        <v>17373.063529411764</v>
      </c>
      <c r="T25" s="174" t="s">
        <v>12</v>
      </c>
      <c r="U25" s="322" t="s">
        <v>12</v>
      </c>
    </row>
    <row r="26" spans="1:21" ht="13" x14ac:dyDescent="0.3">
      <c r="A26" s="510"/>
      <c r="B26" s="1" t="s">
        <v>118</v>
      </c>
      <c r="C26" s="290">
        <v>0</v>
      </c>
      <c r="D26" s="302">
        <v>8</v>
      </c>
      <c r="E26" s="302">
        <v>8</v>
      </c>
      <c r="F26" s="302">
        <v>0</v>
      </c>
      <c r="G26" s="302">
        <v>0</v>
      </c>
      <c r="H26" s="302">
        <v>0</v>
      </c>
      <c r="I26" s="303">
        <f>SUM(C26:H26)</f>
        <v>16</v>
      </c>
      <c r="J26" s="242" t="s">
        <v>12</v>
      </c>
      <c r="K26" s="280">
        <f>I26*$L$4</f>
        <v>8000</v>
      </c>
      <c r="L26" s="243">
        <f>K26/$E$18</f>
        <v>1142.8571428571429</v>
      </c>
      <c r="M26" s="53" t="s">
        <v>12</v>
      </c>
      <c r="N26" s="147">
        <f>I26*$O$4</f>
        <v>12000</v>
      </c>
      <c r="O26" s="54">
        <f>N26/$E$18</f>
        <v>1714.2857142857142</v>
      </c>
      <c r="P26" s="242" t="s">
        <v>12</v>
      </c>
      <c r="Q26" s="273">
        <f>$I26*$O$4</f>
        <v>12000</v>
      </c>
      <c r="R26" s="304">
        <f>Q26/$E$18</f>
        <v>1714.2857142857142</v>
      </c>
      <c r="S26" s="104">
        <f>AVERAGE(L26,O26,R26)</f>
        <v>1523.8095238095236</v>
      </c>
      <c r="T26" s="42" t="s">
        <v>12</v>
      </c>
      <c r="U26" s="119" t="s">
        <v>12</v>
      </c>
    </row>
    <row r="27" spans="1:21" s="1" customFormat="1" ht="13.5" thickBot="1" x14ac:dyDescent="0.35">
      <c r="A27" s="511"/>
      <c r="B27" s="507" t="s">
        <v>8</v>
      </c>
      <c r="C27" s="310">
        <f>ROUND(C26*Labor!$D$3,0)</f>
        <v>0</v>
      </c>
      <c r="D27" s="310">
        <f>ROUND(D26*Labor!$D$4,0)</f>
        <v>194</v>
      </c>
      <c r="E27" s="310">
        <f>ROUND(E26*Labor!$D$5,0)</f>
        <v>202</v>
      </c>
      <c r="F27" s="310">
        <f>ROUND(F26*Labor!$D$6,0)</f>
        <v>0</v>
      </c>
      <c r="G27" s="310">
        <f>ROUND(G26*Labor!$D$7,0)</f>
        <v>0</v>
      </c>
      <c r="H27" s="310">
        <f>ROUND(H26*Labor!$D$8,0)</f>
        <v>0</v>
      </c>
      <c r="I27" s="311">
        <f>SUM(C27:H27)</f>
        <v>396</v>
      </c>
      <c r="J27" s="1124">
        <f>HLOOKUP(K$2,InflationTable,2)/HLOOKUP(Labor!$B$11,InflationTable,2)*$I27</f>
        <v>847.13854671280274</v>
      </c>
      <c r="K27" s="245">
        <f>J27*$L$4</f>
        <v>423569.27335640136</v>
      </c>
      <c r="L27" s="246">
        <f>K27/$E$18</f>
        <v>60509.896193771623</v>
      </c>
      <c r="M27" s="169">
        <f>HLOOKUP(N$2,InflationTable,2)/HLOOKUP(Labor!$B$11,InflationTable,2)*$I27</f>
        <v>881.02408858131491</v>
      </c>
      <c r="N27" s="166">
        <f>M27*$O$4</f>
        <v>660768.0664359862</v>
      </c>
      <c r="O27" s="167">
        <f>N27/$E$18</f>
        <v>94395.438062283749</v>
      </c>
      <c r="P27" s="284">
        <f>HLOOKUP(Q$2,InflationTable,2)/HLOOKUP(Labor!$B$11,InflationTable,2)*$I27</f>
        <v>898.64457035294106</v>
      </c>
      <c r="Q27" s="245">
        <f>P27*$R$4</f>
        <v>898644.57035294105</v>
      </c>
      <c r="R27" s="246">
        <f>Q27/$E$18</f>
        <v>128377.79576470586</v>
      </c>
      <c r="S27" s="169">
        <f>AVERAGE(L27,O27,R27)</f>
        <v>94427.710006920403</v>
      </c>
      <c r="T27" s="323" t="s">
        <v>12</v>
      </c>
      <c r="U27" s="322" t="s">
        <v>12</v>
      </c>
    </row>
    <row r="28" spans="1:21" ht="13" x14ac:dyDescent="0.3">
      <c r="A28" s="510"/>
      <c r="B28" s="501" t="s">
        <v>66</v>
      </c>
      <c r="C28" s="28">
        <f t="shared" ref="C28:I28" si="1">C24+C26</f>
        <v>0</v>
      </c>
      <c r="D28" s="28">
        <f t="shared" si="1"/>
        <v>8</v>
      </c>
      <c r="E28" s="28">
        <f t="shared" si="1"/>
        <v>8</v>
      </c>
      <c r="F28" s="28">
        <f t="shared" si="1"/>
        <v>4</v>
      </c>
      <c r="G28" s="28">
        <f t="shared" si="1"/>
        <v>0</v>
      </c>
      <c r="H28" s="28">
        <f t="shared" si="1"/>
        <v>0</v>
      </c>
      <c r="I28" s="42">
        <f t="shared" si="1"/>
        <v>20</v>
      </c>
      <c r="J28" s="234" t="s">
        <v>12</v>
      </c>
      <c r="K28" s="235">
        <f>K24+K26</f>
        <v>10000</v>
      </c>
      <c r="L28" s="236">
        <f>L24+L26</f>
        <v>1428.5714285714287</v>
      </c>
      <c r="M28" s="38" t="s">
        <v>12</v>
      </c>
      <c r="N28" s="28">
        <f>N24+N26</f>
        <v>15000</v>
      </c>
      <c r="O28" s="34">
        <f>O24+O26</f>
        <v>2142.8571428571427</v>
      </c>
      <c r="P28" s="234" t="s">
        <v>12</v>
      </c>
      <c r="Q28" s="235">
        <f>Q24+Q26</f>
        <v>16000</v>
      </c>
      <c r="R28" s="236">
        <f>R24+R26</f>
        <v>2285.7142857142858</v>
      </c>
      <c r="S28" s="142">
        <f>AVERAGE(L28,O28,R28)</f>
        <v>1952.3809523809523</v>
      </c>
      <c r="T28" s="42" t="s">
        <v>12</v>
      </c>
      <c r="U28" s="119" t="s">
        <v>12</v>
      </c>
    </row>
    <row r="29" spans="1:21" ht="13.5" thickBot="1" x14ac:dyDescent="0.35">
      <c r="A29" s="510"/>
      <c r="B29" s="502" t="s">
        <v>67</v>
      </c>
      <c r="C29" s="194">
        <f t="shared" ref="C29:J29" si="2">C27+C25</f>
        <v>0</v>
      </c>
      <c r="D29" s="194">
        <f t="shared" si="2"/>
        <v>194</v>
      </c>
      <c r="E29" s="194">
        <f t="shared" si="2"/>
        <v>202</v>
      </c>
      <c r="F29" s="194">
        <f t="shared" si="2"/>
        <v>110</v>
      </c>
      <c r="G29" s="194">
        <f t="shared" si="2"/>
        <v>0</v>
      </c>
      <c r="H29" s="194">
        <f t="shared" si="2"/>
        <v>0</v>
      </c>
      <c r="I29" s="195">
        <f t="shared" si="2"/>
        <v>506</v>
      </c>
      <c r="J29" s="224">
        <f t="shared" si="2"/>
        <v>1082.4548096885812</v>
      </c>
      <c r="K29" s="237"/>
      <c r="L29" s="226">
        <f>L27+L25+L22+L21</f>
        <v>148746.77212061296</v>
      </c>
      <c r="M29" s="196">
        <f>M27+M25</f>
        <v>1125.7530020761246</v>
      </c>
      <c r="N29" s="201"/>
      <c r="O29" s="197">
        <f>O27+O25+O22+O21</f>
        <v>186161.78902619873</v>
      </c>
      <c r="P29" s="224">
        <f>P27+P25</f>
        <v>1148.2680621176469</v>
      </c>
      <c r="Q29" s="237"/>
      <c r="R29" s="226">
        <f>R27+R25+R22+R21</f>
        <v>221979.47374789912</v>
      </c>
      <c r="S29" s="202">
        <f>SUM(S27,S25)</f>
        <v>111800.77353633217</v>
      </c>
      <c r="T29" s="203" t="s">
        <v>12</v>
      </c>
      <c r="U29" s="204">
        <f>SUM(U21:U22)</f>
        <v>73828.571428571435</v>
      </c>
    </row>
    <row r="30" spans="1:21" ht="13.5" thickTop="1" thickBot="1" x14ac:dyDescent="0.3">
      <c r="A30" s="510"/>
      <c r="C30" s="513"/>
      <c r="D30" s="513"/>
      <c r="E30" s="513"/>
      <c r="F30" s="513"/>
      <c r="G30" s="513"/>
      <c r="H30" s="513"/>
      <c r="I30" s="513"/>
      <c r="J30" s="513"/>
      <c r="K30" s="513"/>
      <c r="L30" s="513"/>
      <c r="M30" s="513"/>
      <c r="N30" s="513"/>
      <c r="O30" s="513"/>
      <c r="P30" s="513"/>
      <c r="Q30" s="513"/>
      <c r="R30" s="513"/>
      <c r="S30" s="513"/>
      <c r="T30" s="513"/>
      <c r="U30" s="515"/>
    </row>
    <row r="31" spans="1:21" ht="16" thickTop="1" x14ac:dyDescent="0.35">
      <c r="A31" s="510"/>
      <c r="B31" s="508" t="s">
        <v>22</v>
      </c>
      <c r="F31" s="1" t="s">
        <v>6</v>
      </c>
      <c r="G31" s="1160"/>
      <c r="H31" s="1161"/>
      <c r="I31" s="1162"/>
      <c r="J31" s="198" t="s">
        <v>22</v>
      </c>
      <c r="L31" s="62"/>
      <c r="M31" s="198" t="s">
        <v>22</v>
      </c>
      <c r="O31" s="31"/>
      <c r="P31" s="198" t="s">
        <v>22</v>
      </c>
      <c r="R31" s="31"/>
      <c r="S31" s="97"/>
      <c r="T31" s="31"/>
      <c r="U31" s="111"/>
    </row>
    <row r="32" spans="1:21" ht="13" x14ac:dyDescent="0.3">
      <c r="A32" s="510"/>
      <c r="F32" s="1"/>
      <c r="G32" s="1163"/>
      <c r="H32" s="1163"/>
      <c r="I32" s="1164"/>
      <c r="J32" s="227" t="s">
        <v>61</v>
      </c>
      <c r="K32" s="1182" t="s">
        <v>57</v>
      </c>
      <c r="L32" s="1183"/>
      <c r="M32" s="50" t="s">
        <v>61</v>
      </c>
      <c r="N32" s="1177" t="s">
        <v>57</v>
      </c>
      <c r="O32" s="1178"/>
      <c r="P32" s="227" t="s">
        <v>61</v>
      </c>
      <c r="Q32" s="1167" t="s">
        <v>57</v>
      </c>
      <c r="R32" s="1168"/>
      <c r="S32" s="106"/>
      <c r="T32" s="31"/>
      <c r="U32" s="111"/>
    </row>
    <row r="33" spans="1:21" ht="13" x14ac:dyDescent="0.3">
      <c r="A33" s="510"/>
      <c r="B33" s="506" t="s">
        <v>18</v>
      </c>
      <c r="C33" s="20" t="s">
        <v>60</v>
      </c>
      <c r="D33" s="20" t="s">
        <v>62</v>
      </c>
      <c r="E33" s="7"/>
      <c r="F33" s="61"/>
      <c r="G33" s="61"/>
      <c r="H33" s="61"/>
      <c r="I33" s="31"/>
      <c r="J33" s="211" t="s">
        <v>56</v>
      </c>
      <c r="K33" s="211" t="s">
        <v>13</v>
      </c>
      <c r="L33" s="212" t="s">
        <v>68</v>
      </c>
      <c r="M33" s="66" t="s">
        <v>56</v>
      </c>
      <c r="N33" s="20" t="s">
        <v>13</v>
      </c>
      <c r="O33" s="32" t="s">
        <v>68</v>
      </c>
      <c r="P33" s="210" t="s">
        <v>56</v>
      </c>
      <c r="Q33" s="211" t="s">
        <v>13</v>
      </c>
      <c r="R33" s="212" t="s">
        <v>68</v>
      </c>
      <c r="S33" s="98"/>
      <c r="T33" s="31"/>
      <c r="U33" s="111"/>
    </row>
    <row r="34" spans="1:21" ht="13.5" thickBot="1" x14ac:dyDescent="0.35">
      <c r="A34" s="510"/>
      <c r="B34" s="300"/>
      <c r="C34" s="84">
        <f>VLOOKUP(C$2,Monitor_Costs,4,FALSE)</f>
        <v>0</v>
      </c>
      <c r="D34" s="29">
        <v>2019</v>
      </c>
      <c r="E34" s="3"/>
      <c r="F34" s="9"/>
      <c r="G34" s="3"/>
      <c r="H34" s="300"/>
      <c r="I34" s="301"/>
      <c r="J34" s="229">
        <f>HLOOKUP(K$2,InflationTable,2)/HLOOKUP($D34,InflationTable,2)*$C$34</f>
        <v>0</v>
      </c>
      <c r="K34" s="295">
        <f>J34*$L$4</f>
        <v>0</v>
      </c>
      <c r="L34" s="256">
        <f>K34</f>
        <v>0</v>
      </c>
      <c r="M34" s="23">
        <f>HLOOKUP(N$2,InflationTable,2)/HLOOKUP($D34,InflationTable,2)*$C$34</f>
        <v>0</v>
      </c>
      <c r="N34" s="84">
        <f>M34*$O$4</f>
        <v>0</v>
      </c>
      <c r="O34" s="77">
        <f>N34</f>
        <v>0</v>
      </c>
      <c r="P34" s="229">
        <f>HLOOKUP(Q$2,InflationTable,2)/HLOOKUP($D34,InflationTable,2)*$C$34</f>
        <v>0</v>
      </c>
      <c r="Q34" s="295">
        <f>P34*$R$4</f>
        <v>0</v>
      </c>
      <c r="R34" s="256">
        <f>Q34</f>
        <v>0</v>
      </c>
      <c r="S34" s="298" t="s">
        <v>12</v>
      </c>
      <c r="T34" s="299">
        <f>AVERAGE(L34,O34,R34)</f>
        <v>0</v>
      </c>
      <c r="U34" s="115" t="s">
        <v>12</v>
      </c>
    </row>
    <row r="35" spans="1:21" ht="13" x14ac:dyDescent="0.3">
      <c r="A35" s="510"/>
      <c r="B35" s="378" t="s">
        <v>23</v>
      </c>
      <c r="C35" s="86" t="s">
        <v>45</v>
      </c>
      <c r="D35" s="86" t="s">
        <v>46</v>
      </c>
      <c r="E35" s="86" t="s">
        <v>47</v>
      </c>
      <c r="F35" s="86" t="s">
        <v>48</v>
      </c>
      <c r="G35" s="86" t="s">
        <v>49</v>
      </c>
      <c r="H35" s="86" t="s">
        <v>50</v>
      </c>
      <c r="I35" s="145" t="s">
        <v>74</v>
      </c>
      <c r="J35" s="293"/>
      <c r="K35" s="293"/>
      <c r="L35" s="296"/>
      <c r="M35" s="88"/>
      <c r="N35" s="86"/>
      <c r="O35" s="87"/>
      <c r="P35" s="293"/>
      <c r="Q35" s="293"/>
      <c r="R35" s="296"/>
      <c r="S35" s="98"/>
      <c r="T35" s="31"/>
      <c r="U35" s="111"/>
    </row>
    <row r="36" spans="1:21" x14ac:dyDescent="0.25">
      <c r="A36" s="510"/>
      <c r="B36" s="509" t="s">
        <v>4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41">
        <f>SUM(C36:H36)</f>
        <v>0</v>
      </c>
      <c r="J36" s="247" t="s">
        <v>12</v>
      </c>
      <c r="K36" s="231">
        <f>I36*$L$4</f>
        <v>0</v>
      </c>
      <c r="L36" s="239">
        <f>K36</f>
        <v>0</v>
      </c>
      <c r="M36" s="51" t="s">
        <v>12</v>
      </c>
      <c r="N36" s="58">
        <f>$I$36*$O$4</f>
        <v>0</v>
      </c>
      <c r="O36" s="57">
        <f>N36</f>
        <v>0</v>
      </c>
      <c r="P36" s="247" t="s">
        <v>12</v>
      </c>
      <c r="Q36" s="231">
        <f>$I$36*$R$4</f>
        <v>0</v>
      </c>
      <c r="R36" s="239">
        <f>Q36</f>
        <v>0</v>
      </c>
      <c r="S36" s="96">
        <f>AVERAGE(L36,O36,R36)</f>
        <v>0</v>
      </c>
      <c r="T36" s="94" t="s">
        <v>12</v>
      </c>
      <c r="U36" s="113" t="s">
        <v>12</v>
      </c>
    </row>
    <row r="37" spans="1:21" s="1" customFormat="1" ht="13.5" thickBot="1" x14ac:dyDescent="0.35">
      <c r="A37" s="511"/>
      <c r="B37" s="500" t="s">
        <v>8</v>
      </c>
      <c r="C37" s="310">
        <f>ROUND(C36*Labor!$D$3,0)</f>
        <v>0</v>
      </c>
      <c r="D37" s="310">
        <f>ROUND(D36*Labor!$D$4,0)</f>
        <v>0</v>
      </c>
      <c r="E37" s="310">
        <f>ROUND(E36*Labor!$D$5,0)</f>
        <v>0</v>
      </c>
      <c r="F37" s="310">
        <f>ROUND(F36*Labor!$D$6,0)</f>
        <v>0</v>
      </c>
      <c r="G37" s="310">
        <f>ROUND(G36*Labor!$D$7,0)</f>
        <v>0</v>
      </c>
      <c r="H37" s="310">
        <f>ROUND(H36*Labor!$D$8,0)</f>
        <v>0</v>
      </c>
      <c r="I37" s="311">
        <f>SUM(C37:H37)</f>
        <v>0</v>
      </c>
      <c r="J37" s="1124">
        <f>HLOOKUP(K$2,InflationTable,2)/HLOOKUP(Labor!$B$11,InflationTable,2)*$I37</f>
        <v>0</v>
      </c>
      <c r="K37" s="245">
        <f>J37*$L$4</f>
        <v>0</v>
      </c>
      <c r="L37" s="320">
        <f>K37</f>
        <v>0</v>
      </c>
      <c r="M37" s="169">
        <f>HLOOKUP(N$2,InflationTable,2)/HLOOKUP(Labor!$B$11,InflationTable,2)*$I37</f>
        <v>0</v>
      </c>
      <c r="N37" s="166">
        <f>M37*$O$4</f>
        <v>0</v>
      </c>
      <c r="O37" s="167">
        <f>N37</f>
        <v>0</v>
      </c>
      <c r="P37" s="284">
        <f>HLOOKUP(Q$2,InflationTable,2)/HLOOKUP(Labor!$B$11,InflationTable,2)*$I37</f>
        <v>0</v>
      </c>
      <c r="Q37" s="245">
        <f>P37*$R$4</f>
        <v>0</v>
      </c>
      <c r="R37" s="320">
        <f>Q37</f>
        <v>0</v>
      </c>
      <c r="S37" s="169">
        <f>AVERAGE(L37,O37,R37)</f>
        <v>0</v>
      </c>
      <c r="T37" s="323" t="s">
        <v>12</v>
      </c>
      <c r="U37" s="322" t="s">
        <v>12</v>
      </c>
    </row>
    <row r="38" spans="1:21" ht="13" x14ac:dyDescent="0.3">
      <c r="A38" s="510"/>
      <c r="B38" s="501" t="s">
        <v>66</v>
      </c>
      <c r="C38" s="30">
        <f t="shared" ref="C38:I38" si="3">C36</f>
        <v>0</v>
      </c>
      <c r="D38" s="30">
        <f t="shared" si="3"/>
        <v>0</v>
      </c>
      <c r="E38" s="30">
        <f t="shared" si="3"/>
        <v>0</v>
      </c>
      <c r="F38" s="30">
        <f t="shared" si="3"/>
        <v>0</v>
      </c>
      <c r="G38" s="30">
        <f t="shared" si="3"/>
        <v>0</v>
      </c>
      <c r="H38" s="30">
        <f t="shared" si="3"/>
        <v>0</v>
      </c>
      <c r="I38" s="44">
        <f t="shared" si="3"/>
        <v>0</v>
      </c>
      <c r="J38" s="255" t="s">
        <v>12</v>
      </c>
      <c r="K38" s="250">
        <f>K36</f>
        <v>0</v>
      </c>
      <c r="L38" s="251">
        <f>L36</f>
        <v>0</v>
      </c>
      <c r="M38" s="70" t="s">
        <v>12</v>
      </c>
      <c r="N38" s="69">
        <f>N36</f>
        <v>0</v>
      </c>
      <c r="O38" s="78">
        <f>O36</f>
        <v>0</v>
      </c>
      <c r="P38" s="249" t="s">
        <v>12</v>
      </c>
      <c r="Q38" s="250">
        <f>Q36</f>
        <v>0</v>
      </c>
      <c r="R38" s="251">
        <f>R36</f>
        <v>0</v>
      </c>
      <c r="S38" s="78">
        <f>S36</f>
        <v>0</v>
      </c>
      <c r="T38" s="42" t="s">
        <v>12</v>
      </c>
      <c r="U38" s="119" t="s">
        <v>12</v>
      </c>
    </row>
    <row r="39" spans="1:21" ht="13.5" thickBot="1" x14ac:dyDescent="0.35">
      <c r="A39" s="510"/>
      <c r="B39" s="502" t="s">
        <v>67</v>
      </c>
      <c r="C39" s="194">
        <f t="shared" ref="C39:H39" si="4">C38</f>
        <v>0</v>
      </c>
      <c r="D39" s="194">
        <f t="shared" si="4"/>
        <v>0</v>
      </c>
      <c r="E39" s="194">
        <f t="shared" si="4"/>
        <v>0</v>
      </c>
      <c r="F39" s="194">
        <f t="shared" si="4"/>
        <v>0</v>
      </c>
      <c r="G39" s="194">
        <f t="shared" si="4"/>
        <v>0</v>
      </c>
      <c r="H39" s="194">
        <f t="shared" si="4"/>
        <v>0</v>
      </c>
      <c r="I39" s="205">
        <f>I37+C34</f>
        <v>0</v>
      </c>
      <c r="J39" s="253">
        <f t="shared" ref="J39:R39" si="5">J37+J34</f>
        <v>0</v>
      </c>
      <c r="K39" s="253">
        <f t="shared" si="5"/>
        <v>0</v>
      </c>
      <c r="L39" s="254">
        <f t="shared" si="5"/>
        <v>0</v>
      </c>
      <c r="M39" s="176">
        <f t="shared" si="5"/>
        <v>0</v>
      </c>
      <c r="N39" s="177">
        <f t="shared" si="5"/>
        <v>0</v>
      </c>
      <c r="O39" s="178">
        <f t="shared" si="5"/>
        <v>0</v>
      </c>
      <c r="P39" s="252">
        <f t="shared" si="5"/>
        <v>0</v>
      </c>
      <c r="Q39" s="253">
        <f t="shared" si="5"/>
        <v>0</v>
      </c>
      <c r="R39" s="254">
        <f t="shared" si="5"/>
        <v>0</v>
      </c>
      <c r="S39" s="206">
        <f>AVERAGE(L39,O39,R39)</f>
        <v>0</v>
      </c>
      <c r="T39" s="205">
        <f>T34</f>
        <v>0</v>
      </c>
      <c r="U39" s="180" t="s">
        <v>12</v>
      </c>
    </row>
    <row r="40" spans="1:21" ht="13.5" thickTop="1" thickBot="1" x14ac:dyDescent="0.3">
      <c r="A40" s="510"/>
      <c r="B40" s="512"/>
      <c r="C40" s="513"/>
      <c r="D40" s="513"/>
      <c r="E40" s="513"/>
      <c r="F40" s="513"/>
      <c r="G40" s="513"/>
      <c r="H40" s="513"/>
      <c r="I40" s="513"/>
      <c r="J40" s="513"/>
      <c r="K40" s="513"/>
      <c r="L40" s="513"/>
      <c r="M40" s="513"/>
      <c r="N40" s="512"/>
      <c r="O40" s="513"/>
      <c r="P40" s="513"/>
      <c r="Q40" s="513"/>
      <c r="R40" s="513"/>
      <c r="S40" s="513"/>
      <c r="T40" s="513"/>
      <c r="U40" s="515"/>
    </row>
    <row r="41" spans="1:21" ht="16" thickTop="1" x14ac:dyDescent="0.35">
      <c r="A41" s="510"/>
      <c r="B41" s="2" t="s">
        <v>24</v>
      </c>
      <c r="F41" s="1" t="s">
        <v>6</v>
      </c>
      <c r="G41" s="1160"/>
      <c r="H41" s="1161"/>
      <c r="I41" s="1162"/>
      <c r="J41" s="2" t="s">
        <v>24</v>
      </c>
      <c r="L41" s="62"/>
      <c r="M41" s="2" t="s">
        <v>24</v>
      </c>
      <c r="N41" s="61"/>
      <c r="O41" s="31"/>
      <c r="P41" s="2" t="s">
        <v>24</v>
      </c>
      <c r="R41" s="31"/>
      <c r="S41" s="97"/>
      <c r="T41" s="31"/>
      <c r="U41" s="111"/>
    </row>
    <row r="42" spans="1:21" ht="13" x14ac:dyDescent="0.3">
      <c r="A42" s="510"/>
      <c r="F42" s="1"/>
      <c r="G42" s="1163"/>
      <c r="H42" s="1163"/>
      <c r="I42" s="1164"/>
      <c r="J42" s="227" t="s">
        <v>61</v>
      </c>
      <c r="K42" s="1167" t="s">
        <v>57</v>
      </c>
      <c r="L42" s="1168"/>
      <c r="M42" s="50" t="s">
        <v>61</v>
      </c>
      <c r="N42" s="1177" t="s">
        <v>57</v>
      </c>
      <c r="O42" s="1178"/>
      <c r="P42" s="227" t="s">
        <v>61</v>
      </c>
      <c r="Q42" s="1167" t="s">
        <v>57</v>
      </c>
      <c r="R42" s="1168"/>
      <c r="S42" s="106"/>
      <c r="T42" s="31"/>
      <c r="U42" s="111"/>
    </row>
    <row r="43" spans="1:21" ht="13" x14ac:dyDescent="0.3">
      <c r="A43" s="510"/>
      <c r="B43" s="506" t="s">
        <v>19</v>
      </c>
      <c r="C43" s="20" t="s">
        <v>60</v>
      </c>
      <c r="D43" s="20" t="s">
        <v>62</v>
      </c>
      <c r="E43" s="7"/>
      <c r="F43" s="61"/>
      <c r="G43" s="61"/>
      <c r="H43" s="61"/>
      <c r="I43" s="62"/>
      <c r="J43" s="210" t="s">
        <v>56</v>
      </c>
      <c r="K43" s="211" t="s">
        <v>13</v>
      </c>
      <c r="L43" s="212" t="s">
        <v>68</v>
      </c>
      <c r="M43" s="66" t="s">
        <v>56</v>
      </c>
      <c r="N43" s="20" t="s">
        <v>13</v>
      </c>
      <c r="O43" s="32" t="s">
        <v>68</v>
      </c>
      <c r="P43" s="210" t="s">
        <v>56</v>
      </c>
      <c r="Q43" s="211" t="s">
        <v>13</v>
      </c>
      <c r="R43" s="212" t="s">
        <v>68</v>
      </c>
      <c r="S43" s="98"/>
      <c r="T43" s="62"/>
      <c r="U43" s="111"/>
    </row>
    <row r="44" spans="1:21" ht="13" thickBot="1" x14ac:dyDescent="0.3">
      <c r="A44" s="510"/>
      <c r="B44" s="300"/>
      <c r="C44" s="84">
        <f>VLOOKUP(C$2,Monitor_Costs,6,FALSE)</f>
        <v>0</v>
      </c>
      <c r="D44" s="29">
        <v>2019</v>
      </c>
      <c r="E44" s="294"/>
      <c r="F44" s="60"/>
      <c r="G44" s="49"/>
      <c r="H44" s="49"/>
      <c r="I44" s="47"/>
      <c r="J44" s="229">
        <f>HLOOKUP(K$2,InflationTable,2)/HLOOKUP($D44,InflationTable,2)*$C$44</f>
        <v>0</v>
      </c>
      <c r="K44" s="295">
        <f>J44*$L$4</f>
        <v>0</v>
      </c>
      <c r="L44" s="256">
        <f>K44</f>
        <v>0</v>
      </c>
      <c r="M44" s="23">
        <f>HLOOKUP(N$2,InflationTable,2)/HLOOKUP($D44,InflationTable,2)*$C$44</f>
        <v>0</v>
      </c>
      <c r="N44" s="84">
        <f>M44*$O$4</f>
        <v>0</v>
      </c>
      <c r="O44" s="77">
        <f>N44</f>
        <v>0</v>
      </c>
      <c r="P44" s="229">
        <f>HLOOKUP(Q$2,InflationTable,2)/HLOOKUP($D44,InflationTable,2)*$C$44</f>
        <v>0</v>
      </c>
      <c r="Q44" s="295">
        <f>P44*$R$4</f>
        <v>0</v>
      </c>
      <c r="R44" s="256">
        <f>Q44</f>
        <v>0</v>
      </c>
      <c r="S44" s="298" t="s">
        <v>12</v>
      </c>
      <c r="T44" s="299">
        <f>AVERAGE(L44,O44,R44)</f>
        <v>0</v>
      </c>
      <c r="U44" s="115" t="s">
        <v>12</v>
      </c>
    </row>
    <row r="45" spans="1:21" ht="13" x14ac:dyDescent="0.3">
      <c r="A45" s="510"/>
      <c r="B45" s="378" t="s">
        <v>25</v>
      </c>
      <c r="C45" s="86" t="s">
        <v>45</v>
      </c>
      <c r="D45" s="86" t="s">
        <v>46</v>
      </c>
      <c r="E45" s="86" t="s">
        <v>47</v>
      </c>
      <c r="F45" s="86" t="s">
        <v>48</v>
      </c>
      <c r="G45" s="86" t="s">
        <v>49</v>
      </c>
      <c r="H45" s="86" t="s">
        <v>50</v>
      </c>
      <c r="I45" s="145" t="s">
        <v>74</v>
      </c>
      <c r="J45" s="292"/>
      <c r="K45" s="293"/>
      <c r="L45" s="296"/>
      <c r="M45" s="88"/>
      <c r="N45" s="86"/>
      <c r="O45" s="87"/>
      <c r="P45" s="292"/>
      <c r="Q45" s="293"/>
      <c r="R45" s="296"/>
      <c r="S45" s="109"/>
      <c r="T45" s="42"/>
      <c r="U45" s="111"/>
    </row>
    <row r="46" spans="1:21" x14ac:dyDescent="0.25">
      <c r="B46" s="464" t="s">
        <v>4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45">
        <f>SUM(C46:H46)</f>
        <v>0</v>
      </c>
      <c r="J46" s="213" t="s">
        <v>12</v>
      </c>
      <c r="K46" s="231">
        <f>I46*$L$4</f>
        <v>0</v>
      </c>
      <c r="L46" s="239">
        <f>K46</f>
        <v>0</v>
      </c>
      <c r="M46" s="51" t="s">
        <v>12</v>
      </c>
      <c r="N46" s="58">
        <f>$I$46*$O$4</f>
        <v>0</v>
      </c>
      <c r="O46" s="57">
        <f>N46</f>
        <v>0</v>
      </c>
      <c r="P46" s="213" t="s">
        <v>12</v>
      </c>
      <c r="Q46" s="231">
        <f>$I$46*$R$4</f>
        <v>0</v>
      </c>
      <c r="R46" s="239">
        <f>Q46</f>
        <v>0</v>
      </c>
      <c r="S46" s="96">
        <f>AVERAGE(L46,O46,R46)</f>
        <v>0</v>
      </c>
      <c r="T46" s="94" t="s">
        <v>12</v>
      </c>
      <c r="U46" s="113" t="s">
        <v>12</v>
      </c>
    </row>
    <row r="47" spans="1:21" ht="13.5" thickBot="1" x14ac:dyDescent="0.35">
      <c r="B47" s="465" t="s">
        <v>8</v>
      </c>
      <c r="C47" s="29">
        <f>ROUND(C46*Labor!$D$3,0)</f>
        <v>0</v>
      </c>
      <c r="D47" s="29">
        <f>ROUND(D46*Labor!$D$4,0)</f>
        <v>0</v>
      </c>
      <c r="E47" s="29">
        <f>ROUND(E46*Labor!$D$5,0)</f>
        <v>0</v>
      </c>
      <c r="F47" s="29">
        <f>ROUND(F46*Labor!$D$6,0)</f>
        <v>0</v>
      </c>
      <c r="G47" s="29">
        <f>ROUND(G46*Labor!$D$7,0)</f>
        <v>0</v>
      </c>
      <c r="H47" s="29">
        <f>ROUND(H46*Labor!$D$8,0)</f>
        <v>0</v>
      </c>
      <c r="I47" s="33">
        <f>SUM(C47:H47)</f>
        <v>0</v>
      </c>
      <c r="J47" s="1124">
        <f>HLOOKUP(K$2,InflationTable,2)/HLOOKUP(Labor!$B$11,InflationTable,2)*$I47</f>
        <v>0</v>
      </c>
      <c r="K47" s="219">
        <f>J47*$L$4</f>
        <v>0</v>
      </c>
      <c r="L47" s="256">
        <f>K47</f>
        <v>0</v>
      </c>
      <c r="M47" s="169">
        <f>HLOOKUP(N$2,InflationTable,2)/HLOOKUP(Labor!$B$11,InflationTable,2)*$I47</f>
        <v>0</v>
      </c>
      <c r="N47" s="55">
        <f>M47*$O$4</f>
        <v>0</v>
      </c>
      <c r="O47" s="77">
        <f>N47</f>
        <v>0</v>
      </c>
      <c r="P47" s="284">
        <f>HLOOKUP(Q$2,InflationTable,2)/HLOOKUP(Labor!$B$11,InflationTable,2)*$I47</f>
        <v>0</v>
      </c>
      <c r="Q47" s="219">
        <f>P47*$O$4</f>
        <v>0</v>
      </c>
      <c r="R47" s="256">
        <f>Q47</f>
        <v>0</v>
      </c>
      <c r="S47" s="103">
        <f>AVERAGE(L47,O47,R47)</f>
        <v>0</v>
      </c>
      <c r="T47" s="121" t="s">
        <v>12</v>
      </c>
      <c r="U47" s="115" t="s">
        <v>12</v>
      </c>
    </row>
    <row r="48" spans="1:21" ht="13" x14ac:dyDescent="0.3">
      <c r="B48" s="106" t="s">
        <v>117</v>
      </c>
      <c r="C48" s="290">
        <v>0</v>
      </c>
      <c r="D48" s="290">
        <v>0</v>
      </c>
      <c r="E48" s="290">
        <v>0</v>
      </c>
      <c r="F48" s="290">
        <v>0</v>
      </c>
      <c r="G48" s="290">
        <v>0</v>
      </c>
      <c r="H48" s="290">
        <v>0</v>
      </c>
      <c r="I48" s="291">
        <f>SUM(C48:H48)</f>
        <v>0</v>
      </c>
      <c r="J48" s="1125" t="s">
        <v>12</v>
      </c>
      <c r="K48" s="273">
        <f>I48*$L$4</f>
        <v>0</v>
      </c>
      <c r="L48" s="274">
        <f>K48</f>
        <v>0</v>
      </c>
      <c r="M48" s="53" t="s">
        <v>12</v>
      </c>
      <c r="N48" s="147">
        <f>$I$48*$O$4</f>
        <v>0</v>
      </c>
      <c r="O48" s="148">
        <f>N48</f>
        <v>0</v>
      </c>
      <c r="P48" s="242" t="s">
        <v>12</v>
      </c>
      <c r="Q48" s="273">
        <f>$I$48*$R$4</f>
        <v>0</v>
      </c>
      <c r="R48" s="274">
        <f>Q48</f>
        <v>0</v>
      </c>
      <c r="S48" s="104">
        <f>AVERAGE(L48,O48,R48)</f>
        <v>0</v>
      </c>
      <c r="T48" s="94" t="s">
        <v>12</v>
      </c>
      <c r="U48" s="113" t="s">
        <v>12</v>
      </c>
    </row>
    <row r="49" spans="2:21" ht="13.5" thickBot="1" x14ac:dyDescent="0.35">
      <c r="B49" s="466" t="s">
        <v>8</v>
      </c>
      <c r="C49" s="29">
        <f>ROUND(C48*Labor!$D$3,0)</f>
        <v>0</v>
      </c>
      <c r="D49" s="29">
        <f>ROUND(D48*Labor!$D$4,0)</f>
        <v>0</v>
      </c>
      <c r="E49" s="29">
        <f>ROUND(E48*Labor!$D$5,0)</f>
        <v>0</v>
      </c>
      <c r="F49" s="29">
        <f>ROUND(F48*Labor!$D$6,0)</f>
        <v>0</v>
      </c>
      <c r="G49" s="29">
        <f>ROUND(G48*Labor!$D$7,0)</f>
        <v>0</v>
      </c>
      <c r="H49" s="29">
        <f>ROUND(H48*Labor!$D$8,0)</f>
        <v>0</v>
      </c>
      <c r="I49" s="33">
        <f>SUM(C49:H49)</f>
        <v>0</v>
      </c>
      <c r="J49" s="1124">
        <f>HLOOKUP(K$2,InflationTable,2)/HLOOKUP(Labor!$B$11,InflationTable,2)*$I49</f>
        <v>0</v>
      </c>
      <c r="K49" s="219">
        <f>J49*$L$4</f>
        <v>0</v>
      </c>
      <c r="L49" s="256">
        <f>K49</f>
        <v>0</v>
      </c>
      <c r="M49" s="169">
        <f>HLOOKUP(N$2,InflationTable,2)/HLOOKUP(Labor!$B$11,InflationTable,2)*$I49</f>
        <v>0</v>
      </c>
      <c r="N49" s="55">
        <f>M49*$O$4</f>
        <v>0</v>
      </c>
      <c r="O49" s="77">
        <f>N49</f>
        <v>0</v>
      </c>
      <c r="P49" s="284">
        <f>HLOOKUP(Q$2,InflationTable,2)/HLOOKUP(Labor!$B$11,InflationTable,2)*$I49</f>
        <v>0</v>
      </c>
      <c r="Q49" s="219">
        <f>P49*$R$4</f>
        <v>0</v>
      </c>
      <c r="R49" s="256">
        <f>Q49</f>
        <v>0</v>
      </c>
      <c r="S49" s="107">
        <f>AVERAGE(L49,O49,R49)</f>
        <v>0</v>
      </c>
      <c r="T49" s="121" t="s">
        <v>12</v>
      </c>
      <c r="U49" s="115" t="s">
        <v>12</v>
      </c>
    </row>
    <row r="50" spans="2:21" ht="13" x14ac:dyDescent="0.3">
      <c r="B50" s="139" t="s">
        <v>66</v>
      </c>
      <c r="C50" s="30">
        <f t="shared" ref="C50:I51" si="6">C46+C48</f>
        <v>0</v>
      </c>
      <c r="D50" s="30">
        <f t="shared" si="6"/>
        <v>0</v>
      </c>
      <c r="E50" s="30">
        <f t="shared" si="6"/>
        <v>0</v>
      </c>
      <c r="F50" s="30">
        <f t="shared" si="6"/>
        <v>0</v>
      </c>
      <c r="G50" s="30">
        <f t="shared" si="6"/>
        <v>0</v>
      </c>
      <c r="H50" s="30">
        <f t="shared" si="6"/>
        <v>0</v>
      </c>
      <c r="I50" s="39">
        <f t="shared" si="6"/>
        <v>0</v>
      </c>
      <c r="J50" s="249" t="s">
        <v>12</v>
      </c>
      <c r="K50" s="257">
        <f>K46+K48</f>
        <v>0</v>
      </c>
      <c r="L50" s="258">
        <f>L46+L48</f>
        <v>0</v>
      </c>
      <c r="M50" s="70" t="s">
        <v>12</v>
      </c>
      <c r="N50" s="71">
        <f>N46+N48</f>
        <v>0</v>
      </c>
      <c r="O50" s="79">
        <f>O46+O48</f>
        <v>0</v>
      </c>
      <c r="P50" s="249" t="s">
        <v>12</v>
      </c>
      <c r="Q50" s="257">
        <f>Q46+Q48</f>
        <v>0</v>
      </c>
      <c r="R50" s="258">
        <f>R46+R48</f>
        <v>0</v>
      </c>
      <c r="S50" s="96">
        <f>AVERAGE(L50,O50,R50)</f>
        <v>0</v>
      </c>
      <c r="T50" s="42" t="s">
        <v>12</v>
      </c>
      <c r="U50" s="120" t="s">
        <v>12</v>
      </c>
    </row>
    <row r="51" spans="2:21" ht="13.5" thickBot="1" x14ac:dyDescent="0.35">
      <c r="B51" s="460" t="s">
        <v>67</v>
      </c>
      <c r="C51" s="194">
        <f t="shared" si="6"/>
        <v>0</v>
      </c>
      <c r="D51" s="194">
        <f t="shared" si="6"/>
        <v>0</v>
      </c>
      <c r="E51" s="194">
        <f t="shared" si="6"/>
        <v>0</v>
      </c>
      <c r="F51" s="194">
        <f t="shared" si="6"/>
        <v>0</v>
      </c>
      <c r="G51" s="194">
        <f t="shared" si="6"/>
        <v>0</v>
      </c>
      <c r="H51" s="194">
        <f t="shared" si="6"/>
        <v>0</v>
      </c>
      <c r="I51" s="178">
        <f>I49+I47+C44</f>
        <v>0</v>
      </c>
      <c r="J51" s="259">
        <f>J49+J47+J44</f>
        <v>0</v>
      </c>
      <c r="K51" s="253">
        <f t="shared" ref="K51:R51" si="7">K49+K47+K44</f>
        <v>0</v>
      </c>
      <c r="L51" s="254">
        <f t="shared" si="7"/>
        <v>0</v>
      </c>
      <c r="M51" s="176">
        <f t="shared" si="7"/>
        <v>0</v>
      </c>
      <c r="N51" s="177">
        <f t="shared" si="7"/>
        <v>0</v>
      </c>
      <c r="O51" s="178">
        <f t="shared" si="7"/>
        <v>0</v>
      </c>
      <c r="P51" s="259">
        <f t="shared" si="7"/>
        <v>0</v>
      </c>
      <c r="Q51" s="253">
        <f t="shared" si="7"/>
        <v>0</v>
      </c>
      <c r="R51" s="254">
        <f t="shared" si="7"/>
        <v>0</v>
      </c>
      <c r="S51" s="202">
        <f>S49+S47</f>
        <v>0</v>
      </c>
      <c r="T51" s="205">
        <f>T44</f>
        <v>0</v>
      </c>
      <c r="U51" s="180" t="s">
        <v>12</v>
      </c>
    </row>
    <row r="52" spans="2:21" ht="13.5" thickTop="1" thickBot="1" x14ac:dyDescent="0.3">
      <c r="B52" s="144"/>
      <c r="C52" s="513"/>
      <c r="D52" s="513"/>
      <c r="E52" s="513"/>
      <c r="F52" s="513"/>
      <c r="G52" s="513"/>
      <c r="H52" s="513"/>
      <c r="I52" s="513"/>
      <c r="J52" s="513"/>
      <c r="K52" s="513"/>
      <c r="L52" s="513"/>
      <c r="M52" s="513"/>
      <c r="N52" s="513"/>
      <c r="O52" s="513"/>
      <c r="P52" s="513"/>
      <c r="Q52" s="513"/>
      <c r="R52" s="513"/>
      <c r="S52" s="513"/>
      <c r="T52" s="513"/>
      <c r="U52" s="515"/>
    </row>
    <row r="53" spans="2:21" ht="16" thickTop="1" x14ac:dyDescent="0.35">
      <c r="B53" s="463" t="s">
        <v>26</v>
      </c>
      <c r="F53" s="1" t="s">
        <v>6</v>
      </c>
      <c r="G53" s="1160"/>
      <c r="H53" s="1161"/>
      <c r="I53" s="1162"/>
      <c r="J53" s="2" t="s">
        <v>26</v>
      </c>
      <c r="L53" s="31"/>
      <c r="M53" s="199" t="s">
        <v>26</v>
      </c>
      <c r="P53" s="199" t="s">
        <v>26</v>
      </c>
      <c r="R53" s="31"/>
      <c r="S53" s="97"/>
      <c r="T53" s="31"/>
      <c r="U53" s="111"/>
    </row>
    <row r="54" spans="2:21" ht="13" x14ac:dyDescent="0.3">
      <c r="B54" s="144"/>
      <c r="I54" s="32" t="s">
        <v>61</v>
      </c>
      <c r="J54" s="227" t="s">
        <v>61</v>
      </c>
      <c r="K54" s="1167" t="s">
        <v>57</v>
      </c>
      <c r="L54" s="1168"/>
      <c r="M54" s="50" t="s">
        <v>61</v>
      </c>
      <c r="N54" s="1177" t="s">
        <v>57</v>
      </c>
      <c r="O54" s="1178"/>
      <c r="P54" s="227" t="s">
        <v>61</v>
      </c>
      <c r="Q54" s="1167" t="s">
        <v>57</v>
      </c>
      <c r="R54" s="1168"/>
      <c r="S54" s="106"/>
      <c r="T54" s="31"/>
      <c r="U54" s="111"/>
    </row>
    <row r="55" spans="2:21" ht="13" x14ac:dyDescent="0.3">
      <c r="B55" s="462" t="s">
        <v>27</v>
      </c>
      <c r="C55" s="20" t="s">
        <v>45</v>
      </c>
      <c r="D55" s="20" t="s">
        <v>46</v>
      </c>
      <c r="E55" s="20" t="s">
        <v>47</v>
      </c>
      <c r="F55" s="20" t="s">
        <v>48</v>
      </c>
      <c r="G55" s="20" t="s">
        <v>49</v>
      </c>
      <c r="H55" s="20" t="s">
        <v>50</v>
      </c>
      <c r="I55" s="32" t="s">
        <v>13</v>
      </c>
      <c r="J55" s="210" t="s">
        <v>56</v>
      </c>
      <c r="K55" s="211" t="s">
        <v>13</v>
      </c>
      <c r="L55" s="212" t="s">
        <v>68</v>
      </c>
      <c r="M55" s="66" t="s">
        <v>56</v>
      </c>
      <c r="N55" s="20" t="s">
        <v>13</v>
      </c>
      <c r="O55" s="32" t="s">
        <v>68</v>
      </c>
      <c r="P55" s="210" t="s">
        <v>56</v>
      </c>
      <c r="Q55" s="211" t="s">
        <v>13</v>
      </c>
      <c r="R55" s="212" t="s">
        <v>68</v>
      </c>
      <c r="S55" s="98"/>
      <c r="T55" s="31"/>
      <c r="U55" s="111"/>
    </row>
    <row r="56" spans="2:21" x14ac:dyDescent="0.25">
      <c r="B56" s="464" t="s">
        <v>4</v>
      </c>
      <c r="C56" s="18">
        <v>0</v>
      </c>
      <c r="D56" s="18">
        <v>6</v>
      </c>
      <c r="E56" s="18">
        <v>3</v>
      </c>
      <c r="F56" s="18">
        <v>3</v>
      </c>
      <c r="G56" s="18">
        <v>2</v>
      </c>
      <c r="H56" s="18">
        <v>0</v>
      </c>
      <c r="I56" s="45">
        <f t="shared" ref="I56:I65" si="8">SUM(C56:H56)</f>
        <v>14</v>
      </c>
      <c r="J56" s="213" t="s">
        <v>12</v>
      </c>
      <c r="K56" s="231">
        <f>I56*$L$4</f>
        <v>7000</v>
      </c>
      <c r="L56" s="239">
        <f t="shared" ref="L56:L65" si="9">K56</f>
        <v>7000</v>
      </c>
      <c r="M56" s="51" t="s">
        <v>12</v>
      </c>
      <c r="N56" s="58">
        <f>$I$56*$O$4</f>
        <v>10500</v>
      </c>
      <c r="O56" s="57">
        <f t="shared" ref="O56:O65" si="10">N56</f>
        <v>10500</v>
      </c>
      <c r="P56" s="213" t="s">
        <v>12</v>
      </c>
      <c r="Q56" s="231">
        <f>$I$56*$R$4</f>
        <v>14000</v>
      </c>
      <c r="R56" s="239">
        <f t="shared" ref="R56:R65" si="11">Q56</f>
        <v>14000</v>
      </c>
      <c r="S56" s="96">
        <f t="shared" ref="S56:S67" si="12">AVERAGE(L56,O56,R56)</f>
        <v>10500</v>
      </c>
      <c r="T56" s="94" t="s">
        <v>12</v>
      </c>
      <c r="U56" s="113" t="s">
        <v>12</v>
      </c>
    </row>
    <row r="57" spans="2:21" ht="13.5" thickBot="1" x14ac:dyDescent="0.35">
      <c r="B57" s="465" t="s">
        <v>8</v>
      </c>
      <c r="C57" s="29">
        <f>ROUND(C56*Labor!$D$3,0)</f>
        <v>0</v>
      </c>
      <c r="D57" s="29">
        <f>ROUND(D56*Labor!$D$4,0)</f>
        <v>145</v>
      </c>
      <c r="E57" s="29">
        <f>ROUND(E56*Labor!$D$5,0)</f>
        <v>76</v>
      </c>
      <c r="F57" s="29">
        <f>ROUND(F56*Labor!$D$6,0)</f>
        <v>83</v>
      </c>
      <c r="G57" s="29">
        <f>ROUND(G56*Labor!$D$7,0)</f>
        <v>63</v>
      </c>
      <c r="H57" s="29">
        <f>ROUND(H56*Labor!$D$8,0)</f>
        <v>0</v>
      </c>
      <c r="I57" s="33">
        <f t="shared" si="8"/>
        <v>367</v>
      </c>
      <c r="J57" s="1124">
        <f>HLOOKUP(K$2,InflationTable,2)/HLOOKUP(Labor!$B$11,InflationTable,2)*$I57</f>
        <v>785.10062283737022</v>
      </c>
      <c r="K57" s="219">
        <f>J57*$L$4</f>
        <v>392550.31141868513</v>
      </c>
      <c r="L57" s="256">
        <f t="shared" si="9"/>
        <v>392550.31141868513</v>
      </c>
      <c r="M57" s="169">
        <f>HLOOKUP(N$2,InflationTable,2)/HLOOKUP(Labor!$B$11,InflationTable,2)*$I57</f>
        <v>816.50464775086516</v>
      </c>
      <c r="N57" s="55">
        <f>M57*$L$4</f>
        <v>408252.3238754326</v>
      </c>
      <c r="O57" s="77">
        <f t="shared" si="10"/>
        <v>408252.3238754326</v>
      </c>
      <c r="P57" s="284">
        <f>HLOOKUP(Q$2,InflationTable,2)/HLOOKUP(Labor!$B$11,InflationTable,2)*$I57</f>
        <v>832.83474070588227</v>
      </c>
      <c r="Q57" s="219">
        <f>P57*$R$4</f>
        <v>832834.74070588232</v>
      </c>
      <c r="R57" s="256">
        <f t="shared" si="11"/>
        <v>832834.74070588232</v>
      </c>
      <c r="S57" s="103">
        <f t="shared" si="12"/>
        <v>544545.79200000002</v>
      </c>
      <c r="T57" s="121" t="s">
        <v>12</v>
      </c>
      <c r="U57" s="115" t="s">
        <v>12</v>
      </c>
    </row>
    <row r="58" spans="2:21" ht="13" x14ac:dyDescent="0.3">
      <c r="B58" s="459" t="s">
        <v>114</v>
      </c>
      <c r="C58" s="290">
        <v>0</v>
      </c>
      <c r="D58" s="290">
        <v>0</v>
      </c>
      <c r="E58" s="290">
        <v>0</v>
      </c>
      <c r="F58" s="290">
        <v>0</v>
      </c>
      <c r="G58" s="290">
        <v>0</v>
      </c>
      <c r="H58" s="290">
        <v>0</v>
      </c>
      <c r="I58" s="291">
        <f t="shared" si="8"/>
        <v>0</v>
      </c>
      <c r="J58" s="1125" t="s">
        <v>12</v>
      </c>
      <c r="K58" s="273">
        <f>I58*$L$4</f>
        <v>0</v>
      </c>
      <c r="L58" s="274">
        <f t="shared" si="9"/>
        <v>0</v>
      </c>
      <c r="M58" s="53" t="s">
        <v>12</v>
      </c>
      <c r="N58" s="147">
        <f>$I$58*$O$4</f>
        <v>0</v>
      </c>
      <c r="O58" s="148">
        <f t="shared" si="10"/>
        <v>0</v>
      </c>
      <c r="P58" s="242" t="s">
        <v>12</v>
      </c>
      <c r="Q58" s="273">
        <f>$I$58*$R$4</f>
        <v>0</v>
      </c>
      <c r="R58" s="274">
        <f t="shared" si="11"/>
        <v>0</v>
      </c>
      <c r="S58" s="104">
        <f t="shared" si="12"/>
        <v>0</v>
      </c>
      <c r="T58" s="42" t="s">
        <v>12</v>
      </c>
      <c r="U58" s="119" t="s">
        <v>12</v>
      </c>
    </row>
    <row r="59" spans="2:21" ht="13.5" thickBot="1" x14ac:dyDescent="0.35">
      <c r="B59" s="465" t="s">
        <v>8</v>
      </c>
      <c r="C59" s="29">
        <f>ROUND(C58*Labor!$D$3,0)</f>
        <v>0</v>
      </c>
      <c r="D59" s="29">
        <f>ROUND(D58*Labor!$D$4,0)</f>
        <v>0</v>
      </c>
      <c r="E59" s="29">
        <f>ROUND(E58*Labor!$D$5,0)</f>
        <v>0</v>
      </c>
      <c r="F59" s="29">
        <f>ROUND(F58*Labor!$D$6,0)</f>
        <v>0</v>
      </c>
      <c r="G59" s="29">
        <f>ROUND(G58*Labor!$D$7,0)</f>
        <v>0</v>
      </c>
      <c r="H59" s="29">
        <f>ROUND(H58*Labor!$D$8,0)</f>
        <v>0</v>
      </c>
      <c r="I59" s="33">
        <f t="shared" si="8"/>
        <v>0</v>
      </c>
      <c r="J59" s="1124">
        <f>HLOOKUP(K$2,InflationTable,2)/HLOOKUP(Labor!$B$11,InflationTable,2)*$I59</f>
        <v>0</v>
      </c>
      <c r="K59" s="219">
        <f>J59*$L$4</f>
        <v>0</v>
      </c>
      <c r="L59" s="256">
        <f t="shared" si="9"/>
        <v>0</v>
      </c>
      <c r="M59" s="169">
        <f>HLOOKUP(N$2,InflationTable,2)/HLOOKUP(Labor!$B$11,InflationTable,2)*$I59</f>
        <v>0</v>
      </c>
      <c r="N59" s="55">
        <f>M59*$O$4</f>
        <v>0</v>
      </c>
      <c r="O59" s="77">
        <f t="shared" si="10"/>
        <v>0</v>
      </c>
      <c r="P59" s="284">
        <f>HLOOKUP(Q$2,InflationTable,2)/HLOOKUP(Labor!$B$11,InflationTable,2)*$I59</f>
        <v>0</v>
      </c>
      <c r="Q59" s="219">
        <f>P59*$R$4</f>
        <v>0</v>
      </c>
      <c r="R59" s="256">
        <f t="shared" si="11"/>
        <v>0</v>
      </c>
      <c r="S59" s="103">
        <f t="shared" si="12"/>
        <v>0</v>
      </c>
      <c r="T59" s="121" t="s">
        <v>12</v>
      </c>
      <c r="U59" s="115" t="s">
        <v>12</v>
      </c>
    </row>
    <row r="60" spans="2:21" ht="13" x14ac:dyDescent="0.3">
      <c r="B60" s="459" t="s">
        <v>115</v>
      </c>
      <c r="C60" s="290">
        <v>0</v>
      </c>
      <c r="D60" s="290">
        <v>0</v>
      </c>
      <c r="E60" s="290">
        <v>0</v>
      </c>
      <c r="F60" s="290">
        <v>0</v>
      </c>
      <c r="G60" s="290">
        <v>0</v>
      </c>
      <c r="H60" s="290">
        <v>0</v>
      </c>
      <c r="I60" s="291">
        <f t="shared" si="8"/>
        <v>0</v>
      </c>
      <c r="J60" s="1125" t="s">
        <v>12</v>
      </c>
      <c r="K60" s="273">
        <f>I60*$L$4</f>
        <v>0</v>
      </c>
      <c r="L60" s="274">
        <f t="shared" si="9"/>
        <v>0</v>
      </c>
      <c r="M60" s="53" t="s">
        <v>12</v>
      </c>
      <c r="N60" s="147">
        <f>$I$60*$O$4</f>
        <v>0</v>
      </c>
      <c r="O60" s="148">
        <f t="shared" si="10"/>
        <v>0</v>
      </c>
      <c r="P60" s="242" t="s">
        <v>12</v>
      </c>
      <c r="Q60" s="273">
        <f>$I$60*$R$4</f>
        <v>0</v>
      </c>
      <c r="R60" s="274">
        <f t="shared" si="11"/>
        <v>0</v>
      </c>
      <c r="S60" s="104">
        <f t="shared" si="12"/>
        <v>0</v>
      </c>
      <c r="T60" s="42" t="s">
        <v>12</v>
      </c>
      <c r="U60" s="119" t="s">
        <v>12</v>
      </c>
    </row>
    <row r="61" spans="2:21" ht="13.5" thickBot="1" x14ac:dyDescent="0.35">
      <c r="B61" s="465" t="s">
        <v>8</v>
      </c>
      <c r="C61" s="29">
        <f>ROUND(C60*Labor!$D$3,0)</f>
        <v>0</v>
      </c>
      <c r="D61" s="29">
        <f>ROUND(D60*Labor!$D$4,0)</f>
        <v>0</v>
      </c>
      <c r="E61" s="29">
        <f>ROUND(E60*Labor!$D$5,0)</f>
        <v>0</v>
      </c>
      <c r="F61" s="29">
        <f>ROUND(F60*Labor!$D$6,0)</f>
        <v>0</v>
      </c>
      <c r="G61" s="29">
        <f>ROUND(G60*Labor!$D$7,0)</f>
        <v>0</v>
      </c>
      <c r="H61" s="29">
        <f>ROUND(H60*Labor!$D$8,0)</f>
        <v>0</v>
      </c>
      <c r="I61" s="33">
        <f t="shared" si="8"/>
        <v>0</v>
      </c>
      <c r="J61" s="1124">
        <f>HLOOKUP(K$2,InflationTable,2)/HLOOKUP(Labor!$B$11,InflationTable,2)*$I61</f>
        <v>0</v>
      </c>
      <c r="K61" s="219">
        <f>J61*$L$4</f>
        <v>0</v>
      </c>
      <c r="L61" s="256">
        <f t="shared" si="9"/>
        <v>0</v>
      </c>
      <c r="M61" s="169">
        <f>HLOOKUP(N$2,InflationTable,2)/HLOOKUP(Labor!$B$11,InflationTable,2)*$I61</f>
        <v>0</v>
      </c>
      <c r="N61" s="55">
        <f>M61*$O$4</f>
        <v>0</v>
      </c>
      <c r="O61" s="77">
        <f t="shared" si="10"/>
        <v>0</v>
      </c>
      <c r="P61" s="284">
        <f>HLOOKUP(Q$2,InflationTable,2)/HLOOKUP(Labor!$B$11,InflationTable,2)*$I61</f>
        <v>0</v>
      </c>
      <c r="Q61" s="219">
        <f>P61*$R$4</f>
        <v>0</v>
      </c>
      <c r="R61" s="256">
        <f t="shared" si="11"/>
        <v>0</v>
      </c>
      <c r="S61" s="103">
        <f t="shared" si="12"/>
        <v>0</v>
      </c>
      <c r="T61" s="121" t="s">
        <v>12</v>
      </c>
      <c r="U61" s="115" t="s">
        <v>12</v>
      </c>
    </row>
    <row r="62" spans="2:21" ht="13" x14ac:dyDescent="0.3">
      <c r="B62" s="459" t="s">
        <v>116</v>
      </c>
      <c r="C62" s="290">
        <v>0</v>
      </c>
      <c r="D62" s="290">
        <v>0</v>
      </c>
      <c r="E62" s="290">
        <v>0</v>
      </c>
      <c r="F62" s="290">
        <v>0</v>
      </c>
      <c r="G62" s="290">
        <v>0</v>
      </c>
      <c r="H62" s="290">
        <v>0</v>
      </c>
      <c r="I62" s="291">
        <f t="shared" si="8"/>
        <v>0</v>
      </c>
      <c r="J62" s="1125" t="s">
        <v>12</v>
      </c>
      <c r="K62" s="273">
        <f>I62*$L$4</f>
        <v>0</v>
      </c>
      <c r="L62" s="274">
        <f t="shared" si="9"/>
        <v>0</v>
      </c>
      <c r="M62" s="53" t="s">
        <v>12</v>
      </c>
      <c r="N62" s="147">
        <f>$I$62*$O$4</f>
        <v>0</v>
      </c>
      <c r="O62" s="148">
        <f t="shared" si="10"/>
        <v>0</v>
      </c>
      <c r="P62" s="242" t="s">
        <v>12</v>
      </c>
      <c r="Q62" s="273">
        <f>$I$62*$R$4</f>
        <v>0</v>
      </c>
      <c r="R62" s="274">
        <f t="shared" si="11"/>
        <v>0</v>
      </c>
      <c r="S62" s="104">
        <f t="shared" si="12"/>
        <v>0</v>
      </c>
      <c r="T62" s="42" t="s">
        <v>12</v>
      </c>
      <c r="U62" s="119" t="s">
        <v>12</v>
      </c>
    </row>
    <row r="63" spans="2:21" ht="13.5" thickBot="1" x14ac:dyDescent="0.35">
      <c r="B63" s="465" t="s">
        <v>8</v>
      </c>
      <c r="C63" s="29">
        <f>ROUND(C62*Labor!$D$3,0)</f>
        <v>0</v>
      </c>
      <c r="D63" s="29">
        <f>ROUND(D62*Labor!$D$4,0)</f>
        <v>0</v>
      </c>
      <c r="E63" s="29">
        <f>ROUND(E62*Labor!$D$5,0)</f>
        <v>0</v>
      </c>
      <c r="F63" s="29">
        <f>ROUND(F62*Labor!$D$6,0)</f>
        <v>0</v>
      </c>
      <c r="G63" s="29">
        <f>ROUND(G62*Labor!$D$7,0)</f>
        <v>0</v>
      </c>
      <c r="H63" s="29">
        <f>ROUND(H62*Labor!$D$8,0)</f>
        <v>0</v>
      </c>
      <c r="I63" s="33">
        <f t="shared" si="8"/>
        <v>0</v>
      </c>
      <c r="J63" s="1124">
        <f>HLOOKUP(K$2,InflationTable,2)/HLOOKUP(Labor!$B$11,InflationTable,2)*$I63</f>
        <v>0</v>
      </c>
      <c r="K63" s="219">
        <f>J63*$L$4</f>
        <v>0</v>
      </c>
      <c r="L63" s="256">
        <f t="shared" si="9"/>
        <v>0</v>
      </c>
      <c r="M63" s="169">
        <f>HLOOKUP(N$2,InflationTable,2)/HLOOKUP(Labor!$B$11,InflationTable,2)*$I63</f>
        <v>0</v>
      </c>
      <c r="N63" s="55">
        <f>M63*$O$4</f>
        <v>0</v>
      </c>
      <c r="O63" s="77">
        <f t="shared" si="10"/>
        <v>0</v>
      </c>
      <c r="P63" s="284">
        <f>HLOOKUP(Q$2,InflationTable,2)/HLOOKUP(Labor!$B$11,InflationTable,2)*$I63</f>
        <v>0</v>
      </c>
      <c r="Q63" s="219">
        <f>P63*$R$4</f>
        <v>0</v>
      </c>
      <c r="R63" s="256">
        <f t="shared" si="11"/>
        <v>0</v>
      </c>
      <c r="S63" s="103">
        <f t="shared" si="12"/>
        <v>0</v>
      </c>
      <c r="T63" s="110" t="s">
        <v>12</v>
      </c>
      <c r="U63" s="115" t="s">
        <v>12</v>
      </c>
    </row>
    <row r="64" spans="2:21" ht="13" x14ac:dyDescent="0.3">
      <c r="B64" s="1095" t="s">
        <v>376</v>
      </c>
      <c r="C64" s="1100">
        <v>0</v>
      </c>
      <c r="D64" s="1100">
        <v>0</v>
      </c>
      <c r="E64" s="1100">
        <v>0</v>
      </c>
      <c r="F64" s="1100">
        <v>0</v>
      </c>
      <c r="G64" s="1100">
        <v>0</v>
      </c>
      <c r="H64" s="1100">
        <v>0</v>
      </c>
      <c r="I64" s="291">
        <f t="shared" si="8"/>
        <v>0</v>
      </c>
      <c r="J64" s="1125" t="s">
        <v>12</v>
      </c>
      <c r="K64" s="273">
        <f>I64*$L$4</f>
        <v>0</v>
      </c>
      <c r="L64" s="274">
        <f t="shared" si="9"/>
        <v>0</v>
      </c>
      <c r="M64" s="53" t="s">
        <v>12</v>
      </c>
      <c r="N64" s="147">
        <f>$I$64*$O$4</f>
        <v>0</v>
      </c>
      <c r="O64" s="148">
        <f t="shared" si="10"/>
        <v>0</v>
      </c>
      <c r="P64" s="242" t="s">
        <v>12</v>
      </c>
      <c r="Q64" s="273">
        <f>$I$64*$R$4</f>
        <v>0</v>
      </c>
      <c r="R64" s="274">
        <f t="shared" si="11"/>
        <v>0</v>
      </c>
      <c r="S64" s="104">
        <f t="shared" si="12"/>
        <v>0</v>
      </c>
      <c r="T64" s="42" t="s">
        <v>12</v>
      </c>
      <c r="U64" s="119" t="s">
        <v>12</v>
      </c>
    </row>
    <row r="65" spans="2:21" ht="13.5" thickBot="1" x14ac:dyDescent="0.35">
      <c r="B65" s="465" t="s">
        <v>8</v>
      </c>
      <c r="C65" s="1097">
        <f>ROUND(C64*Labor!$D$3,0)</f>
        <v>0</v>
      </c>
      <c r="D65" s="1097">
        <f>ROUND(D64*Labor!$D$3,0)</f>
        <v>0</v>
      </c>
      <c r="E65" s="1097">
        <f>ROUND(E64*Labor!$D$3,0)</f>
        <v>0</v>
      </c>
      <c r="F65" s="1097">
        <f>ROUND(F64*Labor!$D$3,0)</f>
        <v>0</v>
      </c>
      <c r="G65" s="1097">
        <f>ROUND(G64*Labor!$D$3,0)</f>
        <v>0</v>
      </c>
      <c r="H65" s="1097">
        <f>ROUND(H64*Labor!$D$3,0)</f>
        <v>0</v>
      </c>
      <c r="I65" s="1094">
        <f t="shared" si="8"/>
        <v>0</v>
      </c>
      <c r="J65" s="1124">
        <f>HLOOKUP(K$2,InflationTable,2)/HLOOKUP(Labor!$B$11,InflationTable,2)*$I65</f>
        <v>0</v>
      </c>
      <c r="K65" s="219">
        <f>J65*$L$4</f>
        <v>0</v>
      </c>
      <c r="L65" s="256">
        <f t="shared" si="9"/>
        <v>0</v>
      </c>
      <c r="M65" s="169">
        <f>HLOOKUP(N$2,InflationTable,2)/HLOOKUP(Labor!$B$11,InflationTable,2)*$I65</f>
        <v>0</v>
      </c>
      <c r="N65" s="55">
        <f>M65*$O$4</f>
        <v>0</v>
      </c>
      <c r="O65" s="77">
        <f t="shared" si="10"/>
        <v>0</v>
      </c>
      <c r="P65" s="284">
        <f>HLOOKUP(Q$2,InflationTable,2)/HLOOKUP(Labor!$B$11,InflationTable,2)*$I65</f>
        <v>0</v>
      </c>
      <c r="Q65" s="219">
        <f>P65*$R$4</f>
        <v>0</v>
      </c>
      <c r="R65" s="256">
        <f t="shared" si="11"/>
        <v>0</v>
      </c>
      <c r="S65" s="103">
        <f t="shared" si="12"/>
        <v>0</v>
      </c>
      <c r="T65" s="110" t="s">
        <v>12</v>
      </c>
      <c r="U65" s="115" t="s">
        <v>12</v>
      </c>
    </row>
    <row r="66" spans="2:21" ht="13" x14ac:dyDescent="0.3">
      <c r="B66" s="139" t="s">
        <v>66</v>
      </c>
      <c r="C66" s="30">
        <f>C56+C58+C60+C62+C64</f>
        <v>0</v>
      </c>
      <c r="D66" s="30">
        <f t="shared" ref="D66:I67" si="13">D56+D58+D60+D62+D64</f>
        <v>6</v>
      </c>
      <c r="E66" s="30">
        <f t="shared" si="13"/>
        <v>3</v>
      </c>
      <c r="F66" s="30">
        <f t="shared" si="13"/>
        <v>3</v>
      </c>
      <c r="G66" s="30">
        <f t="shared" si="13"/>
        <v>2</v>
      </c>
      <c r="H66" s="30">
        <f t="shared" si="13"/>
        <v>0</v>
      </c>
      <c r="I66" s="30">
        <f t="shared" si="13"/>
        <v>14</v>
      </c>
      <c r="J66" s="249" t="s">
        <v>12</v>
      </c>
      <c r="K66" s="235">
        <f>K56+K58+K60+K62+K64</f>
        <v>7000</v>
      </c>
      <c r="L66" s="235">
        <f>L56+L58+L60+L62+L64</f>
        <v>7000</v>
      </c>
      <c r="M66" s="70" t="s">
        <v>12</v>
      </c>
      <c r="N66" s="28">
        <f>N56+N58+N60+N62</f>
        <v>10500</v>
      </c>
      <c r="O66" s="81">
        <f>O56+O58+O60+O62</f>
        <v>10500</v>
      </c>
      <c r="P66" s="249" t="s">
        <v>12</v>
      </c>
      <c r="Q66" s="235">
        <f>Q56+Q58+Q60+Q62+Q64</f>
        <v>14000</v>
      </c>
      <c r="R66" s="235">
        <f>R56+R58+R60+R62+R64</f>
        <v>14000</v>
      </c>
      <c r="S66" s="104">
        <f t="shared" si="12"/>
        <v>10500</v>
      </c>
      <c r="T66" s="42" t="s">
        <v>12</v>
      </c>
      <c r="U66" s="119" t="s">
        <v>12</v>
      </c>
    </row>
    <row r="67" spans="2:21" ht="13.5" thickBot="1" x14ac:dyDescent="0.35">
      <c r="B67" s="460" t="s">
        <v>67</v>
      </c>
      <c r="C67" s="194">
        <f>C57+C59+C61+C63+C65</f>
        <v>0</v>
      </c>
      <c r="D67" s="194">
        <f t="shared" si="13"/>
        <v>145</v>
      </c>
      <c r="E67" s="194">
        <f t="shared" si="13"/>
        <v>76</v>
      </c>
      <c r="F67" s="194">
        <f t="shared" si="13"/>
        <v>83</v>
      </c>
      <c r="G67" s="194">
        <f t="shared" si="13"/>
        <v>63</v>
      </c>
      <c r="H67" s="194">
        <f t="shared" si="13"/>
        <v>0</v>
      </c>
      <c r="I67" s="194">
        <f t="shared" si="13"/>
        <v>367</v>
      </c>
      <c r="J67" s="261">
        <f>J57+J59+J61+J63+J65</f>
        <v>785.10062283737022</v>
      </c>
      <c r="K67" s="261">
        <f t="shared" ref="K67:R67" si="14">K57+K59+K61+K63+K65</f>
        <v>392550.31141868513</v>
      </c>
      <c r="L67" s="261">
        <f t="shared" si="14"/>
        <v>392550.31141868513</v>
      </c>
      <c r="M67" s="194">
        <f t="shared" si="14"/>
        <v>816.50464775086516</v>
      </c>
      <c r="N67" s="194">
        <f t="shared" si="14"/>
        <v>408252.3238754326</v>
      </c>
      <c r="O67" s="194">
        <f t="shared" si="14"/>
        <v>408252.3238754326</v>
      </c>
      <c r="P67" s="261">
        <f t="shared" si="14"/>
        <v>832.83474070588227</v>
      </c>
      <c r="Q67" s="261">
        <f t="shared" si="14"/>
        <v>832834.74070588232</v>
      </c>
      <c r="R67" s="261">
        <f t="shared" si="14"/>
        <v>832834.74070588232</v>
      </c>
      <c r="S67" s="206">
        <f t="shared" si="12"/>
        <v>544545.79200000002</v>
      </c>
      <c r="T67" s="203" t="s">
        <v>12</v>
      </c>
      <c r="U67" s="180" t="s">
        <v>12</v>
      </c>
    </row>
    <row r="68" spans="2:21" ht="13.5" thickTop="1" x14ac:dyDescent="0.3">
      <c r="B68" s="519"/>
      <c r="C68" s="516"/>
      <c r="D68" s="516"/>
      <c r="E68" s="516"/>
      <c r="F68" s="516"/>
      <c r="G68" s="516"/>
      <c r="H68" s="516"/>
      <c r="I68" s="517"/>
      <c r="J68" s="517"/>
      <c r="K68" s="517"/>
      <c r="L68" s="517"/>
      <c r="M68" s="517"/>
      <c r="N68" s="517"/>
      <c r="O68" s="517"/>
      <c r="P68" s="517"/>
      <c r="Q68" s="517"/>
      <c r="R68" s="517"/>
      <c r="S68" s="520"/>
      <c r="T68" s="521"/>
      <c r="U68" s="522"/>
    </row>
    <row r="69" spans="2:21" ht="13" thickBot="1" x14ac:dyDescent="0.3">
      <c r="B69" s="335"/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  <c r="Q69" s="335"/>
      <c r="R69" s="335"/>
      <c r="S69" s="335"/>
      <c r="T69" s="335"/>
      <c r="U69" s="335"/>
    </row>
    <row r="70" spans="2:21" ht="27.5" thickTop="1" thickBot="1" x14ac:dyDescent="0.4">
      <c r="B70" s="463" t="s">
        <v>28</v>
      </c>
      <c r="F70" s="1" t="s">
        <v>6</v>
      </c>
      <c r="G70" s="1160"/>
      <c r="H70" s="1161"/>
      <c r="I70" s="1162"/>
      <c r="J70" s="2" t="s">
        <v>28</v>
      </c>
      <c r="L70" s="31"/>
      <c r="M70" s="2" t="s">
        <v>28</v>
      </c>
      <c r="O70" s="31"/>
      <c r="P70" s="2" t="s">
        <v>28</v>
      </c>
      <c r="R70" s="31"/>
      <c r="S70" s="448" t="s">
        <v>17</v>
      </c>
      <c r="T70" s="449" t="s">
        <v>103</v>
      </c>
      <c r="U70" s="523" t="s">
        <v>79</v>
      </c>
    </row>
    <row r="71" spans="2:21" ht="13" x14ac:dyDescent="0.3">
      <c r="B71" s="144"/>
      <c r="I71" s="32" t="s">
        <v>61</v>
      </c>
      <c r="J71" s="227" t="s">
        <v>61</v>
      </c>
      <c r="K71" s="1167" t="s">
        <v>57</v>
      </c>
      <c r="L71" s="1168"/>
      <c r="M71" s="50" t="s">
        <v>61</v>
      </c>
      <c r="N71" s="1177" t="s">
        <v>57</v>
      </c>
      <c r="O71" s="1181"/>
      <c r="P71" s="266" t="s">
        <v>61</v>
      </c>
      <c r="Q71" s="1167" t="s">
        <v>57</v>
      </c>
      <c r="R71" s="1168"/>
      <c r="S71" s="139"/>
      <c r="T71" s="108"/>
      <c r="U71" s="31"/>
    </row>
    <row r="72" spans="2:21" ht="13" x14ac:dyDescent="0.3">
      <c r="B72" s="457"/>
      <c r="C72" s="20" t="s">
        <v>45</v>
      </c>
      <c r="D72" s="20" t="s">
        <v>46</v>
      </c>
      <c r="E72" s="20" t="s">
        <v>47</v>
      </c>
      <c r="F72" s="20" t="s">
        <v>48</v>
      </c>
      <c r="G72" s="20" t="s">
        <v>49</v>
      </c>
      <c r="H72" s="20" t="s">
        <v>50</v>
      </c>
      <c r="I72" s="32" t="s">
        <v>13</v>
      </c>
      <c r="J72" s="210" t="s">
        <v>56</v>
      </c>
      <c r="K72" s="211" t="s">
        <v>13</v>
      </c>
      <c r="L72" s="212" t="s">
        <v>68</v>
      </c>
      <c r="M72" s="66" t="s">
        <v>56</v>
      </c>
      <c r="N72" s="20" t="s">
        <v>13</v>
      </c>
      <c r="O72" s="32" t="s">
        <v>68</v>
      </c>
      <c r="P72" s="210" t="s">
        <v>56</v>
      </c>
      <c r="Q72" s="211" t="s">
        <v>13</v>
      </c>
      <c r="R72" s="212" t="s">
        <v>68</v>
      </c>
      <c r="S72" s="95"/>
      <c r="T72" s="108"/>
      <c r="U72" s="31"/>
    </row>
    <row r="73" spans="2:21" ht="13" x14ac:dyDescent="0.3">
      <c r="B73" s="457" t="s">
        <v>111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45">
        <f>SUM(C73:H73)</f>
        <v>0</v>
      </c>
      <c r="J73" s="213" t="s">
        <v>12</v>
      </c>
      <c r="K73" s="231">
        <f>I73*$L$4</f>
        <v>0</v>
      </c>
      <c r="L73" s="239">
        <f>K73</f>
        <v>0</v>
      </c>
      <c r="M73" s="51" t="s">
        <v>12</v>
      </c>
      <c r="N73" s="58">
        <f>$I$73*$O$4</f>
        <v>0</v>
      </c>
      <c r="O73" s="57">
        <f>N73</f>
        <v>0</v>
      </c>
      <c r="P73" s="213" t="s">
        <v>12</v>
      </c>
      <c r="Q73" s="231">
        <f>$I$73*$O$4</f>
        <v>0</v>
      </c>
      <c r="R73" s="239">
        <f>Q73</f>
        <v>0</v>
      </c>
      <c r="S73" s="96">
        <f>AVERAGE(L73,O73,R73)</f>
        <v>0</v>
      </c>
      <c r="T73" s="34" t="s">
        <v>12</v>
      </c>
      <c r="U73" s="42" t="s">
        <v>12</v>
      </c>
    </row>
    <row r="74" spans="2:21" ht="13.5" thickBot="1" x14ac:dyDescent="0.35">
      <c r="B74" s="466" t="s">
        <v>8</v>
      </c>
      <c r="C74" s="29">
        <f>ROUND(C73*Labor!$D$3,0)</f>
        <v>0</v>
      </c>
      <c r="D74" s="29">
        <f>ROUND(D73*Labor!$D$4,0)</f>
        <v>0</v>
      </c>
      <c r="E74" s="29">
        <f>ROUND(E73*Labor!$D$5,0)</f>
        <v>0</v>
      </c>
      <c r="F74" s="29">
        <f>ROUND(F73*Labor!$D$6,0)</f>
        <v>0</v>
      </c>
      <c r="G74" s="29">
        <f>ROUND(G73*Labor!$D$7,0)</f>
        <v>0</v>
      </c>
      <c r="H74" s="29">
        <f>ROUND(H73*Labor!$D$8,0)</f>
        <v>0</v>
      </c>
      <c r="I74" s="33">
        <f>SUM(C74:H74)</f>
        <v>0</v>
      </c>
      <c r="J74" s="1124">
        <f>HLOOKUP(K$2,InflationTable,2)/HLOOKUP(Labor!$B$11,InflationTable,2)*$I74</f>
        <v>0</v>
      </c>
      <c r="K74" s="219">
        <f>J74*$L$4</f>
        <v>0</v>
      </c>
      <c r="L74" s="256">
        <f>K74</f>
        <v>0</v>
      </c>
      <c r="M74" s="169">
        <f>HLOOKUP(N$2,InflationTable,2)/HLOOKUP(Labor!$B$11,InflationTable,2)*$I74</f>
        <v>0</v>
      </c>
      <c r="N74" s="55">
        <f>M74*$O$4</f>
        <v>0</v>
      </c>
      <c r="O74" s="77">
        <f>N74</f>
        <v>0</v>
      </c>
      <c r="P74" s="284">
        <f>HLOOKUP(Q$2,InflationTable,2)/HLOOKUP(Labor!$B$11,InflationTable,2)*$I74</f>
        <v>0</v>
      </c>
      <c r="Q74" s="219">
        <f>P74*$R$4</f>
        <v>0</v>
      </c>
      <c r="R74" s="256">
        <f>Q74</f>
        <v>0</v>
      </c>
      <c r="S74" s="103">
        <f>AVERAGE(L74,O74,R74)</f>
        <v>0</v>
      </c>
      <c r="T74" s="110" t="s">
        <v>12</v>
      </c>
      <c r="U74" s="121" t="s">
        <v>12</v>
      </c>
    </row>
    <row r="75" spans="2:21" ht="13" x14ac:dyDescent="0.3">
      <c r="B75" s="459" t="s">
        <v>110</v>
      </c>
      <c r="C75" s="290">
        <v>0</v>
      </c>
      <c r="D75" s="290">
        <v>0</v>
      </c>
      <c r="E75" s="290">
        <v>0</v>
      </c>
      <c r="F75" s="290">
        <v>0</v>
      </c>
      <c r="G75" s="290">
        <v>0</v>
      </c>
      <c r="H75" s="290">
        <v>0</v>
      </c>
      <c r="I75" s="291">
        <f>SUM(C75:H75)</f>
        <v>0</v>
      </c>
      <c r="J75" s="1125" t="s">
        <v>12</v>
      </c>
      <c r="K75" s="273">
        <f>I75*$L$4</f>
        <v>0</v>
      </c>
      <c r="L75" s="274">
        <f>K75</f>
        <v>0</v>
      </c>
      <c r="M75" s="53" t="s">
        <v>12</v>
      </c>
      <c r="N75" s="147">
        <f>$I$75*$O$4</f>
        <v>0</v>
      </c>
      <c r="O75" s="148">
        <f>N75</f>
        <v>0</v>
      </c>
      <c r="P75" s="242" t="s">
        <v>12</v>
      </c>
      <c r="Q75" s="273">
        <f>$I$75*$O$4</f>
        <v>0</v>
      </c>
      <c r="R75" s="274">
        <f>Q75</f>
        <v>0</v>
      </c>
      <c r="S75" s="104">
        <f>AVERAGE(L75,O75,R75)</f>
        <v>0</v>
      </c>
      <c r="T75" s="34" t="s">
        <v>12</v>
      </c>
      <c r="U75" s="42" t="s">
        <v>12</v>
      </c>
    </row>
    <row r="76" spans="2:21" ht="13.5" thickBot="1" x14ac:dyDescent="0.35">
      <c r="B76" s="466" t="s">
        <v>8</v>
      </c>
      <c r="C76" s="29">
        <f>ROUND(C75*Labor!$D$3,0)</f>
        <v>0</v>
      </c>
      <c r="D76" s="29">
        <f>ROUND(D75*Labor!$D$4,0)</f>
        <v>0</v>
      </c>
      <c r="E76" s="29">
        <f>ROUND(E75*Labor!$D$5,0)</f>
        <v>0</v>
      </c>
      <c r="F76" s="29">
        <f>ROUND(F75*Labor!$D$6,0)</f>
        <v>0</v>
      </c>
      <c r="G76" s="29">
        <f>ROUND(G75*Labor!$D$7,0)</f>
        <v>0</v>
      </c>
      <c r="H76" s="29">
        <f>ROUND(H75*Labor!$D$8,0)</f>
        <v>0</v>
      </c>
      <c r="I76" s="33">
        <f>SUM(C76:H76)</f>
        <v>0</v>
      </c>
      <c r="J76" s="1124">
        <f>HLOOKUP(K$2,InflationTable,2)/HLOOKUP(Labor!$B$11,InflationTable,2)*$I76</f>
        <v>0</v>
      </c>
      <c r="K76" s="219">
        <f>J76*$L$4</f>
        <v>0</v>
      </c>
      <c r="L76" s="256">
        <f>K76</f>
        <v>0</v>
      </c>
      <c r="M76" s="169">
        <f>HLOOKUP(N$2,InflationTable,2)/HLOOKUP(Labor!$B$11,InflationTable,2)*$I76</f>
        <v>0</v>
      </c>
      <c r="N76" s="55">
        <f>M76*$O$4</f>
        <v>0</v>
      </c>
      <c r="O76" s="77">
        <f>N76</f>
        <v>0</v>
      </c>
      <c r="P76" s="284">
        <f>HLOOKUP(Q$2,InflationTable,2)/HLOOKUP(Labor!$B$11,InflationTable,2)*$I76</f>
        <v>0</v>
      </c>
      <c r="Q76" s="219">
        <f>P76*$R$4</f>
        <v>0</v>
      </c>
      <c r="R76" s="256">
        <f>Q76</f>
        <v>0</v>
      </c>
      <c r="S76" s="103">
        <f>AVERAGE(L76,O76,R76)</f>
        <v>0</v>
      </c>
      <c r="T76" s="110" t="s">
        <v>12</v>
      </c>
      <c r="U76" s="121" t="s">
        <v>12</v>
      </c>
    </row>
    <row r="77" spans="2:21" ht="13" x14ac:dyDescent="0.3">
      <c r="B77" s="459" t="s">
        <v>20</v>
      </c>
      <c r="C77" s="86" t="s">
        <v>45</v>
      </c>
      <c r="D77" s="86" t="s">
        <v>46</v>
      </c>
      <c r="E77" s="86" t="s">
        <v>47</v>
      </c>
      <c r="F77" s="86" t="s">
        <v>48</v>
      </c>
      <c r="G77" s="86" t="s">
        <v>49</v>
      </c>
      <c r="H77" s="86" t="s">
        <v>50</v>
      </c>
      <c r="I77" s="87" t="s">
        <v>13</v>
      </c>
      <c r="J77" s="1125"/>
      <c r="K77" s="293"/>
      <c r="L77" s="296"/>
      <c r="M77" s="88" t="s">
        <v>56</v>
      </c>
      <c r="N77" s="86" t="s">
        <v>13</v>
      </c>
      <c r="O77" s="87" t="s">
        <v>68</v>
      </c>
      <c r="P77" s="292" t="s">
        <v>56</v>
      </c>
      <c r="Q77" s="293" t="s">
        <v>13</v>
      </c>
      <c r="R77" s="296" t="s">
        <v>68</v>
      </c>
      <c r="S77" s="98"/>
      <c r="T77" s="108"/>
      <c r="U77" s="31"/>
    </row>
    <row r="78" spans="2:21" x14ac:dyDescent="0.25">
      <c r="B78" s="458" t="s">
        <v>4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45">
        <f t="shared" ref="I78:I83" si="15">SUM(C78:H78)</f>
        <v>0</v>
      </c>
      <c r="J78" s="1123" t="s">
        <v>12</v>
      </c>
      <c r="K78" s="231">
        <f>I78*$L$4</f>
        <v>0</v>
      </c>
      <c r="L78" s="239">
        <f t="shared" ref="L78:L83" si="16">K78</f>
        <v>0</v>
      </c>
      <c r="M78" s="51" t="s">
        <v>12</v>
      </c>
      <c r="N78" s="58">
        <f>$I78*$O$4</f>
        <v>0</v>
      </c>
      <c r="O78" s="57">
        <f t="shared" ref="O78:O83" si="17">N78</f>
        <v>0</v>
      </c>
      <c r="P78" s="213" t="s">
        <v>12</v>
      </c>
      <c r="Q78" s="231">
        <f>$I78*$O$4</f>
        <v>0</v>
      </c>
      <c r="R78" s="239">
        <f t="shared" ref="R78:R83" si="18">Q78</f>
        <v>0</v>
      </c>
      <c r="S78" s="96">
        <f t="shared" ref="S78:S83" si="19">AVERAGE(L78,O78,R78)</f>
        <v>0</v>
      </c>
      <c r="T78" s="34" t="s">
        <v>12</v>
      </c>
      <c r="U78" s="42" t="s">
        <v>12</v>
      </c>
    </row>
    <row r="79" spans="2:21" ht="13.5" thickBot="1" x14ac:dyDescent="0.35">
      <c r="B79" s="466" t="s">
        <v>8</v>
      </c>
      <c r="C79" s="29">
        <f>ROUND(C78*Labor!$D$3,0)</f>
        <v>0</v>
      </c>
      <c r="D79" s="29">
        <f>ROUND(D78*Labor!$D$4,0)</f>
        <v>0</v>
      </c>
      <c r="E79" s="29">
        <f>ROUND(E78*Labor!$D$5,0)</f>
        <v>0</v>
      </c>
      <c r="F79" s="29">
        <f>ROUND(F78*Labor!$D$6,0)</f>
        <v>0</v>
      </c>
      <c r="G79" s="29">
        <f>ROUND(G78*Labor!$D$7,0)</f>
        <v>0</v>
      </c>
      <c r="H79" s="29">
        <f>ROUND(H78*Labor!$D$8,0)</f>
        <v>0</v>
      </c>
      <c r="I79" s="33">
        <f t="shared" si="15"/>
        <v>0</v>
      </c>
      <c r="J79" s="1124">
        <f>HLOOKUP(K$2,InflationTable,2)/HLOOKUP(Labor!$B$11,InflationTable,2)*$I79</f>
        <v>0</v>
      </c>
      <c r="K79" s="219">
        <f>J79*$L$4</f>
        <v>0</v>
      </c>
      <c r="L79" s="256">
        <f t="shared" si="16"/>
        <v>0</v>
      </c>
      <c r="M79" s="169">
        <f>HLOOKUP(N$2,InflationTable,2)/HLOOKUP(Labor!$B$11,InflationTable,2)*$I79</f>
        <v>0</v>
      </c>
      <c r="N79" s="55">
        <f>M79*$O$4</f>
        <v>0</v>
      </c>
      <c r="O79" s="77">
        <f t="shared" si="17"/>
        <v>0</v>
      </c>
      <c r="P79" s="284">
        <f>HLOOKUP(Q$2,InflationTable,2)/HLOOKUP(Labor!$B$11,InflationTable,2)*$I79</f>
        <v>0</v>
      </c>
      <c r="Q79" s="219">
        <f>P79*$R$4</f>
        <v>0</v>
      </c>
      <c r="R79" s="256">
        <f t="shared" si="18"/>
        <v>0</v>
      </c>
      <c r="S79" s="103">
        <f t="shared" si="19"/>
        <v>0</v>
      </c>
      <c r="T79" s="110" t="s">
        <v>12</v>
      </c>
      <c r="U79" s="121" t="s">
        <v>12</v>
      </c>
    </row>
    <row r="80" spans="2:21" ht="13" x14ac:dyDescent="0.3">
      <c r="B80" s="459" t="s">
        <v>109</v>
      </c>
      <c r="C80" s="290">
        <v>0</v>
      </c>
      <c r="D80" s="290">
        <v>0</v>
      </c>
      <c r="E80" s="290">
        <v>0</v>
      </c>
      <c r="F80" s="290">
        <v>0</v>
      </c>
      <c r="G80" s="290">
        <v>0</v>
      </c>
      <c r="H80" s="290">
        <v>0</v>
      </c>
      <c r="I80" s="291">
        <f t="shared" si="15"/>
        <v>0</v>
      </c>
      <c r="J80" s="1125" t="s">
        <v>12</v>
      </c>
      <c r="K80" s="273">
        <f>I80*$L$4</f>
        <v>0</v>
      </c>
      <c r="L80" s="274">
        <f t="shared" si="16"/>
        <v>0</v>
      </c>
      <c r="M80" s="53" t="s">
        <v>12</v>
      </c>
      <c r="N80" s="147">
        <f>$I80*$O$4</f>
        <v>0</v>
      </c>
      <c r="O80" s="148">
        <f t="shared" si="17"/>
        <v>0</v>
      </c>
      <c r="P80" s="242" t="s">
        <v>12</v>
      </c>
      <c r="Q80" s="273">
        <f>$I80*$O$4</f>
        <v>0</v>
      </c>
      <c r="R80" s="274">
        <f t="shared" si="18"/>
        <v>0</v>
      </c>
      <c r="S80" s="104">
        <f t="shared" si="19"/>
        <v>0</v>
      </c>
      <c r="T80" s="34" t="s">
        <v>12</v>
      </c>
      <c r="U80" s="42" t="s">
        <v>12</v>
      </c>
    </row>
    <row r="81" spans="2:21" ht="13.5" thickBot="1" x14ac:dyDescent="0.35">
      <c r="B81" s="466" t="s">
        <v>8</v>
      </c>
      <c r="C81" s="29">
        <f>ROUND(C80*Labor!$D$3,0)</f>
        <v>0</v>
      </c>
      <c r="D81" s="29">
        <f>ROUND(D80*Labor!$D$4,0)</f>
        <v>0</v>
      </c>
      <c r="E81" s="29">
        <f>ROUND(E80*Labor!$D$5,0)</f>
        <v>0</v>
      </c>
      <c r="F81" s="29">
        <f>ROUND(F80*Labor!$D$6,0)</f>
        <v>0</v>
      </c>
      <c r="G81" s="29">
        <f>ROUND(G80*Labor!$D$7,0)</f>
        <v>0</v>
      </c>
      <c r="H81" s="29">
        <f>ROUND(H80*Labor!$D$8,0)</f>
        <v>0</v>
      </c>
      <c r="I81" s="33">
        <f t="shared" si="15"/>
        <v>0</v>
      </c>
      <c r="J81" s="1124">
        <f>HLOOKUP(K$2,InflationTable,2)/HLOOKUP(Labor!$B$11,InflationTable,2)*$I81</f>
        <v>0</v>
      </c>
      <c r="K81" s="219">
        <f>J81*$L$4</f>
        <v>0</v>
      </c>
      <c r="L81" s="256">
        <f t="shared" si="16"/>
        <v>0</v>
      </c>
      <c r="M81" s="169">
        <f>HLOOKUP(N$2,InflationTable,2)/HLOOKUP(Labor!$B$11,InflationTable,2)*$I81</f>
        <v>0</v>
      </c>
      <c r="N81" s="55">
        <f>M81*$O$4</f>
        <v>0</v>
      </c>
      <c r="O81" s="77">
        <f t="shared" si="17"/>
        <v>0</v>
      </c>
      <c r="P81" s="284">
        <f>HLOOKUP(Q$2,InflationTable,2)/HLOOKUP(Labor!$B$11,InflationTable,2)*$I81</f>
        <v>0</v>
      </c>
      <c r="Q81" s="219">
        <f>P81*$R$4</f>
        <v>0</v>
      </c>
      <c r="R81" s="256">
        <f t="shared" si="18"/>
        <v>0</v>
      </c>
      <c r="S81" s="140">
        <f t="shared" si="19"/>
        <v>0</v>
      </c>
      <c r="T81" s="93" t="s">
        <v>12</v>
      </c>
      <c r="U81" s="94" t="s">
        <v>12</v>
      </c>
    </row>
    <row r="82" spans="2:21" ht="13" x14ac:dyDescent="0.3">
      <c r="B82" s="459" t="s">
        <v>108</v>
      </c>
      <c r="C82" s="290">
        <v>0</v>
      </c>
      <c r="D82" s="290">
        <v>0</v>
      </c>
      <c r="E82" s="290">
        <v>0</v>
      </c>
      <c r="F82" s="290">
        <v>0</v>
      </c>
      <c r="G82" s="290">
        <v>0</v>
      </c>
      <c r="H82" s="290">
        <v>0</v>
      </c>
      <c r="I82" s="291">
        <f t="shared" si="15"/>
        <v>0</v>
      </c>
      <c r="J82" s="1125" t="s">
        <v>12</v>
      </c>
      <c r="K82" s="273">
        <f>I82*$L$4</f>
        <v>0</v>
      </c>
      <c r="L82" s="274">
        <f t="shared" si="16"/>
        <v>0</v>
      </c>
      <c r="M82" s="53" t="s">
        <v>12</v>
      </c>
      <c r="N82" s="147">
        <f>$I82*$O$4</f>
        <v>0</v>
      </c>
      <c r="O82" s="148">
        <f t="shared" si="17"/>
        <v>0</v>
      </c>
      <c r="P82" s="242" t="s">
        <v>12</v>
      </c>
      <c r="Q82" s="273">
        <f>$I82*$O$4</f>
        <v>0</v>
      </c>
      <c r="R82" s="274">
        <f t="shared" si="18"/>
        <v>0</v>
      </c>
      <c r="S82" s="96">
        <f t="shared" si="19"/>
        <v>0</v>
      </c>
      <c r="T82" s="34" t="s">
        <v>12</v>
      </c>
      <c r="U82" s="42" t="s">
        <v>12</v>
      </c>
    </row>
    <row r="83" spans="2:21" ht="13.5" thickBot="1" x14ac:dyDescent="0.35">
      <c r="B83" s="466" t="s">
        <v>8</v>
      </c>
      <c r="C83" s="29">
        <f>ROUND(C82*Labor!$D$3,0)</f>
        <v>0</v>
      </c>
      <c r="D83" s="29">
        <f>ROUND(D82*Labor!$D$4,0)</f>
        <v>0</v>
      </c>
      <c r="E83" s="29">
        <f>ROUND(E82*Labor!$D$5,0)</f>
        <v>0</v>
      </c>
      <c r="F83" s="29">
        <f>ROUND(F82*Labor!$D$6,0)</f>
        <v>0</v>
      </c>
      <c r="G83" s="29">
        <f>ROUND(G82*Labor!$D$7,0)</f>
        <v>0</v>
      </c>
      <c r="H83" s="29">
        <f>ROUND(H82*Labor!$D$8,0)</f>
        <v>0</v>
      </c>
      <c r="I83" s="33">
        <f t="shared" si="15"/>
        <v>0</v>
      </c>
      <c r="J83" s="1124">
        <f>HLOOKUP(K$2,InflationTable,2)/HLOOKUP(Labor!$B$11,InflationTable,2)*$I83</f>
        <v>0</v>
      </c>
      <c r="K83" s="219">
        <f>J83*$L$4</f>
        <v>0</v>
      </c>
      <c r="L83" s="256">
        <f t="shared" si="16"/>
        <v>0</v>
      </c>
      <c r="M83" s="169">
        <f>HLOOKUP(N$2,InflationTable,2)/HLOOKUP(Labor!$B$11,InflationTable,2)*$I83</f>
        <v>0</v>
      </c>
      <c r="N83" s="55">
        <f>M83*$O$4</f>
        <v>0</v>
      </c>
      <c r="O83" s="77">
        <f t="shared" si="17"/>
        <v>0</v>
      </c>
      <c r="P83" s="284">
        <f>HLOOKUP(Q$2,InflationTable,2)/HLOOKUP(Labor!$B$11,InflationTable,2)*$I83</f>
        <v>0</v>
      </c>
      <c r="Q83" s="219">
        <f>P83*$R$4</f>
        <v>0</v>
      </c>
      <c r="R83" s="256">
        <f t="shared" si="18"/>
        <v>0</v>
      </c>
      <c r="S83" s="103">
        <f t="shared" si="19"/>
        <v>0</v>
      </c>
      <c r="T83" s="110" t="s">
        <v>12</v>
      </c>
      <c r="U83" s="121" t="s">
        <v>12</v>
      </c>
    </row>
    <row r="84" spans="2:21" ht="13" x14ac:dyDescent="0.3">
      <c r="B84" s="106" t="s">
        <v>29</v>
      </c>
      <c r="C84" s="86" t="s">
        <v>45</v>
      </c>
      <c r="D84" s="86" t="s">
        <v>46</v>
      </c>
      <c r="E84" s="86" t="s">
        <v>47</v>
      </c>
      <c r="F84" s="86" t="s">
        <v>48</v>
      </c>
      <c r="G84" s="86" t="s">
        <v>49</v>
      </c>
      <c r="H84" s="86" t="s">
        <v>50</v>
      </c>
      <c r="I84" s="87" t="s">
        <v>112</v>
      </c>
      <c r="J84" s="1125"/>
      <c r="K84" s="293"/>
      <c r="L84" s="296"/>
      <c r="M84" s="88" t="s">
        <v>113</v>
      </c>
      <c r="N84" s="86" t="s">
        <v>13</v>
      </c>
      <c r="O84" s="87" t="s">
        <v>68</v>
      </c>
      <c r="P84" s="292" t="s">
        <v>113</v>
      </c>
      <c r="Q84" s="293" t="s">
        <v>13</v>
      </c>
      <c r="R84" s="296" t="s">
        <v>68</v>
      </c>
      <c r="S84" s="98"/>
      <c r="T84" s="108"/>
      <c r="U84" s="31"/>
    </row>
    <row r="85" spans="2:21" x14ac:dyDescent="0.25">
      <c r="B85" s="467" t="s">
        <v>51</v>
      </c>
      <c r="C85" s="18">
        <v>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45">
        <f>SUM(C85:H85)</f>
        <v>0</v>
      </c>
      <c r="J85" s="1123" t="s">
        <v>12</v>
      </c>
      <c r="K85" s="262">
        <f>I85*$J$5</f>
        <v>0</v>
      </c>
      <c r="L85" s="239">
        <f>K85</f>
        <v>0</v>
      </c>
      <c r="M85" s="51" t="s">
        <v>12</v>
      </c>
      <c r="N85" s="73">
        <f>$I85*M$5</f>
        <v>0</v>
      </c>
      <c r="O85" s="57">
        <f>N85</f>
        <v>0</v>
      </c>
      <c r="P85" s="213" t="s">
        <v>12</v>
      </c>
      <c r="Q85" s="262">
        <f>$I85*P$5</f>
        <v>0</v>
      </c>
      <c r="R85" s="239">
        <f>Q85</f>
        <v>0</v>
      </c>
      <c r="S85" s="96">
        <f>AVERAGE(L85,O85,R85)</f>
        <v>0</v>
      </c>
      <c r="T85" s="34" t="s">
        <v>12</v>
      </c>
      <c r="U85" s="42" t="s">
        <v>12</v>
      </c>
    </row>
    <row r="86" spans="2:21" ht="13.5" thickBot="1" x14ac:dyDescent="0.35">
      <c r="B86" s="465" t="s">
        <v>107</v>
      </c>
      <c r="C86" s="29">
        <f>ROUND(C85*Labor!$D$3,0)</f>
        <v>0</v>
      </c>
      <c r="D86" s="29">
        <f>ROUND(D85*Labor!$D$4,0)</f>
        <v>0</v>
      </c>
      <c r="E86" s="29">
        <f>ROUND(E85*Labor!$D$5,0)</f>
        <v>0</v>
      </c>
      <c r="F86" s="29">
        <f>ROUND(F85*Labor!$D$6,0)</f>
        <v>0</v>
      </c>
      <c r="G86" s="29">
        <f>ROUND(G85*Labor!$D$7,0)</f>
        <v>0</v>
      </c>
      <c r="H86" s="29">
        <f>ROUND(H85*Labor!$D$8,0)</f>
        <v>0</v>
      </c>
      <c r="I86" s="33">
        <f>SUM(C86:H86)</f>
        <v>0</v>
      </c>
      <c r="J86" s="1124">
        <f>HLOOKUP(K$2,InflationTable,2)/HLOOKUP(Labor!$B$11,InflationTable,2)*$I86</f>
        <v>0</v>
      </c>
      <c r="K86" s="219">
        <f>J86*$J$5</f>
        <v>0</v>
      </c>
      <c r="L86" s="256">
        <f>K86</f>
        <v>0</v>
      </c>
      <c r="M86" s="169">
        <f>HLOOKUP(N$2,InflationTable,2)/HLOOKUP(Labor!$B$11,InflationTable,2)*$I86</f>
        <v>0</v>
      </c>
      <c r="N86" s="55">
        <f>M86*$M$5</f>
        <v>0</v>
      </c>
      <c r="O86" s="77">
        <f>N86</f>
        <v>0</v>
      </c>
      <c r="P86" s="284">
        <f>HLOOKUP(Q$2,InflationTable,2)/HLOOKUP(Labor!$B$11,InflationTable,2)*$I86</f>
        <v>0</v>
      </c>
      <c r="Q86" s="219">
        <f>P86*$P$5</f>
        <v>0</v>
      </c>
      <c r="R86" s="256">
        <f>Q86</f>
        <v>0</v>
      </c>
      <c r="S86" s="107">
        <f>AVERAGE(L86,O86,R86)</f>
        <v>0</v>
      </c>
      <c r="T86" s="110" t="s">
        <v>12</v>
      </c>
      <c r="U86" s="121" t="s">
        <v>12</v>
      </c>
    </row>
    <row r="87" spans="2:21" ht="13" x14ac:dyDescent="0.3">
      <c r="B87" s="106" t="s">
        <v>106</v>
      </c>
      <c r="C87" s="5"/>
      <c r="D87" s="349" t="s">
        <v>54</v>
      </c>
      <c r="E87" s="24">
        <v>5</v>
      </c>
      <c r="I87" s="87" t="s">
        <v>55</v>
      </c>
      <c r="J87" s="1126"/>
      <c r="K87" s="445"/>
      <c r="L87" s="446"/>
      <c r="M87" s="130" t="s">
        <v>55</v>
      </c>
      <c r="N87" s="1179" t="s">
        <v>57</v>
      </c>
      <c r="O87" s="1180"/>
      <c r="P87" s="209" t="s">
        <v>55</v>
      </c>
      <c r="Q87" s="1176" t="s">
        <v>57</v>
      </c>
      <c r="R87" s="1184"/>
      <c r="S87" s="139"/>
      <c r="T87" s="108"/>
      <c r="U87" s="31"/>
    </row>
    <row r="88" spans="2:21" x14ac:dyDescent="0.25">
      <c r="B88" s="467" t="s">
        <v>51</v>
      </c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45">
        <f>SUM(C88:H88)</f>
        <v>0</v>
      </c>
      <c r="J88" s="1123" t="s">
        <v>12</v>
      </c>
      <c r="K88" s="233">
        <f>I88*$J$5</f>
        <v>0</v>
      </c>
      <c r="L88" s="232">
        <f>K88/$E$87</f>
        <v>0</v>
      </c>
      <c r="M88" s="51" t="s">
        <v>12</v>
      </c>
      <c r="N88" s="10">
        <f>$I$88*$M$5</f>
        <v>0</v>
      </c>
      <c r="O88" s="52">
        <f>N88/$E$87</f>
        <v>0</v>
      </c>
      <c r="P88" s="213" t="s">
        <v>12</v>
      </c>
      <c r="Q88" s="233">
        <f>$I$88*$P$5</f>
        <v>0</v>
      </c>
      <c r="R88" s="232">
        <f>Q88/$E$87</f>
        <v>0</v>
      </c>
      <c r="S88" s="96">
        <f>AVERAGE(L88,O88,R88)</f>
        <v>0</v>
      </c>
      <c r="T88" s="34" t="s">
        <v>12</v>
      </c>
      <c r="U88" s="42" t="s">
        <v>12</v>
      </c>
    </row>
    <row r="89" spans="2:21" ht="13.5" thickBot="1" x14ac:dyDescent="0.35">
      <c r="B89" s="465" t="s">
        <v>105</v>
      </c>
      <c r="C89" s="29">
        <f>ROUND(C88*Labor!$D$3,0)</f>
        <v>0</v>
      </c>
      <c r="D89" s="29">
        <f>ROUND(D88*Labor!$D$4,0)</f>
        <v>0</v>
      </c>
      <c r="E89" s="29">
        <f>ROUND(E88*Labor!$D$5,0)</f>
        <v>0</v>
      </c>
      <c r="F89" s="29">
        <f>ROUND(F88*Labor!$D$6,0)</f>
        <v>0</v>
      </c>
      <c r="G89" s="29">
        <f>ROUND(G88*Labor!$D$7,0)</f>
        <v>0</v>
      </c>
      <c r="H89" s="29">
        <f>ROUND(H88*Labor!$D$8,0)</f>
        <v>0</v>
      </c>
      <c r="I89" s="33">
        <f>SUM(C89:H89)</f>
        <v>0</v>
      </c>
      <c r="J89" s="1124">
        <f>HLOOKUP(K$2,InflationTable,2)/HLOOKUP(Labor!$B$11,InflationTable,2)*$I89</f>
        <v>0</v>
      </c>
      <c r="K89" s="219">
        <f>J89*$J$5</f>
        <v>0</v>
      </c>
      <c r="L89" s="220">
        <f>K89/$E$87</f>
        <v>0</v>
      </c>
      <c r="M89" s="169">
        <f>HLOOKUP(N$2,InflationTable,2)/HLOOKUP(Labor!$B$11,InflationTable,2)*$I89</f>
        <v>0</v>
      </c>
      <c r="N89" s="55">
        <f>M89*$M$5</f>
        <v>0</v>
      </c>
      <c r="O89" s="33">
        <f>N89/$E$87</f>
        <v>0</v>
      </c>
      <c r="P89" s="284">
        <f>HLOOKUP(Q$2,InflationTable,2)/HLOOKUP(Labor!$B$11,InflationTable,2)*$I89</f>
        <v>0</v>
      </c>
      <c r="Q89" s="219">
        <f>P89*$P$5</f>
        <v>0</v>
      </c>
      <c r="R89" s="220">
        <f>Q89/$E$87</f>
        <v>0</v>
      </c>
      <c r="S89" s="103">
        <f>AVERAGE(L89,O89,R89)</f>
        <v>0</v>
      </c>
      <c r="T89" s="110" t="s">
        <v>12</v>
      </c>
      <c r="U89" s="121" t="s">
        <v>12</v>
      </c>
    </row>
    <row r="90" spans="2:21" ht="13" x14ac:dyDescent="0.3">
      <c r="B90" s="139" t="s">
        <v>66</v>
      </c>
      <c r="C90" s="36">
        <f t="shared" ref="C90:I91" si="20">C73+C75+C78+C80+C82+C85+C88</f>
        <v>0</v>
      </c>
      <c r="D90" s="36">
        <f t="shared" si="20"/>
        <v>0</v>
      </c>
      <c r="E90" s="36">
        <f t="shared" si="20"/>
        <v>0</v>
      </c>
      <c r="F90" s="36">
        <f t="shared" si="20"/>
        <v>0</v>
      </c>
      <c r="G90" s="36">
        <f t="shared" si="20"/>
        <v>0</v>
      </c>
      <c r="H90" s="36">
        <f t="shared" si="20"/>
        <v>0</v>
      </c>
      <c r="I90" s="46">
        <f t="shared" si="20"/>
        <v>0</v>
      </c>
      <c r="J90" s="242" t="s">
        <v>12</v>
      </c>
      <c r="K90" s="263" t="s">
        <v>12</v>
      </c>
      <c r="L90" s="264">
        <f>L88+K85+K82+K80+K78+K75+K73</f>
        <v>0</v>
      </c>
      <c r="M90" s="75" t="s">
        <v>12</v>
      </c>
      <c r="N90" s="36" t="s">
        <v>12</v>
      </c>
      <c r="O90" s="74">
        <f>O88+N85+N82+N80+N78+N75+N73</f>
        <v>0</v>
      </c>
      <c r="P90" s="242" t="s">
        <v>12</v>
      </c>
      <c r="Q90" s="263" t="s">
        <v>12</v>
      </c>
      <c r="R90" s="264">
        <f>R88+Q85+Q82+Q80+Q78+Q75+Q73</f>
        <v>0</v>
      </c>
      <c r="S90" s="122">
        <f>AVERAGE(L90,O90,R90)</f>
        <v>0</v>
      </c>
      <c r="T90" s="108"/>
      <c r="U90" s="31"/>
    </row>
    <row r="91" spans="2:21" ht="13.5" thickBot="1" x14ac:dyDescent="0.35">
      <c r="B91" s="460" t="s">
        <v>67</v>
      </c>
      <c r="C91" s="194">
        <f t="shared" si="20"/>
        <v>0</v>
      </c>
      <c r="D91" s="194">
        <f t="shared" si="20"/>
        <v>0</v>
      </c>
      <c r="E91" s="194">
        <f t="shared" si="20"/>
        <v>0</v>
      </c>
      <c r="F91" s="194">
        <f t="shared" si="20"/>
        <v>0</v>
      </c>
      <c r="G91" s="194">
        <f t="shared" si="20"/>
        <v>0</v>
      </c>
      <c r="H91" s="194">
        <f t="shared" si="20"/>
        <v>0</v>
      </c>
      <c r="I91" s="197">
        <f t="shared" si="20"/>
        <v>0</v>
      </c>
      <c r="J91" s="224">
        <f>J74+J76+J79+J81+J83+J86+J89</f>
        <v>0</v>
      </c>
      <c r="K91" s="265" t="s">
        <v>12</v>
      </c>
      <c r="L91" s="254">
        <f>L89+K86+K83+K81+K79+K76+K74</f>
        <v>0</v>
      </c>
      <c r="M91" s="196">
        <f>M74+M76+M79+M81+M83+M86+M89</f>
        <v>0</v>
      </c>
      <c r="N91" s="207" t="s">
        <v>12</v>
      </c>
      <c r="O91" s="178">
        <f>O89+N86+N83+N81+N79+N76+N74</f>
        <v>0</v>
      </c>
      <c r="P91" s="224">
        <f>P74+P76+P79+P81+P83+P86+P89</f>
        <v>0</v>
      </c>
      <c r="Q91" s="265" t="s">
        <v>12</v>
      </c>
      <c r="R91" s="254">
        <f>R89+Q86+Q83+Q81+Q79+Q76+Q74</f>
        <v>0</v>
      </c>
      <c r="S91" s="202">
        <f>AVERAGE(L91,O91,R91)</f>
        <v>0</v>
      </c>
      <c r="T91" s="200"/>
      <c r="U91" s="190"/>
    </row>
    <row r="92" spans="2:21" ht="13.5" thickTop="1" thickBot="1" x14ac:dyDescent="0.3">
      <c r="B92" s="514"/>
      <c r="C92" s="513"/>
      <c r="D92" s="513"/>
      <c r="E92" s="513"/>
      <c r="F92" s="513"/>
      <c r="G92" s="513"/>
      <c r="H92" s="513"/>
      <c r="I92" s="513"/>
      <c r="J92" s="513"/>
      <c r="K92" s="513"/>
      <c r="L92" s="513"/>
      <c r="M92" s="513"/>
      <c r="N92" s="513"/>
      <c r="O92" s="513"/>
      <c r="P92" s="513"/>
      <c r="Q92" s="513"/>
      <c r="R92" s="513"/>
      <c r="S92" s="513"/>
      <c r="T92" s="513"/>
      <c r="U92" s="515"/>
    </row>
    <row r="93" spans="2:21" ht="16" thickTop="1" x14ac:dyDescent="0.35">
      <c r="B93" s="461" t="s">
        <v>30</v>
      </c>
      <c r="F93" s="1" t="s">
        <v>6</v>
      </c>
      <c r="G93" s="1160"/>
      <c r="H93" s="1161"/>
      <c r="I93" s="1162"/>
      <c r="J93" s="2" t="s">
        <v>30</v>
      </c>
      <c r="L93" s="31"/>
      <c r="M93" s="2" t="s">
        <v>30</v>
      </c>
      <c r="O93" s="31"/>
      <c r="P93" s="2" t="s">
        <v>30</v>
      </c>
      <c r="Q93" s="61"/>
      <c r="R93" s="62"/>
      <c r="S93" s="97"/>
      <c r="T93" s="108"/>
      <c r="U93" s="31"/>
    </row>
    <row r="94" spans="2:21" ht="13" x14ac:dyDescent="0.3">
      <c r="B94" s="144"/>
      <c r="I94" s="32" t="s">
        <v>61</v>
      </c>
      <c r="J94" s="227" t="s">
        <v>61</v>
      </c>
      <c r="K94" s="1167" t="s">
        <v>57</v>
      </c>
      <c r="L94" s="1168"/>
      <c r="M94" s="50" t="s">
        <v>61</v>
      </c>
      <c r="N94" s="1177" t="s">
        <v>57</v>
      </c>
      <c r="O94" s="1181"/>
      <c r="P94" s="266" t="s">
        <v>61</v>
      </c>
      <c r="Q94" s="1176" t="s">
        <v>57</v>
      </c>
      <c r="R94" s="1184"/>
      <c r="S94" s="106"/>
      <c r="T94" s="108"/>
      <c r="U94" s="31"/>
    </row>
    <row r="95" spans="2:21" ht="13" x14ac:dyDescent="0.3">
      <c r="B95" s="462" t="s">
        <v>21</v>
      </c>
      <c r="C95" s="20" t="s">
        <v>45</v>
      </c>
      <c r="D95" s="20" t="s">
        <v>46</v>
      </c>
      <c r="E95" s="20" t="s">
        <v>47</v>
      </c>
      <c r="F95" s="20" t="s">
        <v>48</v>
      </c>
      <c r="G95" s="20" t="s">
        <v>49</v>
      </c>
      <c r="H95" s="20" t="s">
        <v>50</v>
      </c>
      <c r="I95" s="32" t="s">
        <v>13</v>
      </c>
      <c r="J95" s="210" t="s">
        <v>56</v>
      </c>
      <c r="K95" s="211" t="s">
        <v>13</v>
      </c>
      <c r="L95" s="212" t="s">
        <v>68</v>
      </c>
      <c r="M95" s="66" t="s">
        <v>56</v>
      </c>
      <c r="N95" s="20" t="s">
        <v>13</v>
      </c>
      <c r="O95" s="32" t="s">
        <v>68</v>
      </c>
      <c r="P95" s="210" t="s">
        <v>56</v>
      </c>
      <c r="Q95" s="211" t="s">
        <v>13</v>
      </c>
      <c r="R95" s="212" t="s">
        <v>68</v>
      </c>
      <c r="S95" s="98"/>
      <c r="T95" s="108"/>
      <c r="U95" s="31"/>
    </row>
    <row r="96" spans="2:21" x14ac:dyDescent="0.25">
      <c r="B96" s="464" t="s">
        <v>4</v>
      </c>
      <c r="C96" s="18">
        <v>0</v>
      </c>
      <c r="D96" s="18">
        <v>0</v>
      </c>
      <c r="E96" s="18">
        <v>0</v>
      </c>
      <c r="F96" s="18">
        <v>0</v>
      </c>
      <c r="G96" s="18">
        <v>5</v>
      </c>
      <c r="H96" s="18">
        <v>2</v>
      </c>
      <c r="I96" s="45">
        <f>SUM(C96:H96)</f>
        <v>7</v>
      </c>
      <c r="J96" s="1123" t="s">
        <v>12</v>
      </c>
      <c r="K96" s="231">
        <f>I96*$L$4</f>
        <v>3500</v>
      </c>
      <c r="L96" s="239">
        <f>K96</f>
        <v>3500</v>
      </c>
      <c r="M96" s="51" t="s">
        <v>12</v>
      </c>
      <c r="N96" s="58">
        <f>$I96*O$4</f>
        <v>5250</v>
      </c>
      <c r="O96" s="52">
        <f>N96</f>
        <v>5250</v>
      </c>
      <c r="P96" s="213" t="s">
        <v>12</v>
      </c>
      <c r="Q96" s="231">
        <f>$I96*R$4</f>
        <v>7000</v>
      </c>
      <c r="R96" s="239">
        <f>Q96</f>
        <v>7000</v>
      </c>
      <c r="S96" s="96">
        <f t="shared" ref="S96:S101" si="21">AVERAGE(L96,O96,R96)</f>
        <v>5250</v>
      </c>
      <c r="T96" s="34" t="s">
        <v>12</v>
      </c>
      <c r="U96" s="42" t="s">
        <v>12</v>
      </c>
    </row>
    <row r="97" spans="2:21" ht="13.5" thickBot="1" x14ac:dyDescent="0.35">
      <c r="B97" s="465" t="s">
        <v>8</v>
      </c>
      <c r="C97" s="29">
        <f>ROUND(C96*Labor!$D$3,0)</f>
        <v>0</v>
      </c>
      <c r="D97" s="29">
        <f>ROUND(D96*Labor!$D$4,0)</f>
        <v>0</v>
      </c>
      <c r="E97" s="29">
        <f>ROUND(E96*Labor!$D$5,0)</f>
        <v>0</v>
      </c>
      <c r="F97" s="29">
        <f>ROUND(F96*Labor!$D$6,0)</f>
        <v>0</v>
      </c>
      <c r="G97" s="29">
        <f>ROUND(G96*Labor!$D$7,0)</f>
        <v>157</v>
      </c>
      <c r="H97" s="29">
        <f>ROUND(H96*Labor!$D$8,0)</f>
        <v>76</v>
      </c>
      <c r="I97" s="33">
        <f>SUM(C97:H97)</f>
        <v>233</v>
      </c>
      <c r="J97" s="1124">
        <f>HLOOKUP(K$2,InflationTable,2)/HLOOKUP(Labor!$B$11,InflationTable,2)*$I97</f>
        <v>498.44262975778543</v>
      </c>
      <c r="K97" s="219">
        <f>J97*$L$4</f>
        <v>249221.31487889271</v>
      </c>
      <c r="L97" s="256">
        <f>K97</f>
        <v>249221.31487889271</v>
      </c>
      <c r="M97" s="169">
        <f>HLOOKUP(N$2,InflationTable,2)/HLOOKUP(Labor!$B$11,InflationTable,2)*$I97</f>
        <v>518.3803349480969</v>
      </c>
      <c r="N97" s="55">
        <f>M97*O$4</f>
        <v>388785.25121107267</v>
      </c>
      <c r="O97" s="33">
        <f>N97</f>
        <v>388785.25121107267</v>
      </c>
      <c r="P97" s="284">
        <f>HLOOKUP(Q$2,InflationTable,2)/HLOOKUP(Labor!$B$11,InflationTable,2)*$I97</f>
        <v>528.74794164705872</v>
      </c>
      <c r="Q97" s="219">
        <f>P97*R$4</f>
        <v>528747.9416470587</v>
      </c>
      <c r="R97" s="256">
        <f>Q97</f>
        <v>528747.9416470587</v>
      </c>
      <c r="S97" s="103">
        <f t="shared" si="21"/>
        <v>388918.16924567474</v>
      </c>
      <c r="T97" s="110" t="s">
        <v>12</v>
      </c>
      <c r="U97" s="121" t="s">
        <v>12</v>
      </c>
    </row>
    <row r="98" spans="2:21" ht="13" x14ac:dyDescent="0.3">
      <c r="B98" s="459" t="s">
        <v>104</v>
      </c>
      <c r="C98" s="290">
        <v>0</v>
      </c>
      <c r="D98" s="290">
        <v>0</v>
      </c>
      <c r="E98" s="290">
        <v>5</v>
      </c>
      <c r="F98" s="290">
        <v>3</v>
      </c>
      <c r="G98" s="290">
        <v>2</v>
      </c>
      <c r="H98" s="290">
        <v>1</v>
      </c>
      <c r="I98" s="291">
        <f>SUM(C98:H98)</f>
        <v>11</v>
      </c>
      <c r="J98" s="1125" t="s">
        <v>12</v>
      </c>
      <c r="K98" s="273">
        <f>I98*$L$4</f>
        <v>5500</v>
      </c>
      <c r="L98" s="274">
        <f>K98</f>
        <v>5500</v>
      </c>
      <c r="M98" s="53" t="s">
        <v>12</v>
      </c>
      <c r="N98" s="147">
        <f>$I98*O$4</f>
        <v>8250</v>
      </c>
      <c r="O98" s="148">
        <f>N98</f>
        <v>8250</v>
      </c>
      <c r="P98" s="242" t="s">
        <v>12</v>
      </c>
      <c r="Q98" s="273">
        <f>$I98*R$4</f>
        <v>11000</v>
      </c>
      <c r="R98" s="274">
        <f>Q98</f>
        <v>11000</v>
      </c>
      <c r="S98" s="96">
        <f t="shared" si="21"/>
        <v>8250</v>
      </c>
      <c r="T98" s="34" t="s">
        <v>12</v>
      </c>
      <c r="U98" s="42" t="s">
        <v>12</v>
      </c>
    </row>
    <row r="99" spans="2:21" ht="13.5" thickBot="1" x14ac:dyDescent="0.35">
      <c r="B99" s="466" t="s">
        <v>8</v>
      </c>
      <c r="C99" s="29">
        <f>ROUND(C98*Labor!$D$3,0)</f>
        <v>0</v>
      </c>
      <c r="D99" s="29">
        <f>ROUND(D98*Labor!$D$4,0)</f>
        <v>0</v>
      </c>
      <c r="E99" s="29">
        <f>ROUND(E98*Labor!$D$5,0)</f>
        <v>126</v>
      </c>
      <c r="F99" s="29">
        <f>ROUND(F98*Labor!$D$6,0)</f>
        <v>83</v>
      </c>
      <c r="G99" s="29">
        <f>ROUND(G98*Labor!$D$7,0)</f>
        <v>63</v>
      </c>
      <c r="H99" s="29">
        <f>ROUND(H98*Labor!$D$8,0)</f>
        <v>38</v>
      </c>
      <c r="I99" s="33">
        <f>SUM(C99:H99)</f>
        <v>310</v>
      </c>
      <c r="J99" s="1124">
        <f>HLOOKUP(K$2,InflationTable,2)/HLOOKUP(Labor!$B$11,InflationTable,2)*$I99</f>
        <v>663.16401384083042</v>
      </c>
      <c r="K99" s="219">
        <f>J99*$L$4</f>
        <v>331582.00692041521</v>
      </c>
      <c r="L99" s="248">
        <f>K99</f>
        <v>331582.00692041521</v>
      </c>
      <c r="M99" s="169">
        <f>HLOOKUP(N$2,InflationTable,2)/HLOOKUP(Labor!$B$11,InflationTable,2)*$I99</f>
        <v>689.69057439446374</v>
      </c>
      <c r="N99" s="55">
        <f>M99*O$4</f>
        <v>517267.93079584779</v>
      </c>
      <c r="O99" s="33">
        <f>N99</f>
        <v>517267.93079584779</v>
      </c>
      <c r="P99" s="284">
        <f>HLOOKUP(Q$2,InflationTable,2)/HLOOKUP(Labor!$B$11,InflationTable,2)*$I99</f>
        <v>703.48438588235285</v>
      </c>
      <c r="Q99" s="219">
        <f>P99*R$4</f>
        <v>703484.38588235283</v>
      </c>
      <c r="R99" s="248">
        <f>Q99</f>
        <v>703484.38588235283</v>
      </c>
      <c r="S99" s="103">
        <f t="shared" si="21"/>
        <v>517444.77453287196</v>
      </c>
      <c r="T99" s="110" t="s">
        <v>12</v>
      </c>
      <c r="U99" s="121" t="s">
        <v>12</v>
      </c>
    </row>
    <row r="100" spans="2:21" ht="13" x14ac:dyDescent="0.3">
      <c r="B100" s="139" t="s">
        <v>66</v>
      </c>
      <c r="C100" s="30">
        <f t="shared" ref="C100:I101" si="22">C96+C98</f>
        <v>0</v>
      </c>
      <c r="D100" s="30">
        <f t="shared" si="22"/>
        <v>0</v>
      </c>
      <c r="E100" s="30">
        <f t="shared" si="22"/>
        <v>5</v>
      </c>
      <c r="F100" s="30">
        <f t="shared" si="22"/>
        <v>3</v>
      </c>
      <c r="G100" s="30">
        <f t="shared" si="22"/>
        <v>7</v>
      </c>
      <c r="H100" s="30">
        <f t="shared" si="22"/>
        <v>3</v>
      </c>
      <c r="I100" s="39">
        <f t="shared" si="22"/>
        <v>18</v>
      </c>
      <c r="J100" s="249" t="s">
        <v>12</v>
      </c>
      <c r="K100" s="267">
        <f>K96+K98</f>
        <v>9000</v>
      </c>
      <c r="L100" s="268">
        <f>L96+L98</f>
        <v>9000</v>
      </c>
      <c r="M100" s="70" t="s">
        <v>12</v>
      </c>
      <c r="N100" s="30">
        <f>N96+N98</f>
        <v>13500</v>
      </c>
      <c r="O100" s="82">
        <f>O96+O98</f>
        <v>13500</v>
      </c>
      <c r="P100" s="249" t="s">
        <v>12</v>
      </c>
      <c r="Q100" s="267">
        <f>Q96+Q98</f>
        <v>18000</v>
      </c>
      <c r="R100" s="269">
        <f>R96+R98</f>
        <v>18000</v>
      </c>
      <c r="S100" s="96">
        <f t="shared" si="21"/>
        <v>13500</v>
      </c>
      <c r="T100" s="34" t="s">
        <v>12</v>
      </c>
      <c r="U100" s="42" t="s">
        <v>12</v>
      </c>
    </row>
    <row r="101" spans="2:21" ht="13.5" thickBot="1" x14ac:dyDescent="0.35">
      <c r="B101" s="460" t="s">
        <v>67</v>
      </c>
      <c r="C101" s="194">
        <f t="shared" si="22"/>
        <v>0</v>
      </c>
      <c r="D101" s="194">
        <f t="shared" si="22"/>
        <v>0</v>
      </c>
      <c r="E101" s="194">
        <f t="shared" si="22"/>
        <v>126</v>
      </c>
      <c r="F101" s="194">
        <f t="shared" si="22"/>
        <v>83</v>
      </c>
      <c r="G101" s="194">
        <f t="shared" si="22"/>
        <v>220</v>
      </c>
      <c r="H101" s="194">
        <f t="shared" si="22"/>
        <v>114</v>
      </c>
      <c r="I101" s="197">
        <f t="shared" si="22"/>
        <v>543</v>
      </c>
      <c r="J101" s="224">
        <f>J97+J99</f>
        <v>1161.6066435986158</v>
      </c>
      <c r="K101" s="225">
        <f>K97+K99</f>
        <v>580803.32179930795</v>
      </c>
      <c r="L101" s="226">
        <f>L97+L99</f>
        <v>580803.32179930795</v>
      </c>
      <c r="M101" s="196">
        <f>M97+M99</f>
        <v>1208.0709093425608</v>
      </c>
      <c r="N101" s="194">
        <f>N97+N99</f>
        <v>906053.18200692046</v>
      </c>
      <c r="O101" s="197">
        <f>O97+O99</f>
        <v>906053.18200692046</v>
      </c>
      <c r="P101" s="261">
        <f>P97+P99</f>
        <v>1232.2323275294116</v>
      </c>
      <c r="Q101" s="225">
        <f>Q97+Q99</f>
        <v>1232232.3275294115</v>
      </c>
      <c r="R101" s="226">
        <f>R97+R99</f>
        <v>1232232.3275294115</v>
      </c>
      <c r="S101" s="206">
        <f t="shared" si="21"/>
        <v>906362.94377854653</v>
      </c>
      <c r="T101" s="208" t="s">
        <v>12</v>
      </c>
      <c r="U101" s="203" t="s">
        <v>12</v>
      </c>
    </row>
    <row r="102" spans="2:21" ht="13.5" thickTop="1" thickBot="1" x14ac:dyDescent="0.3">
      <c r="B102" s="144"/>
      <c r="D102" s="513"/>
      <c r="E102" s="513"/>
      <c r="F102" s="513"/>
      <c r="G102" s="513"/>
      <c r="H102" s="513"/>
      <c r="I102" s="513"/>
      <c r="J102" s="513"/>
      <c r="K102" s="513"/>
      <c r="L102" s="513"/>
      <c r="M102" s="513"/>
      <c r="N102" s="513"/>
      <c r="O102" s="513"/>
      <c r="P102" s="513"/>
      <c r="Q102" s="513"/>
      <c r="R102" s="513"/>
      <c r="S102" s="513"/>
      <c r="T102" s="513"/>
      <c r="U102" s="515"/>
    </row>
    <row r="103" spans="2:21" ht="19" thickTop="1" thickBot="1" x14ac:dyDescent="0.45">
      <c r="B103" s="456" t="s">
        <v>121</v>
      </c>
      <c r="C103" s="188" t="str">
        <f>C2</f>
        <v>SENSORS</v>
      </c>
      <c r="E103" s="3"/>
      <c r="F103" s="9"/>
      <c r="G103" s="3"/>
      <c r="H103" s="3"/>
      <c r="I103" s="35"/>
      <c r="J103" s="67" t="str">
        <f>J2</f>
        <v>Year 1</v>
      </c>
      <c r="K103" s="67">
        <f>K2</f>
        <v>2023</v>
      </c>
      <c r="L103" s="35"/>
      <c r="M103" s="67" t="str">
        <f>M2</f>
        <v>Year 2</v>
      </c>
      <c r="N103" s="67">
        <f>N2</f>
        <v>2024</v>
      </c>
      <c r="O103" s="35"/>
      <c r="P103" s="67" t="str">
        <f>P2</f>
        <v>Year 3</v>
      </c>
      <c r="Q103" s="67">
        <f>Q2</f>
        <v>2025</v>
      </c>
      <c r="R103" s="35"/>
      <c r="S103" s="124"/>
      <c r="T103" s="105"/>
      <c r="U103" s="468"/>
    </row>
    <row r="104" spans="2:21" ht="13.5" thickBot="1" x14ac:dyDescent="0.35">
      <c r="B104" s="144"/>
      <c r="C104" s="152" t="s">
        <v>45</v>
      </c>
      <c r="D104" s="149" t="s">
        <v>46</v>
      </c>
      <c r="E104" s="149" t="s">
        <v>47</v>
      </c>
      <c r="F104" s="160" t="s">
        <v>48</v>
      </c>
      <c r="G104" s="151" t="s">
        <v>49</v>
      </c>
      <c r="H104" s="149" t="s">
        <v>50</v>
      </c>
      <c r="I104" s="150" t="s">
        <v>13</v>
      </c>
      <c r="J104" s="270" t="s">
        <v>56</v>
      </c>
      <c r="K104" s="271" t="s">
        <v>13</v>
      </c>
      <c r="L104" s="272" t="s">
        <v>68</v>
      </c>
      <c r="M104" s="151" t="s">
        <v>56</v>
      </c>
      <c r="N104" s="149" t="s">
        <v>13</v>
      </c>
      <c r="O104" s="150" t="s">
        <v>68</v>
      </c>
      <c r="P104" s="270" t="s">
        <v>56</v>
      </c>
      <c r="Q104" s="271" t="s">
        <v>13</v>
      </c>
      <c r="R104" s="272" t="s">
        <v>68</v>
      </c>
      <c r="S104" s="152"/>
      <c r="T104" s="153"/>
      <c r="U104" s="469"/>
    </row>
    <row r="105" spans="2:21" ht="13" x14ac:dyDescent="0.3">
      <c r="B105" s="470" t="s">
        <v>97</v>
      </c>
      <c r="C105" s="155">
        <f t="shared" ref="C105:S106" si="23">C15</f>
        <v>0</v>
      </c>
      <c r="D105" s="147">
        <f t="shared" si="23"/>
        <v>0</v>
      </c>
      <c r="E105" s="147">
        <f t="shared" si="23"/>
        <v>0</v>
      </c>
      <c r="F105" s="147">
        <f t="shared" si="23"/>
        <v>9</v>
      </c>
      <c r="G105" s="147">
        <f t="shared" si="23"/>
        <v>9</v>
      </c>
      <c r="H105" s="147">
        <f t="shared" si="23"/>
        <v>5</v>
      </c>
      <c r="I105" s="148">
        <f t="shared" si="23"/>
        <v>23</v>
      </c>
      <c r="J105" s="234" t="str">
        <f t="shared" si="23"/>
        <v>NA</v>
      </c>
      <c r="K105" s="273">
        <f t="shared" si="23"/>
        <v>690</v>
      </c>
      <c r="L105" s="274">
        <f t="shared" si="23"/>
        <v>98.571428571428584</v>
      </c>
      <c r="M105" s="38" t="str">
        <f t="shared" si="23"/>
        <v>NA</v>
      </c>
      <c r="N105" s="147">
        <f t="shared" si="23"/>
        <v>1150</v>
      </c>
      <c r="O105" s="148">
        <f t="shared" si="23"/>
        <v>164.28571428571428</v>
      </c>
      <c r="P105" s="234" t="str">
        <f t="shared" si="23"/>
        <v>NA</v>
      </c>
      <c r="Q105" s="273">
        <f t="shared" si="23"/>
        <v>1610</v>
      </c>
      <c r="R105" s="274">
        <f t="shared" si="23"/>
        <v>230</v>
      </c>
      <c r="S105" s="148">
        <f t="shared" si="23"/>
        <v>164.28571428571431</v>
      </c>
      <c r="T105" s="31"/>
      <c r="U105" s="111"/>
    </row>
    <row r="106" spans="2:21" ht="13.5" thickBot="1" x14ac:dyDescent="0.35">
      <c r="B106" s="471" t="s">
        <v>76</v>
      </c>
      <c r="C106" s="161">
        <f t="shared" si="23"/>
        <v>0</v>
      </c>
      <c r="D106" s="162">
        <f t="shared" si="23"/>
        <v>0</v>
      </c>
      <c r="E106" s="162">
        <f t="shared" si="23"/>
        <v>0</v>
      </c>
      <c r="F106" s="162">
        <f t="shared" si="23"/>
        <v>248</v>
      </c>
      <c r="G106" s="162">
        <f t="shared" si="23"/>
        <v>282</v>
      </c>
      <c r="H106" s="162">
        <f t="shared" si="23"/>
        <v>189</v>
      </c>
      <c r="I106" s="163">
        <f t="shared" si="23"/>
        <v>719</v>
      </c>
      <c r="J106" s="275">
        <f t="shared" si="23"/>
        <v>1538.1126643598614</v>
      </c>
      <c r="K106" s="276">
        <f t="shared" si="23"/>
        <v>46143.37993079584</v>
      </c>
      <c r="L106" s="277">
        <f t="shared" si="23"/>
        <v>6591.9114186851202</v>
      </c>
      <c r="M106" s="161">
        <f t="shared" si="23"/>
        <v>1599.6371709342561</v>
      </c>
      <c r="N106" s="162">
        <f t="shared" si="23"/>
        <v>47989.115128027683</v>
      </c>
      <c r="O106" s="163">
        <f t="shared" si="23"/>
        <v>6855.5878754325267</v>
      </c>
      <c r="P106" s="275">
        <f t="shared" si="23"/>
        <v>1631.6299143529411</v>
      </c>
      <c r="Q106" s="276">
        <f t="shared" si="23"/>
        <v>114214.09400470588</v>
      </c>
      <c r="R106" s="277">
        <f t="shared" si="23"/>
        <v>16316.299143529412</v>
      </c>
      <c r="S106" s="163">
        <f t="shared" si="23"/>
        <v>9921.2661458823513</v>
      </c>
      <c r="T106" s="164" t="str">
        <f>T16</f>
        <v>NA</v>
      </c>
      <c r="U106" s="322" t="s">
        <v>12</v>
      </c>
    </row>
    <row r="107" spans="2:21" ht="13" x14ac:dyDescent="0.3">
      <c r="B107" s="472" t="s">
        <v>98</v>
      </c>
      <c r="C107" s="155">
        <f t="shared" ref="C107:S108" si="24">C28</f>
        <v>0</v>
      </c>
      <c r="D107" s="147">
        <f t="shared" si="24"/>
        <v>8</v>
      </c>
      <c r="E107" s="147">
        <f t="shared" si="24"/>
        <v>8</v>
      </c>
      <c r="F107" s="147">
        <f t="shared" si="24"/>
        <v>4</v>
      </c>
      <c r="G107" s="147">
        <f t="shared" si="24"/>
        <v>0</v>
      </c>
      <c r="H107" s="147">
        <f t="shared" si="24"/>
        <v>0</v>
      </c>
      <c r="I107" s="148">
        <f t="shared" si="24"/>
        <v>20</v>
      </c>
      <c r="J107" s="234" t="str">
        <f t="shared" si="24"/>
        <v>NA</v>
      </c>
      <c r="K107" s="273">
        <f t="shared" si="24"/>
        <v>10000</v>
      </c>
      <c r="L107" s="274">
        <f t="shared" si="24"/>
        <v>1428.5714285714287</v>
      </c>
      <c r="M107" s="38" t="str">
        <f t="shared" si="24"/>
        <v>NA</v>
      </c>
      <c r="N107" s="147">
        <f t="shared" si="24"/>
        <v>15000</v>
      </c>
      <c r="O107" s="148">
        <f t="shared" si="24"/>
        <v>2142.8571428571427</v>
      </c>
      <c r="P107" s="234" t="str">
        <f t="shared" si="24"/>
        <v>NA</v>
      </c>
      <c r="Q107" s="273">
        <f t="shared" si="24"/>
        <v>16000</v>
      </c>
      <c r="R107" s="274">
        <f t="shared" si="24"/>
        <v>2285.7142857142858</v>
      </c>
      <c r="S107" s="148">
        <f t="shared" si="24"/>
        <v>1952.3809523809523</v>
      </c>
      <c r="T107" s="31"/>
      <c r="U107" s="111"/>
    </row>
    <row r="108" spans="2:21" ht="13.5" thickBot="1" x14ac:dyDescent="0.35">
      <c r="B108" s="471" t="s">
        <v>76</v>
      </c>
      <c r="C108" s="165">
        <f t="shared" si="24"/>
        <v>0</v>
      </c>
      <c r="D108" s="166">
        <f t="shared" si="24"/>
        <v>194</v>
      </c>
      <c r="E108" s="166">
        <f t="shared" si="24"/>
        <v>202</v>
      </c>
      <c r="F108" s="166">
        <f t="shared" si="24"/>
        <v>110</v>
      </c>
      <c r="G108" s="166">
        <f t="shared" si="24"/>
        <v>0</v>
      </c>
      <c r="H108" s="166">
        <f t="shared" si="24"/>
        <v>0</v>
      </c>
      <c r="I108" s="167">
        <f t="shared" si="24"/>
        <v>506</v>
      </c>
      <c r="J108" s="278">
        <f t="shared" si="24"/>
        <v>1082.4548096885812</v>
      </c>
      <c r="K108" s="245">
        <f t="shared" si="24"/>
        <v>0</v>
      </c>
      <c r="L108" s="246">
        <f t="shared" si="24"/>
        <v>148746.77212061296</v>
      </c>
      <c r="M108" s="165">
        <f t="shared" si="24"/>
        <v>1125.7530020761246</v>
      </c>
      <c r="N108" s="166">
        <f t="shared" si="24"/>
        <v>0</v>
      </c>
      <c r="O108" s="167">
        <f t="shared" si="24"/>
        <v>186161.78902619873</v>
      </c>
      <c r="P108" s="278">
        <f t="shared" si="24"/>
        <v>1148.2680621176469</v>
      </c>
      <c r="Q108" s="245">
        <f t="shared" si="24"/>
        <v>0</v>
      </c>
      <c r="R108" s="246">
        <f t="shared" si="24"/>
        <v>221979.47374789912</v>
      </c>
      <c r="S108" s="167">
        <f t="shared" si="24"/>
        <v>111800.77353633217</v>
      </c>
      <c r="T108" s="168" t="str">
        <f>T29</f>
        <v>NA</v>
      </c>
      <c r="U108" s="473">
        <f>U29</f>
        <v>73828.571428571435</v>
      </c>
    </row>
    <row r="109" spans="2:21" ht="13" x14ac:dyDescent="0.3">
      <c r="B109" s="472" t="s">
        <v>96</v>
      </c>
      <c r="C109" s="156">
        <f t="shared" ref="C109:S110" si="25">C38</f>
        <v>0</v>
      </c>
      <c r="D109" s="21">
        <f t="shared" si="25"/>
        <v>0</v>
      </c>
      <c r="E109" s="21">
        <f t="shared" si="25"/>
        <v>0</v>
      </c>
      <c r="F109" s="21">
        <f t="shared" si="25"/>
        <v>0</v>
      </c>
      <c r="G109" s="21">
        <f t="shared" si="25"/>
        <v>0</v>
      </c>
      <c r="H109" s="21">
        <f t="shared" si="25"/>
        <v>0</v>
      </c>
      <c r="I109" s="157">
        <f t="shared" si="25"/>
        <v>0</v>
      </c>
      <c r="J109" s="279" t="str">
        <f t="shared" si="25"/>
        <v>NA</v>
      </c>
      <c r="K109" s="280">
        <f t="shared" si="25"/>
        <v>0</v>
      </c>
      <c r="L109" s="281">
        <f t="shared" si="25"/>
        <v>0</v>
      </c>
      <c r="M109" s="158" t="str">
        <f t="shared" si="25"/>
        <v>NA</v>
      </c>
      <c r="N109" s="21">
        <f t="shared" si="25"/>
        <v>0</v>
      </c>
      <c r="O109" s="157">
        <f t="shared" si="25"/>
        <v>0</v>
      </c>
      <c r="P109" s="279" t="str">
        <f t="shared" si="25"/>
        <v>NA</v>
      </c>
      <c r="Q109" s="280">
        <f t="shared" si="25"/>
        <v>0</v>
      </c>
      <c r="R109" s="281">
        <f t="shared" si="25"/>
        <v>0</v>
      </c>
      <c r="S109" s="157">
        <f t="shared" si="25"/>
        <v>0</v>
      </c>
      <c r="T109" s="159" t="str">
        <f>T21</f>
        <v>NA</v>
      </c>
      <c r="U109" s="119" t="s">
        <v>12</v>
      </c>
    </row>
    <row r="110" spans="2:21" ht="13.5" thickBot="1" x14ac:dyDescent="0.35">
      <c r="B110" s="471" t="s">
        <v>76</v>
      </c>
      <c r="C110" s="169">
        <f t="shared" si="25"/>
        <v>0</v>
      </c>
      <c r="D110" s="166">
        <f t="shared" si="25"/>
        <v>0</v>
      </c>
      <c r="E110" s="166">
        <f t="shared" si="25"/>
        <v>0</v>
      </c>
      <c r="F110" s="166">
        <f t="shared" si="25"/>
        <v>0</v>
      </c>
      <c r="G110" s="166">
        <f t="shared" si="25"/>
        <v>0</v>
      </c>
      <c r="H110" s="166">
        <f t="shared" si="25"/>
        <v>0</v>
      </c>
      <c r="I110" s="167">
        <f t="shared" si="25"/>
        <v>0</v>
      </c>
      <c r="J110" s="278">
        <f t="shared" si="25"/>
        <v>0</v>
      </c>
      <c r="K110" s="245">
        <f t="shared" si="25"/>
        <v>0</v>
      </c>
      <c r="L110" s="246">
        <f t="shared" si="25"/>
        <v>0</v>
      </c>
      <c r="M110" s="165">
        <f t="shared" si="25"/>
        <v>0</v>
      </c>
      <c r="N110" s="166">
        <f t="shared" si="25"/>
        <v>0</v>
      </c>
      <c r="O110" s="167">
        <f t="shared" si="25"/>
        <v>0</v>
      </c>
      <c r="P110" s="278">
        <f t="shared" si="25"/>
        <v>0</v>
      </c>
      <c r="Q110" s="245">
        <f t="shared" si="25"/>
        <v>0</v>
      </c>
      <c r="R110" s="246">
        <f t="shared" si="25"/>
        <v>0</v>
      </c>
      <c r="S110" s="167">
        <f t="shared" si="25"/>
        <v>0</v>
      </c>
      <c r="T110" s="167">
        <f>T39</f>
        <v>0</v>
      </c>
      <c r="U110" s="322" t="s">
        <v>12</v>
      </c>
    </row>
    <row r="111" spans="2:21" ht="13" x14ac:dyDescent="0.3">
      <c r="B111" s="472" t="s">
        <v>99</v>
      </c>
      <c r="C111" s="156">
        <f t="shared" ref="C111:S112" si="26">C50</f>
        <v>0</v>
      </c>
      <c r="D111" s="21">
        <f t="shared" si="26"/>
        <v>0</v>
      </c>
      <c r="E111" s="21">
        <f t="shared" si="26"/>
        <v>0</v>
      </c>
      <c r="F111" s="21">
        <f t="shared" si="26"/>
        <v>0</v>
      </c>
      <c r="G111" s="21">
        <f t="shared" si="26"/>
        <v>0</v>
      </c>
      <c r="H111" s="21">
        <f t="shared" si="26"/>
        <v>0</v>
      </c>
      <c r="I111" s="157">
        <f t="shared" si="26"/>
        <v>0</v>
      </c>
      <c r="J111" s="279" t="str">
        <f t="shared" si="26"/>
        <v>NA</v>
      </c>
      <c r="K111" s="280">
        <f t="shared" si="26"/>
        <v>0</v>
      </c>
      <c r="L111" s="281">
        <f t="shared" si="26"/>
        <v>0</v>
      </c>
      <c r="M111" s="158" t="str">
        <f t="shared" si="26"/>
        <v>NA</v>
      </c>
      <c r="N111" s="21">
        <f t="shared" si="26"/>
        <v>0</v>
      </c>
      <c r="O111" s="157">
        <f t="shared" si="26"/>
        <v>0</v>
      </c>
      <c r="P111" s="279" t="str">
        <f t="shared" si="26"/>
        <v>NA</v>
      </c>
      <c r="Q111" s="280">
        <f t="shared" si="26"/>
        <v>0</v>
      </c>
      <c r="R111" s="281">
        <f t="shared" si="26"/>
        <v>0</v>
      </c>
      <c r="S111" s="157">
        <f t="shared" si="26"/>
        <v>0</v>
      </c>
      <c r="T111" s="31"/>
      <c r="U111" s="111"/>
    </row>
    <row r="112" spans="2:21" ht="13.5" thickBot="1" x14ac:dyDescent="0.35">
      <c r="B112" s="471" t="s">
        <v>76</v>
      </c>
      <c r="C112" s="165">
        <f t="shared" si="26"/>
        <v>0</v>
      </c>
      <c r="D112" s="166">
        <f t="shared" si="26"/>
        <v>0</v>
      </c>
      <c r="E112" s="166">
        <f t="shared" si="26"/>
        <v>0</v>
      </c>
      <c r="F112" s="166">
        <f t="shared" si="26"/>
        <v>0</v>
      </c>
      <c r="G112" s="166">
        <f t="shared" si="26"/>
        <v>0</v>
      </c>
      <c r="H112" s="166">
        <f t="shared" si="26"/>
        <v>0</v>
      </c>
      <c r="I112" s="167">
        <f t="shared" si="26"/>
        <v>0</v>
      </c>
      <c r="J112" s="278">
        <f t="shared" si="26"/>
        <v>0</v>
      </c>
      <c r="K112" s="245">
        <f t="shared" si="26"/>
        <v>0</v>
      </c>
      <c r="L112" s="246">
        <f t="shared" si="26"/>
        <v>0</v>
      </c>
      <c r="M112" s="169">
        <f t="shared" si="26"/>
        <v>0</v>
      </c>
      <c r="N112" s="166">
        <f t="shared" si="26"/>
        <v>0</v>
      </c>
      <c r="O112" s="167">
        <f t="shared" si="26"/>
        <v>0</v>
      </c>
      <c r="P112" s="278">
        <f t="shared" si="26"/>
        <v>0</v>
      </c>
      <c r="Q112" s="245">
        <f t="shared" si="26"/>
        <v>0</v>
      </c>
      <c r="R112" s="246">
        <f t="shared" si="26"/>
        <v>0</v>
      </c>
      <c r="S112" s="167">
        <f t="shared" si="26"/>
        <v>0</v>
      </c>
      <c r="T112" s="167">
        <f>T51</f>
        <v>0</v>
      </c>
      <c r="U112" s="474" t="s">
        <v>12</v>
      </c>
    </row>
    <row r="113" spans="2:21" ht="13" x14ac:dyDescent="0.3">
      <c r="B113" s="472" t="s">
        <v>100</v>
      </c>
      <c r="C113" s="156">
        <f t="shared" ref="C113:U114" si="27">C66</f>
        <v>0</v>
      </c>
      <c r="D113" s="21">
        <f t="shared" si="27"/>
        <v>6</v>
      </c>
      <c r="E113" s="21">
        <f t="shared" si="27"/>
        <v>3</v>
      </c>
      <c r="F113" s="21">
        <f t="shared" si="27"/>
        <v>3</v>
      </c>
      <c r="G113" s="21">
        <f t="shared" si="27"/>
        <v>2</v>
      </c>
      <c r="H113" s="21">
        <f t="shared" si="27"/>
        <v>0</v>
      </c>
      <c r="I113" s="157">
        <f t="shared" si="27"/>
        <v>14</v>
      </c>
      <c r="J113" s="279" t="str">
        <f t="shared" si="27"/>
        <v>NA</v>
      </c>
      <c r="K113" s="280">
        <f t="shared" si="27"/>
        <v>7000</v>
      </c>
      <c r="L113" s="281">
        <f t="shared" si="27"/>
        <v>7000</v>
      </c>
      <c r="M113" s="158" t="str">
        <f t="shared" si="27"/>
        <v>NA</v>
      </c>
      <c r="N113" s="21">
        <f t="shared" si="27"/>
        <v>10500</v>
      </c>
      <c r="O113" s="157">
        <f t="shared" si="27"/>
        <v>10500</v>
      </c>
      <c r="P113" s="279" t="str">
        <f t="shared" si="27"/>
        <v>NA</v>
      </c>
      <c r="Q113" s="280">
        <f t="shared" si="27"/>
        <v>14000</v>
      </c>
      <c r="R113" s="281">
        <f t="shared" si="27"/>
        <v>14000</v>
      </c>
      <c r="S113" s="157">
        <f t="shared" si="27"/>
        <v>10500</v>
      </c>
      <c r="T113" s="170" t="str">
        <f t="shared" si="27"/>
        <v>NA</v>
      </c>
      <c r="U113" s="475" t="str">
        <f t="shared" si="27"/>
        <v>NA</v>
      </c>
    </row>
    <row r="114" spans="2:21" ht="13.5" thickBot="1" x14ac:dyDescent="0.35">
      <c r="B114" s="471" t="s">
        <v>76</v>
      </c>
      <c r="C114" s="165">
        <f t="shared" si="27"/>
        <v>0</v>
      </c>
      <c r="D114" s="166">
        <f t="shared" si="27"/>
        <v>145</v>
      </c>
      <c r="E114" s="166">
        <f t="shared" si="27"/>
        <v>76</v>
      </c>
      <c r="F114" s="166">
        <f t="shared" si="27"/>
        <v>83</v>
      </c>
      <c r="G114" s="166">
        <f t="shared" si="27"/>
        <v>63</v>
      </c>
      <c r="H114" s="166">
        <f t="shared" si="27"/>
        <v>0</v>
      </c>
      <c r="I114" s="167">
        <f t="shared" si="27"/>
        <v>367</v>
      </c>
      <c r="J114" s="278">
        <f t="shared" si="27"/>
        <v>785.10062283737022</v>
      </c>
      <c r="K114" s="245">
        <f t="shared" si="27"/>
        <v>392550.31141868513</v>
      </c>
      <c r="L114" s="246">
        <f t="shared" si="27"/>
        <v>392550.31141868513</v>
      </c>
      <c r="M114" s="165">
        <f t="shared" si="27"/>
        <v>816.50464775086516</v>
      </c>
      <c r="N114" s="166">
        <f t="shared" si="27"/>
        <v>408252.3238754326</v>
      </c>
      <c r="O114" s="167">
        <f t="shared" si="27"/>
        <v>408252.3238754326</v>
      </c>
      <c r="P114" s="284">
        <f t="shared" si="27"/>
        <v>832.83474070588227</v>
      </c>
      <c r="Q114" s="245">
        <f t="shared" si="27"/>
        <v>832834.74070588232</v>
      </c>
      <c r="R114" s="246">
        <f t="shared" si="27"/>
        <v>832834.74070588232</v>
      </c>
      <c r="S114" s="167">
        <f t="shared" si="27"/>
        <v>544545.79200000002</v>
      </c>
      <c r="T114" s="168" t="str">
        <f t="shared" si="27"/>
        <v>NA</v>
      </c>
      <c r="U114" s="322" t="s">
        <v>12</v>
      </c>
    </row>
    <row r="115" spans="2:21" ht="13" x14ac:dyDescent="0.3">
      <c r="B115" s="472" t="s">
        <v>101</v>
      </c>
      <c r="C115" s="171">
        <f t="shared" ref="C115:S116" si="28">C90</f>
        <v>0</v>
      </c>
      <c r="D115" s="172">
        <f t="shared" si="28"/>
        <v>0</v>
      </c>
      <c r="E115" s="172">
        <f t="shared" si="28"/>
        <v>0</v>
      </c>
      <c r="F115" s="172">
        <f t="shared" si="28"/>
        <v>0</v>
      </c>
      <c r="G115" s="172">
        <f t="shared" si="28"/>
        <v>0</v>
      </c>
      <c r="H115" s="172">
        <f t="shared" si="28"/>
        <v>0</v>
      </c>
      <c r="I115" s="54">
        <f t="shared" si="28"/>
        <v>0</v>
      </c>
      <c r="J115" s="282" t="str">
        <f t="shared" si="28"/>
        <v>NA</v>
      </c>
      <c r="K115" s="263" t="str">
        <f t="shared" si="28"/>
        <v>NA</v>
      </c>
      <c r="L115" s="243">
        <f t="shared" si="28"/>
        <v>0</v>
      </c>
      <c r="M115" s="173" t="str">
        <f t="shared" si="28"/>
        <v>NA</v>
      </c>
      <c r="N115" s="36" t="str">
        <f t="shared" si="28"/>
        <v>NA</v>
      </c>
      <c r="O115" s="54">
        <f t="shared" si="28"/>
        <v>0</v>
      </c>
      <c r="P115" s="282" t="str">
        <f t="shared" si="28"/>
        <v>NA</v>
      </c>
      <c r="Q115" s="263" t="str">
        <f t="shared" si="28"/>
        <v>NA</v>
      </c>
      <c r="R115" s="243">
        <f t="shared" si="28"/>
        <v>0</v>
      </c>
      <c r="S115" s="54">
        <f t="shared" si="28"/>
        <v>0</v>
      </c>
      <c r="T115" s="42" t="s">
        <v>12</v>
      </c>
      <c r="U115" s="119" t="s">
        <v>12</v>
      </c>
    </row>
    <row r="116" spans="2:21" ht="13.5" thickBot="1" x14ac:dyDescent="0.35">
      <c r="B116" s="471" t="s">
        <v>76</v>
      </c>
      <c r="C116" s="165">
        <f t="shared" si="28"/>
        <v>0</v>
      </c>
      <c r="D116" s="166">
        <f t="shared" si="28"/>
        <v>0</v>
      </c>
      <c r="E116" s="166">
        <f t="shared" si="28"/>
        <v>0</v>
      </c>
      <c r="F116" s="166">
        <f t="shared" si="28"/>
        <v>0</v>
      </c>
      <c r="G116" s="166">
        <f t="shared" si="28"/>
        <v>0</v>
      </c>
      <c r="H116" s="166">
        <f t="shared" si="28"/>
        <v>0</v>
      </c>
      <c r="I116" s="167">
        <f t="shared" si="28"/>
        <v>0</v>
      </c>
      <c r="J116" s="278">
        <f t="shared" si="28"/>
        <v>0</v>
      </c>
      <c r="K116" s="283" t="str">
        <f t="shared" si="28"/>
        <v>NA</v>
      </c>
      <c r="L116" s="246">
        <f t="shared" si="28"/>
        <v>0</v>
      </c>
      <c r="M116" s="169">
        <f t="shared" si="28"/>
        <v>0</v>
      </c>
      <c r="N116" s="175" t="str">
        <f t="shared" si="28"/>
        <v>NA</v>
      </c>
      <c r="O116" s="167">
        <f t="shared" si="28"/>
        <v>0</v>
      </c>
      <c r="P116" s="278">
        <f t="shared" si="28"/>
        <v>0</v>
      </c>
      <c r="Q116" s="283" t="str">
        <f t="shared" si="28"/>
        <v>NA</v>
      </c>
      <c r="R116" s="246">
        <f t="shared" si="28"/>
        <v>0</v>
      </c>
      <c r="S116" s="167">
        <f t="shared" si="28"/>
        <v>0</v>
      </c>
      <c r="T116" s="167">
        <f>T91</f>
        <v>0</v>
      </c>
      <c r="U116" s="322" t="s">
        <v>12</v>
      </c>
    </row>
    <row r="117" spans="2:21" ht="13" x14ac:dyDescent="0.3">
      <c r="B117" s="472" t="s">
        <v>102</v>
      </c>
      <c r="C117" s="156">
        <f t="shared" ref="C117:S118" si="29">C100</f>
        <v>0</v>
      </c>
      <c r="D117" s="21">
        <f t="shared" si="29"/>
        <v>0</v>
      </c>
      <c r="E117" s="21">
        <f t="shared" si="29"/>
        <v>5</v>
      </c>
      <c r="F117" s="21">
        <f t="shared" si="29"/>
        <v>3</v>
      </c>
      <c r="G117" s="21">
        <f t="shared" si="29"/>
        <v>7</v>
      </c>
      <c r="H117" s="21">
        <f t="shared" si="29"/>
        <v>3</v>
      </c>
      <c r="I117" s="157">
        <f t="shared" si="29"/>
        <v>18</v>
      </c>
      <c r="J117" s="279" t="str">
        <f t="shared" si="29"/>
        <v>NA</v>
      </c>
      <c r="K117" s="280">
        <f t="shared" si="29"/>
        <v>9000</v>
      </c>
      <c r="L117" s="281">
        <f t="shared" si="29"/>
        <v>9000</v>
      </c>
      <c r="M117" s="158" t="str">
        <f t="shared" si="29"/>
        <v>NA</v>
      </c>
      <c r="N117" s="21">
        <f t="shared" si="29"/>
        <v>13500</v>
      </c>
      <c r="O117" s="157">
        <f t="shared" si="29"/>
        <v>13500</v>
      </c>
      <c r="P117" s="279" t="str">
        <f t="shared" si="29"/>
        <v>NA</v>
      </c>
      <c r="Q117" s="280">
        <f t="shared" si="29"/>
        <v>18000</v>
      </c>
      <c r="R117" s="281">
        <f t="shared" si="29"/>
        <v>18000</v>
      </c>
      <c r="S117" s="157">
        <f t="shared" si="29"/>
        <v>13500</v>
      </c>
      <c r="T117" s="42" t="s">
        <v>12</v>
      </c>
      <c r="U117" s="119" t="s">
        <v>12</v>
      </c>
    </row>
    <row r="118" spans="2:21" ht="13.5" thickBot="1" x14ac:dyDescent="0.35">
      <c r="B118" s="476" t="s">
        <v>76</v>
      </c>
      <c r="C118" s="176">
        <f t="shared" si="29"/>
        <v>0</v>
      </c>
      <c r="D118" s="177">
        <f t="shared" si="29"/>
        <v>0</v>
      </c>
      <c r="E118" s="177">
        <f t="shared" si="29"/>
        <v>126</v>
      </c>
      <c r="F118" s="177">
        <f t="shared" si="29"/>
        <v>83</v>
      </c>
      <c r="G118" s="177">
        <f t="shared" si="29"/>
        <v>220</v>
      </c>
      <c r="H118" s="177">
        <f t="shared" si="29"/>
        <v>114</v>
      </c>
      <c r="I118" s="178">
        <f t="shared" si="29"/>
        <v>543</v>
      </c>
      <c r="J118" s="252">
        <f t="shared" si="29"/>
        <v>1161.6066435986158</v>
      </c>
      <c r="K118" s="253">
        <f t="shared" si="29"/>
        <v>580803.32179930795</v>
      </c>
      <c r="L118" s="254">
        <f t="shared" si="29"/>
        <v>580803.32179930795</v>
      </c>
      <c r="M118" s="176">
        <f t="shared" si="29"/>
        <v>1208.0709093425608</v>
      </c>
      <c r="N118" s="177">
        <f t="shared" si="29"/>
        <v>906053.18200692046</v>
      </c>
      <c r="O118" s="178">
        <f t="shared" si="29"/>
        <v>906053.18200692046</v>
      </c>
      <c r="P118" s="259">
        <f t="shared" si="29"/>
        <v>1232.2323275294116</v>
      </c>
      <c r="Q118" s="253">
        <f t="shared" si="29"/>
        <v>1232232.3275294115</v>
      </c>
      <c r="R118" s="254">
        <f t="shared" si="29"/>
        <v>1232232.3275294115</v>
      </c>
      <c r="S118" s="178">
        <f t="shared" si="29"/>
        <v>906362.94377854653</v>
      </c>
      <c r="T118" s="179" t="str">
        <f>T101</f>
        <v>NA</v>
      </c>
      <c r="U118" s="180" t="s">
        <v>12</v>
      </c>
    </row>
    <row r="119" spans="2:21" ht="18.5" thickTop="1" x14ac:dyDescent="0.4">
      <c r="B119" s="477" t="s">
        <v>13</v>
      </c>
      <c r="C119" s="88" t="s">
        <v>45</v>
      </c>
      <c r="D119" s="86" t="s">
        <v>46</v>
      </c>
      <c r="E119" s="86" t="s">
        <v>47</v>
      </c>
      <c r="F119" s="86" t="s">
        <v>48</v>
      </c>
      <c r="G119" s="86" t="s">
        <v>49</v>
      </c>
      <c r="H119" s="86" t="s">
        <v>50</v>
      </c>
      <c r="I119" s="87" t="s">
        <v>13</v>
      </c>
      <c r="J119" s="88" t="s">
        <v>56</v>
      </c>
      <c r="K119" s="86" t="s">
        <v>13</v>
      </c>
      <c r="L119" s="87" t="s">
        <v>68</v>
      </c>
      <c r="M119" s="88" t="s">
        <v>56</v>
      </c>
      <c r="N119" s="86" t="s">
        <v>13</v>
      </c>
      <c r="O119" s="87" t="s">
        <v>68</v>
      </c>
      <c r="P119" s="88" t="s">
        <v>56</v>
      </c>
      <c r="Q119" s="86" t="s">
        <v>13</v>
      </c>
      <c r="R119" s="87" t="s">
        <v>68</v>
      </c>
      <c r="S119" s="87"/>
      <c r="T119" s="31"/>
      <c r="U119" s="111"/>
    </row>
    <row r="120" spans="2:21" x14ac:dyDescent="0.25">
      <c r="B120" s="478" t="s">
        <v>75</v>
      </c>
      <c r="C120" s="154">
        <f t="shared" ref="C120:I121" si="30">C105+C107+C109+C111+C113+C115+C117</f>
        <v>0</v>
      </c>
      <c r="D120" s="58">
        <f t="shared" si="30"/>
        <v>14</v>
      </c>
      <c r="E120" s="58">
        <f t="shared" si="30"/>
        <v>16</v>
      </c>
      <c r="F120" s="58">
        <f t="shared" si="30"/>
        <v>19</v>
      </c>
      <c r="G120" s="58">
        <f t="shared" si="30"/>
        <v>18</v>
      </c>
      <c r="H120" s="58">
        <f t="shared" si="30"/>
        <v>8</v>
      </c>
      <c r="I120" s="57">
        <f t="shared" si="30"/>
        <v>75</v>
      </c>
      <c r="J120" s="285" t="s">
        <v>12</v>
      </c>
      <c r="K120" s="231">
        <f>K105+K107+K109+K111+K113+K117</f>
        <v>26690</v>
      </c>
      <c r="L120" s="239">
        <f>L105+L107+L109+L111+L113+L115+L117</f>
        <v>17527.142857142855</v>
      </c>
      <c r="M120" s="83" t="s">
        <v>12</v>
      </c>
      <c r="N120" s="58">
        <f>N105+N107+N109+N111+N113+N117</f>
        <v>40150</v>
      </c>
      <c r="O120" s="57">
        <f>O105+O107+O109+O111+O113+O115+O117</f>
        <v>26307.142857142855</v>
      </c>
      <c r="P120" s="285" t="s">
        <v>12</v>
      </c>
      <c r="Q120" s="231">
        <f>Q105+Q107+Q109+Q111+Q113+Q117</f>
        <v>49610</v>
      </c>
      <c r="R120" s="239">
        <f>R105+R107+R109+R111+R113+R115+R117</f>
        <v>34515.71428571429</v>
      </c>
      <c r="S120" s="141">
        <f>S105+S107+S109+S111+S113+S115+S117</f>
        <v>26116.666666666664</v>
      </c>
      <c r="T120" s="57"/>
      <c r="U120" s="113" t="s">
        <v>12</v>
      </c>
    </row>
    <row r="121" spans="2:21" s="189" customFormat="1" ht="16" thickBot="1" x14ac:dyDescent="0.4">
      <c r="B121" s="479" t="s">
        <v>76</v>
      </c>
      <c r="C121" s="480">
        <f t="shared" si="30"/>
        <v>0</v>
      </c>
      <c r="D121" s="481">
        <f t="shared" si="30"/>
        <v>339</v>
      </c>
      <c r="E121" s="481">
        <f t="shared" si="30"/>
        <v>404</v>
      </c>
      <c r="F121" s="481">
        <f t="shared" si="30"/>
        <v>524</v>
      </c>
      <c r="G121" s="481">
        <f t="shared" si="30"/>
        <v>565</v>
      </c>
      <c r="H121" s="481">
        <f t="shared" si="30"/>
        <v>303</v>
      </c>
      <c r="I121" s="482">
        <f t="shared" si="30"/>
        <v>2135</v>
      </c>
      <c r="J121" s="483">
        <f>J106+J108+J110+J112+J114+J116+J118</f>
        <v>4567.2747404844285</v>
      </c>
      <c r="K121" s="484">
        <f>K106+K108+K110+K112+K114+K118</f>
        <v>1019497.0131487889</v>
      </c>
      <c r="L121" s="485">
        <f>L106+L108+L110+L112+L114+L116+L118</f>
        <v>1128692.3167572911</v>
      </c>
      <c r="M121" s="480">
        <f>M106+M108+M110+M112+M114+M116+M118</f>
        <v>4749.965730103806</v>
      </c>
      <c r="N121" s="486">
        <f>N106+N108+N110+N112+N114+N118</f>
        <v>1362294.6210103808</v>
      </c>
      <c r="O121" s="482">
        <f>O106+O108+O110+O112+O114+O116+O118</f>
        <v>1507322.8827839843</v>
      </c>
      <c r="P121" s="487">
        <f>P106+P108+P110+P112+P114+P116+P118</f>
        <v>4844.9650447058821</v>
      </c>
      <c r="Q121" s="484">
        <f>Q106+Q108+Q110+Q112+Q114+Q118</f>
        <v>2179281.1622399995</v>
      </c>
      <c r="R121" s="485">
        <f>R106+R108+R110+R112+R114+R116+R118</f>
        <v>2303362.8411267223</v>
      </c>
      <c r="S121" s="488">
        <f>S106+S108+S110+S112+S114+S116+S118</f>
        <v>1572630.775460761</v>
      </c>
      <c r="T121" s="482">
        <f>SUM(T106,T108,T110,T112,T114,T116,T118)</f>
        <v>0</v>
      </c>
      <c r="U121" s="489">
        <f>SUM(U106,U108,U110,U112,U114,U116,U118)</f>
        <v>73828.571428571435</v>
      </c>
    </row>
  </sheetData>
  <mergeCells count="35">
    <mergeCell ref="F2:G2"/>
    <mergeCell ref="S2:T2"/>
    <mergeCell ref="C5:I5"/>
    <mergeCell ref="G7:I7"/>
    <mergeCell ref="K8:L8"/>
    <mergeCell ref="N8:O8"/>
    <mergeCell ref="Q8:R8"/>
    <mergeCell ref="G53:I53"/>
    <mergeCell ref="G18:I18"/>
    <mergeCell ref="K19:L19"/>
    <mergeCell ref="N19:O19"/>
    <mergeCell ref="Q19:R19"/>
    <mergeCell ref="G31:I31"/>
    <mergeCell ref="G32:I32"/>
    <mergeCell ref="K32:L32"/>
    <mergeCell ref="N32:O32"/>
    <mergeCell ref="Q32:R32"/>
    <mergeCell ref="G41:I41"/>
    <mergeCell ref="G42:I42"/>
    <mergeCell ref="K42:L42"/>
    <mergeCell ref="N42:O42"/>
    <mergeCell ref="Q42:R42"/>
    <mergeCell ref="K54:L54"/>
    <mergeCell ref="N54:O54"/>
    <mergeCell ref="Q54:R54"/>
    <mergeCell ref="G70:I70"/>
    <mergeCell ref="K71:L71"/>
    <mergeCell ref="N71:O71"/>
    <mergeCell ref="Q71:R71"/>
    <mergeCell ref="N87:O87"/>
    <mergeCell ref="Q87:R87"/>
    <mergeCell ref="G93:I93"/>
    <mergeCell ref="K94:L94"/>
    <mergeCell ref="N94:O94"/>
    <mergeCell ref="Q94:R94"/>
  </mergeCells>
  <dataValidations disablePrompts="1" count="1">
    <dataValidation allowBlank="1" showInputMessage="1" showErrorMessage="1" sqref="D34 D21" xr:uid="{6BDAD203-F368-4420-8B16-824997860FD4}"/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5:R64"/>
  <sheetViews>
    <sheetView topLeftCell="A31" workbookViewId="0">
      <selection activeCell="F45" sqref="F45"/>
    </sheetView>
  </sheetViews>
  <sheetFormatPr defaultRowHeight="12.5" x14ac:dyDescent="0.25"/>
  <cols>
    <col min="1" max="1" width="2" customWidth="1"/>
    <col min="2" max="2" width="20.7265625" bestFit="1" customWidth="1"/>
    <col min="3" max="3" width="11.1796875" bestFit="1" customWidth="1"/>
    <col min="4" max="4" width="16.453125" customWidth="1"/>
    <col min="5" max="5" width="11.7265625" customWidth="1"/>
    <col min="6" max="6" width="13.81640625" customWidth="1"/>
    <col min="7" max="7" width="12.453125" customWidth="1"/>
    <col min="9" max="9" width="11.1796875" bestFit="1" customWidth="1"/>
    <col min="10" max="10" width="10.1796875" bestFit="1" customWidth="1"/>
    <col min="11" max="11" width="12.1796875" customWidth="1"/>
    <col min="12" max="12" width="11.1796875" bestFit="1" customWidth="1"/>
    <col min="14" max="14" width="11.1796875" bestFit="1" customWidth="1"/>
    <col min="15" max="15" width="10" customWidth="1"/>
    <col min="16" max="16" width="10.1796875" customWidth="1"/>
    <col min="17" max="17" width="11.1796875" bestFit="1" customWidth="1"/>
  </cols>
  <sheetData>
    <row r="5" spans="2:18" ht="13" thickBot="1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2:18" x14ac:dyDescent="0.25">
      <c r="B6" s="1212" t="s">
        <v>276</v>
      </c>
      <c r="C6" s="1209" t="s">
        <v>378</v>
      </c>
      <c r="D6" s="1210"/>
      <c r="E6" s="1210"/>
      <c r="F6" s="1210"/>
      <c r="G6" s="1211"/>
      <c r="H6" s="1209" t="s">
        <v>379</v>
      </c>
      <c r="I6" s="1210"/>
      <c r="J6" s="1210"/>
      <c r="K6" s="1210"/>
      <c r="L6" s="1211"/>
      <c r="M6" s="1209" t="s">
        <v>380</v>
      </c>
      <c r="N6" s="1210"/>
      <c r="O6" s="1210"/>
      <c r="P6" s="1210"/>
      <c r="Q6" s="1211"/>
    </row>
    <row r="7" spans="2:18" ht="25.5" thickBot="1" x14ac:dyDescent="0.3">
      <c r="B7" s="1213"/>
      <c r="C7" s="740" t="s">
        <v>277</v>
      </c>
      <c r="D7" s="741" t="s">
        <v>278</v>
      </c>
      <c r="E7" s="741" t="s">
        <v>279</v>
      </c>
      <c r="F7" s="742" t="s">
        <v>280</v>
      </c>
      <c r="G7" s="743" t="s">
        <v>281</v>
      </c>
      <c r="H7" s="740" t="s">
        <v>277</v>
      </c>
      <c r="I7" s="741" t="s">
        <v>278</v>
      </c>
      <c r="J7" s="741" t="s">
        <v>279</v>
      </c>
      <c r="K7" s="742" t="s">
        <v>280</v>
      </c>
      <c r="L7" s="743" t="s">
        <v>281</v>
      </c>
      <c r="M7" s="740" t="s">
        <v>277</v>
      </c>
      <c r="N7" s="741" t="s">
        <v>278</v>
      </c>
      <c r="O7" s="741" t="s">
        <v>279</v>
      </c>
      <c r="P7" s="742" t="s">
        <v>280</v>
      </c>
      <c r="Q7" s="743" t="s">
        <v>281</v>
      </c>
    </row>
    <row r="8" spans="2:18" x14ac:dyDescent="0.25">
      <c r="B8" s="735" t="s">
        <v>282</v>
      </c>
      <c r="C8" s="733">
        <f>'SO2'!S105</f>
        <v>450.57142857142861</v>
      </c>
      <c r="D8" s="730">
        <f>'SO2'!S106</f>
        <v>31513.473746823529</v>
      </c>
      <c r="E8" s="730"/>
      <c r="F8" s="545"/>
      <c r="G8" s="642">
        <f t="shared" ref="G8:G14" si="0">SUM(D8:F8)</f>
        <v>31513.473746823529</v>
      </c>
      <c r="H8" s="351">
        <f>CO!S105</f>
        <v>385.42857142857139</v>
      </c>
      <c r="I8" s="545">
        <f>CO!S106</f>
        <v>26957.308867764707</v>
      </c>
      <c r="J8" s="746"/>
      <c r="K8" s="545"/>
      <c r="L8" s="642">
        <f t="shared" ref="L8:L14" si="1">SUM(I8:K8)</f>
        <v>26957.308867764707</v>
      </c>
      <c r="M8" s="747">
        <f>'NO2'!S105</f>
        <v>434.28571428571428</v>
      </c>
      <c r="N8" s="746">
        <f>'NO2'!S106</f>
        <v>30374.43252705882</v>
      </c>
      <c r="O8" s="746"/>
      <c r="P8" s="545"/>
      <c r="Q8" s="642">
        <f t="shared" ref="Q8:Q14" si="2">SUM(N8:P8)</f>
        <v>30374.43252705882</v>
      </c>
    </row>
    <row r="9" spans="2:18" x14ac:dyDescent="0.25">
      <c r="B9" s="736" t="s">
        <v>283</v>
      </c>
      <c r="C9" s="155">
        <f>'SO2'!S107</f>
        <v>1171.5999999999999</v>
      </c>
      <c r="D9" s="731">
        <f>'SO2'!S108</f>
        <v>65119.339282602072</v>
      </c>
      <c r="E9" s="731"/>
      <c r="F9" s="1077">
        <f>'SO2'!U108</f>
        <v>760967.60691435274</v>
      </c>
      <c r="G9" s="528">
        <f t="shared" si="0"/>
        <v>826086.94619695481</v>
      </c>
      <c r="H9" s="1078">
        <f>CO!S107</f>
        <v>695.45714285714291</v>
      </c>
      <c r="I9" s="1077">
        <f>CO!S108</f>
        <v>38654.583170214537</v>
      </c>
      <c r="J9" s="1079"/>
      <c r="K9" s="1079">
        <f>CO!U108</f>
        <v>451707.372577239</v>
      </c>
      <c r="L9" s="528">
        <f t="shared" si="1"/>
        <v>490361.95574745355</v>
      </c>
      <c r="M9" s="104">
        <f>'NO2'!S107</f>
        <v>1261.0571428571429</v>
      </c>
      <c r="N9" s="1079">
        <f>'NO2'!S108</f>
        <v>70605.867489882352</v>
      </c>
      <c r="O9" s="1079"/>
      <c r="P9" s="1079">
        <f>'NO2'!U108</f>
        <v>958313.12251044193</v>
      </c>
      <c r="Q9" s="528">
        <f t="shared" si="2"/>
        <v>1028918.9900003243</v>
      </c>
    </row>
    <row r="10" spans="2:18" x14ac:dyDescent="0.25">
      <c r="B10" s="737" t="s">
        <v>284</v>
      </c>
      <c r="C10" s="733">
        <f>'SO2'!S109</f>
        <v>48720</v>
      </c>
      <c r="D10" s="730">
        <f>'SO2'!S110</f>
        <v>3067570.1362178507</v>
      </c>
      <c r="E10" s="730">
        <f>'SO2'!T110</f>
        <v>405849.39035432151</v>
      </c>
      <c r="F10" s="545"/>
      <c r="G10" s="642">
        <f t="shared" si="0"/>
        <v>3473419.5265721721</v>
      </c>
      <c r="H10" s="351">
        <f>CO!S109</f>
        <v>28920</v>
      </c>
      <c r="I10" s="545">
        <f>CO!S110</f>
        <v>1820897.5439125665</v>
      </c>
      <c r="J10" s="1080">
        <f>CO!T110</f>
        <v>240910.5987078608</v>
      </c>
      <c r="K10" s="545"/>
      <c r="L10" s="642">
        <f t="shared" si="1"/>
        <v>2061808.1426204273</v>
      </c>
      <c r="M10" s="748">
        <f>'NO2'!S109</f>
        <v>52440</v>
      </c>
      <c r="N10" s="1080">
        <f>'NO2'!S110</f>
        <v>3301793.4717418738</v>
      </c>
      <c r="O10" s="1080">
        <f>'NO2'!T110</f>
        <v>436837.89060305041</v>
      </c>
      <c r="P10" s="545"/>
      <c r="Q10" s="642">
        <f t="shared" si="2"/>
        <v>3738631.3623449244</v>
      </c>
    </row>
    <row r="11" spans="2:18" x14ac:dyDescent="0.25">
      <c r="B11" s="736" t="s">
        <v>285</v>
      </c>
      <c r="C11" s="155">
        <f>'SO2'!S111</f>
        <v>27608</v>
      </c>
      <c r="D11" s="731">
        <f>'SO2'!S112</f>
        <v>1593441.5932235294</v>
      </c>
      <c r="E11" s="731">
        <f>'SO2'!T112</f>
        <v>507311.73794290185</v>
      </c>
      <c r="F11" s="1077"/>
      <c r="G11" s="528">
        <f t="shared" si="0"/>
        <v>2100753.3311664313</v>
      </c>
      <c r="H11" s="1078">
        <f>CO!S111</f>
        <v>16388</v>
      </c>
      <c r="I11" s="1077">
        <f>CO!S112</f>
        <v>945860.65016470593</v>
      </c>
      <c r="J11" s="1079">
        <f>CO!T112</f>
        <v>301138.24838482594</v>
      </c>
      <c r="K11" s="1079"/>
      <c r="L11" s="528">
        <f t="shared" si="1"/>
        <v>1246998.8985495318</v>
      </c>
      <c r="M11" s="104">
        <f>'NO2'!S111</f>
        <v>37582</v>
      </c>
      <c r="N11" s="1079">
        <f>'NO2'!S112</f>
        <v>2205967.484566588</v>
      </c>
      <c r="O11" s="1079">
        <f>'NO2'!T112</f>
        <v>546047.36325381312</v>
      </c>
      <c r="P11" s="1079"/>
      <c r="Q11" s="528">
        <f t="shared" si="2"/>
        <v>2752014.8478204012</v>
      </c>
    </row>
    <row r="12" spans="2:18" x14ac:dyDescent="0.25">
      <c r="B12" s="737" t="s">
        <v>286</v>
      </c>
      <c r="C12" s="733">
        <f>'SO2'!S113</f>
        <v>15935.5</v>
      </c>
      <c r="D12" s="730">
        <f>'SO2'!S114</f>
        <v>939008.39803482348</v>
      </c>
      <c r="E12" s="730"/>
      <c r="F12" s="545"/>
      <c r="G12" s="642">
        <f t="shared" si="0"/>
        <v>939008.39803482348</v>
      </c>
      <c r="H12" s="351">
        <f>CO!S113</f>
        <v>9459.25</v>
      </c>
      <c r="I12" s="545">
        <f>CO!S114</f>
        <v>557391.68454776471</v>
      </c>
      <c r="J12" s="1080"/>
      <c r="K12" s="545"/>
      <c r="L12" s="642">
        <f t="shared" si="1"/>
        <v>557391.68454776471</v>
      </c>
      <c r="M12" s="748">
        <f>'NO2'!S113</f>
        <v>21959.25</v>
      </c>
      <c r="N12" s="1080">
        <f>'NO2'!S114</f>
        <v>1324677.178846339</v>
      </c>
      <c r="O12" s="1080"/>
      <c r="P12" s="545"/>
      <c r="Q12" s="642">
        <f t="shared" si="2"/>
        <v>1324677.178846339</v>
      </c>
    </row>
    <row r="13" spans="2:18" x14ac:dyDescent="0.25">
      <c r="B13" s="736" t="s">
        <v>287</v>
      </c>
      <c r="C13" s="155">
        <f>'SO2'!S115</f>
        <v>31552.5</v>
      </c>
      <c r="D13" s="731">
        <f>'SO2'!S116</f>
        <v>1915224.1492449883</v>
      </c>
      <c r="E13" s="731"/>
      <c r="F13" s="1077"/>
      <c r="G13" s="528">
        <f t="shared" si="0"/>
        <v>1915224.1492449883</v>
      </c>
      <c r="H13" s="1078">
        <f>CO!S115</f>
        <v>18805.5</v>
      </c>
      <c r="I13" s="1077">
        <f>CO!S116</f>
        <v>1142145.5019309176</v>
      </c>
      <c r="J13" s="1079"/>
      <c r="K13" s="1079"/>
      <c r="L13" s="528">
        <f t="shared" si="1"/>
        <v>1142145.5019309176</v>
      </c>
      <c r="M13" s="104">
        <f>'NO2'!S115</f>
        <v>59275</v>
      </c>
      <c r="N13" s="1079">
        <f>'NO2'!S116</f>
        <v>3628396.8531275294</v>
      </c>
      <c r="O13" s="1079"/>
      <c r="P13" s="1079"/>
      <c r="Q13" s="528">
        <f t="shared" si="2"/>
        <v>3628396.8531275294</v>
      </c>
    </row>
    <row r="14" spans="2:18" ht="13" thickBot="1" x14ac:dyDescent="0.3">
      <c r="B14" s="738" t="s">
        <v>288</v>
      </c>
      <c r="C14" s="734">
        <f>'SO2'!S117</f>
        <v>17052</v>
      </c>
      <c r="D14" s="535">
        <f>'SO2'!S118</f>
        <v>1101494.5548649412</v>
      </c>
      <c r="E14" s="535"/>
      <c r="F14" s="1081"/>
      <c r="G14" s="307">
        <f t="shared" si="0"/>
        <v>1101494.5548649412</v>
      </c>
      <c r="H14" s="351">
        <f>CO!S117</f>
        <v>10122</v>
      </c>
      <c r="I14" s="545">
        <f>CO!S118</f>
        <v>653842.82690258825</v>
      </c>
      <c r="J14" s="1080"/>
      <c r="K14" s="545"/>
      <c r="L14" s="307">
        <f t="shared" si="1"/>
        <v>653842.82690258825</v>
      </c>
      <c r="M14" s="749">
        <f>'NO2'!S117</f>
        <v>18354</v>
      </c>
      <c r="N14" s="1080">
        <f>'NO2'!S118</f>
        <v>1185598.8189063529</v>
      </c>
      <c r="O14" s="729"/>
      <c r="P14" s="545"/>
      <c r="Q14" s="307">
        <f t="shared" si="2"/>
        <v>1185598.8189063529</v>
      </c>
    </row>
    <row r="15" spans="2:18" ht="13.5" thickBot="1" x14ac:dyDescent="0.35">
      <c r="B15" s="739" t="s">
        <v>289</v>
      </c>
      <c r="C15" s="1082">
        <f t="shared" ref="C15:Q15" si="3">SUM(C8:C14)</f>
        <v>142490.17142857143</v>
      </c>
      <c r="D15" s="732">
        <f t="shared" si="3"/>
        <v>8713371.644615557</v>
      </c>
      <c r="E15" s="732">
        <f t="shared" si="3"/>
        <v>913161.12829722336</v>
      </c>
      <c r="F15" s="1083">
        <f t="shared" si="3"/>
        <v>760967.60691435274</v>
      </c>
      <c r="G15" s="1084">
        <f t="shared" si="3"/>
        <v>10387500.379827134</v>
      </c>
      <c r="H15" s="1082">
        <f>SUM(H8:H14)</f>
        <v>84775.635714285716</v>
      </c>
      <c r="I15" s="732">
        <f>SUM(I8:I14)</f>
        <v>5185750.099496522</v>
      </c>
      <c r="J15" s="732">
        <f>SUM(J8:J14)</f>
        <v>542048.84709268669</v>
      </c>
      <c r="K15" s="1085">
        <f>SUM(K8:K14)</f>
        <v>451707.372577239</v>
      </c>
      <c r="L15" s="1086">
        <f>SUM(L8:L14)</f>
        <v>6179506.319166448</v>
      </c>
      <c r="M15" s="764">
        <f t="shared" si="3"/>
        <v>191305.59285714285</v>
      </c>
      <c r="N15" s="1085">
        <f t="shared" si="3"/>
        <v>11747414.107205626</v>
      </c>
      <c r="O15" s="1085">
        <f t="shared" si="3"/>
        <v>982885.25385686359</v>
      </c>
      <c r="P15" s="732">
        <f t="shared" si="3"/>
        <v>958313.12251044193</v>
      </c>
      <c r="Q15" s="1086">
        <f t="shared" si="3"/>
        <v>13688612.48357293</v>
      </c>
      <c r="R15" s="144"/>
    </row>
    <row r="16" spans="2:18" ht="13" x14ac:dyDescent="0.3">
      <c r="B16" s="1"/>
    </row>
    <row r="17" spans="2:17" ht="13.5" thickBot="1" x14ac:dyDescent="0.35"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2:17" x14ac:dyDescent="0.25">
      <c r="B18" s="1212" t="s">
        <v>276</v>
      </c>
      <c r="C18" s="1209" t="s">
        <v>383</v>
      </c>
      <c r="D18" s="1210"/>
      <c r="E18" s="1210"/>
      <c r="F18" s="1210"/>
      <c r="G18" s="1211"/>
      <c r="H18" s="1209" t="s">
        <v>382</v>
      </c>
      <c r="I18" s="1210"/>
      <c r="J18" s="1210"/>
      <c r="K18" s="1210"/>
      <c r="L18" s="1211"/>
      <c r="M18" s="1209" t="s">
        <v>381</v>
      </c>
      <c r="N18" s="1210"/>
      <c r="O18" s="1210"/>
      <c r="P18" s="1210"/>
      <c r="Q18" s="1211"/>
    </row>
    <row r="19" spans="2:17" ht="25.5" thickBot="1" x14ac:dyDescent="0.3">
      <c r="B19" s="1213"/>
      <c r="C19" s="740" t="s">
        <v>277</v>
      </c>
      <c r="D19" s="741" t="s">
        <v>278</v>
      </c>
      <c r="E19" s="741" t="s">
        <v>279</v>
      </c>
      <c r="F19" s="742" t="s">
        <v>280</v>
      </c>
      <c r="G19" s="743" t="s">
        <v>281</v>
      </c>
      <c r="H19" s="740" t="s">
        <v>277</v>
      </c>
      <c r="I19" s="741" t="s">
        <v>278</v>
      </c>
      <c r="J19" s="741" t="s">
        <v>279</v>
      </c>
      <c r="K19" s="742" t="s">
        <v>280</v>
      </c>
      <c r="L19" s="743" t="s">
        <v>281</v>
      </c>
      <c r="M19" s="740" t="s">
        <v>277</v>
      </c>
      <c r="N19" s="741" t="s">
        <v>278</v>
      </c>
      <c r="O19" s="741" t="s">
        <v>279</v>
      </c>
      <c r="P19" s="742" t="s">
        <v>280</v>
      </c>
      <c r="Q19" s="743" t="s">
        <v>281</v>
      </c>
    </row>
    <row r="20" spans="2:17" x14ac:dyDescent="0.25">
      <c r="B20" s="735" t="s">
        <v>282</v>
      </c>
      <c r="C20" s="747">
        <f>'O3'!S115</f>
        <v>559.14285714285711</v>
      </c>
      <c r="D20" s="1129">
        <f>'O3'!S116</f>
        <v>39107.081878588237</v>
      </c>
      <c r="E20" s="746"/>
      <c r="F20" s="545"/>
      <c r="G20" s="642">
        <f t="shared" ref="G20:G26" si="4">SUM(D20:F20)</f>
        <v>39107.081878588237</v>
      </c>
      <c r="H20" s="747">
        <f>'PM10'!S156</f>
        <v>484.28571428571422</v>
      </c>
      <c r="I20" s="746">
        <f>'PM10'!S157</f>
        <v>43439.292175058821</v>
      </c>
      <c r="J20" s="840"/>
      <c r="K20" s="351"/>
      <c r="L20" s="642">
        <f t="shared" ref="L20:L26" si="5">SUM(I20:K20)</f>
        <v>43439.292175058821</v>
      </c>
      <c r="M20" s="747">
        <f>'PM25'!S233</f>
        <v>279</v>
      </c>
      <c r="N20" s="840">
        <f>'PM25'!S234</f>
        <v>19153.32873035294</v>
      </c>
      <c r="O20" s="733"/>
      <c r="P20" s="351"/>
      <c r="Q20" s="1087">
        <f t="shared" ref="Q20:Q26" si="6">SUM(N20:P20)</f>
        <v>19153.32873035294</v>
      </c>
    </row>
    <row r="21" spans="2:17" x14ac:dyDescent="0.25">
      <c r="B21" s="736" t="s">
        <v>283</v>
      </c>
      <c r="C21" s="104">
        <f>'O3'!S117</f>
        <v>3301.2571428571428</v>
      </c>
      <c r="D21" s="1079">
        <f>'O3'!S118</f>
        <v>180063.42711983388</v>
      </c>
      <c r="E21" s="1079"/>
      <c r="F21" s="1131">
        <f>'O3'!U118</f>
        <v>2617814.2502745404</v>
      </c>
      <c r="G21" s="528">
        <f t="shared" si="4"/>
        <v>2797877.6773943743</v>
      </c>
      <c r="H21" s="104">
        <f>'PM10'!S158</f>
        <v>1192.2542857142857</v>
      </c>
      <c r="I21" s="1079">
        <f>'PM10'!S159</f>
        <v>69744.462039642356</v>
      </c>
      <c r="J21" s="155"/>
      <c r="K21" s="761">
        <f>'PM10'!U159</f>
        <v>1970414.2261712947</v>
      </c>
      <c r="L21" s="528">
        <f t="shared" si="5"/>
        <v>2040158.688210937</v>
      </c>
      <c r="M21" s="104">
        <f>'PM25'!S235</f>
        <v>3610.9942857142864</v>
      </c>
      <c r="N21" s="155">
        <f>'PM25'!S236</f>
        <v>285666.09856873419</v>
      </c>
      <c r="O21" s="155"/>
      <c r="P21" s="761">
        <f>'PM25'!U236</f>
        <v>4230670.3664516853</v>
      </c>
      <c r="Q21" s="148">
        <f t="shared" si="6"/>
        <v>4516336.4650204191</v>
      </c>
    </row>
    <row r="22" spans="2:17" x14ac:dyDescent="0.25">
      <c r="B22" s="737" t="s">
        <v>284</v>
      </c>
      <c r="C22" s="748">
        <f>'O3'!S119</f>
        <v>95900.000000000015</v>
      </c>
      <c r="D22" s="1080">
        <f>'O3'!S120</f>
        <v>7283674.2577694124</v>
      </c>
      <c r="E22" s="1130">
        <f>'O3'!T120</f>
        <v>1110587.8637528354</v>
      </c>
      <c r="F22" s="545"/>
      <c r="G22" s="642">
        <f t="shared" si="4"/>
        <v>8394262.1215222478</v>
      </c>
      <c r="H22" s="748">
        <f>'PM10'!S160</f>
        <v>9546.6666666666661</v>
      </c>
      <c r="I22" s="1080">
        <f>'PM10'!S161</f>
        <v>3594135.5399954598</v>
      </c>
      <c r="J22" s="733">
        <f>'PM10'!T161</f>
        <v>757866.75763139932</v>
      </c>
      <c r="K22" s="351">
        <f>'PM10'!U62</f>
        <v>38771.32634806414</v>
      </c>
      <c r="L22" s="642">
        <f t="shared" si="5"/>
        <v>4390773.623974924</v>
      </c>
      <c r="M22" s="748">
        <f>'PM25'!S237</f>
        <v>23904</v>
      </c>
      <c r="N22" s="733">
        <f>'PM25'!S238</f>
        <v>10949498.249119624</v>
      </c>
      <c r="O22" s="733">
        <f>'PM25'!T238</f>
        <v>221917.64694251076</v>
      </c>
      <c r="P22" s="351">
        <f>'PM25'!U238</f>
        <v>4332300.8659252562</v>
      </c>
      <c r="Q22" s="1087">
        <f t="shared" si="6"/>
        <v>15503716.761987392</v>
      </c>
    </row>
    <row r="23" spans="2:17" x14ac:dyDescent="0.25">
      <c r="B23" s="736" t="s">
        <v>285</v>
      </c>
      <c r="C23" s="104">
        <f>'O3'!S121</f>
        <v>54343.333333333336</v>
      </c>
      <c r="D23" s="1079">
        <f>'O3'!S122</f>
        <v>4360378.3499294119</v>
      </c>
      <c r="E23" s="1079">
        <f>'O3'!T122</f>
        <v>1388234.8296910441</v>
      </c>
      <c r="F23" s="1079"/>
      <c r="G23" s="528">
        <f t="shared" si="4"/>
        <v>5748613.179620456</v>
      </c>
      <c r="H23" s="104">
        <f>'PM10'!S162</f>
        <v>11200</v>
      </c>
      <c r="I23" s="1079">
        <f>'PM10'!S163</f>
        <v>1904888.503115294</v>
      </c>
      <c r="J23" s="155">
        <f>'PM10'!T163</f>
        <v>577691.87006022688</v>
      </c>
      <c r="K23" s="761"/>
      <c r="L23" s="528">
        <f t="shared" si="5"/>
        <v>2482580.3731755209</v>
      </c>
      <c r="M23" s="104">
        <f>'PM25'!S239</f>
        <v>38884</v>
      </c>
      <c r="N23" s="155">
        <f>'PM25'!S240</f>
        <v>2240672.7375450348</v>
      </c>
      <c r="O23" s="155">
        <f>'PM25'!T240</f>
        <v>407517.52131529135</v>
      </c>
      <c r="P23" s="761"/>
      <c r="Q23" s="148">
        <f t="shared" si="6"/>
        <v>2648190.2588603264</v>
      </c>
    </row>
    <row r="24" spans="2:17" x14ac:dyDescent="0.25">
      <c r="B24" s="737" t="s">
        <v>286</v>
      </c>
      <c r="C24" s="748">
        <f>'O3'!S123</f>
        <v>31445.250000000004</v>
      </c>
      <c r="D24" s="1080">
        <f>'O3'!S124</f>
        <v>2569552.5374795292</v>
      </c>
      <c r="E24" s="1080"/>
      <c r="F24" s="545"/>
      <c r="G24" s="642">
        <f t="shared" si="4"/>
        <v>2569552.5374795292</v>
      </c>
      <c r="H24" s="748">
        <f>'PM10'!S164</f>
        <v>59276.534883720939</v>
      </c>
      <c r="I24" s="1080">
        <f>'PM10'!S165</f>
        <v>5569480.0814150851</v>
      </c>
      <c r="J24" s="733"/>
      <c r="K24" s="351"/>
      <c r="L24" s="642">
        <f t="shared" si="5"/>
        <v>5569480.0814150851</v>
      </c>
      <c r="M24" s="748">
        <f>'PM25'!S241</f>
        <v>112990.90000000001</v>
      </c>
      <c r="N24" s="733">
        <f>'PM25'!S242</f>
        <v>7048059.8225618815</v>
      </c>
      <c r="O24" s="733"/>
      <c r="P24" s="351"/>
      <c r="Q24" s="1087">
        <f t="shared" si="6"/>
        <v>7048059.8225618815</v>
      </c>
    </row>
    <row r="25" spans="2:17" x14ac:dyDescent="0.25">
      <c r="B25" s="736" t="s">
        <v>287</v>
      </c>
      <c r="C25" s="104">
        <f>'O3'!S125</f>
        <v>62656.333333333343</v>
      </c>
      <c r="D25" s="1079">
        <f>'O3'!S126</f>
        <v>5194377.0053748926</v>
      </c>
      <c r="E25" s="1079"/>
      <c r="F25" s="1079"/>
      <c r="G25" s="528">
        <f t="shared" si="4"/>
        <v>5194377.0053748926</v>
      </c>
      <c r="H25" s="104">
        <f>'PM10'!S166</f>
        <v>17779.366666666665</v>
      </c>
      <c r="I25" s="1079">
        <f>'PM10'!S167</f>
        <v>1779715.8191656747</v>
      </c>
      <c r="J25" s="155"/>
      <c r="K25" s="761">
        <f>'PM10'!T135</f>
        <v>6846.5663999999997</v>
      </c>
      <c r="L25" s="528">
        <f t="shared" si="5"/>
        <v>1786562.3855656746</v>
      </c>
      <c r="M25" s="104">
        <f>'PM25'!S243</f>
        <v>41282</v>
      </c>
      <c r="N25" s="155">
        <f>'PM25'!S244</f>
        <v>3300125.9883241635</v>
      </c>
      <c r="O25" s="155"/>
      <c r="P25" s="761">
        <f>'PM25'!U244</f>
        <v>3902.3018659992185</v>
      </c>
      <c r="Q25" s="148">
        <f t="shared" si="6"/>
        <v>3304028.2901901626</v>
      </c>
    </row>
    <row r="26" spans="2:17" ht="13" thickBot="1" x14ac:dyDescent="0.3">
      <c r="B26" s="738" t="s">
        <v>288</v>
      </c>
      <c r="C26" s="748">
        <f>'O3'!S127</f>
        <v>33565</v>
      </c>
      <c r="D26" s="729">
        <f>'O3'!S128</f>
        <v>3014188.3016131762</v>
      </c>
      <c r="E26" s="729"/>
      <c r="F26" s="545"/>
      <c r="G26" s="307">
        <f t="shared" si="4"/>
        <v>3014188.3016131762</v>
      </c>
      <c r="H26" s="749">
        <f>'PM10'!S168</f>
        <v>13110</v>
      </c>
      <c r="I26" s="729">
        <f>'PM10'!S169</f>
        <v>878355.24276705889</v>
      </c>
      <c r="J26" s="734"/>
      <c r="K26" s="351"/>
      <c r="L26" s="642">
        <f t="shared" si="5"/>
        <v>878355.24276705889</v>
      </c>
      <c r="M26" s="748">
        <f>'PM25'!S245</f>
        <v>67248</v>
      </c>
      <c r="N26" s="734">
        <f>'PM25'!S246</f>
        <v>4491296.3868310591</v>
      </c>
      <c r="O26" s="733"/>
      <c r="P26" s="351"/>
      <c r="Q26" s="1087">
        <f t="shared" si="6"/>
        <v>4491296.3868310591</v>
      </c>
    </row>
    <row r="27" spans="2:17" ht="13.5" thickBot="1" x14ac:dyDescent="0.35">
      <c r="B27" s="739" t="s">
        <v>289</v>
      </c>
      <c r="C27" s="764">
        <f t="shared" ref="C27:L27" si="7">SUM(C20:C26)</f>
        <v>281770.31666666665</v>
      </c>
      <c r="D27" s="1085">
        <f t="shared" si="7"/>
        <v>22641340.961164847</v>
      </c>
      <c r="E27" s="732">
        <f t="shared" si="7"/>
        <v>2498822.6934438795</v>
      </c>
      <c r="F27" s="1083">
        <f t="shared" si="7"/>
        <v>2617814.2502745404</v>
      </c>
      <c r="G27" s="1084">
        <f t="shared" si="7"/>
        <v>27757977.904883265</v>
      </c>
      <c r="H27" s="764">
        <f t="shared" si="7"/>
        <v>112589.10821705428</v>
      </c>
      <c r="I27" s="732">
        <f t="shared" si="7"/>
        <v>13839758.940673273</v>
      </c>
      <c r="J27" s="732">
        <f t="shared" si="7"/>
        <v>1335558.6276916261</v>
      </c>
      <c r="K27" s="732">
        <f t="shared" si="7"/>
        <v>2016032.1189193588</v>
      </c>
      <c r="L27" s="732">
        <f t="shared" si="7"/>
        <v>17191349.687284257</v>
      </c>
      <c r="M27" s="764">
        <f>SUM(M20:M26)</f>
        <v>288198.89428571431</v>
      </c>
      <c r="N27" s="1088">
        <f>SUM(N20:N26)</f>
        <v>28334472.61168085</v>
      </c>
      <c r="O27" s="1089">
        <f>SUM(O20:O26)</f>
        <v>629435.16825780214</v>
      </c>
      <c r="P27" s="1088">
        <f>SUM(P20:P26)</f>
        <v>8566873.5342429392</v>
      </c>
      <c r="Q27" s="1090">
        <f>SUM(Q20:Q26)</f>
        <v>37530781.314181596</v>
      </c>
    </row>
    <row r="29" spans="2:17" ht="13" thickBot="1" x14ac:dyDescent="0.3"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2:17" x14ac:dyDescent="0.25">
      <c r="B30" s="1212" t="s">
        <v>276</v>
      </c>
      <c r="C30" s="1209" t="s">
        <v>384</v>
      </c>
      <c r="D30" s="1210"/>
      <c r="E30" s="1210"/>
      <c r="F30" s="1210"/>
      <c r="G30" s="1211"/>
      <c r="H30" s="1209" t="s">
        <v>385</v>
      </c>
      <c r="I30" s="1210"/>
      <c r="J30" s="1210"/>
      <c r="K30" s="1210"/>
      <c r="L30" s="1211"/>
      <c r="M30" s="1206" t="s">
        <v>386</v>
      </c>
      <c r="N30" s="1207"/>
      <c r="O30" s="1207"/>
      <c r="P30" s="1207"/>
      <c r="Q30" s="1208"/>
    </row>
    <row r="31" spans="2:17" ht="25.5" thickBot="1" x14ac:dyDescent="0.3">
      <c r="B31" s="1213"/>
      <c r="C31" s="740" t="s">
        <v>277</v>
      </c>
      <c r="D31" s="741" t="s">
        <v>278</v>
      </c>
      <c r="E31" s="741" t="s">
        <v>279</v>
      </c>
      <c r="F31" s="742" t="s">
        <v>280</v>
      </c>
      <c r="G31" s="743" t="s">
        <v>281</v>
      </c>
      <c r="H31" s="740" t="s">
        <v>277</v>
      </c>
      <c r="I31" s="741" t="s">
        <v>278</v>
      </c>
      <c r="J31" s="741" t="s">
        <v>279</v>
      </c>
      <c r="K31" s="742" t="s">
        <v>280</v>
      </c>
      <c r="L31" s="743" t="s">
        <v>281</v>
      </c>
      <c r="M31" s="1107" t="s">
        <v>277</v>
      </c>
      <c r="N31" s="1108" t="s">
        <v>278</v>
      </c>
      <c r="O31" s="1108" t="s">
        <v>279</v>
      </c>
      <c r="P31" s="1109" t="s">
        <v>280</v>
      </c>
      <c r="Q31" s="1111" t="s">
        <v>281</v>
      </c>
    </row>
    <row r="32" spans="2:17" x14ac:dyDescent="0.25">
      <c r="B32" s="735" t="s">
        <v>282</v>
      </c>
      <c r="C32" s="747">
        <f>Pb!S104</f>
        <v>89.285714285714278</v>
      </c>
      <c r="D32" s="762">
        <f>Pb!S105</f>
        <v>5796.2857411764708</v>
      </c>
      <c r="E32" s="762"/>
      <c r="F32" s="545"/>
      <c r="G32" s="642">
        <f t="shared" ref="G32:G38" si="8">SUM(D32:F32)</f>
        <v>5796.2857411764708</v>
      </c>
      <c r="H32" s="747"/>
      <c r="I32" s="762"/>
      <c r="J32" s="762"/>
      <c r="K32" s="762"/>
      <c r="L32" s="1105">
        <f t="shared" ref="L32:L38" si="9">SUM(H32:K32)</f>
        <v>0</v>
      </c>
      <c r="M32" s="58">
        <f>'PAMS NO2'!S106+NF_PAMSSurfMet!S102+PAMS_Upper_Air!S103+PAMSCarbonyls!S110+PAMSVOC!S106</f>
        <v>0</v>
      </c>
      <c r="N32" s="58">
        <f>'PAMS NO2'!S107+NF_PAMSSurfMet!S103+PAMS_Upper_Air!S104+PAMSCarbonyls!S111+PAMSVOC!S107</f>
        <v>0</v>
      </c>
      <c r="O32" s="58"/>
      <c r="P32" s="10"/>
      <c r="Q32" s="58">
        <f>+N32+O32+P32</f>
        <v>0</v>
      </c>
    </row>
    <row r="33" spans="2:17" x14ac:dyDescent="0.25">
      <c r="B33" s="736" t="s">
        <v>283</v>
      </c>
      <c r="C33" s="104">
        <f>Pb!S106</f>
        <v>256</v>
      </c>
      <c r="D33" s="731">
        <f>Pb!S107</f>
        <v>13302.080933647059</v>
      </c>
      <c r="E33" s="731"/>
      <c r="F33" s="1077">
        <f>Pb!U107</f>
        <v>82469.395823230356</v>
      </c>
      <c r="G33" s="528">
        <f>SUM(D33:F33)</f>
        <v>95771.476756877411</v>
      </c>
      <c r="H33" s="104"/>
      <c r="I33" s="731"/>
      <c r="J33" s="731"/>
      <c r="K33" s="731"/>
      <c r="L33" s="1077">
        <f t="shared" si="9"/>
        <v>0</v>
      </c>
      <c r="M33" s="58">
        <f>'PAMS NO2'!S108+NF_PAMSSurfMet!S104+PAMS_Upper_Air!S105+PAMSCarbonyls!S112+PAMSVOC!S108</f>
        <v>829.04000000000008</v>
      </c>
      <c r="N33" s="58">
        <f>'PAMS NO2'!S109+NF_PAMSSurfMet!S105+PAMS_Upper_Air!S106+PAMSCarbonyls!S113+PAMSVOC!S109</f>
        <v>431886.34808576619</v>
      </c>
      <c r="O33" s="58"/>
      <c r="P33" s="58">
        <f>'PAMS NO2'!U109+NF_PAMSSurfMet!U105+PAMS_Upper_Air!V106+PAMSCarbonyls!U113+PAMSVOC!U109</f>
        <v>2209985.0116074774</v>
      </c>
      <c r="Q33" s="58">
        <f t="shared" ref="Q33:Q39" si="10">+N33+O33+P33</f>
        <v>2641871.3596932436</v>
      </c>
    </row>
    <row r="34" spans="2:17" x14ac:dyDescent="0.25">
      <c r="B34" s="737" t="s">
        <v>284</v>
      </c>
      <c r="C34" s="748">
        <f>Pb!S108</f>
        <v>10080</v>
      </c>
      <c r="D34" s="730">
        <f>Pb!S109</f>
        <v>554477.43210917641</v>
      </c>
      <c r="E34" s="730">
        <f>Pb!T109</f>
        <v>41984.419691826355</v>
      </c>
      <c r="F34" s="545">
        <f>Pb!U109</f>
        <v>225316.38567946813</v>
      </c>
      <c r="G34" s="642">
        <f t="shared" si="8"/>
        <v>821778.23748047091</v>
      </c>
      <c r="H34" s="748"/>
      <c r="I34" s="730"/>
      <c r="J34" s="730"/>
      <c r="K34" s="730">
        <f>NATTS!U52</f>
        <v>3556767.5928628868</v>
      </c>
      <c r="L34" s="545">
        <f t="shared" si="9"/>
        <v>3556767.5928628868</v>
      </c>
      <c r="M34" s="58">
        <f>'PAMS NO2'!S110+NF_PAMSSurfMet!S106+PAMS_Upper_Air!S107+PAMSCarbonyls!S114+PAMSVOC!S110</f>
        <v>10664</v>
      </c>
      <c r="N34" s="844">
        <f>'PAMS NO2'!S111+NF_PAMSSurfMet!S107+PAMS_Upper_Air!S108+PAMSCarbonyls!S11+PAMSVOC!S111</f>
        <v>1498561.095765559</v>
      </c>
      <c r="O34" s="58">
        <f>'PAMS NO2'!T111+NF_PAMSSurfMet!T107+PAMS_Upper_Air!T108+PAMSCarbonyls!T115+PAMSVOC!T111</f>
        <v>1848898.8960780296</v>
      </c>
      <c r="P34" s="58">
        <f>PAMSCarbonyls!U115</f>
        <v>10746.012183026985</v>
      </c>
      <c r="Q34" s="58">
        <f t="shared" si="10"/>
        <v>3358206.0040266155</v>
      </c>
    </row>
    <row r="35" spans="2:17" x14ac:dyDescent="0.25">
      <c r="B35" s="736" t="s">
        <v>285</v>
      </c>
      <c r="C35" s="104">
        <f>Pb!S110</f>
        <v>1792</v>
      </c>
      <c r="D35" s="731">
        <f>Pb!S111</f>
        <v>96086.308020705867</v>
      </c>
      <c r="E35" s="731">
        <f>Pb!T111</f>
        <v>41984.419691826355</v>
      </c>
      <c r="F35" s="1077"/>
      <c r="G35" s="528">
        <f t="shared" si="8"/>
        <v>138070.72771253221</v>
      </c>
      <c r="H35" s="104"/>
      <c r="I35" s="731"/>
      <c r="J35" s="731"/>
      <c r="K35" s="731"/>
      <c r="L35" s="1077">
        <f t="shared" si="9"/>
        <v>0</v>
      </c>
      <c r="M35" s="58">
        <f>'PAMS NO2'!S112+NF_PAMSSurfMet!S108+PAMS_Upper_Air!S109+PAMSCarbonyls!S116+PAMSVOC!S112</f>
        <v>8729</v>
      </c>
      <c r="N35" s="58">
        <f>'PAMS NO2'!S113+NF_PAMSSurfMet!S109+PAMS_Upper_Air!S110+PAMSCarbonyls!S117+PAMSVOC!S113</f>
        <v>548375.09782588237</v>
      </c>
      <c r="O35" s="58">
        <f>'PAMS NO2'!T113+NF_PAMSSurfMet!T109+PAMS_Upper_Air!T110+PAMSCarbonyls!T117+PAMSVOC!T113</f>
        <v>362168.01481598604</v>
      </c>
      <c r="P35" s="58"/>
      <c r="Q35" s="58">
        <f t="shared" si="10"/>
        <v>910543.11264186841</v>
      </c>
    </row>
    <row r="36" spans="2:17" x14ac:dyDescent="0.25">
      <c r="B36" s="737" t="s">
        <v>286</v>
      </c>
      <c r="C36" s="748">
        <f>Pb!S112</f>
        <v>2380</v>
      </c>
      <c r="D36" s="730">
        <f>Pb!S113</f>
        <v>149501.39086128719</v>
      </c>
      <c r="E36" s="730"/>
      <c r="F36" s="545"/>
      <c r="G36" s="642">
        <f t="shared" si="8"/>
        <v>149501.39086128719</v>
      </c>
      <c r="H36" s="748"/>
      <c r="I36" s="730"/>
      <c r="J36" s="730"/>
      <c r="K36" s="730"/>
      <c r="L36" s="545">
        <f t="shared" si="9"/>
        <v>0</v>
      </c>
      <c r="M36" s="58">
        <f>'PAMS NO2'!S114+NF_PAMSSurfMet!S110+PAMS_Upper_Air!S111+PAMSCarbonyls!S118+PAMSVOC!S114</f>
        <v>11416.5</v>
      </c>
      <c r="N36" s="58">
        <f>'PAMS NO2'!S115+NF_PAMSSurfMet!S111+PAMS_Upper_Air!S112+PAMSCarbonyls!S119+PAMSVOC!S115</f>
        <v>714665.33628988219</v>
      </c>
      <c r="O36" s="58"/>
      <c r="P36" s="58"/>
      <c r="Q36" s="58">
        <f t="shared" si="10"/>
        <v>714665.33628988219</v>
      </c>
    </row>
    <row r="37" spans="2:17" x14ac:dyDescent="0.25">
      <c r="B37" s="736" t="s">
        <v>287</v>
      </c>
      <c r="C37" s="104">
        <f>Pb!S114</f>
        <v>2312.5</v>
      </c>
      <c r="D37" s="731">
        <f>Pb!S115</f>
        <v>125023.19850917645</v>
      </c>
      <c r="E37" s="731"/>
      <c r="F37" s="1077"/>
      <c r="G37" s="528">
        <f t="shared" si="8"/>
        <v>125023.19850917645</v>
      </c>
      <c r="H37" s="104"/>
      <c r="I37" s="731"/>
      <c r="J37" s="731"/>
      <c r="K37" s="731"/>
      <c r="L37" s="1077">
        <f t="shared" si="9"/>
        <v>0</v>
      </c>
      <c r="M37" s="58">
        <f>'PAMS NO2'!S116+NF_PAMSSurfMet!S112+PAMS_Upper_Air!S113+PAMSCarbonyls!S120+PAMSVOC!S116</f>
        <v>21138.799999999999</v>
      </c>
      <c r="N37" s="58">
        <f>'PAMS NO2'!S117+NF_PAMSSurfMet!S113+PAMS_Upper_Air!S114+PAMSCarbonyls!S121+PAMSVOC!S117</f>
        <v>1292794.1287454115</v>
      </c>
      <c r="O37" s="58">
        <f>'PAMS NO2'!T117+NF_PAMSSurfMet!T113+PAMS_Upper_Air!T114+PAMSCarbonyls!T121</f>
        <v>224386.82440884705</v>
      </c>
      <c r="P37" s="58"/>
      <c r="Q37" s="58">
        <f t="shared" si="10"/>
        <v>1517180.9531542587</v>
      </c>
    </row>
    <row r="38" spans="2:17" ht="13" thickBot="1" x14ac:dyDescent="0.3">
      <c r="B38" s="738" t="s">
        <v>288</v>
      </c>
      <c r="C38" s="749">
        <f>Pb!S116</f>
        <v>1120</v>
      </c>
      <c r="D38" s="535">
        <f>Pb!S117</f>
        <v>73055.311510588232</v>
      </c>
      <c r="E38" s="535"/>
      <c r="F38" s="545"/>
      <c r="G38" s="642">
        <f t="shared" si="8"/>
        <v>73055.311510588232</v>
      </c>
      <c r="H38" s="807"/>
      <c r="I38" s="84"/>
      <c r="J38" s="84"/>
      <c r="K38" s="84"/>
      <c r="L38" s="1106">
        <f t="shared" si="9"/>
        <v>0</v>
      </c>
      <c r="M38" s="1110">
        <f>'PAMS NO2'!S118+NF_PAMSSurfMet!S114+PAMS_Upper_Air!S115+PAMSCarbonyls!S122+PAMSVOC!S118</f>
        <v>10406</v>
      </c>
      <c r="N38" s="1110">
        <f>'PAMS NO2'!S119+NF_PAMSSurfMet!S115+PAMS_Upper_Air!S116+PAMSCarbonyls!S123+PAMSVOC!S119</f>
        <v>703640.03689411748</v>
      </c>
      <c r="O38" s="1110"/>
      <c r="P38" s="1110"/>
      <c r="Q38" s="58">
        <f t="shared" si="10"/>
        <v>703640.03689411748</v>
      </c>
    </row>
    <row r="39" spans="2:17" ht="13.5" thickBot="1" x14ac:dyDescent="0.35">
      <c r="B39" s="739" t="s">
        <v>289</v>
      </c>
      <c r="C39" s="764">
        <f t="shared" ref="C39:N39" si="11">SUM(C32:C38)</f>
        <v>18029.785714285714</v>
      </c>
      <c r="D39" s="732">
        <f t="shared" si="11"/>
        <v>1017242.0076857577</v>
      </c>
      <c r="E39" s="732">
        <f t="shared" si="11"/>
        <v>83968.83938365271</v>
      </c>
      <c r="F39" s="732">
        <f t="shared" si="11"/>
        <v>307785.78150269849</v>
      </c>
      <c r="G39" s="732">
        <f t="shared" si="11"/>
        <v>1408996.6285721089</v>
      </c>
      <c r="H39" s="749">
        <f t="shared" si="11"/>
        <v>0</v>
      </c>
      <c r="I39" s="535">
        <f t="shared" si="11"/>
        <v>0</v>
      </c>
      <c r="J39" s="535">
        <f t="shared" si="11"/>
        <v>0</v>
      </c>
      <c r="K39" s="732">
        <f t="shared" si="11"/>
        <v>3556767.5928628868</v>
      </c>
      <c r="L39" s="729">
        <f t="shared" si="11"/>
        <v>3556767.5928628868</v>
      </c>
      <c r="M39" s="734">
        <f t="shared" si="11"/>
        <v>63183.34</v>
      </c>
      <c r="N39" s="734">
        <f t="shared" si="11"/>
        <v>5189922.0436066194</v>
      </c>
      <c r="O39" s="734">
        <f t="shared" ref="O39:P39" si="12">SUM(O32:O38)</f>
        <v>2435453.7353028627</v>
      </c>
      <c r="P39" s="734">
        <f t="shared" si="12"/>
        <v>2220731.0237905043</v>
      </c>
      <c r="Q39" s="1072">
        <f t="shared" si="10"/>
        <v>9846106.8026999868</v>
      </c>
    </row>
    <row r="41" spans="2:17" ht="13" thickBot="1" x14ac:dyDescent="0.3"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2:17" x14ac:dyDescent="0.25">
      <c r="B42" s="1212" t="s">
        <v>276</v>
      </c>
      <c r="C42" s="1209" t="s">
        <v>393</v>
      </c>
      <c r="D42" s="1210"/>
      <c r="E42" s="1210"/>
      <c r="F42" s="1210"/>
      <c r="G42" s="1211"/>
      <c r="H42" s="1214" t="s">
        <v>387</v>
      </c>
      <c r="I42" s="1210"/>
      <c r="J42" s="1210"/>
      <c r="K42" s="1210"/>
      <c r="L42" s="1211"/>
    </row>
    <row r="43" spans="2:17" ht="25.5" thickBot="1" x14ac:dyDescent="0.3">
      <c r="B43" s="1213"/>
      <c r="C43" s="740" t="s">
        <v>277</v>
      </c>
      <c r="D43" s="741" t="s">
        <v>278</v>
      </c>
      <c r="E43" s="741" t="s">
        <v>279</v>
      </c>
      <c r="F43" s="742" t="s">
        <v>280</v>
      </c>
      <c r="G43" s="743" t="s">
        <v>281</v>
      </c>
      <c r="H43" s="740" t="s">
        <v>277</v>
      </c>
      <c r="I43" s="741" t="s">
        <v>278</v>
      </c>
      <c r="J43" s="741" t="s">
        <v>279</v>
      </c>
      <c r="K43" s="742" t="s">
        <v>280</v>
      </c>
      <c r="L43" s="743" t="s">
        <v>281</v>
      </c>
    </row>
    <row r="44" spans="2:17" x14ac:dyDescent="0.25">
      <c r="B44" s="735" t="s">
        <v>282</v>
      </c>
      <c r="C44" s="351">
        <f>Sensors!S15</f>
        <v>164.28571428571431</v>
      </c>
      <c r="D44" s="545">
        <f>Sensors!S16</f>
        <v>9921.2661458823513</v>
      </c>
      <c r="E44" s="746"/>
      <c r="F44" s="545"/>
      <c r="G44" s="642">
        <f t="shared" ref="G44:G50" si="13">SUM(D44:F44)</f>
        <v>9921.2661458823513</v>
      </c>
      <c r="H44" s="747">
        <f>Generic!S89</f>
        <v>56475</v>
      </c>
      <c r="I44" s="760">
        <f>Generic!S90</f>
        <v>2350179.1046903087</v>
      </c>
      <c r="J44" s="763"/>
      <c r="K44" s="351">
        <f>Generic!U90</f>
        <v>5262331.4924442312</v>
      </c>
      <c r="L44" s="642">
        <f t="shared" ref="L44:L50" si="14">SUM(I44:K44)</f>
        <v>7612510.5971345399</v>
      </c>
      <c r="N44" s="545"/>
    </row>
    <row r="45" spans="2:17" x14ac:dyDescent="0.25">
      <c r="B45" s="736" t="s">
        <v>283</v>
      </c>
      <c r="C45" s="1078">
        <f>Sensors!S28</f>
        <v>1952.3809523809523</v>
      </c>
      <c r="D45" s="1077">
        <f>Sensors!S29</f>
        <v>111800.77353633217</v>
      </c>
      <c r="E45" s="1079"/>
      <c r="F45" s="1079">
        <f>Sensors!U108</f>
        <v>73828.571428571435</v>
      </c>
      <c r="G45" s="528">
        <f t="shared" si="13"/>
        <v>185629.3449649036</v>
      </c>
      <c r="H45" s="104"/>
      <c r="I45" s="147"/>
      <c r="J45" s="21"/>
      <c r="K45" s="761">
        <f>Generic!U92</f>
        <v>29011492.483421262</v>
      </c>
      <c r="L45" s="528">
        <f t="shared" si="14"/>
        <v>29011492.483421262</v>
      </c>
    </row>
    <row r="46" spans="2:17" x14ac:dyDescent="0.25">
      <c r="B46" s="737" t="s">
        <v>284</v>
      </c>
      <c r="C46" s="351">
        <f>Sensors!S38</f>
        <v>0</v>
      </c>
      <c r="D46" s="545">
        <f>Sensors!S39</f>
        <v>0</v>
      </c>
      <c r="E46" s="1080">
        <f>Sensors!T110</f>
        <v>0</v>
      </c>
      <c r="F46" s="545"/>
      <c r="G46" s="642">
        <f t="shared" si="13"/>
        <v>0</v>
      </c>
      <c r="H46" s="748">
        <f>Generic!S93</f>
        <v>9755.6</v>
      </c>
      <c r="I46" s="1091">
        <f>Generic!S94</f>
        <v>787871.90567152947</v>
      </c>
      <c r="J46" s="1091">
        <f>Generic!T94</f>
        <v>4279037.0605553379</v>
      </c>
      <c r="K46" s="351"/>
      <c r="L46" s="642">
        <f t="shared" si="14"/>
        <v>5066908.9662268674</v>
      </c>
    </row>
    <row r="47" spans="2:17" x14ac:dyDescent="0.25">
      <c r="B47" s="736" t="s">
        <v>285</v>
      </c>
      <c r="C47" s="1078">
        <f>Sensors!S50</f>
        <v>0</v>
      </c>
      <c r="D47" s="1077">
        <f>Sensors!S51</f>
        <v>0</v>
      </c>
      <c r="E47" s="1079">
        <f>Sensors!T112</f>
        <v>0</v>
      </c>
      <c r="F47" s="1079"/>
      <c r="G47" s="528">
        <f t="shared" si="13"/>
        <v>0</v>
      </c>
      <c r="H47" s="104"/>
      <c r="I47" s="21"/>
      <c r="J47" s="147"/>
      <c r="K47" s="761"/>
      <c r="L47" s="528">
        <f t="shared" si="14"/>
        <v>0</v>
      </c>
    </row>
    <row r="48" spans="2:17" x14ac:dyDescent="0.25">
      <c r="B48" s="737" t="s">
        <v>286</v>
      </c>
      <c r="C48" s="351">
        <f>Sensors!S66</f>
        <v>10500</v>
      </c>
      <c r="D48" s="545">
        <f>Sensors!S67</f>
        <v>544545.79200000002</v>
      </c>
      <c r="E48" s="1080"/>
      <c r="F48" s="545"/>
      <c r="G48" s="642">
        <f t="shared" si="13"/>
        <v>544545.79200000002</v>
      </c>
      <c r="H48" s="748">
        <f>Generic!S97</f>
        <v>175278.25</v>
      </c>
      <c r="I48" s="1091">
        <f>Generic!S98</f>
        <v>9751003.5315049421</v>
      </c>
      <c r="J48" s="1091"/>
      <c r="K48" s="351"/>
      <c r="L48" s="642">
        <f t="shared" si="14"/>
        <v>9751003.5315049421</v>
      </c>
    </row>
    <row r="49" spans="2:12" x14ac:dyDescent="0.25">
      <c r="B49" s="736" t="s">
        <v>287</v>
      </c>
      <c r="C49" s="1078">
        <f>Sensors!S90</f>
        <v>0</v>
      </c>
      <c r="D49" s="1077">
        <f>Sensors!S91</f>
        <v>0</v>
      </c>
      <c r="E49" s="1079"/>
      <c r="F49" s="1079"/>
      <c r="G49" s="528">
        <f t="shared" si="13"/>
        <v>0</v>
      </c>
      <c r="H49" s="104"/>
      <c r="I49" s="21"/>
      <c r="J49" s="147"/>
      <c r="K49" s="761">
        <f>Generic!U100</f>
        <v>642469.85179757536</v>
      </c>
      <c r="L49" s="528">
        <f t="shared" si="14"/>
        <v>642469.85179757536</v>
      </c>
    </row>
    <row r="50" spans="2:12" ht="13" thickBot="1" x14ac:dyDescent="0.3">
      <c r="B50" s="738" t="s">
        <v>288</v>
      </c>
      <c r="C50" s="351">
        <f>Sensors!S100</f>
        <v>13500</v>
      </c>
      <c r="D50" s="545">
        <f>Sensors!S101</f>
        <v>906362.94377854653</v>
      </c>
      <c r="E50" s="1080"/>
      <c r="F50" s="545"/>
      <c r="G50" s="307">
        <f t="shared" si="13"/>
        <v>906362.94377854653</v>
      </c>
      <c r="H50" s="748"/>
      <c r="I50" s="1092"/>
      <c r="J50" s="1093"/>
      <c r="K50" s="351"/>
      <c r="L50" s="642">
        <f t="shared" si="14"/>
        <v>0</v>
      </c>
    </row>
    <row r="51" spans="2:12" ht="13.5" thickBot="1" x14ac:dyDescent="0.35">
      <c r="B51" s="739" t="s">
        <v>289</v>
      </c>
      <c r="C51" s="1082">
        <f t="shared" ref="C51:L51" si="15">SUM(C44:C50)</f>
        <v>26116.666666666664</v>
      </c>
      <c r="D51" s="732">
        <f t="shared" si="15"/>
        <v>1572630.775460761</v>
      </c>
      <c r="E51" s="732">
        <f t="shared" si="15"/>
        <v>0</v>
      </c>
      <c r="F51" s="1085">
        <f t="shared" si="15"/>
        <v>73828.571428571435</v>
      </c>
      <c r="G51" s="1086">
        <f t="shared" si="15"/>
        <v>1646459.3468893324</v>
      </c>
      <c r="H51" s="764">
        <f t="shared" si="15"/>
        <v>241508.85</v>
      </c>
      <c r="I51" s="1085">
        <f t="shared" si="15"/>
        <v>12889054.541866779</v>
      </c>
      <c r="J51" s="732">
        <f t="shared" si="15"/>
        <v>4279037.0605553379</v>
      </c>
      <c r="K51" s="732">
        <f t="shared" si="15"/>
        <v>34916293.827663064</v>
      </c>
      <c r="L51" s="732">
        <f t="shared" si="15"/>
        <v>52084385.43008519</v>
      </c>
    </row>
    <row r="53" spans="2:12" ht="13" thickBot="1" x14ac:dyDescent="0.3"/>
    <row r="54" spans="2:12" x14ac:dyDescent="0.25">
      <c r="B54" s="1212" t="s">
        <v>276</v>
      </c>
      <c r="C54" s="1206" t="s">
        <v>388</v>
      </c>
      <c r="D54" s="1207"/>
      <c r="E54" s="1207"/>
      <c r="F54" s="1207"/>
      <c r="G54" s="1208"/>
    </row>
    <row r="55" spans="2:12" ht="25.5" thickBot="1" x14ac:dyDescent="0.3">
      <c r="B55" s="1213"/>
      <c r="C55" s="1139" t="s">
        <v>277</v>
      </c>
      <c r="D55" s="741" t="s">
        <v>278</v>
      </c>
      <c r="E55" s="741" t="s">
        <v>279</v>
      </c>
      <c r="F55" s="1140" t="s">
        <v>280</v>
      </c>
      <c r="G55" s="743" t="s">
        <v>281</v>
      </c>
    </row>
    <row r="56" spans="2:12" x14ac:dyDescent="0.25">
      <c r="B56" s="735" t="s">
        <v>282</v>
      </c>
      <c r="C56" s="1148">
        <f>C8+H8+M8+C32+H32+C20+H20+M20+M32+H44+C44</f>
        <v>59321.285714285717</v>
      </c>
      <c r="D56" s="1137">
        <f>D8+I8+N8+D32+I32+D20+I20+N20+N32+I44+D44</f>
        <v>2556441.5745030143</v>
      </c>
      <c r="E56" s="966">
        <f>E8+J8+O8+E32+J32+E20+J20+O20+O32+J44+E44</f>
        <v>0</v>
      </c>
      <c r="F56" s="750">
        <f>F8+K8+P8+F32+K32+F20+K20+P20+P32+K44+F44</f>
        <v>5262331.4924442312</v>
      </c>
      <c r="G56" s="1138">
        <f>SUM(D56:F56)</f>
        <v>7818773.066947246</v>
      </c>
    </row>
    <row r="57" spans="2:12" x14ac:dyDescent="0.25">
      <c r="B57" s="736" t="s">
        <v>283</v>
      </c>
      <c r="C57" s="1149">
        <f t="shared" ref="C57:D62" si="16">C9+H9+M9+C33+H33+C21+H21+M21+M33+H45+C45</f>
        <v>14270.040952380954</v>
      </c>
      <c r="D57" s="1141">
        <f t="shared" si="16"/>
        <v>1266842.9802266548</v>
      </c>
      <c r="E57" s="745">
        <f t="shared" ref="E57:E62" si="17">E9+J9+O9+E33+J33+E21+J21+O21+O33+J45+E45</f>
        <v>0</v>
      </c>
      <c r="F57" s="751">
        <f t="shared" ref="F57:F62" si="18">F9+K9+P9+F33+K33+F21+K21+P21+P33+K45+F45</f>
        <v>42367662.407180101</v>
      </c>
      <c r="G57" s="1142">
        <f t="shared" ref="G57:G62" si="19">SUM(D57:F57)</f>
        <v>43634505.387406759</v>
      </c>
    </row>
    <row r="58" spans="2:12" x14ac:dyDescent="0.25">
      <c r="B58" s="737" t="s">
        <v>284</v>
      </c>
      <c r="C58" s="1148">
        <f t="shared" si="16"/>
        <v>289930.2666666666</v>
      </c>
      <c r="D58" s="1137">
        <f t="shared" si="16"/>
        <v>32858479.632303052</v>
      </c>
      <c r="E58" s="744">
        <f t="shared" si="17"/>
        <v>9343890.5243171714</v>
      </c>
      <c r="F58" s="750">
        <f t="shared" si="18"/>
        <v>8163902.1829987019</v>
      </c>
      <c r="G58" s="1138">
        <f t="shared" si="19"/>
        <v>50366272.339618921</v>
      </c>
    </row>
    <row r="59" spans="2:12" x14ac:dyDescent="0.25">
      <c r="B59" s="736" t="s">
        <v>285</v>
      </c>
      <c r="C59" s="1149">
        <f t="shared" si="16"/>
        <v>196526.33333333334</v>
      </c>
      <c r="D59" s="1141">
        <f t="shared" si="16"/>
        <v>13895670.724391153</v>
      </c>
      <c r="E59" s="745">
        <f t="shared" si="17"/>
        <v>4132094.0051559163</v>
      </c>
      <c r="F59" s="751">
        <f t="shared" si="18"/>
        <v>0</v>
      </c>
      <c r="G59" s="1142">
        <f t="shared" si="19"/>
        <v>18027764.729547068</v>
      </c>
    </row>
    <row r="60" spans="2:12" x14ac:dyDescent="0.25">
      <c r="B60" s="737" t="s">
        <v>286</v>
      </c>
      <c r="C60" s="1148">
        <f t="shared" si="16"/>
        <v>450641.43488372094</v>
      </c>
      <c r="D60" s="1137">
        <f t="shared" si="16"/>
        <v>29167885.753541533</v>
      </c>
      <c r="E60" s="744">
        <f t="shared" si="17"/>
        <v>0</v>
      </c>
      <c r="F60" s="750">
        <f t="shared" si="18"/>
        <v>0</v>
      </c>
      <c r="G60" s="1138">
        <f t="shared" si="19"/>
        <v>29167885.753541533</v>
      </c>
    </row>
    <row r="61" spans="2:12" x14ac:dyDescent="0.25">
      <c r="B61" s="736" t="s">
        <v>287</v>
      </c>
      <c r="C61" s="1149">
        <f t="shared" si="16"/>
        <v>254802</v>
      </c>
      <c r="D61" s="1141">
        <f t="shared" si="16"/>
        <v>18377802.644422751</v>
      </c>
      <c r="E61" s="745">
        <f t="shared" si="17"/>
        <v>224386.82440884705</v>
      </c>
      <c r="F61" s="751">
        <f>F13+K13+P13+F37+K37+F25+K25+P25+P37+K49+F49</f>
        <v>653218.72006357461</v>
      </c>
      <c r="G61" s="1142">
        <f t="shared" si="19"/>
        <v>19255408.188895173</v>
      </c>
    </row>
    <row r="62" spans="2:12" ht="13" thickBot="1" x14ac:dyDescent="0.3">
      <c r="B62" s="1151" t="s">
        <v>288</v>
      </c>
      <c r="C62" s="1150">
        <f t="shared" si="16"/>
        <v>184477</v>
      </c>
      <c r="D62" s="1144">
        <f t="shared" si="16"/>
        <v>13007834.42406843</v>
      </c>
      <c r="E62" s="1145">
        <f t="shared" si="17"/>
        <v>0</v>
      </c>
      <c r="F62" s="1146">
        <f t="shared" si="18"/>
        <v>0</v>
      </c>
      <c r="G62" s="1147">
        <f t="shared" si="19"/>
        <v>13007834.42406843</v>
      </c>
    </row>
    <row r="63" spans="2:12" ht="13.5" thickBot="1" x14ac:dyDescent="0.35">
      <c r="B63" s="1143" t="s">
        <v>289</v>
      </c>
      <c r="C63" s="1133">
        <f>SUM(C56:C62)</f>
        <v>1449968.3615503875</v>
      </c>
      <c r="D63" s="1134">
        <f>SUM(D56:D62)</f>
        <v>111130957.7334566</v>
      </c>
      <c r="E63" s="1134">
        <f>SUM(E56:E62)</f>
        <v>13700371.353881937</v>
      </c>
      <c r="F63" s="1135">
        <f>SUM(F56:F62)</f>
        <v>56447114.802686609</v>
      </c>
      <c r="G63" s="1136">
        <f>SUM(G56:G62)</f>
        <v>181278443.89002511</v>
      </c>
    </row>
    <row r="64" spans="2:12" x14ac:dyDescent="0.25">
      <c r="C64" s="451"/>
    </row>
  </sheetData>
  <mergeCells count="17">
    <mergeCell ref="B42:B43"/>
    <mergeCell ref="H42:L42"/>
    <mergeCell ref="B54:B55"/>
    <mergeCell ref="C54:G54"/>
    <mergeCell ref="C6:G6"/>
    <mergeCell ref="B6:B7"/>
    <mergeCell ref="B30:B31"/>
    <mergeCell ref="C30:G30"/>
    <mergeCell ref="C42:G42"/>
    <mergeCell ref="H30:L30"/>
    <mergeCell ref="M30:Q30"/>
    <mergeCell ref="H6:L6"/>
    <mergeCell ref="M6:Q6"/>
    <mergeCell ref="B18:B19"/>
    <mergeCell ref="C18:G18"/>
    <mergeCell ref="H18:L18"/>
    <mergeCell ref="M18:Q18"/>
  </mergeCells>
  <phoneticPr fontId="2" type="noConversion"/>
  <pageMargins left="0.75" right="0.6" top="1" bottom="1" header="0.5" footer="0.5"/>
  <pageSetup scale="50" fitToHeight="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S6"/>
  <sheetViews>
    <sheetView workbookViewId="0">
      <selection activeCell="F18" sqref="F18"/>
    </sheetView>
  </sheetViews>
  <sheetFormatPr defaultRowHeight="12.5" x14ac:dyDescent="0.25"/>
  <cols>
    <col min="1" max="1" width="1.453125" customWidth="1"/>
    <col min="2" max="2" width="22.54296875" bestFit="1" customWidth="1"/>
    <col min="3" max="3" width="5" bestFit="1" customWidth="1"/>
    <col min="4" max="8" width="5" customWidth="1"/>
    <col min="9" max="14" width="5" bestFit="1" customWidth="1"/>
    <col min="15" max="21" width="5.54296875" bestFit="1" customWidth="1"/>
    <col min="22" max="29" width="5.54296875" customWidth="1"/>
    <col min="30" max="31" width="5.54296875" bestFit="1" customWidth="1"/>
    <col min="32" max="44" width="5.54296875" customWidth="1"/>
    <col min="45" max="45" width="32.81640625" bestFit="1" customWidth="1"/>
  </cols>
  <sheetData>
    <row r="1" spans="2:45" ht="13" x14ac:dyDescent="0.3">
      <c r="AH1" s="1114" t="s">
        <v>392</v>
      </c>
      <c r="AI1" s="1115"/>
      <c r="AJ1" s="1116"/>
    </row>
    <row r="2" spans="2:45" ht="13" x14ac:dyDescent="0.3">
      <c r="B2" s="22" t="s">
        <v>9</v>
      </c>
      <c r="C2" s="22">
        <f t="shared" ref="C2:G2" si="0">D2-1</f>
        <v>1992</v>
      </c>
      <c r="D2" s="22">
        <f t="shared" si="0"/>
        <v>1993</v>
      </c>
      <c r="E2" s="22">
        <f t="shared" si="0"/>
        <v>1994</v>
      </c>
      <c r="F2" s="22">
        <f t="shared" si="0"/>
        <v>1995</v>
      </c>
      <c r="G2" s="22">
        <f t="shared" si="0"/>
        <v>1996</v>
      </c>
      <c r="H2" s="22">
        <f>I2-1</f>
        <v>1997</v>
      </c>
      <c r="I2" s="22">
        <v>1998</v>
      </c>
      <c r="J2" s="22">
        <v>1999</v>
      </c>
      <c r="K2" s="22">
        <v>2000</v>
      </c>
      <c r="L2" s="22">
        <v>2001</v>
      </c>
      <c r="M2" s="22">
        <v>2002</v>
      </c>
      <c r="N2" s="22">
        <v>2003</v>
      </c>
      <c r="O2" s="20">
        <v>2004</v>
      </c>
      <c r="P2" s="20">
        <v>2005</v>
      </c>
      <c r="Q2" s="20">
        <v>2006</v>
      </c>
      <c r="R2" s="20">
        <v>2007</v>
      </c>
      <c r="S2" s="20">
        <v>2008</v>
      </c>
      <c r="T2" s="20">
        <v>2009</v>
      </c>
      <c r="U2" s="20">
        <v>2010</v>
      </c>
      <c r="V2" s="20">
        <v>2011</v>
      </c>
      <c r="W2" s="20">
        <v>2012</v>
      </c>
      <c r="X2" s="66">
        <v>2013</v>
      </c>
      <c r="Y2" s="66">
        <v>2014</v>
      </c>
      <c r="Z2" s="66">
        <v>2015</v>
      </c>
      <c r="AA2" s="66">
        <v>2016</v>
      </c>
      <c r="AB2" s="66">
        <v>2017</v>
      </c>
      <c r="AC2" s="66">
        <v>2018</v>
      </c>
      <c r="AD2" s="66">
        <v>2019</v>
      </c>
      <c r="AE2" s="66">
        <v>2020</v>
      </c>
      <c r="AF2" s="66">
        <v>2021</v>
      </c>
      <c r="AG2" s="50">
        <v>2022</v>
      </c>
      <c r="AH2" s="1117">
        <v>2023</v>
      </c>
      <c r="AI2" s="1118">
        <v>2024</v>
      </c>
      <c r="AJ2" s="1119">
        <v>2025</v>
      </c>
      <c r="AK2" s="66">
        <f>AJ2+1</f>
        <v>2026</v>
      </c>
      <c r="AL2" s="66">
        <f t="shared" ref="AL2:AR2" si="1">AK2+1</f>
        <v>2027</v>
      </c>
      <c r="AM2" s="66">
        <f t="shared" si="1"/>
        <v>2028</v>
      </c>
      <c r="AN2" s="66">
        <f t="shared" si="1"/>
        <v>2029</v>
      </c>
      <c r="AO2" s="66">
        <f t="shared" si="1"/>
        <v>2030</v>
      </c>
      <c r="AP2" s="66">
        <f t="shared" si="1"/>
        <v>2031</v>
      </c>
      <c r="AQ2" s="66">
        <f t="shared" si="1"/>
        <v>2032</v>
      </c>
      <c r="AR2" s="66">
        <f t="shared" si="1"/>
        <v>2033</v>
      </c>
      <c r="AS2" s="66" t="s">
        <v>6</v>
      </c>
    </row>
    <row r="3" spans="2:45" ht="13" x14ac:dyDescent="0.3">
      <c r="B3" s="22" t="s">
        <v>391</v>
      </c>
      <c r="C3" s="503">
        <v>140.30000000000001</v>
      </c>
      <c r="D3" s="503">
        <v>144.5</v>
      </c>
      <c r="E3" s="503">
        <v>148.19999999999999</v>
      </c>
      <c r="F3" s="503">
        <v>152.4</v>
      </c>
      <c r="G3" s="503">
        <v>156.9</v>
      </c>
      <c r="H3" s="503">
        <v>160.5</v>
      </c>
      <c r="I3" s="503">
        <v>163</v>
      </c>
      <c r="J3" s="503">
        <v>166.6</v>
      </c>
      <c r="K3" s="503">
        <v>172.2</v>
      </c>
      <c r="L3" s="503">
        <v>177.1</v>
      </c>
      <c r="M3" s="503">
        <v>179.9</v>
      </c>
      <c r="N3" s="503">
        <v>184</v>
      </c>
      <c r="O3" s="66">
        <v>188.9</v>
      </c>
      <c r="P3" s="20">
        <v>195.3</v>
      </c>
      <c r="Q3" s="20">
        <v>201.6</v>
      </c>
      <c r="R3" s="20">
        <v>207.3</v>
      </c>
      <c r="S3" s="20">
        <v>215.3</v>
      </c>
      <c r="T3" s="20">
        <v>214.5</v>
      </c>
      <c r="U3" s="20">
        <v>218.1</v>
      </c>
      <c r="V3" s="20">
        <v>224.9</v>
      </c>
      <c r="W3" s="20">
        <v>229.6</v>
      </c>
      <c r="X3" s="66">
        <v>233</v>
      </c>
      <c r="Y3" s="66">
        <v>236.7</v>
      </c>
      <c r="Z3" s="66">
        <v>237</v>
      </c>
      <c r="AA3" s="66">
        <v>240</v>
      </c>
      <c r="AB3" s="66">
        <v>245.1</v>
      </c>
      <c r="AC3" s="66">
        <v>251.1</v>
      </c>
      <c r="AD3" s="66">
        <v>255.7</v>
      </c>
      <c r="AE3" s="66">
        <v>258.8</v>
      </c>
      <c r="AF3" s="66">
        <v>271</v>
      </c>
      <c r="AG3" s="50">
        <v>294.39999999999998</v>
      </c>
      <c r="AH3" s="1120">
        <f>AG3*1.05</f>
        <v>309.12</v>
      </c>
      <c r="AI3" s="1121">
        <f>AH3*1.04</f>
        <v>321.48480000000001</v>
      </c>
      <c r="AJ3" s="1122">
        <f t="shared" ref="AJ3" si="2">AI3*1.02</f>
        <v>327.91449599999999</v>
      </c>
      <c r="AK3" s="61"/>
      <c r="AL3" s="61"/>
      <c r="AM3" s="61"/>
      <c r="AN3" s="61"/>
      <c r="AO3" s="61"/>
      <c r="AP3" s="61"/>
      <c r="AQ3" s="61"/>
      <c r="AR3" s="61"/>
      <c r="AS3" s="61"/>
    </row>
    <row r="6" spans="2:45" x14ac:dyDescent="0.25">
      <c r="B6" t="s">
        <v>396</v>
      </c>
    </row>
  </sheetData>
  <phoneticPr fontId="2" type="noConversion"/>
  <pageMargins left="0.75" right="0.75" top="1" bottom="1" header="0.5" footer="0.5"/>
  <pageSetup scale="8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J16"/>
  <sheetViews>
    <sheetView tabSelected="1" workbookViewId="0">
      <selection activeCell="B14" sqref="B14"/>
    </sheetView>
  </sheetViews>
  <sheetFormatPr defaultRowHeight="12.5" x14ac:dyDescent="0.25"/>
  <cols>
    <col min="1" max="1" width="1.7265625" customWidth="1"/>
    <col min="2" max="2" width="26.453125" customWidth="1"/>
    <col min="3" max="3" width="11.453125" bestFit="1" customWidth="1"/>
    <col min="4" max="4" width="16.7265625" customWidth="1"/>
    <col min="5" max="5" width="19.81640625" customWidth="1"/>
    <col min="6" max="6" width="14" customWidth="1"/>
    <col min="7" max="7" width="15.453125" bestFit="1" customWidth="1"/>
  </cols>
  <sheetData>
    <row r="1" spans="2:10" ht="20" x14ac:dyDescent="0.4">
      <c r="B1" s="808" t="s">
        <v>397</v>
      </c>
    </row>
    <row r="3" spans="2:10" ht="13" thickBot="1" x14ac:dyDescent="0.3"/>
    <row r="4" spans="2:10" ht="31" x14ac:dyDescent="0.35">
      <c r="B4" s="811" t="s">
        <v>276</v>
      </c>
      <c r="C4" s="812" t="s">
        <v>277</v>
      </c>
      <c r="D4" s="812" t="s">
        <v>278</v>
      </c>
      <c r="E4" s="812" t="s">
        <v>279</v>
      </c>
      <c r="F4" s="812" t="s">
        <v>280</v>
      </c>
      <c r="G4" s="813" t="s">
        <v>281</v>
      </c>
    </row>
    <row r="5" spans="2:10" ht="15.5" x14ac:dyDescent="0.35">
      <c r="B5" s="814" t="s">
        <v>282</v>
      </c>
      <c r="C5" s="809">
        <f>Summary!C56</f>
        <v>59321.285714285717</v>
      </c>
      <c r="D5" s="810">
        <f>Summary!D56</f>
        <v>2556441.5745030143</v>
      </c>
      <c r="E5" s="810">
        <f>Summary!E56</f>
        <v>0</v>
      </c>
      <c r="F5" s="810">
        <f>Summary!F56</f>
        <v>5262331.4924442312</v>
      </c>
      <c r="G5" s="815">
        <f>SUM(D5:F5)</f>
        <v>7818773.066947246</v>
      </c>
      <c r="I5" s="545">
        <f>+D5/168</f>
        <v>15216.914133946513</v>
      </c>
    </row>
    <row r="6" spans="2:10" ht="15.5" x14ac:dyDescent="0.35">
      <c r="B6" s="814" t="s">
        <v>283</v>
      </c>
      <c r="C6" s="809">
        <f>Summary!C57</f>
        <v>14270.040952380954</v>
      </c>
      <c r="D6" s="810">
        <f>Summary!D57</f>
        <v>1266842.9802266548</v>
      </c>
      <c r="E6" s="810">
        <f>Summary!E57</f>
        <v>0</v>
      </c>
      <c r="F6" s="810">
        <f>Summary!F57</f>
        <v>42367662.407180101</v>
      </c>
      <c r="G6" s="815">
        <f t="shared" ref="G6:G12" si="0">SUM(D6:F6)</f>
        <v>43634505.387406759</v>
      </c>
      <c r="I6" s="545">
        <f t="shared" ref="I6:I12" si="1">+D6/168</f>
        <v>7540.7320251586598</v>
      </c>
    </row>
    <row r="7" spans="2:10" ht="15.5" x14ac:dyDescent="0.35">
      <c r="B7" s="814" t="s">
        <v>284</v>
      </c>
      <c r="C7" s="809">
        <f>Summary!C58</f>
        <v>289930.2666666666</v>
      </c>
      <c r="D7" s="810">
        <f>Summary!D58</f>
        <v>32858479.632303052</v>
      </c>
      <c r="E7" s="810">
        <f>Summary!E58</f>
        <v>9343890.5243171714</v>
      </c>
      <c r="F7" s="810">
        <f>Summary!F58</f>
        <v>8163902.1829987019</v>
      </c>
      <c r="G7" s="815">
        <f t="shared" si="0"/>
        <v>50366272.339618921</v>
      </c>
      <c r="I7" s="545">
        <f t="shared" si="1"/>
        <v>195586.18828751816</v>
      </c>
    </row>
    <row r="8" spans="2:10" ht="15.5" x14ac:dyDescent="0.35">
      <c r="B8" s="814" t="s">
        <v>285</v>
      </c>
      <c r="C8" s="809">
        <f>Summary!C59</f>
        <v>196526.33333333334</v>
      </c>
      <c r="D8" s="810">
        <f>Summary!D59</f>
        <v>13895670.724391153</v>
      </c>
      <c r="E8" s="810">
        <f>Summary!E59</f>
        <v>4132094.0051559163</v>
      </c>
      <c r="F8" s="810">
        <f>Summary!F59</f>
        <v>0</v>
      </c>
      <c r="G8" s="815">
        <f t="shared" si="0"/>
        <v>18027764.729547068</v>
      </c>
      <c r="I8" s="545">
        <f>+D8/168</f>
        <v>82712.325740423534</v>
      </c>
    </row>
    <row r="9" spans="2:10" ht="15.5" x14ac:dyDescent="0.35">
      <c r="B9" s="814" t="s">
        <v>286</v>
      </c>
      <c r="C9" s="809">
        <f>Summary!C60</f>
        <v>450641.43488372094</v>
      </c>
      <c r="D9" s="810">
        <f>Summary!D60</f>
        <v>29167885.753541533</v>
      </c>
      <c r="E9" s="810">
        <f>Summary!E60</f>
        <v>0</v>
      </c>
      <c r="F9" s="810">
        <f>Summary!F60</f>
        <v>0</v>
      </c>
      <c r="G9" s="815">
        <f t="shared" si="0"/>
        <v>29167885.753541533</v>
      </c>
      <c r="I9" s="545">
        <f t="shared" si="1"/>
        <v>173618.36758060436</v>
      </c>
    </row>
    <row r="10" spans="2:10" ht="15.5" x14ac:dyDescent="0.35">
      <c r="B10" s="814" t="s">
        <v>287</v>
      </c>
      <c r="C10" s="809">
        <f>Summary!C61</f>
        <v>254802</v>
      </c>
      <c r="D10" s="810">
        <f>Summary!D61</f>
        <v>18377802.644422751</v>
      </c>
      <c r="E10" s="810">
        <f>Summary!E61</f>
        <v>224386.82440884705</v>
      </c>
      <c r="F10" s="810">
        <f>Summary!F61</f>
        <v>653218.72006357461</v>
      </c>
      <c r="G10" s="815">
        <f t="shared" si="0"/>
        <v>19255408.188895173</v>
      </c>
      <c r="I10" s="545">
        <f t="shared" si="1"/>
        <v>109391.68240727828</v>
      </c>
    </row>
    <row r="11" spans="2:10" ht="16" thickBot="1" x14ac:dyDescent="0.4">
      <c r="B11" s="816" t="s">
        <v>288</v>
      </c>
      <c r="C11" s="817">
        <f>Summary!C62</f>
        <v>184477</v>
      </c>
      <c r="D11" s="818">
        <f>Summary!D62</f>
        <v>13007834.42406843</v>
      </c>
      <c r="E11" s="818">
        <f>Summary!E62</f>
        <v>0</v>
      </c>
      <c r="F11" s="818">
        <f>Summary!F62</f>
        <v>0</v>
      </c>
      <c r="G11" s="819">
        <f t="shared" si="0"/>
        <v>13007834.42406843</v>
      </c>
      <c r="I11" s="545">
        <f t="shared" si="1"/>
        <v>77427.585857550177</v>
      </c>
    </row>
    <row r="12" spans="2:10" ht="16" thickBot="1" x14ac:dyDescent="0.4">
      <c r="B12" s="820" t="s">
        <v>289</v>
      </c>
      <c r="C12" s="821">
        <f>SUM(C5:C11)</f>
        <v>1449968.3615503875</v>
      </c>
      <c r="D12" s="822">
        <f>SUM(D5:D11)</f>
        <v>111130957.7334566</v>
      </c>
      <c r="E12" s="822">
        <f>SUM(E5:E11)</f>
        <v>13700371.353881937</v>
      </c>
      <c r="F12" s="822">
        <f>SUM(F5:F11)</f>
        <v>56447114.802686609</v>
      </c>
      <c r="G12" s="823">
        <f t="shared" si="0"/>
        <v>181278443.89002514</v>
      </c>
      <c r="I12" s="545">
        <f t="shared" si="1"/>
        <v>661493.79603247973</v>
      </c>
      <c r="J12">
        <f>+C12/168</f>
        <v>8630.7640568475435</v>
      </c>
    </row>
    <row r="15" spans="2:10" x14ac:dyDescent="0.25">
      <c r="G15" s="545"/>
    </row>
    <row r="16" spans="2:10" x14ac:dyDescent="0.25">
      <c r="C16" s="351"/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Z25"/>
  <sheetViews>
    <sheetView topLeftCell="AH1" zoomScaleNormal="100" workbookViewId="0">
      <selection activeCell="A21" sqref="A21"/>
    </sheetView>
  </sheetViews>
  <sheetFormatPr defaultRowHeight="12.5" x14ac:dyDescent="0.25"/>
  <cols>
    <col min="1" max="1" width="1.7265625" customWidth="1"/>
    <col min="2" max="2" width="13.81640625" customWidth="1"/>
    <col min="3" max="3" width="14.26953125" customWidth="1"/>
    <col min="4" max="4" width="9.26953125" bestFit="1" customWidth="1"/>
    <col min="5" max="5" width="12.7265625" bestFit="1" customWidth="1"/>
    <col min="6" max="6" width="9.26953125" bestFit="1" customWidth="1"/>
    <col min="7" max="7" width="12.26953125" customWidth="1"/>
    <col min="8" max="10" width="9.26953125" bestFit="1" customWidth="1"/>
    <col min="11" max="11" width="24" bestFit="1" customWidth="1"/>
    <col min="12" max="12" width="13.54296875" bestFit="1" customWidth="1"/>
    <col min="13" max="13" width="9.26953125" bestFit="1" customWidth="1"/>
    <col min="14" max="14" width="24" bestFit="1" customWidth="1"/>
    <col min="15" max="15" width="9.453125" bestFit="1" customWidth="1"/>
    <col min="16" max="16" width="9.26953125" bestFit="1" customWidth="1"/>
    <col min="17" max="17" width="18.7265625" bestFit="1" customWidth="1"/>
    <col min="18" max="19" width="9.26953125" bestFit="1" customWidth="1"/>
    <col min="20" max="20" width="16" bestFit="1" customWidth="1"/>
    <col min="22" max="22" width="9" customWidth="1"/>
    <col min="23" max="23" width="19.7265625" hidden="1" customWidth="1"/>
    <col min="24" max="24" width="9.1796875" hidden="1" customWidth="1"/>
    <col min="26" max="26" width="30.81640625" bestFit="1" customWidth="1"/>
    <col min="27" max="27" width="10.1796875" bestFit="1" customWidth="1"/>
    <col min="29" max="29" width="32.1796875" bestFit="1" customWidth="1"/>
    <col min="32" max="32" width="22.26953125" bestFit="1" customWidth="1"/>
    <col min="35" max="35" width="10.26953125" bestFit="1" customWidth="1"/>
    <col min="38" max="38" width="10.54296875" bestFit="1" customWidth="1"/>
    <col min="44" max="44" width="22.453125" bestFit="1" customWidth="1"/>
  </cols>
  <sheetData>
    <row r="1" spans="2:52" ht="15.5" x14ac:dyDescent="0.35">
      <c r="B1" s="2" t="s">
        <v>336</v>
      </c>
    </row>
    <row r="2" spans="2:52" ht="15.5" x14ac:dyDescent="0.35">
      <c r="B2" s="2" t="s">
        <v>79</v>
      </c>
      <c r="E2" s="61"/>
      <c r="F2" s="61"/>
      <c r="G2" s="61"/>
      <c r="H2" s="61"/>
      <c r="I2" s="61"/>
      <c r="J2" s="61"/>
    </row>
    <row r="3" spans="2:52" ht="15.5" x14ac:dyDescent="0.35">
      <c r="B3" s="329" t="s">
        <v>76</v>
      </c>
      <c r="C3" s="61"/>
      <c r="D3" s="156"/>
      <c r="E3" s="1156" t="s">
        <v>95</v>
      </c>
      <c r="F3" s="1157"/>
      <c r="G3" s="1158" t="s">
        <v>94</v>
      </c>
      <c r="H3" s="1156"/>
      <c r="I3" s="1156"/>
      <c r="J3" s="1157"/>
      <c r="K3" s="1159" t="s">
        <v>153</v>
      </c>
      <c r="L3" s="1159"/>
      <c r="M3" s="1159"/>
      <c r="N3" s="1159"/>
      <c r="O3" s="1159"/>
      <c r="P3" s="1159"/>
    </row>
    <row r="4" spans="2:52" ht="26" x14ac:dyDescent="0.3">
      <c r="B4" s="22" t="s">
        <v>90</v>
      </c>
      <c r="C4" s="130" t="s">
        <v>91</v>
      </c>
      <c r="D4" s="88" t="s">
        <v>62</v>
      </c>
      <c r="E4" s="130" t="s">
        <v>18</v>
      </c>
      <c r="F4" s="88" t="s">
        <v>62</v>
      </c>
      <c r="G4" s="538" t="s">
        <v>120</v>
      </c>
      <c r="H4" s="539" t="s">
        <v>62</v>
      </c>
      <c r="I4" s="539" t="s">
        <v>154</v>
      </c>
      <c r="J4" s="327" t="s">
        <v>62</v>
      </c>
      <c r="K4" s="20" t="s">
        <v>170</v>
      </c>
      <c r="L4" s="527" t="s">
        <v>107</v>
      </c>
      <c r="M4" s="404" t="s">
        <v>62</v>
      </c>
      <c r="N4" s="20" t="s">
        <v>173</v>
      </c>
      <c r="O4" s="527" t="s">
        <v>107</v>
      </c>
      <c r="P4" s="404" t="s">
        <v>62</v>
      </c>
      <c r="Q4" s="20" t="s">
        <v>181</v>
      </c>
      <c r="R4" s="527" t="s">
        <v>107</v>
      </c>
      <c r="S4" s="404" t="s">
        <v>62</v>
      </c>
      <c r="T4" s="20" t="s">
        <v>182</v>
      </c>
      <c r="U4" s="527" t="s">
        <v>107</v>
      </c>
      <c r="V4" s="404" t="s">
        <v>62</v>
      </c>
      <c r="W4" s="20" t="s">
        <v>183</v>
      </c>
      <c r="X4" s="527" t="s">
        <v>107</v>
      </c>
      <c r="Y4" s="404" t="s">
        <v>62</v>
      </c>
      <c r="Z4" s="20" t="s">
        <v>183</v>
      </c>
      <c r="AA4" s="527" t="s">
        <v>107</v>
      </c>
      <c r="AB4" s="404" t="s">
        <v>62</v>
      </c>
      <c r="AC4" s="20" t="s">
        <v>230</v>
      </c>
      <c r="AD4" s="527" t="s">
        <v>107</v>
      </c>
      <c r="AE4" s="404" t="s">
        <v>62</v>
      </c>
      <c r="AF4" s="20" t="s">
        <v>255</v>
      </c>
      <c r="AG4" s="527" t="s">
        <v>107</v>
      </c>
      <c r="AH4" s="404" t="s">
        <v>62</v>
      </c>
      <c r="AI4" s="20" t="s">
        <v>259</v>
      </c>
      <c r="AJ4" s="527" t="s">
        <v>107</v>
      </c>
      <c r="AK4" s="404" t="s">
        <v>62</v>
      </c>
      <c r="AL4" s="20" t="s">
        <v>260</v>
      </c>
      <c r="AM4" s="527" t="s">
        <v>107</v>
      </c>
      <c r="AN4" s="404" t="s">
        <v>62</v>
      </c>
      <c r="AO4" s="20" t="s">
        <v>261</v>
      </c>
      <c r="AP4" s="527" t="s">
        <v>107</v>
      </c>
      <c r="AQ4" s="404" t="s">
        <v>62</v>
      </c>
      <c r="AR4" s="20" t="s">
        <v>267</v>
      </c>
      <c r="AS4" s="527" t="s">
        <v>107</v>
      </c>
      <c r="AT4" s="404" t="s">
        <v>62</v>
      </c>
      <c r="AU4" s="20" t="s">
        <v>268</v>
      </c>
      <c r="AV4" s="527" t="s">
        <v>107</v>
      </c>
      <c r="AW4" s="404" t="s">
        <v>62</v>
      </c>
      <c r="AX4" s="20" t="s">
        <v>269</v>
      </c>
      <c r="AY4" s="527" t="s">
        <v>107</v>
      </c>
      <c r="AZ4" s="404" t="s">
        <v>62</v>
      </c>
    </row>
    <row r="5" spans="2:52" s="135" customFormat="1" x14ac:dyDescent="0.25">
      <c r="B5" s="324" t="s">
        <v>93</v>
      </c>
      <c r="C5" s="137">
        <v>10000</v>
      </c>
      <c r="D5" s="136">
        <v>2019</v>
      </c>
      <c r="E5" s="325">
        <v>800</v>
      </c>
      <c r="F5" s="136">
        <v>2019</v>
      </c>
      <c r="G5" s="325">
        <v>1000</v>
      </c>
      <c r="H5" s="136">
        <v>2019</v>
      </c>
      <c r="I5" s="10"/>
      <c r="J5" s="10"/>
      <c r="K5" s="10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</row>
    <row r="6" spans="2:52" s="135" customFormat="1" x14ac:dyDescent="0.25">
      <c r="B6" s="324" t="s">
        <v>247</v>
      </c>
      <c r="C6" s="673"/>
      <c r="D6" s="324"/>
      <c r="E6" s="547"/>
      <c r="F6" s="324"/>
      <c r="G6" s="547"/>
      <c r="H6" s="324"/>
      <c r="I6" s="10"/>
      <c r="J6" s="10"/>
      <c r="K6" s="10" t="s">
        <v>248</v>
      </c>
      <c r="L6" s="26">
        <v>14000</v>
      </c>
      <c r="M6" s="136">
        <v>2019</v>
      </c>
      <c r="N6" s="324" t="s">
        <v>249</v>
      </c>
      <c r="O6" s="784">
        <v>5980</v>
      </c>
      <c r="P6" s="785">
        <v>2019</v>
      </c>
      <c r="Q6" s="786" t="s">
        <v>250</v>
      </c>
      <c r="R6" s="784">
        <v>1500</v>
      </c>
      <c r="S6" s="785">
        <v>2019</v>
      </c>
      <c r="T6" s="786" t="s">
        <v>251</v>
      </c>
      <c r="U6" s="784">
        <v>30000</v>
      </c>
      <c r="V6" s="785">
        <v>2019</v>
      </c>
      <c r="W6" s="786" t="s">
        <v>252</v>
      </c>
      <c r="X6" s="784">
        <v>13000</v>
      </c>
      <c r="Y6" s="785">
        <v>2019</v>
      </c>
      <c r="Z6" s="786" t="s">
        <v>253</v>
      </c>
      <c r="AA6" s="784">
        <v>1500</v>
      </c>
      <c r="AB6" s="785">
        <v>2019</v>
      </c>
      <c r="AC6" s="605" t="s">
        <v>254</v>
      </c>
      <c r="AD6" s="784">
        <v>5000</v>
      </c>
      <c r="AE6" s="785">
        <v>2019</v>
      </c>
      <c r="AF6" s="566" t="s">
        <v>257</v>
      </c>
      <c r="AG6" s="606">
        <v>4500</v>
      </c>
      <c r="AH6" s="676">
        <v>2019</v>
      </c>
      <c r="AI6" s="566" t="s">
        <v>258</v>
      </c>
      <c r="AJ6" s="606">
        <v>800</v>
      </c>
      <c r="AK6" s="676">
        <v>2019</v>
      </c>
      <c r="AL6" s="566" t="s">
        <v>262</v>
      </c>
      <c r="AM6" s="606">
        <v>4000</v>
      </c>
      <c r="AN6" s="676">
        <v>2019</v>
      </c>
      <c r="AO6" s="566" t="s">
        <v>263</v>
      </c>
      <c r="AP6" s="606">
        <f>824584/2905</f>
        <v>283.84991394148022</v>
      </c>
      <c r="AQ6" s="676">
        <v>2019</v>
      </c>
      <c r="AR6" s="605" t="s">
        <v>270</v>
      </c>
      <c r="AS6" s="784">
        <v>2500</v>
      </c>
      <c r="AT6" s="785">
        <v>2019</v>
      </c>
      <c r="AU6" s="605" t="s">
        <v>273</v>
      </c>
      <c r="AV6" s="784">
        <v>1500</v>
      </c>
      <c r="AW6" s="785">
        <v>2019</v>
      </c>
      <c r="AX6" s="605" t="s">
        <v>274</v>
      </c>
      <c r="AY6" s="784">
        <v>75000</v>
      </c>
      <c r="AZ6" s="785">
        <v>2019</v>
      </c>
    </row>
    <row r="7" spans="2:52" s="135" customFormat="1" x14ac:dyDescent="0.25">
      <c r="B7" s="324" t="s">
        <v>291</v>
      </c>
      <c r="C7" s="673"/>
      <c r="D7" s="324"/>
      <c r="E7" s="547"/>
      <c r="F7" s="324"/>
      <c r="G7" s="547"/>
      <c r="H7" s="324"/>
      <c r="I7" s="10"/>
      <c r="J7" s="10"/>
      <c r="K7" s="10" t="s">
        <v>292</v>
      </c>
      <c r="L7" s="26">
        <v>129385</v>
      </c>
      <c r="M7" s="136">
        <v>2019</v>
      </c>
      <c r="N7" s="324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</row>
    <row r="8" spans="2:52" x14ac:dyDescent="0.25">
      <c r="B8" s="324" t="s">
        <v>1</v>
      </c>
      <c r="C8" s="26">
        <v>11700</v>
      </c>
      <c r="D8" s="136">
        <v>2019</v>
      </c>
      <c r="E8" s="26">
        <v>800</v>
      </c>
      <c r="F8" s="136">
        <v>2019</v>
      </c>
      <c r="G8" s="325">
        <v>1000</v>
      </c>
      <c r="H8" s="136">
        <v>2019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</row>
    <row r="9" spans="2:52" x14ac:dyDescent="0.25">
      <c r="B9" s="10" t="s">
        <v>80</v>
      </c>
      <c r="C9" s="26">
        <v>11000</v>
      </c>
      <c r="D9" s="136">
        <v>2019</v>
      </c>
      <c r="E9" s="26">
        <v>800</v>
      </c>
      <c r="F9" s="136">
        <v>2019</v>
      </c>
      <c r="G9" s="325">
        <v>1000</v>
      </c>
      <c r="H9" s="136">
        <v>2019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</row>
    <row r="10" spans="2:52" x14ac:dyDescent="0.25">
      <c r="B10" s="10" t="s">
        <v>369</v>
      </c>
      <c r="C10" s="26">
        <v>100000</v>
      </c>
      <c r="D10" s="136">
        <v>2019</v>
      </c>
      <c r="E10" s="26">
        <v>16000</v>
      </c>
      <c r="F10" s="136">
        <v>2019</v>
      </c>
      <c r="G10" s="325">
        <v>3000</v>
      </c>
      <c r="H10" s="136">
        <v>2019</v>
      </c>
      <c r="I10" s="10"/>
      <c r="J10" s="10"/>
      <c r="K10" s="10" t="s">
        <v>370</v>
      </c>
      <c r="L10" s="10">
        <v>5667</v>
      </c>
      <c r="M10" s="136">
        <v>2019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</row>
    <row r="11" spans="2:52" x14ac:dyDescent="0.25">
      <c r="B11" s="10" t="s">
        <v>368</v>
      </c>
      <c r="C11" s="26">
        <v>11426</v>
      </c>
      <c r="D11" s="136">
        <v>2019</v>
      </c>
      <c r="E11" s="26">
        <v>800</v>
      </c>
      <c r="F11" s="136">
        <v>2019</v>
      </c>
      <c r="G11" s="325">
        <v>1000</v>
      </c>
      <c r="H11" s="136">
        <v>2019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</row>
    <row r="12" spans="2:52" x14ac:dyDescent="0.25">
      <c r="B12" s="10" t="s">
        <v>157</v>
      </c>
      <c r="C12" s="26">
        <v>20500</v>
      </c>
      <c r="D12" s="136">
        <v>2019</v>
      </c>
      <c r="E12" s="26">
        <v>800</v>
      </c>
      <c r="F12" s="136">
        <v>2019</v>
      </c>
      <c r="G12" s="325">
        <v>1000</v>
      </c>
      <c r="H12" s="136">
        <v>2019</v>
      </c>
      <c r="I12" s="541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</row>
    <row r="13" spans="2:52" x14ac:dyDescent="0.25">
      <c r="B13" s="10" t="s">
        <v>163</v>
      </c>
      <c r="C13" s="26">
        <v>17285</v>
      </c>
      <c r="D13" s="136">
        <v>2019</v>
      </c>
      <c r="E13" s="26">
        <v>750</v>
      </c>
      <c r="F13" s="136">
        <v>2019</v>
      </c>
      <c r="G13" s="325">
        <v>2000</v>
      </c>
      <c r="H13" s="136">
        <v>2019</v>
      </c>
      <c r="I13" s="541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</row>
    <row r="14" spans="2:52" x14ac:dyDescent="0.25">
      <c r="B14" s="10" t="s">
        <v>179</v>
      </c>
      <c r="C14" s="26"/>
      <c r="D14" s="136">
        <v>2019</v>
      </c>
      <c r="E14" s="26">
        <v>1000</v>
      </c>
      <c r="F14" s="136">
        <v>2019</v>
      </c>
      <c r="G14" s="325">
        <v>2000</v>
      </c>
      <c r="H14" s="136">
        <v>2019</v>
      </c>
      <c r="I14" s="541"/>
      <c r="J14" s="10"/>
      <c r="K14" s="600" t="s">
        <v>375</v>
      </c>
      <c r="L14" s="26">
        <v>26500</v>
      </c>
      <c r="M14" s="136">
        <v>2019</v>
      </c>
      <c r="N14" s="566" t="s">
        <v>184</v>
      </c>
      <c r="O14" s="26">
        <v>125000</v>
      </c>
      <c r="P14" s="136">
        <v>2019</v>
      </c>
      <c r="Q14" s="602" t="s">
        <v>185</v>
      </c>
      <c r="R14" s="603">
        <v>45000</v>
      </c>
      <c r="S14" s="136">
        <v>2019</v>
      </c>
      <c r="T14" s="602" t="s">
        <v>186</v>
      </c>
      <c r="U14" s="603">
        <v>65000</v>
      </c>
      <c r="V14" s="136">
        <v>2019</v>
      </c>
      <c r="W14" s="566" t="s">
        <v>187</v>
      </c>
      <c r="X14" s="606">
        <v>125000</v>
      </c>
      <c r="Y14" s="136">
        <v>2019</v>
      </c>
      <c r="Z14" s="566" t="s">
        <v>188</v>
      </c>
      <c r="AA14" s="606">
        <v>8000</v>
      </c>
      <c r="AB14" s="136">
        <v>2019</v>
      </c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</row>
    <row r="15" spans="2:52" x14ac:dyDescent="0.25">
      <c r="B15" s="10" t="s">
        <v>209</v>
      </c>
      <c r="C15" s="26">
        <v>16000</v>
      </c>
      <c r="D15" s="136">
        <v>2019</v>
      </c>
      <c r="E15" s="26">
        <v>250</v>
      </c>
      <c r="F15" s="136">
        <v>2019</v>
      </c>
      <c r="G15" s="325">
        <v>3400</v>
      </c>
      <c r="H15" s="136">
        <v>2019</v>
      </c>
      <c r="I15" s="541"/>
      <c r="J15" s="10"/>
      <c r="K15" s="566" t="s">
        <v>196</v>
      </c>
      <c r="L15" s="26">
        <v>2900</v>
      </c>
      <c r="M15" s="136">
        <v>2019</v>
      </c>
      <c r="N15" s="600" t="s">
        <v>197</v>
      </c>
      <c r="O15" s="26">
        <v>59000</v>
      </c>
      <c r="P15" s="136">
        <v>2019</v>
      </c>
      <c r="Q15" s="605" t="s">
        <v>198</v>
      </c>
      <c r="R15" s="599">
        <v>1000</v>
      </c>
      <c r="S15" s="136">
        <v>2019</v>
      </c>
      <c r="T15" s="605" t="s">
        <v>199</v>
      </c>
      <c r="U15" s="26">
        <v>1200</v>
      </c>
      <c r="V15" s="136">
        <v>2019</v>
      </c>
      <c r="W15" s="600" t="s">
        <v>201</v>
      </c>
      <c r="X15" s="26">
        <v>4433</v>
      </c>
      <c r="Y15" s="136">
        <v>2019</v>
      </c>
      <c r="Z15" s="600" t="s">
        <v>207</v>
      </c>
      <c r="AA15" s="26">
        <v>1500</v>
      </c>
      <c r="AB15" s="136">
        <v>2019</v>
      </c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</row>
    <row r="16" spans="2:52" x14ac:dyDescent="0.25">
      <c r="B16" s="10" t="s">
        <v>194</v>
      </c>
      <c r="C16" s="26">
        <v>16000</v>
      </c>
      <c r="D16" s="136">
        <v>2019</v>
      </c>
      <c r="E16" s="26">
        <v>750</v>
      </c>
      <c r="F16" s="136">
        <v>2019</v>
      </c>
      <c r="G16" s="325">
        <v>10200</v>
      </c>
      <c r="H16" s="136">
        <v>2019</v>
      </c>
      <c r="I16" s="541"/>
      <c r="J16" s="10"/>
      <c r="K16" s="566" t="s">
        <v>196</v>
      </c>
      <c r="L16" s="26">
        <v>8500</v>
      </c>
      <c r="M16" s="136">
        <v>2019</v>
      </c>
      <c r="N16" s="600" t="s">
        <v>197</v>
      </c>
      <c r="O16" s="26">
        <v>59000</v>
      </c>
      <c r="P16" s="136">
        <v>2019</v>
      </c>
      <c r="Q16" s="605" t="s">
        <v>198</v>
      </c>
      <c r="R16" s="599">
        <v>1000</v>
      </c>
      <c r="S16" s="136">
        <v>2019</v>
      </c>
      <c r="T16" s="605" t="s">
        <v>199</v>
      </c>
      <c r="U16" s="26">
        <v>2400</v>
      </c>
      <c r="V16" s="136">
        <v>2019</v>
      </c>
      <c r="W16" s="600" t="s">
        <v>201</v>
      </c>
      <c r="X16" s="26">
        <v>13300</v>
      </c>
      <c r="Y16" s="136">
        <v>2019</v>
      </c>
      <c r="Z16" s="600" t="s">
        <v>207</v>
      </c>
      <c r="AA16" s="26">
        <v>4500</v>
      </c>
      <c r="AB16" s="136">
        <v>2019</v>
      </c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</row>
    <row r="17" spans="2:52" x14ac:dyDescent="0.25">
      <c r="B17" s="10" t="s">
        <v>210</v>
      </c>
      <c r="C17" s="26">
        <v>16000</v>
      </c>
      <c r="D17" s="136">
        <v>2019</v>
      </c>
      <c r="E17" s="26">
        <v>125</v>
      </c>
      <c r="F17" s="136">
        <v>2019</v>
      </c>
      <c r="G17" s="325">
        <v>1700</v>
      </c>
      <c r="H17" s="136">
        <v>2019</v>
      </c>
      <c r="I17" s="541"/>
      <c r="J17" s="10"/>
      <c r="K17" s="566" t="s">
        <v>196</v>
      </c>
      <c r="L17" s="26">
        <v>1450</v>
      </c>
      <c r="M17" s="136">
        <v>2019</v>
      </c>
      <c r="N17" s="600" t="s">
        <v>197</v>
      </c>
      <c r="O17" s="26">
        <v>59000</v>
      </c>
      <c r="P17" s="136">
        <v>2019</v>
      </c>
      <c r="Q17" s="605" t="s">
        <v>198</v>
      </c>
      <c r="R17" s="599">
        <v>1000</v>
      </c>
      <c r="S17" s="136">
        <v>2019</v>
      </c>
      <c r="T17" s="605" t="s">
        <v>199</v>
      </c>
      <c r="U17" s="26">
        <v>600</v>
      </c>
      <c r="V17" s="136">
        <v>2019</v>
      </c>
      <c r="W17" s="600" t="s">
        <v>201</v>
      </c>
      <c r="X17" s="26">
        <f>4433/2</f>
        <v>2216.5</v>
      </c>
      <c r="Y17" s="136">
        <v>2019</v>
      </c>
      <c r="Z17" s="600" t="s">
        <v>207</v>
      </c>
      <c r="AA17" s="26">
        <v>1500</v>
      </c>
      <c r="AB17" s="136">
        <v>2019</v>
      </c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</row>
    <row r="18" spans="2:52" x14ac:dyDescent="0.25">
      <c r="B18" s="10" t="s">
        <v>151</v>
      </c>
      <c r="C18" s="26">
        <v>4000</v>
      </c>
      <c r="D18" s="136">
        <v>2019</v>
      </c>
      <c r="E18" s="26">
        <v>150</v>
      </c>
      <c r="F18" s="136">
        <v>2019</v>
      </c>
      <c r="G18" s="325">
        <v>300</v>
      </c>
      <c r="H18" s="136">
        <v>2019</v>
      </c>
      <c r="I18" s="325">
        <v>150</v>
      </c>
      <c r="J18" s="136">
        <v>2019</v>
      </c>
      <c r="K18" s="547" t="s">
        <v>171</v>
      </c>
      <c r="L18" s="26">
        <v>125</v>
      </c>
      <c r="M18" s="136">
        <v>2019</v>
      </c>
      <c r="N18" s="547" t="s">
        <v>165</v>
      </c>
      <c r="O18" s="26">
        <v>1610</v>
      </c>
      <c r="P18" s="136">
        <v>2019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</row>
    <row r="19" spans="2:52" x14ac:dyDescent="0.25">
      <c r="B19" s="10" t="s">
        <v>164</v>
      </c>
      <c r="C19" s="26">
        <v>5500</v>
      </c>
      <c r="D19" s="136">
        <v>2019</v>
      </c>
      <c r="G19" s="325">
        <v>950</v>
      </c>
      <c r="H19" s="136">
        <v>2019</v>
      </c>
      <c r="I19" s="325"/>
      <c r="J19" s="136">
        <v>2019</v>
      </c>
      <c r="K19" s="547" t="s">
        <v>172</v>
      </c>
      <c r="L19" s="26">
        <f>(20000+15200)/(2)</f>
        <v>17600</v>
      </c>
      <c r="M19" s="136">
        <v>2019</v>
      </c>
      <c r="N19" s="547" t="s">
        <v>174</v>
      </c>
      <c r="O19" s="26">
        <v>2000</v>
      </c>
      <c r="P19" s="136">
        <v>2019</v>
      </c>
      <c r="Q19" s="10" t="s">
        <v>154</v>
      </c>
      <c r="R19" s="599">
        <f>400*2.583</f>
        <v>1033.2</v>
      </c>
      <c r="S19" s="136">
        <v>2019</v>
      </c>
      <c r="T19" s="10" t="s">
        <v>224</v>
      </c>
      <c r="U19" s="599">
        <f>(450+550)/2</f>
        <v>500</v>
      </c>
      <c r="V19" s="136">
        <v>2019</v>
      </c>
      <c r="W19" s="10" t="s">
        <v>228</v>
      </c>
      <c r="X19" s="26">
        <f>3000/5/7</f>
        <v>85.714285714285708</v>
      </c>
      <c r="Y19" s="136">
        <v>2019</v>
      </c>
      <c r="Z19" s="10" t="s">
        <v>232</v>
      </c>
      <c r="AA19" s="26">
        <v>125</v>
      </c>
      <c r="AB19" s="136">
        <v>2019</v>
      </c>
      <c r="AC19" s="10" t="s">
        <v>231</v>
      </c>
      <c r="AD19" s="603">
        <f>(440+280)/2</f>
        <v>360</v>
      </c>
      <c r="AE19" s="604">
        <v>2019</v>
      </c>
      <c r="AF19" s="10" t="s">
        <v>305</v>
      </c>
      <c r="AG19" s="603">
        <v>555</v>
      </c>
      <c r="AH19" s="604">
        <v>2019</v>
      </c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</row>
    <row r="20" spans="2:52" x14ac:dyDescent="0.25">
      <c r="B20" s="10" t="s">
        <v>306</v>
      </c>
      <c r="C20" s="26">
        <v>7000</v>
      </c>
      <c r="D20" s="136">
        <v>2019</v>
      </c>
      <c r="G20" s="325">
        <v>950</v>
      </c>
      <c r="H20" s="136">
        <v>2019</v>
      </c>
      <c r="I20" s="325">
        <v>400</v>
      </c>
      <c r="J20" s="136">
        <v>2019</v>
      </c>
      <c r="K20" s="547" t="s">
        <v>316</v>
      </c>
      <c r="L20" s="26">
        <v>11000</v>
      </c>
      <c r="M20" s="136">
        <v>2019</v>
      </c>
      <c r="N20" s="547" t="s">
        <v>172</v>
      </c>
      <c r="O20" s="26">
        <f>(20700+15900)/2</f>
        <v>18300</v>
      </c>
      <c r="P20" s="136">
        <v>2019</v>
      </c>
      <c r="Q20" s="10" t="s">
        <v>321</v>
      </c>
      <c r="R20" s="599">
        <v>12000</v>
      </c>
      <c r="S20" s="136">
        <v>2019</v>
      </c>
      <c r="T20" s="10" t="s">
        <v>322</v>
      </c>
      <c r="U20" s="599">
        <f>2000/5</f>
        <v>400</v>
      </c>
      <c r="V20" s="136">
        <v>2019</v>
      </c>
      <c r="W20" s="10" t="s">
        <v>174</v>
      </c>
      <c r="X20" s="26">
        <v>2000</v>
      </c>
      <c r="Y20" s="136">
        <v>2019</v>
      </c>
      <c r="Z20" s="10" t="s">
        <v>328</v>
      </c>
      <c r="AA20" s="26">
        <v>3455984</v>
      </c>
      <c r="AB20" s="136">
        <v>2019</v>
      </c>
      <c r="AC20" s="10" t="s">
        <v>332</v>
      </c>
      <c r="AD20" s="603">
        <v>3000</v>
      </c>
      <c r="AE20" s="604">
        <v>2019</v>
      </c>
      <c r="AF20" s="10" t="s">
        <v>333</v>
      </c>
      <c r="AG20" s="603">
        <v>75000</v>
      </c>
      <c r="AH20" s="604">
        <v>2019</v>
      </c>
      <c r="AI20" s="10" t="s">
        <v>347</v>
      </c>
      <c r="AJ20" s="603">
        <f>600/5</f>
        <v>120</v>
      </c>
      <c r="AK20" s="604">
        <v>2019</v>
      </c>
      <c r="AL20" s="10" t="s">
        <v>348</v>
      </c>
      <c r="AM20" s="603">
        <v>75</v>
      </c>
      <c r="AN20" s="604">
        <v>2019</v>
      </c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</row>
    <row r="21" spans="2:52" x14ac:dyDescent="0.25">
      <c r="B21" s="10" t="s">
        <v>395</v>
      </c>
      <c r="C21" s="26">
        <v>1000</v>
      </c>
      <c r="D21" s="136">
        <v>2023</v>
      </c>
      <c r="G21" s="325"/>
      <c r="H21" s="136"/>
      <c r="I21" s="325"/>
      <c r="J21" s="136"/>
      <c r="K21" s="547"/>
      <c r="L21" s="26"/>
      <c r="M21" s="136"/>
      <c r="N21" s="547"/>
      <c r="O21" s="26"/>
      <c r="P21" s="136"/>
      <c r="Q21" s="10"/>
      <c r="R21" s="599"/>
      <c r="S21" s="136"/>
      <c r="T21" s="10"/>
      <c r="U21" s="599"/>
      <c r="V21" s="136"/>
      <c r="W21" s="10"/>
      <c r="X21" s="26"/>
      <c r="Y21" s="136"/>
      <c r="Z21" s="10"/>
      <c r="AA21" s="26"/>
      <c r="AB21" s="136"/>
      <c r="AC21" s="10"/>
      <c r="AD21" s="603"/>
      <c r="AE21" s="604"/>
      <c r="AF21" s="10"/>
      <c r="AG21" s="603"/>
      <c r="AH21" s="604"/>
      <c r="AI21" s="10"/>
      <c r="AJ21" s="603"/>
      <c r="AK21" s="604"/>
      <c r="AL21" s="10"/>
      <c r="AM21" s="603"/>
      <c r="AN21" s="604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</row>
    <row r="22" spans="2:52" x14ac:dyDescent="0.25">
      <c r="B22" s="10"/>
      <c r="C22" s="26"/>
      <c r="D22" s="136"/>
      <c r="G22" s="325"/>
      <c r="H22" s="136"/>
      <c r="I22" s="325"/>
      <c r="J22" s="136"/>
      <c r="K22" s="547"/>
      <c r="L22" s="26"/>
      <c r="M22" s="136"/>
      <c r="N22" s="547"/>
      <c r="O22" s="26"/>
      <c r="P22" s="136"/>
      <c r="Q22" s="10"/>
      <c r="R22" s="599"/>
      <c r="S22" s="136"/>
      <c r="T22" s="10"/>
      <c r="U22" s="599"/>
      <c r="V22" s="136"/>
      <c r="W22" s="10"/>
      <c r="X22" s="26"/>
      <c r="Y22" s="136"/>
      <c r="Z22" s="10"/>
      <c r="AA22" s="26"/>
      <c r="AB22" s="136"/>
      <c r="AC22" s="10"/>
      <c r="AD22" s="603"/>
      <c r="AE22" s="604"/>
      <c r="AF22" s="10"/>
      <c r="AG22" s="603"/>
      <c r="AH22" s="604"/>
      <c r="AI22" s="10"/>
      <c r="AJ22" s="603"/>
      <c r="AK22" s="604"/>
      <c r="AL22" s="10"/>
      <c r="AM22" s="603"/>
      <c r="AN22" s="604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</row>
    <row r="23" spans="2:52" x14ac:dyDescent="0.25">
      <c r="B23" s="10"/>
      <c r="C23" s="26"/>
      <c r="D23" s="136"/>
      <c r="G23" s="325"/>
      <c r="H23" s="136"/>
      <c r="I23" s="325"/>
      <c r="J23" s="136"/>
      <c r="K23" s="547"/>
      <c r="L23" s="26"/>
      <c r="M23" s="136"/>
      <c r="N23" s="547"/>
      <c r="O23" s="26"/>
      <c r="P23" s="136"/>
      <c r="Q23" s="10"/>
      <c r="R23" s="599"/>
      <c r="S23" s="136"/>
      <c r="T23" s="10"/>
      <c r="U23" s="599"/>
      <c r="V23" s="136"/>
      <c r="W23" s="10"/>
      <c r="X23" s="26"/>
      <c r="Y23" s="136"/>
      <c r="Z23" s="10"/>
      <c r="AA23" s="26"/>
      <c r="AB23" s="136"/>
      <c r="AC23" s="10"/>
      <c r="AD23" s="603"/>
      <c r="AE23" s="604"/>
      <c r="AF23" s="10"/>
      <c r="AG23" s="603"/>
      <c r="AH23" s="604"/>
      <c r="AI23" s="10"/>
      <c r="AJ23" s="603"/>
      <c r="AK23" s="604"/>
      <c r="AL23" s="10"/>
      <c r="AM23" s="603"/>
      <c r="AN23" s="604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</row>
    <row r="24" spans="2:52" x14ac:dyDescent="0.25">
      <c r="B24" s="10"/>
      <c r="C24" s="26"/>
      <c r="D24" s="136"/>
      <c r="G24" s="325"/>
      <c r="H24" s="136"/>
      <c r="I24" s="325"/>
      <c r="J24" s="136"/>
      <c r="K24" s="547"/>
      <c r="L24" s="26"/>
      <c r="M24" s="136"/>
      <c r="N24" s="547"/>
      <c r="O24" s="26"/>
      <c r="P24" s="136"/>
      <c r="Q24" s="10"/>
      <c r="R24" s="599"/>
      <c r="S24" s="136"/>
      <c r="T24" s="10"/>
      <c r="U24" s="599"/>
      <c r="V24" s="136"/>
      <c r="W24" s="10"/>
      <c r="X24" s="26"/>
      <c r="Y24" s="136"/>
      <c r="Z24" s="10"/>
      <c r="AA24" s="26"/>
      <c r="AB24" s="136"/>
      <c r="AC24" s="10"/>
      <c r="AD24" s="603"/>
      <c r="AE24" s="604"/>
      <c r="AF24" s="10"/>
      <c r="AG24" s="603"/>
      <c r="AH24" s="604"/>
      <c r="AI24" s="10"/>
      <c r="AJ24" s="603"/>
      <c r="AK24" s="604"/>
      <c r="AL24" s="10"/>
      <c r="AM24" s="603"/>
      <c r="AN24" s="604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</row>
    <row r="25" spans="2:52" x14ac:dyDescent="0.25">
      <c r="B25" s="10" t="s">
        <v>92</v>
      </c>
      <c r="C25" s="26">
        <v>10000</v>
      </c>
      <c r="D25" s="136">
        <v>2019</v>
      </c>
      <c r="E25" s="26">
        <v>800</v>
      </c>
      <c r="F25" s="136">
        <v>2019</v>
      </c>
      <c r="G25" s="137">
        <v>1000</v>
      </c>
      <c r="H25" s="136">
        <v>2019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</row>
  </sheetData>
  <mergeCells count="3">
    <mergeCell ref="E3:F3"/>
    <mergeCell ref="G3:J3"/>
    <mergeCell ref="K3:P3"/>
  </mergeCells>
  <phoneticPr fontId="2" type="noConversion"/>
  <dataValidations count="2">
    <dataValidation type="list" allowBlank="1" showInputMessage="1" showErrorMessage="1" sqref="F6:F7 H6:H7 D6:D7" xr:uid="{00000000-0002-0000-0200-000000000000}">
      <formula1>"Year_Values"</formula1>
    </dataValidation>
    <dataValidation type="list" allowBlank="1" showInputMessage="1" showErrorMessage="1" sqref="D5 M14:M24 F5 H5 M6:M7 S6 V6 J18:J24 P14:P24 S19:S24 S14:S17 V19:V24 V14:V17 Y19:Y24 Y14:Y17 AB19:AB24 AB14:AB17 AE19:AE24 AH19:AH24 F25 Y6 AB6 AE6 AH6 AK6 AN6 AQ6 AT6 AW6 AZ6 P6 H8:H25 D8:D25 F8:F18 AK20:AK24 AN20:AN24 M10" xr:uid="{00000000-0002-0000-0200-000001000000}">
      <formula1>YearList</formula1>
    </dataValidation>
  </dataValidations>
  <pageMargins left="0.75" right="0.75" top="1" bottom="1" header="0.5" footer="0.5"/>
  <pageSetup scale="85" orientation="landscape" r:id="rId1"/>
  <headerFooter alignWithMargins="0"/>
  <colBreaks count="5" manualBreakCount="5">
    <brk id="10" max="1048575" man="1"/>
    <brk id="19" max="1048575" man="1"/>
    <brk id="28" max="1048575" man="1"/>
    <brk id="37" max="1048575" man="1"/>
    <brk id="4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21"/>
  <sheetViews>
    <sheetView zoomScaleNormal="100" workbookViewId="0">
      <selection activeCell="J56" sqref="J56"/>
    </sheetView>
  </sheetViews>
  <sheetFormatPr defaultRowHeight="12.5" x14ac:dyDescent="0.25"/>
  <cols>
    <col min="1" max="1" width="1.1796875" customWidth="1"/>
    <col min="2" max="2" width="31.453125" customWidth="1"/>
    <col min="3" max="3" width="12.81640625" customWidth="1"/>
    <col min="4" max="4" width="10.26953125" bestFit="1" customWidth="1"/>
    <col min="5" max="5" width="11.26953125" customWidth="1"/>
    <col min="6" max="6" width="9.7265625" style="5" customWidth="1"/>
    <col min="7" max="7" width="9.7265625" bestFit="1" customWidth="1"/>
    <col min="8" max="8" width="9.81640625" bestFit="1" customWidth="1"/>
    <col min="9" max="9" width="13.26953125" customWidth="1"/>
    <col min="10" max="10" width="15" customWidth="1"/>
    <col min="11" max="11" width="14.453125" customWidth="1"/>
    <col min="12" max="12" width="14.26953125" bestFit="1" customWidth="1"/>
    <col min="13" max="13" width="15.54296875" customWidth="1"/>
    <col min="14" max="14" width="14.54296875" customWidth="1"/>
    <col min="15" max="15" width="14.453125" customWidth="1"/>
    <col min="16" max="16" width="15" customWidth="1"/>
    <col min="17" max="17" width="13.81640625" customWidth="1"/>
    <col min="18" max="18" width="14" customWidth="1"/>
    <col min="19" max="19" width="14.54296875" customWidth="1"/>
    <col min="20" max="20" width="14" customWidth="1"/>
    <col min="21" max="21" width="13.26953125" bestFit="1" customWidth="1"/>
  </cols>
  <sheetData>
    <row r="1" spans="1:21" ht="4.5" customHeight="1" thickBot="1" x14ac:dyDescent="0.3">
      <c r="B1" s="335"/>
      <c r="C1" s="335"/>
      <c r="D1" s="335"/>
      <c r="E1" s="335"/>
      <c r="F1" s="336"/>
      <c r="G1" s="335"/>
      <c r="H1" s="335"/>
      <c r="I1" s="335"/>
      <c r="J1" s="335"/>
      <c r="K1" s="335"/>
      <c r="L1" s="335"/>
      <c r="M1" s="335"/>
    </row>
    <row r="2" spans="1:21" ht="18.5" thickTop="1" x14ac:dyDescent="0.4">
      <c r="A2" s="510"/>
      <c r="B2" s="494" t="s">
        <v>0</v>
      </c>
      <c r="C2" s="491" t="s">
        <v>92</v>
      </c>
      <c r="E2" s="326" t="s">
        <v>31</v>
      </c>
      <c r="F2" s="1172">
        <v>43412</v>
      </c>
      <c r="G2" s="1173"/>
      <c r="J2" s="492" t="s">
        <v>5</v>
      </c>
      <c r="K2" s="493">
        <v>2023</v>
      </c>
      <c r="M2" s="490" t="s">
        <v>10</v>
      </c>
      <c r="N2" s="452">
        <f>K2+1</f>
        <v>2024</v>
      </c>
      <c r="O2" s="451"/>
      <c r="P2" s="453" t="s">
        <v>11</v>
      </c>
      <c r="Q2" s="452">
        <f>N2+1</f>
        <v>2025</v>
      </c>
      <c r="R2" s="454"/>
      <c r="S2" s="1165" t="s">
        <v>77</v>
      </c>
      <c r="T2" s="1166"/>
      <c r="U2" s="455" t="s">
        <v>79</v>
      </c>
    </row>
    <row r="3" spans="1:21" ht="15.5" x14ac:dyDescent="0.35">
      <c r="A3" s="510"/>
      <c r="C3" s="1"/>
      <c r="D3" s="25"/>
      <c r="E3" s="2"/>
      <c r="I3" s="326" t="s">
        <v>59</v>
      </c>
      <c r="J3" s="144"/>
      <c r="L3" s="145"/>
      <c r="O3" s="31"/>
      <c r="R3" s="31"/>
      <c r="S3" s="90" t="s">
        <v>71</v>
      </c>
      <c r="T3" s="91">
        <f>AVERAGE(J5,M5,P5)</f>
        <v>83</v>
      </c>
      <c r="U3" s="31"/>
    </row>
    <row r="4" spans="1:21" ht="13" x14ac:dyDescent="0.3">
      <c r="A4" s="510"/>
      <c r="I4" s="43">
        <v>0.05</v>
      </c>
      <c r="J4" s="326" t="s">
        <v>71</v>
      </c>
      <c r="K4" s="349" t="s">
        <v>72</v>
      </c>
      <c r="L4" s="17">
        <v>406</v>
      </c>
      <c r="M4" s="326" t="s">
        <v>71</v>
      </c>
      <c r="N4" s="349" t="s">
        <v>69</v>
      </c>
      <c r="O4" s="17">
        <v>406</v>
      </c>
      <c r="P4" s="326" t="s">
        <v>71</v>
      </c>
      <c r="Q4" s="349" t="s">
        <v>69</v>
      </c>
      <c r="R4" s="17">
        <v>406</v>
      </c>
      <c r="S4" s="90" t="s">
        <v>69</v>
      </c>
      <c r="T4" s="85">
        <f>AVERAGE(L4,O4,R4)</f>
        <v>406</v>
      </c>
      <c r="U4" s="31"/>
    </row>
    <row r="5" spans="1:21" ht="12.75" customHeight="1" thickBot="1" x14ac:dyDescent="0.35">
      <c r="A5" s="510"/>
      <c r="B5" s="495" t="s">
        <v>2</v>
      </c>
      <c r="C5" s="1174"/>
      <c r="D5" s="1175"/>
      <c r="E5" s="1175"/>
      <c r="F5" s="1175"/>
      <c r="G5" s="1175"/>
      <c r="H5" s="1175"/>
      <c r="I5" s="1175"/>
      <c r="J5" s="525">
        <v>83</v>
      </c>
      <c r="K5" s="287" t="s">
        <v>70</v>
      </c>
      <c r="L5" s="288">
        <f>L4*$I$4</f>
        <v>20.3</v>
      </c>
      <c r="M5" s="526">
        <v>83</v>
      </c>
      <c r="N5" s="287" t="s">
        <v>70</v>
      </c>
      <c r="O5" s="289">
        <f>O4*$I$4</f>
        <v>20.3</v>
      </c>
      <c r="P5" s="525">
        <v>83</v>
      </c>
      <c r="Q5" s="287" t="s">
        <v>70</v>
      </c>
      <c r="R5" s="288">
        <f>R4*$I$4</f>
        <v>20.3</v>
      </c>
      <c r="S5" s="191" t="s">
        <v>70</v>
      </c>
      <c r="T5" s="192">
        <f>AVERAGE(L5,O5,R5)</f>
        <v>20.3</v>
      </c>
      <c r="U5" s="31"/>
    </row>
    <row r="6" spans="1:21" ht="30" customHeight="1" thickTop="1" thickBot="1" x14ac:dyDescent="0.45">
      <c r="A6" s="510"/>
      <c r="B6" s="496" t="s">
        <v>73</v>
      </c>
      <c r="C6" s="3"/>
      <c r="D6" s="3"/>
      <c r="E6" s="3"/>
      <c r="F6" s="9"/>
      <c r="G6" s="3"/>
      <c r="H6" s="3"/>
      <c r="I6" s="3"/>
      <c r="J6" s="447"/>
      <c r="K6" s="3"/>
      <c r="L6" s="3"/>
      <c r="M6" s="447"/>
      <c r="N6" s="3"/>
      <c r="O6" s="3"/>
      <c r="P6" s="447"/>
      <c r="Q6" s="3"/>
      <c r="R6" s="3"/>
      <c r="S6" s="448" t="s">
        <v>17</v>
      </c>
      <c r="T6" s="449" t="s">
        <v>103</v>
      </c>
      <c r="U6" s="450"/>
    </row>
    <row r="7" spans="1:21" ht="15.5" x14ac:dyDescent="0.35">
      <c r="A7" s="510"/>
      <c r="B7" s="48" t="s">
        <v>3</v>
      </c>
      <c r="C7" s="193"/>
      <c r="D7" s="349" t="s">
        <v>54</v>
      </c>
      <c r="E7" s="24">
        <v>7</v>
      </c>
      <c r="F7" s="1" t="s">
        <v>6</v>
      </c>
      <c r="G7" s="1169"/>
      <c r="H7" s="1170"/>
      <c r="I7" s="1171"/>
      <c r="J7" s="72" t="s">
        <v>3</v>
      </c>
      <c r="K7" s="146"/>
      <c r="L7" s="62"/>
      <c r="M7" s="48" t="s">
        <v>3</v>
      </c>
      <c r="O7" s="31"/>
      <c r="P7" s="48" t="s">
        <v>3</v>
      </c>
      <c r="R7" s="31"/>
      <c r="S7" s="99"/>
      <c r="T7" s="92"/>
      <c r="U7" s="114"/>
    </row>
    <row r="8" spans="1:21" ht="13" x14ac:dyDescent="0.3">
      <c r="A8" s="510"/>
      <c r="B8" s="497" t="s">
        <v>44</v>
      </c>
      <c r="C8" s="4"/>
      <c r="D8" s="4"/>
      <c r="E8" s="4"/>
      <c r="F8" s="8"/>
      <c r="G8" s="4"/>
      <c r="H8" s="4"/>
      <c r="I8" s="40" t="s">
        <v>55</v>
      </c>
      <c r="J8" s="209" t="s">
        <v>55</v>
      </c>
      <c r="K8" s="1176" t="s">
        <v>57</v>
      </c>
      <c r="L8" s="1168"/>
      <c r="M8" s="50" t="s">
        <v>55</v>
      </c>
      <c r="N8" s="1177" t="s">
        <v>57</v>
      </c>
      <c r="O8" s="1178"/>
      <c r="P8" s="227" t="s">
        <v>55</v>
      </c>
      <c r="Q8" s="1167" t="s">
        <v>57</v>
      </c>
      <c r="R8" s="1168"/>
      <c r="S8" s="100"/>
      <c r="T8" s="118"/>
      <c r="U8" s="116"/>
    </row>
    <row r="9" spans="1:21" ht="13" x14ac:dyDescent="0.3">
      <c r="A9" s="510"/>
      <c r="B9" s="498" t="s">
        <v>53</v>
      </c>
      <c r="C9" s="20" t="s">
        <v>45</v>
      </c>
      <c r="D9" s="20" t="s">
        <v>46</v>
      </c>
      <c r="E9" s="20" t="s">
        <v>47</v>
      </c>
      <c r="F9" s="20" t="s">
        <v>48</v>
      </c>
      <c r="G9" s="20" t="s">
        <v>49</v>
      </c>
      <c r="H9" s="20" t="s">
        <v>50</v>
      </c>
      <c r="I9" s="40" t="s">
        <v>13</v>
      </c>
      <c r="J9" s="210" t="s">
        <v>56</v>
      </c>
      <c r="K9" s="211" t="s">
        <v>13</v>
      </c>
      <c r="L9" s="212" t="s">
        <v>68</v>
      </c>
      <c r="M9" s="66" t="s">
        <v>56</v>
      </c>
      <c r="N9" s="20" t="s">
        <v>13</v>
      </c>
      <c r="O9" s="32" t="s">
        <v>68</v>
      </c>
      <c r="P9" s="211" t="s">
        <v>56</v>
      </c>
      <c r="Q9" s="211" t="s">
        <v>13</v>
      </c>
      <c r="R9" s="212" t="s">
        <v>68</v>
      </c>
      <c r="S9" s="98"/>
      <c r="T9" s="44"/>
      <c r="U9" s="117"/>
    </row>
    <row r="10" spans="1:21" x14ac:dyDescent="0.25">
      <c r="A10" s="510"/>
      <c r="B10" s="499" t="s">
        <v>51</v>
      </c>
      <c r="C10" s="18">
        <v>0</v>
      </c>
      <c r="D10" s="18">
        <v>0</v>
      </c>
      <c r="E10" s="18">
        <v>0</v>
      </c>
      <c r="F10" s="18">
        <v>10</v>
      </c>
      <c r="G10" s="18">
        <v>10</v>
      </c>
      <c r="H10" s="18">
        <v>10</v>
      </c>
      <c r="I10" s="41">
        <f>SUM(C10:H10)</f>
        <v>30</v>
      </c>
      <c r="J10" s="213" t="s">
        <v>12</v>
      </c>
      <c r="K10" s="214">
        <f>I10*$J$5</f>
        <v>2490</v>
      </c>
      <c r="L10" s="215">
        <f>K10/$E$7</f>
        <v>355.71428571428572</v>
      </c>
      <c r="M10" s="51" t="s">
        <v>12</v>
      </c>
      <c r="N10" s="351">
        <f>I10*$M$5</f>
        <v>2490</v>
      </c>
      <c r="O10" s="57">
        <f>N10/$E$7</f>
        <v>355.71428571428572</v>
      </c>
      <c r="P10" s="213" t="s">
        <v>12</v>
      </c>
      <c r="Q10" s="352">
        <f>$I10*$M$5</f>
        <v>2490</v>
      </c>
      <c r="R10" s="239">
        <f>Q10/$E$7</f>
        <v>355.71428571428572</v>
      </c>
      <c r="S10" s="96">
        <f>AVERAGE(L10,O10,R10)</f>
        <v>355.71428571428572</v>
      </c>
      <c r="T10" s="94" t="s">
        <v>12</v>
      </c>
      <c r="U10" s="94" t="s">
        <v>12</v>
      </c>
    </row>
    <row r="11" spans="1:21" s="1" customFormat="1" ht="13.5" thickBot="1" x14ac:dyDescent="0.35">
      <c r="A11" s="511"/>
      <c r="B11" s="327" t="s">
        <v>52</v>
      </c>
      <c r="C11" s="20">
        <f>ROUND(C10*Labor!$D$3,0)</f>
        <v>0</v>
      </c>
      <c r="D11" s="20">
        <f>ROUND(D10*Labor!$D$4,0)</f>
        <v>0</v>
      </c>
      <c r="E11" s="20">
        <f>ROUND(E10*Labor!$D$5,0)</f>
        <v>0</v>
      </c>
      <c r="F11" s="20">
        <f>ROUND(F10*Labor!$D$6,0)</f>
        <v>276</v>
      </c>
      <c r="G11" s="20">
        <f>ROUND(G10*Labor!$D$7,0)</f>
        <v>313</v>
      </c>
      <c r="H11" s="20">
        <f>ROUND(H10*Labor!$D$8,0)</f>
        <v>378</v>
      </c>
      <c r="I11" s="314">
        <f>SUM(C11:H11)</f>
        <v>967</v>
      </c>
      <c r="J11" s="284">
        <f>HLOOKUP(K$2,InflationTable,2)/HLOOKUP(Labor!$B$11,InflationTable,2)*$I11</f>
        <v>2068.6438754325259</v>
      </c>
      <c r="K11" s="245">
        <f>J11*$J$5</f>
        <v>171697.44166089964</v>
      </c>
      <c r="L11" s="246">
        <f>K11/$E$7</f>
        <v>24528.205951557091</v>
      </c>
      <c r="M11" s="169">
        <f>HLOOKUP(N$2,InflationTable,2)/HLOOKUP(Labor!$B$11,InflationTable,2)*$I11</f>
        <v>2151.3896304498271</v>
      </c>
      <c r="N11" s="166">
        <f>M11*$J$5</f>
        <v>178565.33932733565</v>
      </c>
      <c r="O11" s="167">
        <f>N11/$E$7</f>
        <v>25509.334189619378</v>
      </c>
      <c r="P11" s="284">
        <f>HLOOKUP(Q$2,InflationTable,2)/HLOOKUP(Labor!$B$11,InflationTable,2)*$I11</f>
        <v>2194.4174230588233</v>
      </c>
      <c r="Q11" s="245">
        <f>P11*$J$5</f>
        <v>182136.64611388234</v>
      </c>
      <c r="R11" s="246">
        <f>Q11/$E$7</f>
        <v>26019.520873411762</v>
      </c>
      <c r="S11" s="312">
        <f>AVERAGE(L11,O11,R11)</f>
        <v>25352.353671529407</v>
      </c>
      <c r="T11" s="313" t="s">
        <v>12</v>
      </c>
      <c r="U11" s="313" t="s">
        <v>12</v>
      </c>
    </row>
    <row r="12" spans="1:21" ht="13" x14ac:dyDescent="0.3">
      <c r="A12" s="510"/>
      <c r="B12" s="1" t="s">
        <v>7</v>
      </c>
      <c r="H12" s="6"/>
      <c r="I12" s="31"/>
      <c r="J12" s="216"/>
      <c r="K12" s="216"/>
      <c r="L12" s="217"/>
      <c r="O12" s="31"/>
      <c r="P12" s="330"/>
      <c r="Q12" s="330"/>
      <c r="R12" s="331"/>
      <c r="S12" s="97"/>
      <c r="T12" s="31"/>
      <c r="U12" s="31"/>
    </row>
    <row r="13" spans="1:21" x14ac:dyDescent="0.25">
      <c r="A13" s="510"/>
      <c r="B13" s="499" t="s">
        <v>51</v>
      </c>
      <c r="C13" s="18">
        <v>0</v>
      </c>
      <c r="D13" s="18">
        <v>0</v>
      </c>
      <c r="E13" s="18">
        <v>0</v>
      </c>
      <c r="F13" s="18">
        <v>4</v>
      </c>
      <c r="G13" s="18">
        <v>4</v>
      </c>
      <c r="H13" s="18">
        <v>0</v>
      </c>
      <c r="I13" s="41">
        <f>SUM(C13:H13)</f>
        <v>8</v>
      </c>
      <c r="J13" s="213" t="s">
        <v>12</v>
      </c>
      <c r="K13" s="214">
        <f>I13*$J$5</f>
        <v>664</v>
      </c>
      <c r="L13" s="215">
        <f>K13/$E$7</f>
        <v>94.857142857142861</v>
      </c>
      <c r="M13" s="51" t="s">
        <v>12</v>
      </c>
      <c r="N13" s="10">
        <f>I13*$M$5</f>
        <v>664</v>
      </c>
      <c r="O13" s="52">
        <f>N13/$E$7</f>
        <v>94.857142857142861</v>
      </c>
      <c r="P13" s="213" t="s">
        <v>12</v>
      </c>
      <c r="Q13" s="241">
        <f>$I13*$P$5</f>
        <v>664</v>
      </c>
      <c r="R13" s="232">
        <f>Q13/$E$7</f>
        <v>94.857142857142861</v>
      </c>
      <c r="S13" s="96">
        <f>AVERAGE(L13,O13,R13)</f>
        <v>94.857142857142847</v>
      </c>
      <c r="T13" s="94" t="s">
        <v>12</v>
      </c>
      <c r="U13" s="94" t="s">
        <v>12</v>
      </c>
    </row>
    <row r="14" spans="1:21" s="1" customFormat="1" ht="13.5" thickBot="1" x14ac:dyDescent="0.35">
      <c r="A14" s="511"/>
      <c r="B14" s="500" t="s">
        <v>52</v>
      </c>
      <c r="C14" s="310">
        <f>ROUND(C13*Labor!$D$3,0)</f>
        <v>0</v>
      </c>
      <c r="D14" s="310">
        <f>ROUND(D13*Labor!$D$4,0)</f>
        <v>0</v>
      </c>
      <c r="E14" s="310">
        <f>ROUND(E13*Labor!$D$5,0)</f>
        <v>0</v>
      </c>
      <c r="F14" s="310">
        <f>ROUND(F13*Labor!$D$6,0)</f>
        <v>110</v>
      </c>
      <c r="G14" s="310">
        <f>ROUND(G13*Labor!$D$7,0)</f>
        <v>125</v>
      </c>
      <c r="H14" s="310">
        <f>ROUND(H13*Labor!$D$8,0)</f>
        <v>0</v>
      </c>
      <c r="I14" s="311">
        <f>SUM(C14:H14)</f>
        <v>235</v>
      </c>
      <c r="J14" s="284">
        <f>HLOOKUP(K$2,InflationTable,2)/HLOOKUP(Labor!$B$11,InflationTable,2)*$I14</f>
        <v>502.72110726643592</v>
      </c>
      <c r="K14" s="245">
        <f>J14*$J$5</f>
        <v>41725.851903114184</v>
      </c>
      <c r="L14" s="246">
        <f>K14/$E$7</f>
        <v>5960.8359861591689</v>
      </c>
      <c r="M14" s="169">
        <f>HLOOKUP(N$2,InflationTable,2)/HLOOKUP(Labor!$B$11,InflationTable,2)*$I14</f>
        <v>522.82995155709341</v>
      </c>
      <c r="N14" s="166">
        <f>M14*$J$5</f>
        <v>43394.885979238752</v>
      </c>
      <c r="O14" s="167">
        <f>N14/$E$7</f>
        <v>6199.2694256055356</v>
      </c>
      <c r="P14" s="284">
        <f>HLOOKUP(Q$2,InflationTable,2)/HLOOKUP(Labor!$B$11,InflationTable,2)*$I14</f>
        <v>533.28655058823529</v>
      </c>
      <c r="Q14" s="245">
        <f>P14*$J$5</f>
        <v>44262.783698823529</v>
      </c>
      <c r="R14" s="246">
        <f>Q14/$E$7</f>
        <v>6323.2548141176467</v>
      </c>
      <c r="S14" s="312">
        <f>AVERAGE(L14,O14,R14)</f>
        <v>6161.1200752941177</v>
      </c>
      <c r="T14" s="313" t="s">
        <v>12</v>
      </c>
      <c r="U14" s="313" t="s">
        <v>12</v>
      </c>
    </row>
    <row r="15" spans="1:21" ht="13" x14ac:dyDescent="0.3">
      <c r="A15" s="510"/>
      <c r="B15" s="501" t="s">
        <v>66</v>
      </c>
      <c r="C15" s="28">
        <f t="shared" ref="C15:I16" si="0">C10+C13</f>
        <v>0</v>
      </c>
      <c r="D15" s="28">
        <f t="shared" si="0"/>
        <v>0</v>
      </c>
      <c r="E15" s="28">
        <f t="shared" si="0"/>
        <v>0</v>
      </c>
      <c r="F15" s="28">
        <f t="shared" si="0"/>
        <v>14</v>
      </c>
      <c r="G15" s="28">
        <f t="shared" si="0"/>
        <v>14</v>
      </c>
      <c r="H15" s="28">
        <f t="shared" si="0"/>
        <v>10</v>
      </c>
      <c r="I15" s="42">
        <f t="shared" si="0"/>
        <v>38</v>
      </c>
      <c r="J15" s="221" t="s">
        <v>12</v>
      </c>
      <c r="K15" s="222">
        <f>K10+K13</f>
        <v>3154</v>
      </c>
      <c r="L15" s="223">
        <f>L10+L13</f>
        <v>450.57142857142856</v>
      </c>
      <c r="M15" s="53" t="s">
        <v>12</v>
      </c>
      <c r="N15">
        <f>I15*$M$5</f>
        <v>3154</v>
      </c>
      <c r="O15" s="54">
        <f>N15/$E$7</f>
        <v>450.57142857142856</v>
      </c>
      <c r="P15" s="242" t="s">
        <v>12</v>
      </c>
      <c r="Q15" s="352">
        <f>$I15*$P$5</f>
        <v>3154</v>
      </c>
      <c r="R15" s="243">
        <f>Q15/$E$7</f>
        <v>450.57142857142856</v>
      </c>
      <c r="S15" s="96">
        <f>AVERAGE(L15,O15,R15)</f>
        <v>450.57142857142861</v>
      </c>
      <c r="T15" s="94" t="s">
        <v>12</v>
      </c>
      <c r="U15" s="94" t="s">
        <v>12</v>
      </c>
    </row>
    <row r="16" spans="1:21" ht="13.5" thickBot="1" x14ac:dyDescent="0.35">
      <c r="A16" s="510"/>
      <c r="B16" s="502" t="s">
        <v>67</v>
      </c>
      <c r="C16" s="194">
        <f t="shared" si="0"/>
        <v>0</v>
      </c>
      <c r="D16" s="194">
        <f t="shared" si="0"/>
        <v>0</v>
      </c>
      <c r="E16" s="194">
        <f t="shared" si="0"/>
        <v>0</v>
      </c>
      <c r="F16" s="194">
        <f t="shared" si="0"/>
        <v>386</v>
      </c>
      <c r="G16" s="194">
        <f t="shared" si="0"/>
        <v>438</v>
      </c>
      <c r="H16" s="194">
        <f t="shared" si="0"/>
        <v>378</v>
      </c>
      <c r="I16" s="195">
        <f t="shared" si="0"/>
        <v>1202</v>
      </c>
      <c r="J16" s="224">
        <f>J11+J14</f>
        <v>2571.3649826989617</v>
      </c>
      <c r="K16" s="225">
        <f>K11+K14</f>
        <v>213423.29356401382</v>
      </c>
      <c r="L16" s="226">
        <f>L11+L14</f>
        <v>30489.041937716262</v>
      </c>
      <c r="M16" s="196">
        <f>M11+M14</f>
        <v>2674.2195820069205</v>
      </c>
      <c r="N16" s="194">
        <f>N11+N14</f>
        <v>221960.2253065744</v>
      </c>
      <c r="O16" s="197">
        <f>O11+O14</f>
        <v>31708.603615224914</v>
      </c>
      <c r="P16" s="244">
        <f>P11+P14</f>
        <v>2727.7039736470588</v>
      </c>
      <c r="Q16" s="245">
        <f>P16*$P$5</f>
        <v>226399.42981270587</v>
      </c>
      <c r="R16" s="246">
        <f>Q16/$E$7</f>
        <v>32342.775687529411</v>
      </c>
      <c r="S16" s="169">
        <f>AVERAGE(L16,O16,R16)</f>
        <v>31513.473746823529</v>
      </c>
      <c r="T16" s="174" t="s">
        <v>12</v>
      </c>
      <c r="U16" s="174" t="s">
        <v>12</v>
      </c>
    </row>
    <row r="17" spans="1:21" ht="13.5" thickTop="1" thickBot="1" x14ac:dyDescent="0.3">
      <c r="A17" s="510"/>
      <c r="B17" s="512"/>
      <c r="C17" s="513"/>
      <c r="D17" s="513"/>
      <c r="E17" s="513"/>
      <c r="F17" s="513"/>
      <c r="G17" s="513"/>
      <c r="H17" s="513"/>
      <c r="I17" s="513"/>
      <c r="J17" s="513"/>
      <c r="K17" s="513"/>
      <c r="L17" s="513"/>
      <c r="M17" s="513"/>
      <c r="N17" s="335"/>
      <c r="O17" s="335"/>
      <c r="P17" s="335"/>
      <c r="Q17" s="335"/>
      <c r="R17" s="335"/>
      <c r="S17" s="335"/>
      <c r="T17" s="335"/>
      <c r="U17" s="190"/>
    </row>
    <row r="18" spans="1:21" ht="16" thickTop="1" x14ac:dyDescent="0.35">
      <c r="A18" s="510"/>
      <c r="B18" s="2" t="s">
        <v>16</v>
      </c>
      <c r="C18" s="61"/>
      <c r="D18" s="349" t="s">
        <v>54</v>
      </c>
      <c r="E18" s="59">
        <v>7</v>
      </c>
      <c r="F18" s="1" t="s">
        <v>6</v>
      </c>
      <c r="G18" s="1160"/>
      <c r="H18" s="1161"/>
      <c r="I18" s="1162"/>
      <c r="J18" s="2" t="s">
        <v>16</v>
      </c>
      <c r="L18" s="62"/>
      <c r="M18" s="2" t="s">
        <v>16</v>
      </c>
      <c r="O18" s="31"/>
      <c r="P18" s="2" t="s">
        <v>16</v>
      </c>
      <c r="R18" s="62"/>
      <c r="S18" s="97"/>
      <c r="T18" s="31"/>
      <c r="U18" s="111"/>
    </row>
    <row r="19" spans="1:21" ht="13" x14ac:dyDescent="0.3">
      <c r="A19" s="510"/>
      <c r="C19" s="86" t="s">
        <v>60</v>
      </c>
      <c r="D19" s="20" t="s">
        <v>62</v>
      </c>
      <c r="F19"/>
      <c r="H19" s="4"/>
      <c r="I19" s="37"/>
      <c r="J19" s="227" t="s">
        <v>61</v>
      </c>
      <c r="K19" s="1167" t="s">
        <v>57</v>
      </c>
      <c r="L19" s="1168"/>
      <c r="M19" s="50" t="s">
        <v>61</v>
      </c>
      <c r="N19" s="1177" t="s">
        <v>57</v>
      </c>
      <c r="O19" s="1178"/>
      <c r="P19" s="212" t="s">
        <v>61</v>
      </c>
      <c r="Q19" s="1167" t="s">
        <v>57</v>
      </c>
      <c r="R19" s="1168"/>
      <c r="S19" s="106"/>
      <c r="T19" s="31"/>
      <c r="U19" s="111"/>
    </row>
    <row r="20" spans="1:21" ht="13" x14ac:dyDescent="0.3">
      <c r="A20" s="510"/>
      <c r="B20" s="503" t="s">
        <v>58</v>
      </c>
      <c r="C20" s="20"/>
      <c r="D20" s="20"/>
      <c r="E20" s="7"/>
      <c r="F20" s="61"/>
      <c r="G20" s="61"/>
      <c r="H20" s="61"/>
      <c r="I20" s="62"/>
      <c r="J20" s="210" t="s">
        <v>56</v>
      </c>
      <c r="K20" s="211" t="s">
        <v>13</v>
      </c>
      <c r="L20" s="212" t="s">
        <v>68</v>
      </c>
      <c r="M20" s="66" t="s">
        <v>56</v>
      </c>
      <c r="N20" s="20" t="s">
        <v>13</v>
      </c>
      <c r="O20" s="32" t="s">
        <v>68</v>
      </c>
      <c r="P20" s="210" t="s">
        <v>56</v>
      </c>
      <c r="Q20" s="211" t="s">
        <v>13</v>
      </c>
      <c r="R20" s="212" t="s">
        <v>68</v>
      </c>
      <c r="S20" s="98"/>
      <c r="T20" s="31"/>
      <c r="U20" s="111"/>
    </row>
    <row r="21" spans="1:21" x14ac:dyDescent="0.25">
      <c r="A21" s="510"/>
      <c r="B21" s="504" t="s">
        <v>14</v>
      </c>
      <c r="C21" s="23">
        <f>VLOOKUP(C$2,Monitor_Costs,2,FALSE)</f>
        <v>10000</v>
      </c>
      <c r="D21" s="19">
        <f>VLOOKUP(C$2,Monitor_Costs,3,FALSE)</f>
        <v>2019</v>
      </c>
      <c r="E21" s="63"/>
      <c r="F21" s="64"/>
      <c r="G21" s="65"/>
      <c r="H21" s="65"/>
      <c r="I21" s="31"/>
      <c r="J21" s="229">
        <f>HLOOKUP(K$2,InflationTable,2)/HLOOKUP($D21,InflationTable,2)*$C21</f>
        <v>12089.166992569419</v>
      </c>
      <c r="K21" s="229">
        <f>J21*$L$4</f>
        <v>4908201.7989831837</v>
      </c>
      <c r="L21" s="230">
        <f>K21/$E$18</f>
        <v>701171.68556902627</v>
      </c>
      <c r="M21" s="23">
        <f>HLOOKUP(N$2,InflationTable,2)/HLOOKUP($D21,InflationTable,2)*$C$21</f>
        <v>12572.733672272194</v>
      </c>
      <c r="N21" s="23">
        <f>M21*$L$4</f>
        <v>5104529.8709425107</v>
      </c>
      <c r="O21" s="80">
        <f>N21/$E$18</f>
        <v>729218.5529917872</v>
      </c>
      <c r="P21" s="229">
        <f>HLOOKUP(Q$2,InflationTable,2)/HLOOKUP($D21,InflationTable,2)*$C$21</f>
        <v>12824.188345717637</v>
      </c>
      <c r="Q21" s="229">
        <f>P21*$L$4</f>
        <v>5206620.468361361</v>
      </c>
      <c r="R21" s="230">
        <f>Q21/$E$18</f>
        <v>743802.92405162298</v>
      </c>
      <c r="S21" s="102" t="s">
        <v>12</v>
      </c>
      <c r="T21" s="94" t="s">
        <v>12</v>
      </c>
      <c r="U21" s="112">
        <f>AVERAGE(L21,O21,R21)</f>
        <v>724731.05420414545</v>
      </c>
    </row>
    <row r="22" spans="1:21" ht="13.5" thickBot="1" x14ac:dyDescent="0.35">
      <c r="A22" s="510"/>
      <c r="B22" s="505" t="s">
        <v>15</v>
      </c>
      <c r="C22" s="3"/>
      <c r="D22" s="3"/>
      <c r="E22" s="3"/>
      <c r="F22" s="9"/>
      <c r="G22" s="3"/>
      <c r="H22" s="3"/>
      <c r="I22" s="305"/>
      <c r="J22" s="306"/>
      <c r="K22" s="295">
        <f>J21*$L$5</f>
        <v>245410.08994915921</v>
      </c>
      <c r="L22" s="256">
        <f>K22/$E$18</f>
        <v>35058.584278451315</v>
      </c>
      <c r="M22" s="3"/>
      <c r="N22" s="84">
        <f>M21*$L$5</f>
        <v>255226.49354712554</v>
      </c>
      <c r="O22" s="307">
        <f>N22/$E$18</f>
        <v>36460.927649589365</v>
      </c>
      <c r="P22" s="308"/>
      <c r="Q22" s="295">
        <f>P21*$L$5</f>
        <v>260331.02341806804</v>
      </c>
      <c r="R22" s="256">
        <f>Q22/$E$18</f>
        <v>37190.146202581149</v>
      </c>
      <c r="S22" s="298" t="s">
        <v>12</v>
      </c>
      <c r="T22" s="121" t="s">
        <v>12</v>
      </c>
      <c r="U22" s="309">
        <f>AVERAGE(L22,O22,R22)</f>
        <v>36236.552710207274</v>
      </c>
    </row>
    <row r="23" spans="1:21" ht="13" x14ac:dyDescent="0.3">
      <c r="A23" s="510"/>
      <c r="B23" s="1" t="s">
        <v>17</v>
      </c>
      <c r="C23" s="86" t="s">
        <v>45</v>
      </c>
      <c r="D23" s="86" t="s">
        <v>46</v>
      </c>
      <c r="E23" s="86" t="s">
        <v>47</v>
      </c>
      <c r="F23" s="86" t="s">
        <v>48</v>
      </c>
      <c r="G23" s="86" t="s">
        <v>49</v>
      </c>
      <c r="H23" s="86" t="s">
        <v>50</v>
      </c>
      <c r="I23" s="145" t="s">
        <v>74</v>
      </c>
      <c r="J23" s="292"/>
      <c r="K23" s="293"/>
      <c r="L23" s="296"/>
      <c r="M23" s="88"/>
      <c r="N23" s="86"/>
      <c r="O23" s="87"/>
      <c r="P23" s="293"/>
      <c r="Q23" s="293"/>
      <c r="R23" s="296"/>
      <c r="S23" s="100"/>
      <c r="T23" s="31"/>
      <c r="U23" s="111"/>
    </row>
    <row r="24" spans="1:21" ht="13" x14ac:dyDescent="0.3">
      <c r="A24" s="510"/>
      <c r="B24" s="506" t="s">
        <v>119</v>
      </c>
      <c r="C24" s="27">
        <v>0</v>
      </c>
      <c r="D24" s="18">
        <v>0</v>
      </c>
      <c r="E24" s="18">
        <v>0</v>
      </c>
      <c r="F24" s="18">
        <v>4</v>
      </c>
      <c r="G24" s="18">
        <v>0</v>
      </c>
      <c r="H24" s="18">
        <v>0</v>
      </c>
      <c r="I24" s="41">
        <f>SUM(C24:H24)</f>
        <v>4</v>
      </c>
      <c r="J24" s="213" t="s">
        <v>12</v>
      </c>
      <c r="K24" s="231">
        <f>I24*($L$4+$L$5)</f>
        <v>1705.2</v>
      </c>
      <c r="L24" s="232">
        <f>K24/$E$18</f>
        <v>243.6</v>
      </c>
      <c r="M24" s="51" t="s">
        <v>12</v>
      </c>
      <c r="N24" s="58">
        <f>$I$24*($O$4+$O$5)</f>
        <v>1705.2</v>
      </c>
      <c r="O24" s="52">
        <f>N24/$E$18</f>
        <v>243.6</v>
      </c>
      <c r="P24" s="213" t="s">
        <v>12</v>
      </c>
      <c r="Q24" s="231">
        <f>$I$24*($R$4+$R$5)</f>
        <v>1705.2</v>
      </c>
      <c r="R24" s="232">
        <f>Q24/$E$18</f>
        <v>243.6</v>
      </c>
      <c r="S24" s="96">
        <f>AVERAGE(L24,O24,R24)</f>
        <v>243.6</v>
      </c>
      <c r="T24" s="94" t="s">
        <v>12</v>
      </c>
      <c r="U24" s="113" t="s">
        <v>12</v>
      </c>
    </row>
    <row r="25" spans="1:21" s="1" customFormat="1" ht="13.5" thickBot="1" x14ac:dyDescent="0.35">
      <c r="A25" s="511"/>
      <c r="B25" s="500" t="s">
        <v>8</v>
      </c>
      <c r="C25" s="319">
        <f>ROUND(C24*Labor!$D$3,0)</f>
        <v>0</v>
      </c>
      <c r="D25" s="310">
        <f>ROUND(D24*Labor!$D$4,0)</f>
        <v>0</v>
      </c>
      <c r="E25" s="310">
        <f>ROUND(E24*Labor!$D$5,0)</f>
        <v>0</v>
      </c>
      <c r="F25" s="310">
        <f>ROUND(F24*Labor!$D$6,0)</f>
        <v>110</v>
      </c>
      <c r="G25" s="310">
        <f>ROUND(G24*Labor!$D$7,0)</f>
        <v>0</v>
      </c>
      <c r="H25" s="310">
        <f>ROUND(H24*Labor!$D$8,0)</f>
        <v>0</v>
      </c>
      <c r="I25" s="311">
        <f>SUM(C25:H25)</f>
        <v>110</v>
      </c>
      <c r="J25" s="284">
        <f>HLOOKUP(K$2,InflationTable,2)/HLOOKUP(Labor!$B$11,InflationTable,2)*$I25</f>
        <v>235.31626297577853</v>
      </c>
      <c r="K25" s="245">
        <f>J25*($L$4+$L$5)</f>
        <v>100315.32290657439</v>
      </c>
      <c r="L25" s="246">
        <f>K25/$E$18</f>
        <v>14330.760415224913</v>
      </c>
      <c r="M25" s="169">
        <f>HLOOKUP(N$2,InflationTable,2)/HLOOKUP(Labor!$B$11,InflationTable,2)*$I25</f>
        <v>244.72891349480972</v>
      </c>
      <c r="N25" s="166">
        <f>M25*$L$4</f>
        <v>99359.938878892746</v>
      </c>
      <c r="O25" s="167">
        <f>N25/$E$18</f>
        <v>14194.276982698964</v>
      </c>
      <c r="P25" s="284">
        <f>HLOOKUP(Q$2,InflationTable,2)/HLOOKUP(Labor!$B$11,InflationTable,2)*$I25</f>
        <v>249.62349176470585</v>
      </c>
      <c r="Q25" s="245">
        <f>P25*$L$4</f>
        <v>101347.13765647057</v>
      </c>
      <c r="R25" s="320">
        <f>Q25/$E$18</f>
        <v>14478.162522352939</v>
      </c>
      <c r="S25" s="169">
        <f>AVERAGE(L25,O25,R25)</f>
        <v>14334.399973425607</v>
      </c>
      <c r="T25" s="174" t="s">
        <v>12</v>
      </c>
      <c r="U25" s="322" t="s">
        <v>12</v>
      </c>
    </row>
    <row r="26" spans="1:21" ht="13" x14ac:dyDescent="0.3">
      <c r="A26" s="510"/>
      <c r="B26" s="1" t="s">
        <v>118</v>
      </c>
      <c r="C26" s="290">
        <v>0</v>
      </c>
      <c r="D26" s="302">
        <v>8</v>
      </c>
      <c r="E26" s="302">
        <v>8</v>
      </c>
      <c r="F26" s="302">
        <v>0</v>
      </c>
      <c r="G26" s="302">
        <v>0</v>
      </c>
      <c r="H26" s="302">
        <v>0</v>
      </c>
      <c r="I26" s="303">
        <f>SUM(C26:H26)</f>
        <v>16</v>
      </c>
      <c r="J26" s="242" t="s">
        <v>12</v>
      </c>
      <c r="K26" s="280">
        <f>I26*$L$4</f>
        <v>6496</v>
      </c>
      <c r="L26" s="243">
        <f>K26/$E$18</f>
        <v>928</v>
      </c>
      <c r="M26" s="53" t="s">
        <v>12</v>
      </c>
      <c r="N26" s="147">
        <f>I26*$O$4</f>
        <v>6496</v>
      </c>
      <c r="O26" s="54">
        <f>N26/$E$18</f>
        <v>928</v>
      </c>
      <c r="P26" s="242" t="s">
        <v>12</v>
      </c>
      <c r="Q26" s="273">
        <f>$I26*$O$4</f>
        <v>6496</v>
      </c>
      <c r="R26" s="304">
        <f>Q26/$E$18</f>
        <v>928</v>
      </c>
      <c r="S26" s="104">
        <f>AVERAGE(L26,O26,R26)</f>
        <v>928</v>
      </c>
      <c r="T26" s="42" t="s">
        <v>12</v>
      </c>
      <c r="U26" s="119" t="s">
        <v>12</v>
      </c>
    </row>
    <row r="27" spans="1:21" s="1" customFormat="1" ht="13.5" thickBot="1" x14ac:dyDescent="0.35">
      <c r="A27" s="511"/>
      <c r="B27" s="507" t="s">
        <v>8</v>
      </c>
      <c r="C27" s="310">
        <f>ROUND(C26*Labor!$D$3,0)</f>
        <v>0</v>
      </c>
      <c r="D27" s="310">
        <f>ROUND(D26*Labor!$D$4,0)</f>
        <v>194</v>
      </c>
      <c r="E27" s="310">
        <f>ROUND(E26*Labor!$D$5,0)</f>
        <v>202</v>
      </c>
      <c r="F27" s="310">
        <f>ROUND(F26*Labor!$D$6,0)</f>
        <v>0</v>
      </c>
      <c r="G27" s="310">
        <f>ROUND(G26*Labor!$D$7,0)</f>
        <v>0</v>
      </c>
      <c r="H27" s="310">
        <f>ROUND(H26*Labor!$D$8,0)</f>
        <v>0</v>
      </c>
      <c r="I27" s="311">
        <f>SUM(C27:H27)</f>
        <v>396</v>
      </c>
      <c r="J27" s="284">
        <f>HLOOKUP(K$2,InflationTable,2)/HLOOKUP(Labor!$B$11,InflationTable,2)*$I27</f>
        <v>847.13854671280274</v>
      </c>
      <c r="K27" s="245">
        <f>J27*$L$4</f>
        <v>343938.24996539793</v>
      </c>
      <c r="L27" s="246">
        <f>K27/$E$18</f>
        <v>49134.035709342563</v>
      </c>
      <c r="M27" s="169">
        <f>HLOOKUP(N$2,InflationTable,2)/HLOOKUP(Labor!$B$11,InflationTable,2)*$I27</f>
        <v>881.02408858131491</v>
      </c>
      <c r="N27" s="166">
        <f>M27*$O$4</f>
        <v>357695.77996401384</v>
      </c>
      <c r="O27" s="167">
        <f>N27/$E$18</f>
        <v>51099.39713771626</v>
      </c>
      <c r="P27" s="284">
        <f>HLOOKUP(Q$2,InflationTable,2)/HLOOKUP(Labor!$B$11,InflationTable,2)*$I27</f>
        <v>898.64457035294106</v>
      </c>
      <c r="Q27" s="245">
        <f>P27*$R$4</f>
        <v>364849.69556329405</v>
      </c>
      <c r="R27" s="246">
        <f>Q27/$E$18</f>
        <v>52121.38508047058</v>
      </c>
      <c r="S27" s="169">
        <f>AVERAGE(L27,O27,R27)</f>
        <v>50784.939309176465</v>
      </c>
      <c r="T27" s="323" t="s">
        <v>12</v>
      </c>
      <c r="U27" s="322" t="s">
        <v>12</v>
      </c>
    </row>
    <row r="28" spans="1:21" ht="13" x14ac:dyDescent="0.3">
      <c r="A28" s="510"/>
      <c r="B28" s="501" t="s">
        <v>66</v>
      </c>
      <c r="C28" s="28">
        <f t="shared" ref="C28:I28" si="1">C24+C26</f>
        <v>0</v>
      </c>
      <c r="D28" s="28">
        <f t="shared" si="1"/>
        <v>8</v>
      </c>
      <c r="E28" s="28">
        <f t="shared" si="1"/>
        <v>8</v>
      </c>
      <c r="F28" s="28">
        <f t="shared" si="1"/>
        <v>4</v>
      </c>
      <c r="G28" s="28">
        <f t="shared" si="1"/>
        <v>0</v>
      </c>
      <c r="H28" s="28">
        <f t="shared" si="1"/>
        <v>0</v>
      </c>
      <c r="I28" s="42">
        <f t="shared" si="1"/>
        <v>20</v>
      </c>
      <c r="J28" s="234" t="s">
        <v>12</v>
      </c>
      <c r="K28" s="235">
        <f>K24+K26</f>
        <v>8201.2000000000007</v>
      </c>
      <c r="L28" s="236">
        <f>L24+L26</f>
        <v>1171.5999999999999</v>
      </c>
      <c r="M28" s="38" t="s">
        <v>12</v>
      </c>
      <c r="N28" s="28">
        <f>N24+N26</f>
        <v>8201.2000000000007</v>
      </c>
      <c r="O28" s="34">
        <f>O24+O26</f>
        <v>1171.5999999999999</v>
      </c>
      <c r="P28" s="234" t="s">
        <v>12</v>
      </c>
      <c r="Q28" s="235">
        <f>Q24+Q26</f>
        <v>8201.2000000000007</v>
      </c>
      <c r="R28" s="236">
        <f>R24+R26</f>
        <v>1171.5999999999999</v>
      </c>
      <c r="S28" s="104">
        <f>AVERAGE(L28,O28,R28)</f>
        <v>1171.5999999999999</v>
      </c>
      <c r="T28" s="42" t="s">
        <v>12</v>
      </c>
      <c r="U28" s="119" t="s">
        <v>12</v>
      </c>
    </row>
    <row r="29" spans="1:21" ht="13.5" thickBot="1" x14ac:dyDescent="0.35">
      <c r="A29" s="510"/>
      <c r="B29" s="502" t="s">
        <v>67</v>
      </c>
      <c r="C29" s="194">
        <f t="shared" ref="C29:J29" si="2">C27+C25</f>
        <v>0</v>
      </c>
      <c r="D29" s="194">
        <f t="shared" si="2"/>
        <v>194</v>
      </c>
      <c r="E29" s="194">
        <f t="shared" si="2"/>
        <v>202</v>
      </c>
      <c r="F29" s="194">
        <f t="shared" si="2"/>
        <v>110</v>
      </c>
      <c r="G29" s="194">
        <f t="shared" si="2"/>
        <v>0</v>
      </c>
      <c r="H29" s="194">
        <f t="shared" si="2"/>
        <v>0</v>
      </c>
      <c r="I29" s="195">
        <f t="shared" si="2"/>
        <v>506</v>
      </c>
      <c r="J29" s="224">
        <f t="shared" si="2"/>
        <v>1082.4548096885812</v>
      </c>
      <c r="K29" s="237"/>
      <c r="L29" s="226">
        <f>L27+L25+L22+L21</f>
        <v>799695.06597204506</v>
      </c>
      <c r="M29" s="196">
        <f>M27+M25</f>
        <v>1125.7530020761246</v>
      </c>
      <c r="N29" s="201"/>
      <c r="O29" s="197">
        <f>O27+O25+O22+O21</f>
        <v>830973.15476179181</v>
      </c>
      <c r="P29" s="224">
        <f>P27+P25</f>
        <v>1148.2680621176469</v>
      </c>
      <c r="Q29" s="237"/>
      <c r="R29" s="226">
        <f>R27+R25+R22+R21</f>
        <v>847592.61785702768</v>
      </c>
      <c r="S29" s="206">
        <f>SUM(S27,S25)</f>
        <v>65119.339282602072</v>
      </c>
      <c r="T29" s="203" t="s">
        <v>12</v>
      </c>
      <c r="U29" s="204">
        <f>SUM(U21:U22)</f>
        <v>760967.60691435274</v>
      </c>
    </row>
    <row r="30" spans="1:21" ht="13.5" thickTop="1" thickBot="1" x14ac:dyDescent="0.3">
      <c r="A30" s="510"/>
      <c r="C30" s="513"/>
      <c r="D30" s="513"/>
      <c r="E30" s="513"/>
      <c r="F30" s="513"/>
      <c r="G30" s="513"/>
      <c r="H30" s="513"/>
      <c r="I30" s="513"/>
      <c r="J30" s="513"/>
      <c r="K30" s="513"/>
      <c r="L30" s="513"/>
      <c r="M30" s="513"/>
      <c r="N30" s="513"/>
      <c r="O30" s="513"/>
      <c r="P30" s="513"/>
      <c r="Q30" s="513"/>
      <c r="R30" s="513"/>
      <c r="S30" s="513"/>
      <c r="T30" s="513"/>
      <c r="U30" s="515"/>
    </row>
    <row r="31" spans="1:21" ht="16" thickTop="1" x14ac:dyDescent="0.35">
      <c r="A31" s="510"/>
      <c r="B31" s="508" t="s">
        <v>22</v>
      </c>
      <c r="F31" s="1" t="s">
        <v>6</v>
      </c>
      <c r="G31" s="1160"/>
      <c r="H31" s="1161"/>
      <c r="I31" s="1162"/>
      <c r="J31" s="198" t="s">
        <v>22</v>
      </c>
      <c r="L31" s="62"/>
      <c r="M31" s="198" t="s">
        <v>22</v>
      </c>
      <c r="O31" s="31"/>
      <c r="P31" s="198" t="s">
        <v>22</v>
      </c>
      <c r="R31" s="31"/>
      <c r="S31" s="97"/>
      <c r="T31" s="31"/>
      <c r="U31" s="111"/>
    </row>
    <row r="32" spans="1:21" ht="13" x14ac:dyDescent="0.3">
      <c r="A32" s="510"/>
      <c r="F32" s="1"/>
      <c r="G32" s="1163"/>
      <c r="H32" s="1163"/>
      <c r="I32" s="1164"/>
      <c r="J32" s="227" t="s">
        <v>61</v>
      </c>
      <c r="K32" s="1182" t="s">
        <v>57</v>
      </c>
      <c r="L32" s="1183"/>
      <c r="M32" s="50" t="s">
        <v>61</v>
      </c>
      <c r="N32" s="1177" t="s">
        <v>57</v>
      </c>
      <c r="O32" s="1178"/>
      <c r="P32" s="227" t="s">
        <v>61</v>
      </c>
      <c r="Q32" s="1167" t="s">
        <v>57</v>
      </c>
      <c r="R32" s="1168"/>
      <c r="S32" s="106"/>
      <c r="T32" s="31"/>
      <c r="U32" s="111"/>
    </row>
    <row r="33" spans="1:21" ht="13" x14ac:dyDescent="0.3">
      <c r="A33" s="510"/>
      <c r="B33" s="506" t="s">
        <v>18</v>
      </c>
      <c r="C33" s="20" t="s">
        <v>60</v>
      </c>
      <c r="D33" s="20" t="s">
        <v>62</v>
      </c>
      <c r="E33" s="7"/>
      <c r="F33" s="61"/>
      <c r="G33" s="61"/>
      <c r="H33" s="61"/>
      <c r="I33" s="31"/>
      <c r="J33" s="211" t="s">
        <v>56</v>
      </c>
      <c r="K33" s="211" t="s">
        <v>13</v>
      </c>
      <c r="L33" s="212" t="s">
        <v>68</v>
      </c>
      <c r="M33" s="66" t="s">
        <v>56</v>
      </c>
      <c r="N33" s="20" t="s">
        <v>13</v>
      </c>
      <c r="O33" s="32" t="s">
        <v>68</v>
      </c>
      <c r="P33" s="210" t="s">
        <v>56</v>
      </c>
      <c r="Q33" s="211" t="s">
        <v>13</v>
      </c>
      <c r="R33" s="212" t="s">
        <v>68</v>
      </c>
      <c r="S33" s="98"/>
      <c r="T33" s="31"/>
      <c r="U33" s="111"/>
    </row>
    <row r="34" spans="1:21" ht="13.5" thickBot="1" x14ac:dyDescent="0.35">
      <c r="A34" s="510"/>
      <c r="B34" s="300"/>
      <c r="C34" s="84">
        <f>VLOOKUP(C$2,Monitor_Costs,4,FALSE)</f>
        <v>800</v>
      </c>
      <c r="D34" s="29">
        <f>VLOOKUP(C$2,Monitor_Costs,5,FALSE)</f>
        <v>2019</v>
      </c>
      <c r="E34" s="3"/>
      <c r="F34" s="9"/>
      <c r="G34" s="3"/>
      <c r="H34" s="300"/>
      <c r="I34" s="301"/>
      <c r="J34" s="229">
        <f>HLOOKUP(K$2,InflationTable,2)/HLOOKUP($D34,InflationTable,2)*$C34</f>
        <v>967.13335940555339</v>
      </c>
      <c r="K34" s="295">
        <f>J34*$L$4</f>
        <v>392656.14391865465</v>
      </c>
      <c r="L34" s="256">
        <f>K34</f>
        <v>392656.14391865465</v>
      </c>
      <c r="M34" s="23">
        <f>HLOOKUP(N$2,InflationTable,2)/HLOOKUP($D34,InflationTable,2)*$C34</f>
        <v>1005.8186937817756</v>
      </c>
      <c r="N34" s="84">
        <f>M34*$O$4</f>
        <v>408362.38967540086</v>
      </c>
      <c r="O34" s="77">
        <f>N34</f>
        <v>408362.38967540086</v>
      </c>
      <c r="P34" s="229">
        <f>HLOOKUP(Q$2,InflationTable,2)/HLOOKUP($D34,InflationTable,2)*$C34</f>
        <v>1025.9350676574111</v>
      </c>
      <c r="Q34" s="295">
        <f>P34*$R$4</f>
        <v>416529.63746890891</v>
      </c>
      <c r="R34" s="256">
        <f>Q34</f>
        <v>416529.63746890891</v>
      </c>
      <c r="S34" s="298" t="s">
        <v>12</v>
      </c>
      <c r="T34" s="299">
        <f>AVERAGE(L34,O34,R34)</f>
        <v>405849.39035432151</v>
      </c>
      <c r="U34" s="115" t="s">
        <v>12</v>
      </c>
    </row>
    <row r="35" spans="1:21" ht="13" x14ac:dyDescent="0.3">
      <c r="A35" s="510"/>
      <c r="B35" s="378" t="s">
        <v>23</v>
      </c>
      <c r="C35" s="86" t="s">
        <v>45</v>
      </c>
      <c r="D35" s="86" t="s">
        <v>46</v>
      </c>
      <c r="E35" s="86" t="s">
        <v>47</v>
      </c>
      <c r="F35" s="86" t="s">
        <v>48</v>
      </c>
      <c r="G35" s="86" t="s">
        <v>49</v>
      </c>
      <c r="H35" s="86" t="s">
        <v>50</v>
      </c>
      <c r="I35" s="145" t="s">
        <v>74</v>
      </c>
      <c r="J35" s="293"/>
      <c r="K35" s="293"/>
      <c r="L35" s="296"/>
      <c r="M35" s="88"/>
      <c r="N35" s="86"/>
      <c r="O35" s="87"/>
      <c r="P35" s="293"/>
      <c r="Q35" s="293"/>
      <c r="R35" s="296"/>
      <c r="S35" s="98"/>
      <c r="T35" s="31"/>
      <c r="U35" s="111"/>
    </row>
    <row r="36" spans="1:21" x14ac:dyDescent="0.25">
      <c r="A36" s="510"/>
      <c r="B36" s="509" t="s">
        <v>4</v>
      </c>
      <c r="C36" s="18">
        <v>0</v>
      </c>
      <c r="D36" s="18">
        <v>60</v>
      </c>
      <c r="E36" s="18">
        <v>60</v>
      </c>
      <c r="F36" s="18">
        <v>0</v>
      </c>
      <c r="G36" s="18">
        <v>0</v>
      </c>
      <c r="H36" s="18">
        <v>0</v>
      </c>
      <c r="I36" s="41">
        <f>SUM(C36:H36)</f>
        <v>120</v>
      </c>
      <c r="J36" s="247" t="s">
        <v>12</v>
      </c>
      <c r="K36" s="231">
        <f>I36*$L$4</f>
        <v>48720</v>
      </c>
      <c r="L36" s="239">
        <f>K36</f>
        <v>48720</v>
      </c>
      <c r="M36" s="51" t="s">
        <v>12</v>
      </c>
      <c r="N36" s="58">
        <f>$I$36*$O$4</f>
        <v>48720</v>
      </c>
      <c r="O36" s="57">
        <f>N36</f>
        <v>48720</v>
      </c>
      <c r="P36" s="247" t="s">
        <v>12</v>
      </c>
      <c r="Q36" s="231">
        <f>$I$36*$R$4</f>
        <v>48720</v>
      </c>
      <c r="R36" s="239">
        <f>Q36</f>
        <v>48720</v>
      </c>
      <c r="S36" s="96">
        <f>AVERAGE(L36,O36,R36)</f>
        <v>48720</v>
      </c>
      <c r="T36" s="94" t="s">
        <v>12</v>
      </c>
      <c r="U36" s="113" t="s">
        <v>12</v>
      </c>
    </row>
    <row r="37" spans="1:21" s="1" customFormat="1" ht="13.5" thickBot="1" x14ac:dyDescent="0.35">
      <c r="A37" s="511"/>
      <c r="B37" s="500" t="s">
        <v>8</v>
      </c>
      <c r="C37" s="310">
        <f>ROUND(C36*Labor!$D$3,0)</f>
        <v>0</v>
      </c>
      <c r="D37" s="310">
        <f>ROUND(D36*Labor!$D$4,0)</f>
        <v>1452</v>
      </c>
      <c r="E37" s="310">
        <f>ROUND(E36*Labor!$D$5,0)</f>
        <v>1513</v>
      </c>
      <c r="F37" s="310">
        <f>ROUND(F36*Labor!$D$6,0)</f>
        <v>0</v>
      </c>
      <c r="G37" s="310">
        <f>ROUND(G36*Labor!$D$7,0)</f>
        <v>0</v>
      </c>
      <c r="H37" s="310">
        <f>ROUND(H36*Labor!$D$8,0)</f>
        <v>0</v>
      </c>
      <c r="I37" s="311">
        <f>SUM(C37:H37)</f>
        <v>2965</v>
      </c>
      <c r="J37" s="284">
        <f>HLOOKUP(K$2,InflationTable,2)/HLOOKUP(Labor!$B$11,InflationTable,2)*$I37</f>
        <v>6342.842906574394</v>
      </c>
      <c r="K37" s="245">
        <f>J37*$L$4</f>
        <v>2575194.220069204</v>
      </c>
      <c r="L37" s="320">
        <f>K37</f>
        <v>2575194.220069204</v>
      </c>
      <c r="M37" s="169">
        <f>HLOOKUP(N$2,InflationTable,2)/HLOOKUP(Labor!$B$11,InflationTable,2)*$I37</f>
        <v>6596.5566228373709</v>
      </c>
      <c r="N37" s="166">
        <f>M37*$O$4</f>
        <v>2678201.9888719725</v>
      </c>
      <c r="O37" s="167">
        <f>N37</f>
        <v>2678201.9888719725</v>
      </c>
      <c r="P37" s="284">
        <f>HLOOKUP(Q$2,InflationTable,2)/HLOOKUP(Labor!$B$11,InflationTable,2)*$I37</f>
        <v>6728.4877552941171</v>
      </c>
      <c r="Q37" s="245">
        <f>P37*$R$4</f>
        <v>2731766.0286494116</v>
      </c>
      <c r="R37" s="320">
        <f>Q37</f>
        <v>2731766.0286494116</v>
      </c>
      <c r="S37" s="169">
        <f>AVERAGE(L37,O37,R37)</f>
        <v>2661720.7458635294</v>
      </c>
      <c r="T37" s="323" t="s">
        <v>12</v>
      </c>
      <c r="U37" s="322" t="s">
        <v>12</v>
      </c>
    </row>
    <row r="38" spans="1:21" ht="13" x14ac:dyDescent="0.3">
      <c r="A38" s="510"/>
      <c r="B38" s="501" t="s">
        <v>66</v>
      </c>
      <c r="C38" s="30">
        <f t="shared" ref="C38:I38" si="3">C36</f>
        <v>0</v>
      </c>
      <c r="D38" s="30">
        <f t="shared" si="3"/>
        <v>60</v>
      </c>
      <c r="E38" s="30">
        <f t="shared" si="3"/>
        <v>60</v>
      </c>
      <c r="F38" s="30">
        <f t="shared" si="3"/>
        <v>0</v>
      </c>
      <c r="G38" s="30">
        <f t="shared" si="3"/>
        <v>0</v>
      </c>
      <c r="H38" s="30">
        <f t="shared" si="3"/>
        <v>0</v>
      </c>
      <c r="I38" s="44">
        <f t="shared" si="3"/>
        <v>120</v>
      </c>
      <c r="J38" s="255" t="s">
        <v>12</v>
      </c>
      <c r="K38" s="250">
        <f>K36</f>
        <v>48720</v>
      </c>
      <c r="L38" s="251">
        <f>L36</f>
        <v>48720</v>
      </c>
      <c r="M38" s="70" t="s">
        <v>12</v>
      </c>
      <c r="N38" s="69">
        <f>N36</f>
        <v>48720</v>
      </c>
      <c r="O38" s="78">
        <f>O36</f>
        <v>48720</v>
      </c>
      <c r="P38" s="249" t="s">
        <v>12</v>
      </c>
      <c r="Q38" s="250">
        <f>Q36</f>
        <v>48720</v>
      </c>
      <c r="R38" s="251">
        <f>R36</f>
        <v>48720</v>
      </c>
      <c r="S38" s="78">
        <f>S36</f>
        <v>48720</v>
      </c>
      <c r="T38" s="42" t="s">
        <v>12</v>
      </c>
      <c r="U38" s="119" t="s">
        <v>12</v>
      </c>
    </row>
    <row r="39" spans="1:21" ht="13.5" thickBot="1" x14ac:dyDescent="0.35">
      <c r="A39" s="510"/>
      <c r="B39" s="502" t="s">
        <v>67</v>
      </c>
      <c r="C39" s="194">
        <f t="shared" ref="C39:H39" si="4">C38</f>
        <v>0</v>
      </c>
      <c r="D39" s="194">
        <f t="shared" si="4"/>
        <v>60</v>
      </c>
      <c r="E39" s="194">
        <f t="shared" si="4"/>
        <v>60</v>
      </c>
      <c r="F39" s="194">
        <f t="shared" si="4"/>
        <v>0</v>
      </c>
      <c r="G39" s="194">
        <f t="shared" si="4"/>
        <v>0</v>
      </c>
      <c r="H39" s="194">
        <f t="shared" si="4"/>
        <v>0</v>
      </c>
      <c r="I39" s="205">
        <f>I37+C34</f>
        <v>3765</v>
      </c>
      <c r="J39" s="253">
        <f t="shared" ref="J39:R39" si="5">J37+J34</f>
        <v>7309.9762659799471</v>
      </c>
      <c r="K39" s="253">
        <f t="shared" si="5"/>
        <v>2967850.3639878584</v>
      </c>
      <c r="L39" s="254">
        <f t="shared" si="5"/>
        <v>2967850.3639878584</v>
      </c>
      <c r="M39" s="176">
        <f t="shared" si="5"/>
        <v>7602.3753166191464</v>
      </c>
      <c r="N39" s="177">
        <f t="shared" si="5"/>
        <v>3086564.3785473732</v>
      </c>
      <c r="O39" s="178">
        <f t="shared" si="5"/>
        <v>3086564.3785473732</v>
      </c>
      <c r="P39" s="252">
        <f t="shared" si="5"/>
        <v>7754.4228229515284</v>
      </c>
      <c r="Q39" s="253">
        <f t="shared" si="5"/>
        <v>3148295.6661183205</v>
      </c>
      <c r="R39" s="254">
        <f t="shared" si="5"/>
        <v>3148295.6661183205</v>
      </c>
      <c r="S39" s="206">
        <f>AVERAGE(L39,O39,R39)</f>
        <v>3067570.1362178507</v>
      </c>
      <c r="T39" s="205">
        <f>T34</f>
        <v>405849.39035432151</v>
      </c>
      <c r="U39" s="180" t="s">
        <v>12</v>
      </c>
    </row>
    <row r="40" spans="1:21" ht="13.5" thickTop="1" thickBot="1" x14ac:dyDescent="0.3">
      <c r="A40" s="510"/>
      <c r="B40" s="512"/>
      <c r="C40" s="513"/>
      <c r="D40" s="513"/>
      <c r="E40" s="513"/>
      <c r="F40" s="513"/>
      <c r="G40" s="513"/>
      <c r="H40" s="513"/>
      <c r="I40" s="513"/>
      <c r="J40" s="513"/>
      <c r="K40" s="513"/>
      <c r="L40" s="513"/>
      <c r="M40" s="513"/>
      <c r="N40" s="512"/>
      <c r="O40" s="513"/>
      <c r="P40" s="513"/>
      <c r="Q40" s="513"/>
      <c r="R40" s="513"/>
      <c r="S40" s="513"/>
      <c r="T40" s="513"/>
      <c r="U40" s="515"/>
    </row>
    <row r="41" spans="1:21" ht="16" thickTop="1" x14ac:dyDescent="0.35">
      <c r="A41" s="510"/>
      <c r="B41" s="2" t="s">
        <v>24</v>
      </c>
      <c r="F41" s="1" t="s">
        <v>6</v>
      </c>
      <c r="G41" s="1160"/>
      <c r="H41" s="1161"/>
      <c r="I41" s="1162"/>
      <c r="J41" s="2" t="s">
        <v>24</v>
      </c>
      <c r="L41" s="62"/>
      <c r="M41" s="2" t="s">
        <v>24</v>
      </c>
      <c r="N41" s="61"/>
      <c r="O41" s="31"/>
      <c r="P41" s="2" t="s">
        <v>24</v>
      </c>
      <c r="R41" s="31"/>
      <c r="S41" s="97"/>
      <c r="T41" s="31"/>
      <c r="U41" s="111"/>
    </row>
    <row r="42" spans="1:21" ht="13" x14ac:dyDescent="0.3">
      <c r="A42" s="510"/>
      <c r="F42" s="1"/>
      <c r="G42" s="1163"/>
      <c r="H42" s="1163"/>
      <c r="I42" s="1164"/>
      <c r="J42" s="227" t="s">
        <v>61</v>
      </c>
      <c r="K42" s="1167" t="s">
        <v>57</v>
      </c>
      <c r="L42" s="1168"/>
      <c r="M42" s="50" t="s">
        <v>61</v>
      </c>
      <c r="N42" s="1177" t="s">
        <v>57</v>
      </c>
      <c r="O42" s="1178"/>
      <c r="P42" s="227" t="s">
        <v>61</v>
      </c>
      <c r="Q42" s="1167" t="s">
        <v>57</v>
      </c>
      <c r="R42" s="1168"/>
      <c r="S42" s="106"/>
      <c r="T42" s="31"/>
      <c r="U42" s="111"/>
    </row>
    <row r="43" spans="1:21" ht="13" x14ac:dyDescent="0.3">
      <c r="A43" s="510"/>
      <c r="B43" s="506" t="s">
        <v>19</v>
      </c>
      <c r="C43" s="20" t="s">
        <v>60</v>
      </c>
      <c r="D43" s="20" t="s">
        <v>62</v>
      </c>
      <c r="E43" s="7"/>
      <c r="F43" s="61"/>
      <c r="G43" s="61"/>
      <c r="H43" s="61"/>
      <c r="I43" s="62"/>
      <c r="J43" s="210" t="s">
        <v>56</v>
      </c>
      <c r="K43" s="211" t="s">
        <v>13</v>
      </c>
      <c r="L43" s="212" t="s">
        <v>68</v>
      </c>
      <c r="M43" s="66" t="s">
        <v>56</v>
      </c>
      <c r="N43" s="20" t="s">
        <v>13</v>
      </c>
      <c r="O43" s="32" t="s">
        <v>68</v>
      </c>
      <c r="P43" s="210" t="s">
        <v>56</v>
      </c>
      <c r="Q43" s="211" t="s">
        <v>13</v>
      </c>
      <c r="R43" s="212" t="s">
        <v>68</v>
      </c>
      <c r="S43" s="98"/>
      <c r="T43" s="62"/>
      <c r="U43" s="111"/>
    </row>
    <row r="44" spans="1:21" ht="13" thickBot="1" x14ac:dyDescent="0.3">
      <c r="A44" s="510"/>
      <c r="B44" s="300"/>
      <c r="C44" s="84">
        <f>VLOOKUP(C$2,Monitor_Costs,6,FALSE)</f>
        <v>1000</v>
      </c>
      <c r="D44" s="29">
        <f>VLOOKUP(C$2,Monitor_Costs,7,FALSE)</f>
        <v>2019</v>
      </c>
      <c r="E44" s="294"/>
      <c r="F44" s="60"/>
      <c r="G44" s="49"/>
      <c r="H44" s="49"/>
      <c r="I44" s="47"/>
      <c r="J44" s="229">
        <f>HLOOKUP(K$2,InflationTable,2)/HLOOKUP($D44,InflationTable,2)*$C44</f>
        <v>1208.9166992569417</v>
      </c>
      <c r="K44" s="295">
        <f>J44*$L$4</f>
        <v>490820.17989831831</v>
      </c>
      <c r="L44" s="256">
        <f>K44</f>
        <v>490820.17989831831</v>
      </c>
      <c r="M44" s="23">
        <f>HLOOKUP(N$2,InflationTable,2)/HLOOKUP($D44,InflationTable,2)*$C44</f>
        <v>1257.2733672272193</v>
      </c>
      <c r="N44" s="84">
        <f>M44*$O$4</f>
        <v>510452.98709425103</v>
      </c>
      <c r="O44" s="77">
        <f>N44</f>
        <v>510452.98709425103</v>
      </c>
      <c r="P44" s="229">
        <f>HLOOKUP(Q$2,InflationTable,2)/HLOOKUP($D44,InflationTable,2)*$C44</f>
        <v>1282.4188345717637</v>
      </c>
      <c r="Q44" s="295">
        <f>P44*$R$4</f>
        <v>520662.04683613608</v>
      </c>
      <c r="R44" s="256">
        <f>Q44</f>
        <v>520662.04683613608</v>
      </c>
      <c r="S44" s="298" t="s">
        <v>12</v>
      </c>
      <c r="T44" s="299">
        <f>AVERAGE(L44,O44,R44)</f>
        <v>507311.73794290185</v>
      </c>
      <c r="U44" s="115" t="s">
        <v>12</v>
      </c>
    </row>
    <row r="45" spans="1:21" ht="13" x14ac:dyDescent="0.3">
      <c r="A45" s="510"/>
      <c r="B45" s="378" t="s">
        <v>25</v>
      </c>
      <c r="C45" s="86" t="s">
        <v>45</v>
      </c>
      <c r="D45" s="86" t="s">
        <v>46</v>
      </c>
      <c r="E45" s="86" t="s">
        <v>47</v>
      </c>
      <c r="F45" s="86" t="s">
        <v>48</v>
      </c>
      <c r="G45" s="86" t="s">
        <v>49</v>
      </c>
      <c r="H45" s="86" t="s">
        <v>50</v>
      </c>
      <c r="I45" s="145" t="s">
        <v>74</v>
      </c>
      <c r="J45" s="292"/>
      <c r="K45" s="293"/>
      <c r="L45" s="296"/>
      <c r="M45" s="88"/>
      <c r="N45" s="86"/>
      <c r="O45" s="87"/>
      <c r="P45" s="292"/>
      <c r="Q45" s="293"/>
      <c r="R45" s="296"/>
      <c r="S45" s="109"/>
      <c r="T45" s="42"/>
      <c r="U45" s="111"/>
    </row>
    <row r="46" spans="1:21" x14ac:dyDescent="0.25">
      <c r="B46" s="464" t="s">
        <v>4</v>
      </c>
      <c r="C46" s="18">
        <v>0</v>
      </c>
      <c r="D46" s="18">
        <v>6</v>
      </c>
      <c r="E46" s="18">
        <v>3</v>
      </c>
      <c r="F46" s="18">
        <v>3</v>
      </c>
      <c r="G46" s="18">
        <v>0</v>
      </c>
      <c r="H46" s="18">
        <v>0</v>
      </c>
      <c r="I46" s="45">
        <f>SUM(C46:H46)</f>
        <v>12</v>
      </c>
      <c r="J46" s="213" t="s">
        <v>12</v>
      </c>
      <c r="K46" s="231">
        <f>I46*$L$4</f>
        <v>4872</v>
      </c>
      <c r="L46" s="239">
        <f>K46</f>
        <v>4872</v>
      </c>
      <c r="M46" s="51" t="s">
        <v>12</v>
      </c>
      <c r="N46" s="58">
        <f>$I$46*$O$4</f>
        <v>4872</v>
      </c>
      <c r="O46" s="57">
        <f>N46</f>
        <v>4872</v>
      </c>
      <c r="P46" s="213" t="s">
        <v>12</v>
      </c>
      <c r="Q46" s="231">
        <f>$I$46*$R$4</f>
        <v>4872</v>
      </c>
      <c r="R46" s="239">
        <f>Q46</f>
        <v>4872</v>
      </c>
      <c r="S46" s="96">
        <f>AVERAGE(L46,O46,R46)</f>
        <v>4872</v>
      </c>
      <c r="T46" s="94" t="s">
        <v>12</v>
      </c>
      <c r="U46" s="113" t="s">
        <v>12</v>
      </c>
    </row>
    <row r="47" spans="1:21" ht="13.5" thickBot="1" x14ac:dyDescent="0.35">
      <c r="B47" s="465" t="s">
        <v>8</v>
      </c>
      <c r="C47" s="29">
        <f>ROUND(C46*Labor!$D$3,0)</f>
        <v>0</v>
      </c>
      <c r="D47" s="29">
        <f>ROUND(D46*Labor!$D$4,0)</f>
        <v>145</v>
      </c>
      <c r="E47" s="29">
        <f>ROUND(E46*Labor!$D$5,0)</f>
        <v>76</v>
      </c>
      <c r="F47" s="29">
        <f>ROUND(F46*Labor!$D$6,0)</f>
        <v>83</v>
      </c>
      <c r="G47" s="29">
        <f>ROUND(G46*Labor!$D$7,0)</f>
        <v>0</v>
      </c>
      <c r="H47" s="29">
        <f>ROUND(H46*Labor!$D$8,0)</f>
        <v>0</v>
      </c>
      <c r="I47" s="33">
        <f>SUM(C47:H47)</f>
        <v>304</v>
      </c>
      <c r="J47" s="284">
        <f>HLOOKUP(K$2,InflationTable,2)/HLOOKUP(Labor!$B$11,InflationTable,2)*$I47</f>
        <v>650.32858131487887</v>
      </c>
      <c r="K47" s="219">
        <f>J47*$L$4</f>
        <v>264033.40401384083</v>
      </c>
      <c r="L47" s="256">
        <f>K47</f>
        <v>264033.40401384083</v>
      </c>
      <c r="M47" s="169">
        <f>HLOOKUP(N$2,InflationTable,2)/HLOOKUP(Labor!$B$11,InflationTable,2)*$I47</f>
        <v>676.3417245674741</v>
      </c>
      <c r="N47" s="55">
        <f>M47*$O$4</f>
        <v>274594.74017439451</v>
      </c>
      <c r="O47" s="77">
        <f>N47</f>
        <v>274594.74017439451</v>
      </c>
      <c r="P47" s="284">
        <f>HLOOKUP(Q$2,InflationTable,2)/HLOOKUP(Labor!$B$11,InflationTable,2)*$I47</f>
        <v>689.86855905882339</v>
      </c>
      <c r="Q47" s="219">
        <f>P47*$O$4</f>
        <v>280086.63497788232</v>
      </c>
      <c r="R47" s="256">
        <f>Q47</f>
        <v>280086.63497788232</v>
      </c>
      <c r="S47" s="103">
        <f>AVERAGE(L47,O47,R47)</f>
        <v>272904.92638870585</v>
      </c>
      <c r="T47" s="121" t="s">
        <v>12</v>
      </c>
      <c r="U47" s="115" t="s">
        <v>12</v>
      </c>
    </row>
    <row r="48" spans="1:21" ht="13" x14ac:dyDescent="0.3">
      <c r="B48" s="106" t="s">
        <v>117</v>
      </c>
      <c r="C48" s="290">
        <v>0</v>
      </c>
      <c r="D48" s="290">
        <v>16</v>
      </c>
      <c r="E48" s="290">
        <v>8</v>
      </c>
      <c r="F48" s="290">
        <v>32</v>
      </c>
      <c r="G48" s="290">
        <v>0</v>
      </c>
      <c r="H48" s="290">
        <v>0</v>
      </c>
      <c r="I48" s="291">
        <f>SUM(C48:H48)</f>
        <v>56</v>
      </c>
      <c r="J48" s="242" t="s">
        <v>12</v>
      </c>
      <c r="K48" s="273">
        <f>I48*$L$4</f>
        <v>22736</v>
      </c>
      <c r="L48" s="274">
        <f>K48</f>
        <v>22736</v>
      </c>
      <c r="M48" s="53" t="s">
        <v>12</v>
      </c>
      <c r="N48" s="147">
        <f>$I$48*$O$4</f>
        <v>22736</v>
      </c>
      <c r="O48" s="148">
        <f>N48</f>
        <v>22736</v>
      </c>
      <c r="P48" s="242" t="s">
        <v>12</v>
      </c>
      <c r="Q48" s="273">
        <f>$I$48*$R$4</f>
        <v>22736</v>
      </c>
      <c r="R48" s="274">
        <f>Q48</f>
        <v>22736</v>
      </c>
      <c r="S48" s="104">
        <f>AVERAGE(L48,O48,R48)</f>
        <v>22736</v>
      </c>
      <c r="T48" s="94" t="s">
        <v>12</v>
      </c>
      <c r="U48" s="113" t="s">
        <v>12</v>
      </c>
    </row>
    <row r="49" spans="2:21" ht="13.5" thickBot="1" x14ac:dyDescent="0.35">
      <c r="B49" s="466" t="s">
        <v>8</v>
      </c>
      <c r="C49" s="29">
        <f>ROUND(C48*Labor!$D$3,0)</f>
        <v>0</v>
      </c>
      <c r="D49" s="29">
        <f>ROUND(D48*Labor!$D$4,0)</f>
        <v>387</v>
      </c>
      <c r="E49" s="29">
        <f>ROUND(E48*Labor!$D$5,0)</f>
        <v>202</v>
      </c>
      <c r="F49" s="29">
        <f>ROUND(F48*Labor!$D$6,0)</f>
        <v>882</v>
      </c>
      <c r="G49" s="29">
        <f>ROUND(G48*Labor!$D$7,0)</f>
        <v>0</v>
      </c>
      <c r="H49" s="29">
        <f>ROUND(H48*Labor!$D$8,0)</f>
        <v>0</v>
      </c>
      <c r="I49" s="33">
        <f>SUM(C49:H49)</f>
        <v>1471</v>
      </c>
      <c r="J49" s="284">
        <f>HLOOKUP(K$2,InflationTable,2)/HLOOKUP(Labor!$B$11,InflationTable,2)*$I49</f>
        <v>3146.8202076124567</v>
      </c>
      <c r="K49" s="219">
        <f>J49*$L$4</f>
        <v>1277609.0042906574</v>
      </c>
      <c r="L49" s="256">
        <f>K49</f>
        <v>1277609.0042906574</v>
      </c>
      <c r="M49" s="169">
        <f>HLOOKUP(N$2,InflationTable,2)/HLOOKUP(Labor!$B$11,InflationTable,2)*$I49</f>
        <v>3272.6930159169551</v>
      </c>
      <c r="N49" s="55">
        <f>M49*$O$4</f>
        <v>1328713.3644622837</v>
      </c>
      <c r="O49" s="77">
        <f>N49</f>
        <v>1328713.3644622837</v>
      </c>
      <c r="P49" s="284">
        <f>HLOOKUP(Q$2,InflationTable,2)/HLOOKUP(Labor!$B$11,InflationTable,2)*$I49</f>
        <v>3338.1468762352938</v>
      </c>
      <c r="Q49" s="219">
        <f>P49*$R$4</f>
        <v>1355287.6317515292</v>
      </c>
      <c r="R49" s="256">
        <f>Q49</f>
        <v>1355287.6317515292</v>
      </c>
      <c r="S49" s="103">
        <f>AVERAGE(L49,O49,R49)</f>
        <v>1320536.6668348236</v>
      </c>
      <c r="T49" s="121" t="s">
        <v>12</v>
      </c>
      <c r="U49" s="115" t="s">
        <v>12</v>
      </c>
    </row>
    <row r="50" spans="2:21" ht="13" x14ac:dyDescent="0.3">
      <c r="B50" s="139" t="s">
        <v>66</v>
      </c>
      <c r="C50" s="30">
        <f t="shared" ref="C50:I50" si="6">C46+C48</f>
        <v>0</v>
      </c>
      <c r="D50" s="30">
        <f t="shared" si="6"/>
        <v>22</v>
      </c>
      <c r="E50" s="30">
        <f t="shared" si="6"/>
        <v>11</v>
      </c>
      <c r="F50" s="30">
        <f t="shared" si="6"/>
        <v>35</v>
      </c>
      <c r="G50" s="30">
        <f t="shared" si="6"/>
        <v>0</v>
      </c>
      <c r="H50" s="30">
        <f t="shared" si="6"/>
        <v>0</v>
      </c>
      <c r="I50" s="39">
        <f t="shared" si="6"/>
        <v>68</v>
      </c>
      <c r="J50" s="249" t="s">
        <v>12</v>
      </c>
      <c r="K50" s="257">
        <f>K46+K48</f>
        <v>27608</v>
      </c>
      <c r="L50" s="258">
        <f>L46+L48</f>
        <v>27608</v>
      </c>
      <c r="M50" s="70" t="s">
        <v>12</v>
      </c>
      <c r="N50" s="71">
        <f>N46+N48</f>
        <v>27608</v>
      </c>
      <c r="O50" s="79">
        <f>O46+O48</f>
        <v>27608</v>
      </c>
      <c r="P50" s="249" t="s">
        <v>12</v>
      </c>
      <c r="Q50" s="257">
        <f>Q46+Q48</f>
        <v>27608</v>
      </c>
      <c r="R50" s="258">
        <f>R46+R48</f>
        <v>27608</v>
      </c>
      <c r="S50" s="96">
        <f>AVERAGE(L50,O50,R50)</f>
        <v>27608</v>
      </c>
      <c r="T50" s="42" t="s">
        <v>12</v>
      </c>
      <c r="U50" s="120" t="s">
        <v>12</v>
      </c>
    </row>
    <row r="51" spans="2:21" ht="13.5" thickBot="1" x14ac:dyDescent="0.35">
      <c r="B51" s="460" t="s">
        <v>67</v>
      </c>
      <c r="C51" s="194">
        <f t="shared" ref="C51:H51" si="7">C47+C49</f>
        <v>0</v>
      </c>
      <c r="D51" s="194">
        <f t="shared" si="7"/>
        <v>532</v>
      </c>
      <c r="E51" s="194">
        <f t="shared" si="7"/>
        <v>278</v>
      </c>
      <c r="F51" s="194">
        <f t="shared" si="7"/>
        <v>965</v>
      </c>
      <c r="G51" s="194">
        <f t="shared" si="7"/>
        <v>0</v>
      </c>
      <c r="H51" s="194">
        <f t="shared" si="7"/>
        <v>0</v>
      </c>
      <c r="I51" s="178">
        <f>I49+I47+C44</f>
        <v>2775</v>
      </c>
      <c r="J51" s="259">
        <f t="shared" ref="J51:R51" si="8">J49+J47+J44</f>
        <v>5006.0654881842775</v>
      </c>
      <c r="K51" s="253">
        <f t="shared" si="8"/>
        <v>2032462.5882028164</v>
      </c>
      <c r="L51" s="254">
        <f t="shared" si="8"/>
        <v>2032462.5882028164</v>
      </c>
      <c r="M51" s="176">
        <f t="shared" si="8"/>
        <v>5206.3081077116485</v>
      </c>
      <c r="N51" s="177">
        <f t="shared" si="8"/>
        <v>2113761.0917309294</v>
      </c>
      <c r="O51" s="178">
        <f t="shared" si="8"/>
        <v>2113761.0917309294</v>
      </c>
      <c r="P51" s="259">
        <f t="shared" si="8"/>
        <v>5310.4342698658811</v>
      </c>
      <c r="Q51" s="253">
        <f t="shared" si="8"/>
        <v>2156036.3135655476</v>
      </c>
      <c r="R51" s="254">
        <f t="shared" si="8"/>
        <v>2156036.3135655476</v>
      </c>
      <c r="S51" s="206">
        <f>S49+S47</f>
        <v>1593441.5932235294</v>
      </c>
      <c r="T51" s="205">
        <f>T44</f>
        <v>507311.73794290185</v>
      </c>
      <c r="U51" s="180" t="s">
        <v>12</v>
      </c>
    </row>
    <row r="52" spans="2:21" ht="13.5" thickTop="1" thickBot="1" x14ac:dyDescent="0.3">
      <c r="B52" s="144"/>
      <c r="C52" s="513"/>
      <c r="D52" s="513"/>
      <c r="E52" s="513"/>
      <c r="F52" s="513"/>
      <c r="G52" s="513"/>
      <c r="H52" s="513"/>
      <c r="I52" s="513"/>
      <c r="J52" s="513"/>
      <c r="K52" s="513"/>
      <c r="L52" s="513"/>
      <c r="M52" s="513"/>
      <c r="N52" s="513"/>
      <c r="O52" s="513"/>
      <c r="P52" s="513"/>
      <c r="Q52" s="513"/>
      <c r="R52" s="513"/>
      <c r="S52" s="513"/>
      <c r="T52" s="513"/>
      <c r="U52" s="515"/>
    </row>
    <row r="53" spans="2:21" ht="16" thickTop="1" x14ac:dyDescent="0.35">
      <c r="B53" s="463" t="s">
        <v>26</v>
      </c>
      <c r="F53" s="1" t="s">
        <v>6</v>
      </c>
      <c r="G53" s="1160"/>
      <c r="H53" s="1161"/>
      <c r="I53" s="1162"/>
      <c r="J53" s="2" t="s">
        <v>26</v>
      </c>
      <c r="L53" s="31"/>
      <c r="M53" s="199" t="s">
        <v>26</v>
      </c>
      <c r="P53" s="199" t="s">
        <v>26</v>
      </c>
      <c r="R53" s="31"/>
      <c r="S53" s="97"/>
      <c r="T53" s="31"/>
      <c r="U53" s="111"/>
    </row>
    <row r="54" spans="2:21" ht="13" x14ac:dyDescent="0.3">
      <c r="B54" s="144"/>
      <c r="I54" s="32" t="s">
        <v>61</v>
      </c>
      <c r="J54" s="227" t="s">
        <v>61</v>
      </c>
      <c r="K54" s="1167" t="s">
        <v>57</v>
      </c>
      <c r="L54" s="1168"/>
      <c r="M54" s="50" t="s">
        <v>61</v>
      </c>
      <c r="N54" s="1177" t="s">
        <v>57</v>
      </c>
      <c r="O54" s="1178"/>
      <c r="P54" s="227" t="s">
        <v>61</v>
      </c>
      <c r="Q54" s="1167" t="s">
        <v>57</v>
      </c>
      <c r="R54" s="1168"/>
      <c r="S54" s="106"/>
      <c r="T54" s="31"/>
      <c r="U54" s="111"/>
    </row>
    <row r="55" spans="2:21" ht="13" x14ac:dyDescent="0.3">
      <c r="B55" s="462" t="s">
        <v>27</v>
      </c>
      <c r="C55" s="20" t="s">
        <v>45</v>
      </c>
      <c r="D55" s="20" t="s">
        <v>46</v>
      </c>
      <c r="E55" s="20" t="s">
        <v>47</v>
      </c>
      <c r="F55" s="20" t="s">
        <v>48</v>
      </c>
      <c r="G55" s="20" t="s">
        <v>49</v>
      </c>
      <c r="H55" s="20" t="s">
        <v>50</v>
      </c>
      <c r="I55" s="32" t="s">
        <v>13</v>
      </c>
      <c r="J55" s="210" t="s">
        <v>56</v>
      </c>
      <c r="K55" s="211" t="s">
        <v>13</v>
      </c>
      <c r="L55" s="212" t="s">
        <v>68</v>
      </c>
      <c r="M55" s="66" t="s">
        <v>56</v>
      </c>
      <c r="N55" s="20" t="s">
        <v>13</v>
      </c>
      <c r="O55" s="32" t="s">
        <v>68</v>
      </c>
      <c r="P55" s="210" t="s">
        <v>56</v>
      </c>
      <c r="Q55" s="211" t="s">
        <v>13</v>
      </c>
      <c r="R55" s="212" t="s">
        <v>68</v>
      </c>
      <c r="S55" s="98"/>
      <c r="T55" s="31"/>
      <c r="U55" s="111"/>
    </row>
    <row r="56" spans="2:21" x14ac:dyDescent="0.25">
      <c r="B56" s="464" t="s">
        <v>4</v>
      </c>
      <c r="C56" s="18">
        <v>0</v>
      </c>
      <c r="D56" s="18">
        <v>6</v>
      </c>
      <c r="E56" s="18">
        <v>3</v>
      </c>
      <c r="F56" s="18">
        <v>3</v>
      </c>
      <c r="G56" s="18">
        <v>2</v>
      </c>
      <c r="H56" s="18">
        <v>0</v>
      </c>
      <c r="I56" s="45">
        <f t="shared" ref="I56:I65" si="9">SUM(C56:H56)</f>
        <v>14</v>
      </c>
      <c r="J56" s="213" t="s">
        <v>12</v>
      </c>
      <c r="K56" s="231">
        <f>I56*$L$4</f>
        <v>5684</v>
      </c>
      <c r="L56" s="239">
        <f t="shared" ref="L56:L65" si="10">K56</f>
        <v>5684</v>
      </c>
      <c r="M56" s="51" t="s">
        <v>12</v>
      </c>
      <c r="N56" s="58">
        <f>$I$56*$O$4</f>
        <v>5684</v>
      </c>
      <c r="O56" s="57">
        <f t="shared" ref="O56:O63" si="11">N56</f>
        <v>5684</v>
      </c>
      <c r="P56" s="213" t="s">
        <v>12</v>
      </c>
      <c r="Q56" s="231">
        <f>$I$56*$R$4</f>
        <v>5684</v>
      </c>
      <c r="R56" s="239">
        <f t="shared" ref="R56:R63" si="12">Q56</f>
        <v>5684</v>
      </c>
      <c r="S56" s="96">
        <f t="shared" ref="S56:S63" si="13">AVERAGE(L56,O56,R56)</f>
        <v>5684</v>
      </c>
      <c r="T56" s="94" t="s">
        <v>12</v>
      </c>
      <c r="U56" s="113" t="s">
        <v>12</v>
      </c>
    </row>
    <row r="57" spans="2:21" ht="13.5" thickBot="1" x14ac:dyDescent="0.35">
      <c r="B57" s="465" t="s">
        <v>8</v>
      </c>
      <c r="C57" s="29">
        <f>ROUND(C56*Labor!$D$3,0)</f>
        <v>0</v>
      </c>
      <c r="D57" s="29">
        <f>ROUND(D56*Labor!$D$4,0)</f>
        <v>145</v>
      </c>
      <c r="E57" s="29">
        <f>ROUND(E56*Labor!$D$5,0)</f>
        <v>76</v>
      </c>
      <c r="F57" s="29">
        <f>ROUND(F56*Labor!$D$6,0)</f>
        <v>83</v>
      </c>
      <c r="G57" s="29">
        <f>ROUND(G56*Labor!$D$7,0)</f>
        <v>63</v>
      </c>
      <c r="H57" s="29">
        <f>ROUND(H56*Labor!$D$8,0)</f>
        <v>0</v>
      </c>
      <c r="I57" s="33">
        <f t="shared" si="9"/>
        <v>367</v>
      </c>
      <c r="J57" s="284">
        <f>HLOOKUP(K$2,InflationTable,2)/HLOOKUP(Labor!$B$11,InflationTable,2)*$I57</f>
        <v>785.10062283737022</v>
      </c>
      <c r="K57" s="219">
        <f>J57*$L$4</f>
        <v>318750.85287197231</v>
      </c>
      <c r="L57" s="256">
        <f t="shared" si="10"/>
        <v>318750.85287197231</v>
      </c>
      <c r="M57" s="169">
        <f>HLOOKUP(N$2,InflationTable,2)/HLOOKUP(Labor!$B$11,InflationTable,2)*$I57</f>
        <v>816.50464775086516</v>
      </c>
      <c r="N57" s="55">
        <f>M57*$L$4</f>
        <v>331500.88698685123</v>
      </c>
      <c r="O57" s="77">
        <f t="shared" si="11"/>
        <v>331500.88698685123</v>
      </c>
      <c r="P57" s="284">
        <f>HLOOKUP(Q$2,InflationTable,2)/HLOOKUP(Labor!$B$11,InflationTable,2)*$I57</f>
        <v>832.83474070588227</v>
      </c>
      <c r="Q57" s="219">
        <f>P57*$R$4</f>
        <v>338130.90472658823</v>
      </c>
      <c r="R57" s="256">
        <f t="shared" si="12"/>
        <v>338130.90472658823</v>
      </c>
      <c r="S57" s="103">
        <f t="shared" si="13"/>
        <v>329460.88152847061</v>
      </c>
      <c r="T57" s="121" t="s">
        <v>12</v>
      </c>
      <c r="U57" s="115" t="s">
        <v>12</v>
      </c>
    </row>
    <row r="58" spans="2:21" ht="13" x14ac:dyDescent="0.3">
      <c r="B58" s="459" t="s">
        <v>114</v>
      </c>
      <c r="C58" s="290">
        <v>0</v>
      </c>
      <c r="D58" s="290">
        <v>1</v>
      </c>
      <c r="E58" s="290">
        <v>2</v>
      </c>
      <c r="F58" s="290">
        <v>4</v>
      </c>
      <c r="G58" s="290">
        <v>2</v>
      </c>
      <c r="H58" s="290">
        <v>0</v>
      </c>
      <c r="I58" s="291">
        <f t="shared" si="9"/>
        <v>9</v>
      </c>
      <c r="J58" s="242" t="s">
        <v>12</v>
      </c>
      <c r="K58" s="273">
        <f>I58*$L$4</f>
        <v>3654</v>
      </c>
      <c r="L58" s="274">
        <f t="shared" si="10"/>
        <v>3654</v>
      </c>
      <c r="M58" s="53" t="s">
        <v>12</v>
      </c>
      <c r="N58" s="147">
        <f>$I$58*$O$4</f>
        <v>3654</v>
      </c>
      <c r="O58" s="148">
        <f t="shared" si="11"/>
        <v>3654</v>
      </c>
      <c r="P58" s="242" t="s">
        <v>12</v>
      </c>
      <c r="Q58" s="273">
        <f>$I$58*$R$4</f>
        <v>3654</v>
      </c>
      <c r="R58" s="274">
        <f t="shared" si="12"/>
        <v>3654</v>
      </c>
      <c r="S58" s="104">
        <f t="shared" si="13"/>
        <v>3654</v>
      </c>
      <c r="T58" s="42" t="s">
        <v>12</v>
      </c>
      <c r="U58" s="119" t="s">
        <v>12</v>
      </c>
    </row>
    <row r="59" spans="2:21" ht="13.5" thickBot="1" x14ac:dyDescent="0.35">
      <c r="B59" s="465" t="s">
        <v>8</v>
      </c>
      <c r="C59" s="29">
        <f>ROUND(C58*Labor!$D$3,0)</f>
        <v>0</v>
      </c>
      <c r="D59" s="29">
        <f>ROUND(D58*Labor!$D$4,0)</f>
        <v>24</v>
      </c>
      <c r="E59" s="29">
        <f>ROUND(E58*Labor!$D$5,0)</f>
        <v>50</v>
      </c>
      <c r="F59" s="29">
        <f>ROUND(F58*Labor!$D$6,0)</f>
        <v>110</v>
      </c>
      <c r="G59" s="29">
        <f>ROUND(G58*Labor!$D$7,0)</f>
        <v>63</v>
      </c>
      <c r="H59" s="29">
        <f>ROUND(H58*Labor!$D$8,0)</f>
        <v>0</v>
      </c>
      <c r="I59" s="33">
        <f t="shared" si="9"/>
        <v>247</v>
      </c>
      <c r="J59" s="284">
        <f>HLOOKUP(K$2,InflationTable,2)/HLOOKUP(Labor!$B$11,InflationTable,2)*$I59</f>
        <v>528.39197231833907</v>
      </c>
      <c r="K59" s="219">
        <f>J59*$L$4</f>
        <v>214527.14076124565</v>
      </c>
      <c r="L59" s="256">
        <f t="shared" si="10"/>
        <v>214527.14076124565</v>
      </c>
      <c r="M59" s="169">
        <f>HLOOKUP(N$2,InflationTable,2)/HLOOKUP(Labor!$B$11,InflationTable,2)*$I59</f>
        <v>549.52765121107268</v>
      </c>
      <c r="N59" s="55">
        <f>M59*$O$4</f>
        <v>223108.2263916955</v>
      </c>
      <c r="O59" s="77">
        <f t="shared" si="11"/>
        <v>223108.2263916955</v>
      </c>
      <c r="P59" s="284">
        <f>HLOOKUP(Q$2,InflationTable,2)/HLOOKUP(Labor!$B$11,InflationTable,2)*$I59</f>
        <v>560.51820423529409</v>
      </c>
      <c r="Q59" s="219">
        <f>P59*$R$4</f>
        <v>227570.3909195294</v>
      </c>
      <c r="R59" s="256">
        <f t="shared" si="12"/>
        <v>227570.3909195294</v>
      </c>
      <c r="S59" s="103">
        <f t="shared" si="13"/>
        <v>221735.25269082352</v>
      </c>
      <c r="T59" s="121" t="s">
        <v>12</v>
      </c>
      <c r="U59" s="115" t="s">
        <v>12</v>
      </c>
    </row>
    <row r="60" spans="2:21" ht="13" x14ac:dyDescent="0.3">
      <c r="B60" s="459" t="s">
        <v>115</v>
      </c>
      <c r="C60" s="290">
        <v>0</v>
      </c>
      <c r="D60" s="290">
        <v>0</v>
      </c>
      <c r="E60" s="290">
        <v>4</v>
      </c>
      <c r="F60" s="290">
        <v>8</v>
      </c>
      <c r="G60" s="290">
        <v>0</v>
      </c>
      <c r="H60" s="290">
        <v>0</v>
      </c>
      <c r="I60" s="291">
        <f t="shared" si="9"/>
        <v>12</v>
      </c>
      <c r="J60" s="242" t="s">
        <v>12</v>
      </c>
      <c r="K60" s="273">
        <f>I60*$L$4</f>
        <v>4872</v>
      </c>
      <c r="L60" s="274">
        <f t="shared" si="10"/>
        <v>4872</v>
      </c>
      <c r="M60" s="53" t="s">
        <v>12</v>
      </c>
      <c r="N60" s="147">
        <f>$I$60*$O$4</f>
        <v>4872</v>
      </c>
      <c r="O60" s="148">
        <f t="shared" si="11"/>
        <v>4872</v>
      </c>
      <c r="P60" s="242" t="s">
        <v>12</v>
      </c>
      <c r="Q60" s="273">
        <f>$I$60*$R$4</f>
        <v>4872</v>
      </c>
      <c r="R60" s="274">
        <f t="shared" si="12"/>
        <v>4872</v>
      </c>
      <c r="S60" s="104">
        <f t="shared" si="13"/>
        <v>4872</v>
      </c>
      <c r="T60" s="42" t="s">
        <v>12</v>
      </c>
      <c r="U60" s="119" t="s">
        <v>12</v>
      </c>
    </row>
    <row r="61" spans="2:21" ht="13.5" thickBot="1" x14ac:dyDescent="0.35">
      <c r="B61" s="465" t="s">
        <v>8</v>
      </c>
      <c r="C61" s="29">
        <f>ROUND(C60*Labor!$D$3,0)</f>
        <v>0</v>
      </c>
      <c r="D61" s="29">
        <f>ROUND(D60*Labor!$D$4,0)</f>
        <v>0</v>
      </c>
      <c r="E61" s="29">
        <f>ROUND(E60*Labor!$D$5,0)</f>
        <v>101</v>
      </c>
      <c r="F61" s="29">
        <f>ROUND(F60*Labor!$D$6,0)</f>
        <v>221</v>
      </c>
      <c r="G61" s="29">
        <f>ROUND(G60*Labor!$D$7,0)</f>
        <v>0</v>
      </c>
      <c r="H61" s="29">
        <f>ROUND(H60*Labor!$D$8,0)</f>
        <v>0</v>
      </c>
      <c r="I61" s="33">
        <f t="shared" si="9"/>
        <v>322</v>
      </c>
      <c r="J61" s="284">
        <f>HLOOKUP(K$2,InflationTable,2)/HLOOKUP(Labor!$B$11,InflationTable,2)*$I61</f>
        <v>688.83487889273351</v>
      </c>
      <c r="K61" s="219">
        <f>J61*$L$4</f>
        <v>279666.96083044983</v>
      </c>
      <c r="L61" s="256">
        <f t="shared" si="10"/>
        <v>279666.96083044983</v>
      </c>
      <c r="M61" s="169">
        <f>HLOOKUP(N$2,InflationTable,2)/HLOOKUP(Labor!$B$11,InflationTable,2)*$I61</f>
        <v>716.38827404844301</v>
      </c>
      <c r="N61" s="55">
        <f>M61*$O$4</f>
        <v>290853.63926366786</v>
      </c>
      <c r="O61" s="77">
        <f t="shared" si="11"/>
        <v>290853.63926366786</v>
      </c>
      <c r="P61" s="284">
        <f>HLOOKUP(Q$2,InflationTable,2)/HLOOKUP(Labor!$B$11,InflationTable,2)*$I61</f>
        <v>730.71603952941166</v>
      </c>
      <c r="Q61" s="219">
        <f>P61*$R$4</f>
        <v>296670.71204894112</v>
      </c>
      <c r="R61" s="256">
        <f t="shared" si="12"/>
        <v>296670.71204894112</v>
      </c>
      <c r="S61" s="103">
        <f t="shared" si="13"/>
        <v>289063.7707143529</v>
      </c>
      <c r="T61" s="121" t="s">
        <v>12</v>
      </c>
      <c r="U61" s="115" t="s">
        <v>12</v>
      </c>
    </row>
    <row r="62" spans="2:21" ht="13" x14ac:dyDescent="0.3">
      <c r="B62" s="459" t="s">
        <v>116</v>
      </c>
      <c r="C62" s="290">
        <v>0</v>
      </c>
      <c r="D62" s="290">
        <v>1</v>
      </c>
      <c r="E62" s="290">
        <v>1</v>
      </c>
      <c r="F62" s="290">
        <v>2</v>
      </c>
      <c r="G62" s="290">
        <v>0</v>
      </c>
      <c r="H62" s="290">
        <v>0</v>
      </c>
      <c r="I62" s="291">
        <f t="shared" si="9"/>
        <v>4</v>
      </c>
      <c r="J62" s="242" t="s">
        <v>12</v>
      </c>
      <c r="K62" s="273">
        <f>I62*$L$4</f>
        <v>1624</v>
      </c>
      <c r="L62" s="274">
        <f t="shared" si="10"/>
        <v>1624</v>
      </c>
      <c r="M62" s="53" t="s">
        <v>12</v>
      </c>
      <c r="N62" s="147">
        <f>$I$62*$O$4</f>
        <v>1624</v>
      </c>
      <c r="O62" s="148">
        <f t="shared" si="11"/>
        <v>1624</v>
      </c>
      <c r="P62" s="242" t="s">
        <v>12</v>
      </c>
      <c r="Q62" s="273">
        <f>$I$62*$R$4</f>
        <v>1624</v>
      </c>
      <c r="R62" s="274">
        <f t="shared" si="12"/>
        <v>1624</v>
      </c>
      <c r="S62" s="104">
        <f t="shared" si="13"/>
        <v>1624</v>
      </c>
      <c r="T62" s="42" t="s">
        <v>12</v>
      </c>
      <c r="U62" s="119" t="s">
        <v>12</v>
      </c>
    </row>
    <row r="63" spans="2:21" ht="13.5" thickBot="1" x14ac:dyDescent="0.35">
      <c r="B63" s="465" t="s">
        <v>8</v>
      </c>
      <c r="C63" s="1096">
        <f>ROUND(C62*Labor!$D$3,0)</f>
        <v>0</v>
      </c>
      <c r="D63" s="29">
        <f>ROUND(D62*Labor!$D$4,0)</f>
        <v>24</v>
      </c>
      <c r="E63" s="29">
        <f>ROUND(E62*Labor!$D$5,0)</f>
        <v>25</v>
      </c>
      <c r="F63" s="29">
        <f>ROUND(F62*Labor!$D$6,0)</f>
        <v>55</v>
      </c>
      <c r="G63" s="29">
        <f>ROUND(G62*Labor!$D$7,0)</f>
        <v>0</v>
      </c>
      <c r="H63" s="29">
        <f>ROUND(H62*Labor!$D$8,0)</f>
        <v>0</v>
      </c>
      <c r="I63" s="33">
        <f t="shared" si="9"/>
        <v>104</v>
      </c>
      <c r="J63" s="284">
        <f>HLOOKUP(K$2,InflationTable,2)/HLOOKUP(Labor!$B$11,InflationTable,2)*$I63</f>
        <v>222.48083044982698</v>
      </c>
      <c r="K63" s="219">
        <f>J63*$L$4</f>
        <v>90327.21716262975</v>
      </c>
      <c r="L63" s="256">
        <f t="shared" si="10"/>
        <v>90327.21716262975</v>
      </c>
      <c r="M63" s="169">
        <f>HLOOKUP(N$2,InflationTable,2)/HLOOKUP(Labor!$B$11,InflationTable,2)*$I63</f>
        <v>231.38006366782008</v>
      </c>
      <c r="N63" s="55">
        <f>M63*$O$4</f>
        <v>93940.305849134951</v>
      </c>
      <c r="O63" s="77">
        <f t="shared" si="11"/>
        <v>93940.305849134951</v>
      </c>
      <c r="P63" s="284">
        <f>HLOOKUP(Q$2,InflationTable,2)/HLOOKUP(Labor!$B$11,InflationTable,2)*$I63</f>
        <v>236.00766494117644</v>
      </c>
      <c r="Q63" s="219">
        <f>P63*$R$4</f>
        <v>95819.111966117634</v>
      </c>
      <c r="R63" s="256">
        <f t="shared" si="12"/>
        <v>95819.111966117634</v>
      </c>
      <c r="S63" s="103">
        <f t="shared" si="13"/>
        <v>93362.211659294102</v>
      </c>
      <c r="T63" s="110" t="s">
        <v>12</v>
      </c>
      <c r="U63" s="115" t="s">
        <v>12</v>
      </c>
    </row>
    <row r="64" spans="2:21" ht="13" x14ac:dyDescent="0.3">
      <c r="B64" s="1095" t="s">
        <v>376</v>
      </c>
      <c r="C64" s="1099">
        <v>0</v>
      </c>
      <c r="D64" s="1099">
        <v>0.25</v>
      </c>
      <c r="E64" s="1099">
        <v>0</v>
      </c>
      <c r="F64" s="1099">
        <v>0</v>
      </c>
      <c r="G64" s="1099">
        <v>0</v>
      </c>
      <c r="H64" s="1099">
        <v>0</v>
      </c>
      <c r="I64" s="1098">
        <f t="shared" si="9"/>
        <v>0.25</v>
      </c>
      <c r="J64" s="242" t="s">
        <v>12</v>
      </c>
      <c r="K64" s="273">
        <f>I64*$L$4</f>
        <v>101.5</v>
      </c>
      <c r="L64" s="274">
        <f t="shared" si="10"/>
        <v>101.5</v>
      </c>
      <c r="M64" s="53" t="s">
        <v>12</v>
      </c>
      <c r="N64" s="147">
        <f>$I$64*$O$4</f>
        <v>101.5</v>
      </c>
      <c r="O64" s="148">
        <f t="shared" ref="O64:O65" si="14">N64</f>
        <v>101.5</v>
      </c>
      <c r="P64" s="242" t="s">
        <v>12</v>
      </c>
      <c r="Q64" s="273">
        <f>$I$64*$R$4</f>
        <v>101.5</v>
      </c>
      <c r="R64" s="274">
        <f t="shared" ref="R64:R65" si="15">Q64</f>
        <v>101.5</v>
      </c>
      <c r="S64" s="104">
        <f t="shared" ref="S64:S65" si="16">AVERAGE(L64,O64,R64)</f>
        <v>101.5</v>
      </c>
      <c r="T64" s="42" t="s">
        <v>12</v>
      </c>
      <c r="U64" s="119" t="s">
        <v>12</v>
      </c>
    </row>
    <row r="65" spans="2:21" ht="13.5" thickBot="1" x14ac:dyDescent="0.35">
      <c r="B65" s="465" t="s">
        <v>8</v>
      </c>
      <c r="C65" s="1097">
        <f>ROUND(C64*Labor!$D$3,0)</f>
        <v>0</v>
      </c>
      <c r="D65" s="1097">
        <f>ROUND(D64*Labor!$D$3,0)</f>
        <v>6</v>
      </c>
      <c r="E65" s="1097">
        <f>ROUND(E64*Labor!$D$3,0)</f>
        <v>0</v>
      </c>
      <c r="F65" s="1097">
        <f>ROUND(F64*Labor!$D$3,0)</f>
        <v>0</v>
      </c>
      <c r="G65" s="1097">
        <f>ROUND(G64*Labor!$D$3,0)</f>
        <v>0</v>
      </c>
      <c r="H65" s="1097">
        <f>ROUND(H64*Labor!$D$3,0)</f>
        <v>0</v>
      </c>
      <c r="I65" s="1094">
        <f t="shared" si="9"/>
        <v>6</v>
      </c>
      <c r="J65" s="284">
        <f>HLOOKUP(K$2,InflationTable,2)/HLOOKUP(Labor!$B$11,InflationTable,2)*$I65</f>
        <v>12.835432525951557</v>
      </c>
      <c r="K65" s="219">
        <f>J65*$L$4</f>
        <v>5211.1856055363323</v>
      </c>
      <c r="L65" s="256">
        <f t="shared" si="10"/>
        <v>5211.1856055363323</v>
      </c>
      <c r="M65" s="169">
        <f>HLOOKUP(N$2,InflationTable,2)/HLOOKUP(Labor!$B$11,InflationTable,2)*$I65</f>
        <v>13.348849826989621</v>
      </c>
      <c r="N65" s="55">
        <f>M65*$O$4</f>
        <v>5419.6330297577861</v>
      </c>
      <c r="O65" s="77">
        <f t="shared" si="14"/>
        <v>5419.6330297577861</v>
      </c>
      <c r="P65" s="284">
        <f>HLOOKUP(Q$2,InflationTable,2)/HLOOKUP(Labor!$B$11,InflationTable,2)*$I65</f>
        <v>13.61582682352941</v>
      </c>
      <c r="Q65" s="219">
        <f>P65*$R$4</f>
        <v>5528.0256903529407</v>
      </c>
      <c r="R65" s="256">
        <f t="shared" si="15"/>
        <v>5528.0256903529407</v>
      </c>
      <c r="S65" s="103">
        <f t="shared" si="16"/>
        <v>5386.2814418823536</v>
      </c>
      <c r="T65" s="110" t="s">
        <v>12</v>
      </c>
      <c r="U65" s="115" t="s">
        <v>12</v>
      </c>
    </row>
    <row r="66" spans="2:21" ht="13" x14ac:dyDescent="0.3">
      <c r="B66" s="139" t="s">
        <v>66</v>
      </c>
      <c r="C66" s="30">
        <f>C56+C58+C60+C62+C64</f>
        <v>0</v>
      </c>
      <c r="D66" s="30">
        <f t="shared" ref="D66:H66" si="17">D56+D58+D60+D62+D64</f>
        <v>8.25</v>
      </c>
      <c r="E66" s="30">
        <f t="shared" si="17"/>
        <v>10</v>
      </c>
      <c r="F66" s="30">
        <f t="shared" si="17"/>
        <v>17</v>
      </c>
      <c r="G66" s="30">
        <f t="shared" si="17"/>
        <v>4</v>
      </c>
      <c r="H66" s="30">
        <f t="shared" si="17"/>
        <v>0</v>
      </c>
      <c r="I66" s="30">
        <f>I56+I58+I60+I62+I64</f>
        <v>39.25</v>
      </c>
      <c r="J66" s="249" t="s">
        <v>12</v>
      </c>
      <c r="K66" s="235">
        <f>K56+K58+K60+K62+K64</f>
        <v>15935.5</v>
      </c>
      <c r="L66" s="236">
        <f>L56+L58+L60+L62+L64</f>
        <v>15935.5</v>
      </c>
      <c r="M66" s="70" t="s">
        <v>12</v>
      </c>
      <c r="N66" s="28">
        <f>N56+N58+N60+N62+N64</f>
        <v>15935.5</v>
      </c>
      <c r="O66" s="34">
        <f>O56+O58+O60+O62+O64</f>
        <v>15935.5</v>
      </c>
      <c r="P66" s="249" t="s">
        <v>12</v>
      </c>
      <c r="Q66" s="235">
        <f>Q56+Q58+Q60+Q62+Q64</f>
        <v>15935.5</v>
      </c>
      <c r="R66" s="236">
        <f>R56+R58+R60+R62+R64</f>
        <v>15935.5</v>
      </c>
      <c r="S66" s="104">
        <f>AVERAGE(L66,O66,R66)</f>
        <v>15935.5</v>
      </c>
      <c r="T66" s="42" t="s">
        <v>12</v>
      </c>
      <c r="U66" s="119" t="s">
        <v>12</v>
      </c>
    </row>
    <row r="67" spans="2:21" ht="13.5" thickBot="1" x14ac:dyDescent="0.35">
      <c r="B67" s="460" t="s">
        <v>67</v>
      </c>
      <c r="C67" s="194">
        <f>C57+C59+C61+C63+C65</f>
        <v>0</v>
      </c>
      <c r="D67" s="194">
        <f t="shared" ref="D67:H67" si="18">D57+D59+D61+D63+D65</f>
        <v>199</v>
      </c>
      <c r="E67" s="194">
        <f t="shared" si="18"/>
        <v>252</v>
      </c>
      <c r="F67" s="194">
        <f t="shared" si="18"/>
        <v>469</v>
      </c>
      <c r="G67" s="194">
        <f t="shared" si="18"/>
        <v>126</v>
      </c>
      <c r="H67" s="194">
        <f t="shared" si="18"/>
        <v>0</v>
      </c>
      <c r="I67" s="194">
        <f>I57+I59+I61+I63+I65</f>
        <v>1046</v>
      </c>
      <c r="J67" s="278">
        <f>J57+J59+J61+J63+J65</f>
        <v>2237.6437370242215</v>
      </c>
      <c r="K67" s="278">
        <f>K57+K59+K61+K63+K65</f>
        <v>908483.35723183386</v>
      </c>
      <c r="L67" s="278">
        <f>L57+L59+L61+L63+L65</f>
        <v>908483.35723183386</v>
      </c>
      <c r="M67" s="194">
        <f>M57+M59+M61+M63+M65</f>
        <v>2327.1494865051905</v>
      </c>
      <c r="N67" s="194">
        <f>N57+N59+N61+N63+N65</f>
        <v>944822.69152110722</v>
      </c>
      <c r="O67" s="194">
        <f>O57+O59+O61+O63+O65</f>
        <v>944822.69152110722</v>
      </c>
      <c r="P67" s="278">
        <f>P57+P59+P61+P63+P65</f>
        <v>2373.6924762352937</v>
      </c>
      <c r="Q67" s="278">
        <f>Q57+Q59+Q61+Q63+Q65</f>
        <v>963719.14535152935</v>
      </c>
      <c r="R67" s="278">
        <f>R57+R59+R61+R63+R65</f>
        <v>963719.14535152935</v>
      </c>
      <c r="S67" s="206">
        <f>AVERAGE(L67,O67,R67)</f>
        <v>939008.39803482348</v>
      </c>
      <c r="T67" s="203" t="s">
        <v>12</v>
      </c>
      <c r="U67" s="180" t="s">
        <v>12</v>
      </c>
    </row>
    <row r="68" spans="2:21" ht="13.5" thickTop="1" x14ac:dyDescent="0.3">
      <c r="B68" s="519"/>
      <c r="C68" s="516"/>
      <c r="D68" s="516"/>
      <c r="E68" s="516"/>
      <c r="F68" s="516"/>
      <c r="G68" s="516"/>
      <c r="H68" s="516"/>
      <c r="I68" s="517"/>
      <c r="J68" s="517"/>
      <c r="K68" s="517"/>
      <c r="L68" s="517"/>
      <c r="M68" s="517"/>
      <c r="N68" s="517"/>
      <c r="O68" s="517"/>
      <c r="P68" s="517"/>
      <c r="Q68" s="517"/>
      <c r="R68" s="517"/>
      <c r="S68" s="520"/>
      <c r="T68" s="521"/>
      <c r="U68" s="522"/>
    </row>
    <row r="69" spans="2:21" ht="13" thickBot="1" x14ac:dyDescent="0.3">
      <c r="B69" s="335"/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  <c r="Q69" s="335"/>
      <c r="R69" s="335"/>
      <c r="S69" s="335"/>
      <c r="T69" s="335"/>
      <c r="U69" s="335"/>
    </row>
    <row r="70" spans="2:21" ht="27.5" thickTop="1" thickBot="1" x14ac:dyDescent="0.4">
      <c r="B70" s="463" t="s">
        <v>28</v>
      </c>
      <c r="F70" s="1" t="s">
        <v>6</v>
      </c>
      <c r="G70" s="1160"/>
      <c r="H70" s="1161"/>
      <c r="I70" s="1162"/>
      <c r="J70" s="2" t="s">
        <v>28</v>
      </c>
      <c r="L70" s="31"/>
      <c r="M70" s="2" t="s">
        <v>28</v>
      </c>
      <c r="O70" s="31"/>
      <c r="P70" s="2" t="s">
        <v>28</v>
      </c>
      <c r="R70" s="31"/>
      <c r="S70" s="448" t="s">
        <v>17</v>
      </c>
      <c r="T70" s="449" t="s">
        <v>103</v>
      </c>
      <c r="U70" s="523" t="s">
        <v>79</v>
      </c>
    </row>
    <row r="71" spans="2:21" ht="13" x14ac:dyDescent="0.3">
      <c r="B71" s="144"/>
      <c r="I71" s="32" t="s">
        <v>61</v>
      </c>
      <c r="J71" s="227" t="s">
        <v>61</v>
      </c>
      <c r="K71" s="1167" t="s">
        <v>57</v>
      </c>
      <c r="L71" s="1168"/>
      <c r="M71" s="50" t="s">
        <v>61</v>
      </c>
      <c r="N71" s="1177" t="s">
        <v>57</v>
      </c>
      <c r="O71" s="1181"/>
      <c r="P71" s="266" t="s">
        <v>61</v>
      </c>
      <c r="Q71" s="1167" t="s">
        <v>57</v>
      </c>
      <c r="R71" s="1168"/>
      <c r="S71" s="139"/>
      <c r="T71" s="108"/>
      <c r="U71" s="31"/>
    </row>
    <row r="72" spans="2:21" ht="13" x14ac:dyDescent="0.3">
      <c r="B72" s="457"/>
      <c r="C72" s="20" t="s">
        <v>45</v>
      </c>
      <c r="D72" s="20" t="s">
        <v>46</v>
      </c>
      <c r="E72" s="20" t="s">
        <v>47</v>
      </c>
      <c r="F72" s="20" t="s">
        <v>48</v>
      </c>
      <c r="G72" s="20" t="s">
        <v>49</v>
      </c>
      <c r="H72" s="20" t="s">
        <v>50</v>
      </c>
      <c r="I72" s="32" t="s">
        <v>13</v>
      </c>
      <c r="J72" s="210" t="s">
        <v>56</v>
      </c>
      <c r="K72" s="211" t="s">
        <v>13</v>
      </c>
      <c r="L72" s="212" t="s">
        <v>68</v>
      </c>
      <c r="M72" s="66" t="s">
        <v>56</v>
      </c>
      <c r="N72" s="20" t="s">
        <v>13</v>
      </c>
      <c r="O72" s="32" t="s">
        <v>68</v>
      </c>
      <c r="P72" s="210" t="s">
        <v>56</v>
      </c>
      <c r="Q72" s="211" t="s">
        <v>13</v>
      </c>
      <c r="R72" s="212" t="s">
        <v>68</v>
      </c>
      <c r="S72" s="95"/>
      <c r="T72" s="108"/>
      <c r="U72" s="31"/>
    </row>
    <row r="73" spans="2:21" ht="13" x14ac:dyDescent="0.3">
      <c r="B73" s="457" t="s">
        <v>111</v>
      </c>
      <c r="C73" s="18">
        <v>0</v>
      </c>
      <c r="D73" s="18">
        <v>0</v>
      </c>
      <c r="E73" s="18">
        <v>0</v>
      </c>
      <c r="F73" s="18">
        <v>20</v>
      </c>
      <c r="G73" s="18">
        <v>16</v>
      </c>
      <c r="H73" s="18">
        <v>0</v>
      </c>
      <c r="I73" s="45">
        <f>SUM(C73:H73)</f>
        <v>36</v>
      </c>
      <c r="J73" s="213" t="s">
        <v>12</v>
      </c>
      <c r="K73" s="231">
        <f>I73*$L$4</f>
        <v>14616</v>
      </c>
      <c r="L73" s="239">
        <f>K73</f>
        <v>14616</v>
      </c>
      <c r="M73" s="51" t="s">
        <v>12</v>
      </c>
      <c r="N73" s="58">
        <f>$I$73*$O$4</f>
        <v>14616</v>
      </c>
      <c r="O73" s="57">
        <f>N73</f>
        <v>14616</v>
      </c>
      <c r="P73" s="213" t="s">
        <v>12</v>
      </c>
      <c r="Q73" s="231">
        <f>$I$73*$O$4</f>
        <v>14616</v>
      </c>
      <c r="R73" s="239">
        <f>Q73</f>
        <v>14616</v>
      </c>
      <c r="S73" s="96">
        <f>AVERAGE(L73,O73,R73)</f>
        <v>14616</v>
      </c>
      <c r="T73" s="34" t="s">
        <v>12</v>
      </c>
      <c r="U73" s="42" t="s">
        <v>12</v>
      </c>
    </row>
    <row r="74" spans="2:21" ht="13.5" thickBot="1" x14ac:dyDescent="0.35">
      <c r="B74" s="466" t="s">
        <v>8</v>
      </c>
      <c r="C74" s="29">
        <f>ROUND(C73*Labor!$D$3,0)</f>
        <v>0</v>
      </c>
      <c r="D74" s="29">
        <f>ROUND(D73*Labor!$D$4,0)</f>
        <v>0</v>
      </c>
      <c r="E74" s="29">
        <f>ROUND(E73*Labor!$D$5,0)</f>
        <v>0</v>
      </c>
      <c r="F74" s="29">
        <f>ROUND(F73*Labor!$D$6,0)</f>
        <v>551</v>
      </c>
      <c r="G74" s="29">
        <f>ROUND(G73*Labor!$D$7,0)</f>
        <v>501</v>
      </c>
      <c r="H74" s="29">
        <f>ROUND(H73*Labor!$D$8,0)</f>
        <v>0</v>
      </c>
      <c r="I74" s="33">
        <f>SUM(C74:H74)</f>
        <v>1052</v>
      </c>
      <c r="J74" s="284">
        <f>HLOOKUP(K$2,InflationTable,2)/HLOOKUP(Labor!$B$11,InflationTable,2)*$I74</f>
        <v>2250.4791695501726</v>
      </c>
      <c r="K74" s="219">
        <f>J74*$L$4</f>
        <v>913694.54283737007</v>
      </c>
      <c r="L74" s="256">
        <f>K74</f>
        <v>913694.54283737007</v>
      </c>
      <c r="M74" s="169">
        <f>HLOOKUP(N$2,InflationTable,2)/HLOOKUP(Labor!$B$11,InflationTable,2)*$I74</f>
        <v>2340.4983363321803</v>
      </c>
      <c r="N74" s="55">
        <f>M74*$O$4</f>
        <v>950242.32455086522</v>
      </c>
      <c r="O74" s="77">
        <f>N74</f>
        <v>950242.32455086522</v>
      </c>
      <c r="P74" s="284">
        <f>HLOOKUP(Q$2,InflationTable,2)/HLOOKUP(Labor!$B$11,InflationTable,2)*$I74</f>
        <v>2387.3083030588232</v>
      </c>
      <c r="Q74" s="219">
        <f>P74*$R$4</f>
        <v>969247.17104188225</v>
      </c>
      <c r="R74" s="256">
        <f>Q74</f>
        <v>969247.17104188225</v>
      </c>
      <c r="S74" s="103">
        <f>AVERAGE(L74,O74,R74)</f>
        <v>944394.67947670585</v>
      </c>
      <c r="T74" s="110" t="s">
        <v>12</v>
      </c>
      <c r="U74" s="121" t="s">
        <v>12</v>
      </c>
    </row>
    <row r="75" spans="2:21" ht="13" x14ac:dyDescent="0.3">
      <c r="B75" s="459" t="s">
        <v>110</v>
      </c>
      <c r="C75" s="290">
        <v>0</v>
      </c>
      <c r="D75" s="290">
        <v>26</v>
      </c>
      <c r="E75" s="290">
        <v>0</v>
      </c>
      <c r="F75" s="290">
        <v>0</v>
      </c>
      <c r="G75" s="290">
        <v>0</v>
      </c>
      <c r="H75" s="290">
        <v>0</v>
      </c>
      <c r="I75" s="291">
        <f>SUM(C75:H75)</f>
        <v>26</v>
      </c>
      <c r="J75" s="242" t="s">
        <v>12</v>
      </c>
      <c r="K75" s="273">
        <f>I75*$L$4</f>
        <v>10556</v>
      </c>
      <c r="L75" s="274">
        <f>K75</f>
        <v>10556</v>
      </c>
      <c r="M75" s="53" t="s">
        <v>12</v>
      </c>
      <c r="N75" s="147">
        <f>$I$75*$O$4</f>
        <v>10556</v>
      </c>
      <c r="O75" s="148">
        <f>N75</f>
        <v>10556</v>
      </c>
      <c r="P75" s="242" t="s">
        <v>12</v>
      </c>
      <c r="Q75" s="273">
        <f>$I$75*$O$4</f>
        <v>10556</v>
      </c>
      <c r="R75" s="274">
        <f>Q75</f>
        <v>10556</v>
      </c>
      <c r="S75" s="104">
        <f>AVERAGE(L75,O75,R75)</f>
        <v>10556</v>
      </c>
      <c r="T75" s="34" t="s">
        <v>12</v>
      </c>
      <c r="U75" s="42" t="s">
        <v>12</v>
      </c>
    </row>
    <row r="76" spans="2:21" ht="13.5" thickBot="1" x14ac:dyDescent="0.35">
      <c r="B76" s="466" t="s">
        <v>8</v>
      </c>
      <c r="C76" s="29">
        <f>ROUND(C75*Labor!$D$3,0)</f>
        <v>0</v>
      </c>
      <c r="D76" s="29">
        <f>ROUND(D75*Labor!$D$4,0)</f>
        <v>629</v>
      </c>
      <c r="E76" s="29">
        <f>ROUND(E75*Labor!$D$5,0)</f>
        <v>0</v>
      </c>
      <c r="F76" s="29">
        <f>ROUND(F75*Labor!$D$6,0)</f>
        <v>0</v>
      </c>
      <c r="G76" s="29">
        <f>ROUND(G75*Labor!$D$7,0)</f>
        <v>0</v>
      </c>
      <c r="H76" s="29">
        <f>ROUND(H75*Labor!$D$8,0)</f>
        <v>0</v>
      </c>
      <c r="I76" s="33">
        <f>SUM(C76:H76)</f>
        <v>629</v>
      </c>
      <c r="J76" s="284">
        <f>HLOOKUP(K$2,InflationTable,2)/HLOOKUP(Labor!$B$11,InflationTable,2)*$I76</f>
        <v>1345.5811764705882</v>
      </c>
      <c r="K76" s="219">
        <f>J76*$L$4</f>
        <v>546305.95764705876</v>
      </c>
      <c r="L76" s="256">
        <f>K76</f>
        <v>546305.95764705876</v>
      </c>
      <c r="M76" s="169">
        <f>HLOOKUP(N$2,InflationTable,2)/HLOOKUP(Labor!$B$11,InflationTable,2)*$I76</f>
        <v>1399.4044235294118</v>
      </c>
      <c r="N76" s="55">
        <f>M76*$O$4</f>
        <v>568158.1959529412</v>
      </c>
      <c r="O76" s="77">
        <f>N76</f>
        <v>568158.1959529412</v>
      </c>
      <c r="P76" s="284">
        <f>HLOOKUP(Q$2,InflationTable,2)/HLOOKUP(Labor!$B$11,InflationTable,2)*$I76</f>
        <v>1427.3925119999999</v>
      </c>
      <c r="Q76" s="219">
        <f>P76*$R$4</f>
        <v>579521.35987199994</v>
      </c>
      <c r="R76" s="256">
        <f>Q76</f>
        <v>579521.35987199994</v>
      </c>
      <c r="S76" s="103">
        <f>AVERAGE(L76,O76,R76)</f>
        <v>564661.83782399993</v>
      </c>
      <c r="T76" s="110" t="s">
        <v>12</v>
      </c>
      <c r="U76" s="121" t="s">
        <v>12</v>
      </c>
    </row>
    <row r="77" spans="2:21" ht="13" x14ac:dyDescent="0.3">
      <c r="B77" s="459" t="s">
        <v>20</v>
      </c>
      <c r="C77" s="86" t="s">
        <v>45</v>
      </c>
      <c r="D77" s="86" t="s">
        <v>46</v>
      </c>
      <c r="E77" s="86" t="s">
        <v>47</v>
      </c>
      <c r="F77" s="86" t="s">
        <v>48</v>
      </c>
      <c r="G77" s="86" t="s">
        <v>49</v>
      </c>
      <c r="H77" s="86" t="s">
        <v>50</v>
      </c>
      <c r="I77" s="87" t="s">
        <v>13</v>
      </c>
      <c r="J77" s="292"/>
      <c r="K77" s="293"/>
      <c r="L77" s="296"/>
      <c r="M77" s="88" t="s">
        <v>56</v>
      </c>
      <c r="N77" s="86" t="s">
        <v>13</v>
      </c>
      <c r="O77" s="87" t="s">
        <v>68</v>
      </c>
      <c r="P77" s="292" t="s">
        <v>56</v>
      </c>
      <c r="Q77" s="293" t="s">
        <v>13</v>
      </c>
      <c r="R77" s="296" t="s">
        <v>68</v>
      </c>
      <c r="S77" s="98"/>
      <c r="T77" s="108"/>
      <c r="U77" s="31"/>
    </row>
    <row r="78" spans="2:21" x14ac:dyDescent="0.25">
      <c r="B78" s="458" t="s">
        <v>4</v>
      </c>
      <c r="C78" s="18">
        <v>0</v>
      </c>
      <c r="D78" s="18">
        <v>0</v>
      </c>
      <c r="E78" s="18">
        <v>0</v>
      </c>
      <c r="F78" s="18">
        <v>2</v>
      </c>
      <c r="G78" s="18">
        <v>2</v>
      </c>
      <c r="H78" s="18">
        <v>0</v>
      </c>
      <c r="I78" s="45">
        <f t="shared" ref="I78:I83" si="19">SUM(C78:H78)</f>
        <v>4</v>
      </c>
      <c r="J78" s="213" t="s">
        <v>12</v>
      </c>
      <c r="K78" s="231">
        <f>I78*$L$4</f>
        <v>1624</v>
      </c>
      <c r="L78" s="239">
        <f t="shared" ref="L78:L83" si="20">K78</f>
        <v>1624</v>
      </c>
      <c r="M78" s="51" t="s">
        <v>12</v>
      </c>
      <c r="N78" s="58">
        <f>$I78*$O$4</f>
        <v>1624</v>
      </c>
      <c r="O78" s="57">
        <f t="shared" ref="O78:O83" si="21">N78</f>
        <v>1624</v>
      </c>
      <c r="P78" s="213" t="s">
        <v>12</v>
      </c>
      <c r="Q78" s="231">
        <f>$I78*$O$4</f>
        <v>1624</v>
      </c>
      <c r="R78" s="239">
        <f t="shared" ref="R78:R83" si="22">Q78</f>
        <v>1624</v>
      </c>
      <c r="S78" s="96">
        <f t="shared" ref="S78:S83" si="23">AVERAGE(L78,O78,R78)</f>
        <v>1624</v>
      </c>
      <c r="T78" s="34" t="s">
        <v>12</v>
      </c>
      <c r="U78" s="42" t="s">
        <v>12</v>
      </c>
    </row>
    <row r="79" spans="2:21" ht="13.5" thickBot="1" x14ac:dyDescent="0.35">
      <c r="B79" s="466" t="s">
        <v>8</v>
      </c>
      <c r="C79" s="29">
        <f>ROUND(C78*Labor!$D$3,0)</f>
        <v>0</v>
      </c>
      <c r="D79" s="29">
        <f>ROUND(D78*Labor!$D$4,0)</f>
        <v>0</v>
      </c>
      <c r="E79" s="29">
        <f>ROUND(E78*Labor!$D$5,0)</f>
        <v>0</v>
      </c>
      <c r="F79" s="29">
        <f>ROUND(F78*Labor!$D$6,0)</f>
        <v>55</v>
      </c>
      <c r="G79" s="29">
        <f>ROUND(G78*Labor!$D$7,0)</f>
        <v>63</v>
      </c>
      <c r="H79" s="29">
        <f>ROUND(H78*Labor!$D$8,0)</f>
        <v>0</v>
      </c>
      <c r="I79" s="33">
        <f t="shared" si="19"/>
        <v>118</v>
      </c>
      <c r="J79" s="284">
        <f>HLOOKUP(K$2,InflationTable,2)/HLOOKUP(Labor!$B$11,InflationTable,2)*$I79</f>
        <v>252.4301730103806</v>
      </c>
      <c r="K79" s="219">
        <f>J79*$L$4</f>
        <v>102486.65024221453</v>
      </c>
      <c r="L79" s="256">
        <f t="shared" si="20"/>
        <v>102486.65024221453</v>
      </c>
      <c r="M79" s="169">
        <f>HLOOKUP(N$2,InflationTable,2)/HLOOKUP(Labor!$B$11,InflationTable,2)*$I79</f>
        <v>262.52737993079586</v>
      </c>
      <c r="N79" s="55">
        <f>M79*$O$4</f>
        <v>106586.11625190312</v>
      </c>
      <c r="O79" s="77">
        <f t="shared" si="21"/>
        <v>106586.11625190312</v>
      </c>
      <c r="P79" s="284">
        <f>HLOOKUP(Q$2,InflationTable,2)/HLOOKUP(Labor!$B$11,InflationTable,2)*$I79</f>
        <v>267.77792752941173</v>
      </c>
      <c r="Q79" s="219">
        <f>P79*$R$4</f>
        <v>108717.83857694115</v>
      </c>
      <c r="R79" s="256">
        <f t="shared" si="22"/>
        <v>108717.83857694115</v>
      </c>
      <c r="S79" s="103">
        <f t="shared" si="23"/>
        <v>105930.20169035293</v>
      </c>
      <c r="T79" s="110" t="s">
        <v>12</v>
      </c>
      <c r="U79" s="121" t="s">
        <v>12</v>
      </c>
    </row>
    <row r="80" spans="2:21" ht="13" x14ac:dyDescent="0.3">
      <c r="B80" s="459" t="s">
        <v>109</v>
      </c>
      <c r="C80" s="290">
        <v>0</v>
      </c>
      <c r="D80" s="290">
        <v>1</v>
      </c>
      <c r="E80" s="290">
        <v>1</v>
      </c>
      <c r="F80" s="290">
        <v>2</v>
      </c>
      <c r="G80" s="290">
        <v>1</v>
      </c>
      <c r="H80" s="290">
        <v>0</v>
      </c>
      <c r="I80" s="291">
        <f t="shared" si="19"/>
        <v>5</v>
      </c>
      <c r="J80" s="242" t="s">
        <v>12</v>
      </c>
      <c r="K80" s="273">
        <f>I80*$L$4</f>
        <v>2030</v>
      </c>
      <c r="L80" s="274">
        <f t="shared" si="20"/>
        <v>2030</v>
      </c>
      <c r="M80" s="53" t="s">
        <v>12</v>
      </c>
      <c r="N80" s="147">
        <f>$I80*$O$4</f>
        <v>2030</v>
      </c>
      <c r="O80" s="148">
        <f t="shared" si="21"/>
        <v>2030</v>
      </c>
      <c r="P80" s="242" t="s">
        <v>12</v>
      </c>
      <c r="Q80" s="273">
        <f>$I80*$O$4</f>
        <v>2030</v>
      </c>
      <c r="R80" s="274">
        <f t="shared" si="22"/>
        <v>2030</v>
      </c>
      <c r="S80" s="104">
        <f t="shared" si="23"/>
        <v>2030</v>
      </c>
      <c r="T80" s="34" t="s">
        <v>12</v>
      </c>
      <c r="U80" s="42" t="s">
        <v>12</v>
      </c>
    </row>
    <row r="81" spans="2:21" ht="13.5" thickBot="1" x14ac:dyDescent="0.35">
      <c r="B81" s="466" t="s">
        <v>8</v>
      </c>
      <c r="C81" s="29">
        <f>ROUND(C80*Labor!$D$3,0)</f>
        <v>0</v>
      </c>
      <c r="D81" s="29">
        <f>ROUND(D80*Labor!$D$4,0)</f>
        <v>24</v>
      </c>
      <c r="E81" s="29">
        <f>ROUND(E80*Labor!$D$5,0)</f>
        <v>25</v>
      </c>
      <c r="F81" s="29">
        <f>ROUND(F80*Labor!$D$6,0)</f>
        <v>55</v>
      </c>
      <c r="G81" s="29">
        <f>ROUND(G80*Labor!$D$7,0)</f>
        <v>31</v>
      </c>
      <c r="H81" s="29">
        <f>ROUND(H80*Labor!$D$8,0)</f>
        <v>0</v>
      </c>
      <c r="I81" s="33">
        <f t="shared" si="19"/>
        <v>135</v>
      </c>
      <c r="J81" s="284">
        <f>HLOOKUP(K$2,InflationTable,2)/HLOOKUP(Labor!$B$11,InflationTable,2)*$I81</f>
        <v>288.79723183391002</v>
      </c>
      <c r="K81" s="219">
        <f>J81*$L$4</f>
        <v>117251.67612456747</v>
      </c>
      <c r="L81" s="256">
        <f t="shared" si="20"/>
        <v>117251.67612456747</v>
      </c>
      <c r="M81" s="169">
        <f>HLOOKUP(N$2,InflationTable,2)/HLOOKUP(Labor!$B$11,InflationTable,2)*$I81</f>
        <v>300.34912110726646</v>
      </c>
      <c r="N81" s="55">
        <f>M81*$O$4</f>
        <v>121941.74316955019</v>
      </c>
      <c r="O81" s="77">
        <f t="shared" si="21"/>
        <v>121941.74316955019</v>
      </c>
      <c r="P81" s="284">
        <f>HLOOKUP(Q$2,InflationTable,2)/HLOOKUP(Labor!$B$11,InflationTable,2)*$I81</f>
        <v>306.35610352941171</v>
      </c>
      <c r="Q81" s="219">
        <f>P81*$R$4</f>
        <v>124380.57803294115</v>
      </c>
      <c r="R81" s="256">
        <f t="shared" si="22"/>
        <v>124380.57803294115</v>
      </c>
      <c r="S81" s="140">
        <f t="shared" si="23"/>
        <v>121191.33244235294</v>
      </c>
      <c r="T81" s="93" t="s">
        <v>12</v>
      </c>
      <c r="U81" s="94" t="s">
        <v>12</v>
      </c>
    </row>
    <row r="82" spans="2:21" ht="13" x14ac:dyDescent="0.3">
      <c r="B82" s="459" t="s">
        <v>108</v>
      </c>
      <c r="C82" s="290">
        <v>0</v>
      </c>
      <c r="D82" s="290">
        <v>0</v>
      </c>
      <c r="E82" s="290">
        <v>0</v>
      </c>
      <c r="F82" s="290">
        <v>3</v>
      </c>
      <c r="G82" s="290">
        <v>3</v>
      </c>
      <c r="H82" s="290">
        <v>0</v>
      </c>
      <c r="I82" s="291">
        <f t="shared" si="19"/>
        <v>6</v>
      </c>
      <c r="J82" s="242" t="s">
        <v>12</v>
      </c>
      <c r="K82" s="273">
        <f>I82*$L$4</f>
        <v>2436</v>
      </c>
      <c r="L82" s="274">
        <f t="shared" si="20"/>
        <v>2436</v>
      </c>
      <c r="M82" s="53" t="s">
        <v>12</v>
      </c>
      <c r="N82" s="147">
        <f>$I82*$O$4</f>
        <v>2436</v>
      </c>
      <c r="O82" s="148">
        <f t="shared" si="21"/>
        <v>2436</v>
      </c>
      <c r="P82" s="242" t="s">
        <v>12</v>
      </c>
      <c r="Q82" s="273">
        <f>$I82*$O$4</f>
        <v>2436</v>
      </c>
      <c r="R82" s="274">
        <f t="shared" si="22"/>
        <v>2436</v>
      </c>
      <c r="S82" s="96">
        <f t="shared" si="23"/>
        <v>2436</v>
      </c>
      <c r="T82" s="34" t="s">
        <v>12</v>
      </c>
      <c r="U82" s="42" t="s">
        <v>12</v>
      </c>
    </row>
    <row r="83" spans="2:21" ht="13.5" thickBot="1" x14ac:dyDescent="0.35">
      <c r="B83" s="466" t="s">
        <v>8</v>
      </c>
      <c r="C83" s="29">
        <f>ROUND(C82*Labor!$D$3,0)</f>
        <v>0</v>
      </c>
      <c r="D83" s="29">
        <f>ROUND(D82*Labor!$D$4,0)</f>
        <v>0</v>
      </c>
      <c r="E83" s="29">
        <f>ROUND(E82*Labor!$D$5,0)</f>
        <v>0</v>
      </c>
      <c r="F83" s="29">
        <f>ROUND(F82*Labor!$D$6,0)</f>
        <v>83</v>
      </c>
      <c r="G83" s="29">
        <f>ROUND(G82*Labor!$D$7,0)</f>
        <v>94</v>
      </c>
      <c r="H83" s="29">
        <f>ROUND(H82*Labor!$D$8,0)</f>
        <v>0</v>
      </c>
      <c r="I83" s="33">
        <f t="shared" si="19"/>
        <v>177</v>
      </c>
      <c r="J83" s="284">
        <f>HLOOKUP(K$2,InflationTable,2)/HLOOKUP(Labor!$B$11,InflationTable,2)*$I83</f>
        <v>378.6452595155709</v>
      </c>
      <c r="K83" s="219">
        <f>J83*$L$4</f>
        <v>153729.97536332178</v>
      </c>
      <c r="L83" s="256">
        <f t="shared" si="20"/>
        <v>153729.97536332178</v>
      </c>
      <c r="M83" s="169">
        <f>HLOOKUP(N$2,InflationTable,2)/HLOOKUP(Labor!$B$11,InflationTable,2)*$I83</f>
        <v>393.79106989619379</v>
      </c>
      <c r="N83" s="55">
        <f>M83*$O$4</f>
        <v>159879.17437785468</v>
      </c>
      <c r="O83" s="77">
        <f t="shared" si="21"/>
        <v>159879.17437785468</v>
      </c>
      <c r="P83" s="284">
        <f>HLOOKUP(Q$2,InflationTable,2)/HLOOKUP(Labor!$B$11,InflationTable,2)*$I83</f>
        <v>401.66689129411759</v>
      </c>
      <c r="Q83" s="219">
        <f>P83*$R$4</f>
        <v>163076.75786541175</v>
      </c>
      <c r="R83" s="256">
        <f t="shared" si="22"/>
        <v>163076.75786541175</v>
      </c>
      <c r="S83" s="103">
        <f t="shared" si="23"/>
        <v>158895.30253552939</v>
      </c>
      <c r="T83" s="110" t="s">
        <v>12</v>
      </c>
      <c r="U83" s="121" t="s">
        <v>12</v>
      </c>
    </row>
    <row r="84" spans="2:21" ht="13" x14ac:dyDescent="0.3">
      <c r="B84" s="106" t="s">
        <v>29</v>
      </c>
      <c r="C84" s="86" t="s">
        <v>45</v>
      </c>
      <c r="D84" s="86" t="s">
        <v>46</v>
      </c>
      <c r="E84" s="86" t="s">
        <v>47</v>
      </c>
      <c r="F84" s="86" t="s">
        <v>48</v>
      </c>
      <c r="G84" s="86" t="s">
        <v>49</v>
      </c>
      <c r="H84" s="86" t="s">
        <v>50</v>
      </c>
      <c r="I84" s="87" t="s">
        <v>112</v>
      </c>
      <c r="J84" s="292"/>
      <c r="K84" s="293"/>
      <c r="L84" s="296"/>
      <c r="M84" s="88" t="s">
        <v>113</v>
      </c>
      <c r="N84" s="86" t="s">
        <v>13</v>
      </c>
      <c r="O84" s="87" t="s">
        <v>68</v>
      </c>
      <c r="P84" s="292" t="s">
        <v>113</v>
      </c>
      <c r="Q84" s="293" t="s">
        <v>13</v>
      </c>
      <c r="R84" s="296" t="s">
        <v>68</v>
      </c>
      <c r="S84" s="98"/>
      <c r="T84" s="108"/>
      <c r="U84" s="31"/>
    </row>
    <row r="85" spans="2:21" x14ac:dyDescent="0.25">
      <c r="B85" s="467" t="s">
        <v>51</v>
      </c>
      <c r="C85" s="18">
        <v>0</v>
      </c>
      <c r="D85" s="18">
        <v>0</v>
      </c>
      <c r="E85" s="18">
        <v>0.2</v>
      </c>
      <c r="F85" s="18">
        <v>0.3</v>
      </c>
      <c r="G85" s="18">
        <v>0</v>
      </c>
      <c r="H85" s="18">
        <v>0</v>
      </c>
      <c r="I85" s="45">
        <f>SUM(C85:H85)</f>
        <v>0.5</v>
      </c>
      <c r="J85" s="213" t="s">
        <v>12</v>
      </c>
      <c r="K85" s="262">
        <f>I85*$J$5</f>
        <v>41.5</v>
      </c>
      <c r="L85" s="239">
        <f>K85</f>
        <v>41.5</v>
      </c>
      <c r="M85" s="51" t="s">
        <v>12</v>
      </c>
      <c r="N85" s="73">
        <f>$I85*M$5</f>
        <v>41.5</v>
      </c>
      <c r="O85" s="57">
        <f>N85</f>
        <v>41.5</v>
      </c>
      <c r="P85" s="213" t="s">
        <v>12</v>
      </c>
      <c r="Q85" s="262">
        <f>$I85*P$5</f>
        <v>41.5</v>
      </c>
      <c r="R85" s="239">
        <f>Q85</f>
        <v>41.5</v>
      </c>
      <c r="S85" s="96">
        <f>AVERAGE(L85,O85,R85)</f>
        <v>41.5</v>
      </c>
      <c r="T85" s="34" t="s">
        <v>12</v>
      </c>
      <c r="U85" s="42" t="s">
        <v>12</v>
      </c>
    </row>
    <row r="86" spans="2:21" ht="13.5" thickBot="1" x14ac:dyDescent="0.35">
      <c r="B86" s="465" t="s">
        <v>107</v>
      </c>
      <c r="C86" s="29">
        <f>ROUND(C85*Labor!$D$3,0)</f>
        <v>0</v>
      </c>
      <c r="D86" s="29">
        <f>ROUND(D85*Labor!$D$4,0)</f>
        <v>0</v>
      </c>
      <c r="E86" s="29">
        <f>ROUND(E85*Labor!$D$5,0)</f>
        <v>5</v>
      </c>
      <c r="F86" s="29">
        <f>ROUND(F85*Labor!$D$6,0)</f>
        <v>8</v>
      </c>
      <c r="G86" s="29">
        <f>ROUND(G85*Labor!$D$7,0)</f>
        <v>0</v>
      </c>
      <c r="H86" s="29">
        <f>ROUND(H85*Labor!$D$8,0)</f>
        <v>0</v>
      </c>
      <c r="I86" s="33">
        <f>SUM(C86:H86)</f>
        <v>13</v>
      </c>
      <c r="J86" s="284">
        <f>HLOOKUP(K$2,InflationTable,2)/HLOOKUP(Labor!$B$11,InflationTable,2)*$I86</f>
        <v>27.810103806228373</v>
      </c>
      <c r="K86" s="219">
        <f>J86*$J$5</f>
        <v>2308.238615916955</v>
      </c>
      <c r="L86" s="256">
        <f>K86</f>
        <v>2308.238615916955</v>
      </c>
      <c r="M86" s="169">
        <f>HLOOKUP(N$2,InflationTable,2)/HLOOKUP(Labor!$B$11,InflationTable,2)*$I86</f>
        <v>28.92250795847751</v>
      </c>
      <c r="N86" s="55">
        <f>M86*$M$5</f>
        <v>2400.5681605536333</v>
      </c>
      <c r="O86" s="77">
        <f>N86</f>
        <v>2400.5681605536333</v>
      </c>
      <c r="P86" s="284">
        <f>HLOOKUP(Q$2,InflationTable,2)/HLOOKUP(Labor!$B$11,InflationTable,2)*$I86</f>
        <v>29.500958117647055</v>
      </c>
      <c r="Q86" s="219">
        <f>P86*$P$5</f>
        <v>2448.5795237647058</v>
      </c>
      <c r="R86" s="256">
        <f>Q86</f>
        <v>2448.5795237647058</v>
      </c>
      <c r="S86" s="103">
        <f>AVERAGE(L86,O86,R86)</f>
        <v>2385.7954334117644</v>
      </c>
      <c r="T86" s="110" t="s">
        <v>12</v>
      </c>
      <c r="U86" s="121" t="s">
        <v>12</v>
      </c>
    </row>
    <row r="87" spans="2:21" ht="13" x14ac:dyDescent="0.3">
      <c r="B87" s="106" t="s">
        <v>106</v>
      </c>
      <c r="C87" s="5"/>
      <c r="D87" s="349" t="s">
        <v>54</v>
      </c>
      <c r="E87" s="24">
        <v>5</v>
      </c>
      <c r="I87" s="87" t="s">
        <v>55</v>
      </c>
      <c r="J87" s="209"/>
      <c r="K87" s="445"/>
      <c r="L87" s="446"/>
      <c r="M87" s="130" t="s">
        <v>55</v>
      </c>
      <c r="N87" s="1179" t="s">
        <v>57</v>
      </c>
      <c r="O87" s="1180"/>
      <c r="P87" s="209" t="s">
        <v>55</v>
      </c>
      <c r="Q87" s="1176" t="s">
        <v>57</v>
      </c>
      <c r="R87" s="1184"/>
      <c r="S87" s="139"/>
      <c r="T87" s="108"/>
      <c r="U87" s="31"/>
    </row>
    <row r="88" spans="2:21" x14ac:dyDescent="0.25">
      <c r="B88" s="467" t="s">
        <v>51</v>
      </c>
      <c r="C88" s="18">
        <v>0</v>
      </c>
      <c r="D88" s="18">
        <v>0</v>
      </c>
      <c r="E88" s="18">
        <v>0</v>
      </c>
      <c r="F88" s="18">
        <v>5</v>
      </c>
      <c r="G88" s="18">
        <v>5</v>
      </c>
      <c r="H88" s="18">
        <v>5</v>
      </c>
      <c r="I88" s="45">
        <f>SUM(C88:H88)</f>
        <v>15</v>
      </c>
      <c r="J88" s="213" t="s">
        <v>12</v>
      </c>
      <c r="K88" s="233">
        <f>I88*$J$5</f>
        <v>1245</v>
      </c>
      <c r="L88" s="232">
        <f>K88/$E$87</f>
        <v>249</v>
      </c>
      <c r="M88" s="51" t="s">
        <v>12</v>
      </c>
      <c r="N88" s="10">
        <f>$I$88*$M$5</f>
        <v>1245</v>
      </c>
      <c r="O88" s="52">
        <f>N88/$E$87</f>
        <v>249</v>
      </c>
      <c r="P88" s="213" t="s">
        <v>12</v>
      </c>
      <c r="Q88" s="233">
        <f>$I$88*$P$5</f>
        <v>1245</v>
      </c>
      <c r="R88" s="232">
        <f>Q88/$E$87</f>
        <v>249</v>
      </c>
      <c r="S88" s="96">
        <f>AVERAGE(L88,O88,R88)</f>
        <v>249</v>
      </c>
      <c r="T88" s="34" t="s">
        <v>12</v>
      </c>
      <c r="U88" s="42" t="s">
        <v>12</v>
      </c>
    </row>
    <row r="89" spans="2:21" ht="13.5" thickBot="1" x14ac:dyDescent="0.35">
      <c r="B89" s="465" t="s">
        <v>105</v>
      </c>
      <c r="C89" s="29">
        <f>ROUND(C88*Labor!$D$3,0)</f>
        <v>0</v>
      </c>
      <c r="D89" s="29">
        <f>ROUND(D88*Labor!$D$4,0)</f>
        <v>0</v>
      </c>
      <c r="E89" s="29">
        <f>ROUND(E88*Labor!$D$5,0)</f>
        <v>0</v>
      </c>
      <c r="F89" s="29">
        <f>ROUND(F88*Labor!$D$6,0)</f>
        <v>138</v>
      </c>
      <c r="G89" s="29">
        <f>ROUND(G88*Labor!$D$7,0)</f>
        <v>157</v>
      </c>
      <c r="H89" s="29">
        <f>ROUND(H88*Labor!$D$8,0)</f>
        <v>189</v>
      </c>
      <c r="I89" s="33">
        <f>SUM(C89:H89)</f>
        <v>484</v>
      </c>
      <c r="J89" s="284">
        <f>HLOOKUP(K$2,InflationTable,2)/HLOOKUP(Labor!$B$11,InflationTable,2)*$I89</f>
        <v>1035.3915570934255</v>
      </c>
      <c r="K89" s="219">
        <f>J89*$J$5</f>
        <v>85937.499238754317</v>
      </c>
      <c r="L89" s="220">
        <f>K89/$E$87</f>
        <v>17187.499847750863</v>
      </c>
      <c r="M89" s="169">
        <f>HLOOKUP(N$2,InflationTable,2)/HLOOKUP(Labor!$B$11,InflationTable,2)*$I89</f>
        <v>1076.8072193771627</v>
      </c>
      <c r="N89" s="55">
        <f>M89*$M$5</f>
        <v>89374.999208304507</v>
      </c>
      <c r="O89" s="33">
        <f>N89/$E$87</f>
        <v>17874.999841660901</v>
      </c>
      <c r="P89" s="284">
        <f>HLOOKUP(Q$2,InflationTable,2)/HLOOKUP(Labor!$B$11,InflationTable,2)*$I89</f>
        <v>1098.3433637647058</v>
      </c>
      <c r="Q89" s="219">
        <f>P89*$P$5</f>
        <v>91162.499192470583</v>
      </c>
      <c r="R89" s="220">
        <f>Q89/$E$87</f>
        <v>18232.499838494117</v>
      </c>
      <c r="S89" s="103">
        <f>AVERAGE(L89,O89,R89)</f>
        <v>17764.999842635294</v>
      </c>
      <c r="T89" s="110" t="s">
        <v>12</v>
      </c>
      <c r="U89" s="121" t="s">
        <v>12</v>
      </c>
    </row>
    <row r="90" spans="2:21" ht="13" x14ac:dyDescent="0.3">
      <c r="B90" s="139" t="s">
        <v>66</v>
      </c>
      <c r="C90" s="36">
        <f t="shared" ref="C90:I91" si="24">C73+C75+C78+C80+C82+C85+C88</f>
        <v>0</v>
      </c>
      <c r="D90" s="36">
        <f t="shared" si="24"/>
        <v>27</v>
      </c>
      <c r="E90" s="36">
        <f t="shared" si="24"/>
        <v>1.2</v>
      </c>
      <c r="F90" s="36">
        <f t="shared" si="24"/>
        <v>32.299999999999997</v>
      </c>
      <c r="G90" s="36">
        <f t="shared" si="24"/>
        <v>27</v>
      </c>
      <c r="H90" s="36">
        <f t="shared" si="24"/>
        <v>5</v>
      </c>
      <c r="I90" s="46">
        <f t="shared" si="24"/>
        <v>92.5</v>
      </c>
      <c r="J90" s="242" t="s">
        <v>12</v>
      </c>
      <c r="K90" s="263" t="s">
        <v>12</v>
      </c>
      <c r="L90" s="264">
        <f>L88+K85+K82+K80+K78+K75+K73</f>
        <v>31552.5</v>
      </c>
      <c r="M90" s="75" t="s">
        <v>12</v>
      </c>
      <c r="N90" s="36" t="s">
        <v>12</v>
      </c>
      <c r="O90" s="74">
        <f>O88+N85+N82+N80+N78+N75+N73</f>
        <v>31552.5</v>
      </c>
      <c r="P90" s="242" t="s">
        <v>12</v>
      </c>
      <c r="Q90" s="263" t="s">
        <v>12</v>
      </c>
      <c r="R90" s="264">
        <f>R88+Q85+Q82+Q80+Q78+Q75+Q73</f>
        <v>31552.5</v>
      </c>
      <c r="S90" s="122">
        <f>AVERAGE(L90,O90,R90)</f>
        <v>31552.5</v>
      </c>
      <c r="T90" s="108"/>
      <c r="U90" s="31"/>
    </row>
    <row r="91" spans="2:21" ht="13.5" thickBot="1" x14ac:dyDescent="0.35">
      <c r="B91" s="460" t="s">
        <v>67</v>
      </c>
      <c r="C91" s="194">
        <f t="shared" si="24"/>
        <v>0</v>
      </c>
      <c r="D91" s="194">
        <f t="shared" si="24"/>
        <v>653</v>
      </c>
      <c r="E91" s="194">
        <f t="shared" si="24"/>
        <v>30</v>
      </c>
      <c r="F91" s="194">
        <f t="shared" si="24"/>
        <v>890</v>
      </c>
      <c r="G91" s="194">
        <f t="shared" si="24"/>
        <v>846</v>
      </c>
      <c r="H91" s="194">
        <f t="shared" si="24"/>
        <v>189</v>
      </c>
      <c r="I91" s="197">
        <f t="shared" si="24"/>
        <v>2608</v>
      </c>
      <c r="J91" s="224">
        <f>J74+J76+J79+J81+J83+J86+J89</f>
        <v>5579.134671280277</v>
      </c>
      <c r="K91" s="265" t="s">
        <v>12</v>
      </c>
      <c r="L91" s="254">
        <f>L89+K86+K83+K81+K79+K76+K74</f>
        <v>1852964.5406782003</v>
      </c>
      <c r="M91" s="196">
        <f>M74+M76+M79+M81+M83+M86+M89</f>
        <v>5802.30005813149</v>
      </c>
      <c r="N91" s="207" t="s">
        <v>12</v>
      </c>
      <c r="O91" s="178">
        <f>O89+N86+N83+N81+N79+N76+N74</f>
        <v>1927083.122305329</v>
      </c>
      <c r="P91" s="224">
        <f>P74+P76+P79+P81+P83+P86+P89</f>
        <v>5918.3460592941174</v>
      </c>
      <c r="Q91" s="265" t="s">
        <v>12</v>
      </c>
      <c r="R91" s="254">
        <f>R89+Q86+Q83+Q81+Q79+Q76+Q74</f>
        <v>1965624.7847514353</v>
      </c>
      <c r="S91" s="206">
        <f>AVERAGE(L91,O91,R91)</f>
        <v>1915224.1492449883</v>
      </c>
      <c r="T91" s="200"/>
      <c r="U91" s="190"/>
    </row>
    <row r="92" spans="2:21" ht="13.5" thickTop="1" thickBot="1" x14ac:dyDescent="0.3">
      <c r="B92" s="514"/>
      <c r="C92" s="513"/>
      <c r="D92" s="513"/>
      <c r="E92" s="513"/>
      <c r="F92" s="513"/>
      <c r="G92" s="513"/>
      <c r="H92" s="513"/>
      <c r="I92" s="513"/>
      <c r="J92" s="513"/>
      <c r="K92" s="513"/>
      <c r="L92" s="513"/>
      <c r="M92" s="513"/>
      <c r="N92" s="513"/>
      <c r="O92" s="513"/>
      <c r="P92" s="513"/>
      <c r="Q92" s="513"/>
      <c r="R92" s="513"/>
      <c r="S92" s="513"/>
      <c r="T92" s="513"/>
      <c r="U92" s="515"/>
    </row>
    <row r="93" spans="2:21" ht="16" thickTop="1" x14ac:dyDescent="0.35">
      <c r="B93" s="461" t="s">
        <v>30</v>
      </c>
      <c r="F93" s="1" t="s">
        <v>6</v>
      </c>
      <c r="G93" s="1160"/>
      <c r="H93" s="1161"/>
      <c r="I93" s="1162"/>
      <c r="J93" s="2" t="s">
        <v>30</v>
      </c>
      <c r="L93" s="31"/>
      <c r="M93" s="2" t="s">
        <v>30</v>
      </c>
      <c r="O93" s="31"/>
      <c r="P93" s="2" t="s">
        <v>30</v>
      </c>
      <c r="Q93" s="61"/>
      <c r="R93" s="62"/>
      <c r="S93" s="97"/>
      <c r="T93" s="108"/>
      <c r="U93" s="31"/>
    </row>
    <row r="94" spans="2:21" ht="13" x14ac:dyDescent="0.3">
      <c r="B94" s="144"/>
      <c r="I94" s="32" t="s">
        <v>61</v>
      </c>
      <c r="J94" s="227" t="s">
        <v>61</v>
      </c>
      <c r="K94" s="1167" t="s">
        <v>57</v>
      </c>
      <c r="L94" s="1168"/>
      <c r="M94" s="50" t="s">
        <v>61</v>
      </c>
      <c r="N94" s="1177" t="s">
        <v>57</v>
      </c>
      <c r="O94" s="1181"/>
      <c r="P94" s="266" t="s">
        <v>61</v>
      </c>
      <c r="Q94" s="1176" t="s">
        <v>57</v>
      </c>
      <c r="R94" s="1184"/>
      <c r="S94" s="106"/>
      <c r="T94" s="108"/>
      <c r="U94" s="31"/>
    </row>
    <row r="95" spans="2:21" ht="13" x14ac:dyDescent="0.3">
      <c r="B95" s="462" t="s">
        <v>21</v>
      </c>
      <c r="C95" s="20" t="s">
        <v>45</v>
      </c>
      <c r="D95" s="20" t="s">
        <v>46</v>
      </c>
      <c r="E95" s="20" t="s">
        <v>47</v>
      </c>
      <c r="F95" s="20" t="s">
        <v>48</v>
      </c>
      <c r="G95" s="20" t="s">
        <v>49</v>
      </c>
      <c r="H95" s="20" t="s">
        <v>50</v>
      </c>
      <c r="I95" s="32" t="s">
        <v>13</v>
      </c>
      <c r="J95" s="210" t="s">
        <v>56</v>
      </c>
      <c r="K95" s="211" t="s">
        <v>13</v>
      </c>
      <c r="L95" s="212" t="s">
        <v>68</v>
      </c>
      <c r="M95" s="66" t="s">
        <v>56</v>
      </c>
      <c r="N95" s="20" t="s">
        <v>13</v>
      </c>
      <c r="O95" s="32" t="s">
        <v>68</v>
      </c>
      <c r="P95" s="210" t="s">
        <v>56</v>
      </c>
      <c r="Q95" s="211" t="s">
        <v>13</v>
      </c>
      <c r="R95" s="212" t="s">
        <v>68</v>
      </c>
      <c r="S95" s="98"/>
      <c r="T95" s="108"/>
      <c r="U95" s="31"/>
    </row>
    <row r="96" spans="2:21" x14ac:dyDescent="0.25">
      <c r="B96" s="464" t="s">
        <v>4</v>
      </c>
      <c r="C96" s="18">
        <v>0</v>
      </c>
      <c r="D96" s="18">
        <v>0</v>
      </c>
      <c r="E96" s="18">
        <v>0</v>
      </c>
      <c r="F96" s="18">
        <v>0</v>
      </c>
      <c r="G96" s="18">
        <v>8</v>
      </c>
      <c r="H96" s="18">
        <v>4</v>
      </c>
      <c r="I96" s="45">
        <f>SUM(C96:H96)</f>
        <v>12</v>
      </c>
      <c r="J96" s="213" t="s">
        <v>12</v>
      </c>
      <c r="K96" s="231">
        <f>I96*$L$4</f>
        <v>4872</v>
      </c>
      <c r="L96" s="239">
        <f>K96</f>
        <v>4872</v>
      </c>
      <c r="M96" s="51" t="s">
        <v>12</v>
      </c>
      <c r="N96" s="58">
        <f>$I96*O$4</f>
        <v>4872</v>
      </c>
      <c r="O96" s="52">
        <f>N96</f>
        <v>4872</v>
      </c>
      <c r="P96" s="213" t="s">
        <v>12</v>
      </c>
      <c r="Q96" s="231">
        <f>$I96*R$4</f>
        <v>4872</v>
      </c>
      <c r="R96" s="239">
        <f>Q96</f>
        <v>4872</v>
      </c>
      <c r="S96" s="96">
        <f t="shared" ref="S96:S101" si="25">AVERAGE(L96,O96,R96)</f>
        <v>4872</v>
      </c>
      <c r="T96" s="34" t="s">
        <v>12</v>
      </c>
      <c r="U96" s="42" t="s">
        <v>12</v>
      </c>
    </row>
    <row r="97" spans="2:21" ht="13.5" thickBot="1" x14ac:dyDescent="0.35">
      <c r="B97" s="465" t="s">
        <v>8</v>
      </c>
      <c r="C97" s="29">
        <f>ROUND(C96*Labor!$D$3,0)</f>
        <v>0</v>
      </c>
      <c r="D97" s="29">
        <f>ROUND(D96*Labor!$D$4,0)</f>
        <v>0</v>
      </c>
      <c r="E97" s="29">
        <f>ROUND(E96*Labor!$D$5,0)</f>
        <v>0</v>
      </c>
      <c r="F97" s="29">
        <f>ROUND(F96*Labor!$D$6,0)</f>
        <v>0</v>
      </c>
      <c r="G97" s="29">
        <f>ROUND(G96*Labor!$D$7,0)</f>
        <v>250</v>
      </c>
      <c r="H97" s="29">
        <f>ROUND(H96*Labor!$D$8,0)</f>
        <v>151</v>
      </c>
      <c r="I97" s="33">
        <f>SUM(C97:H97)</f>
        <v>401</v>
      </c>
      <c r="J97" s="284">
        <f>HLOOKUP(K$2,InflationTable,2)/HLOOKUP(Labor!$B$11,InflationTable,2)*$I97</f>
        <v>857.83474048442895</v>
      </c>
      <c r="K97" s="219">
        <f>J97*$L$4</f>
        <v>348280.90463667817</v>
      </c>
      <c r="L97" s="256">
        <f>K97</f>
        <v>348280.90463667817</v>
      </c>
      <c r="M97" s="169">
        <f>HLOOKUP(N$2,InflationTable,2)/HLOOKUP(Labor!$B$11,InflationTable,2)*$I97</f>
        <v>892.14813010380624</v>
      </c>
      <c r="N97" s="55">
        <f>M97*O$4</f>
        <v>362212.14082214533</v>
      </c>
      <c r="O97" s="33">
        <f>N97</f>
        <v>362212.14082214533</v>
      </c>
      <c r="P97" s="284">
        <f>HLOOKUP(Q$2,InflationTable,2)/HLOOKUP(Labor!$B$11,InflationTable,2)*$I97</f>
        <v>909.99109270588224</v>
      </c>
      <c r="Q97" s="219">
        <f>P97*R$4</f>
        <v>369456.38363858819</v>
      </c>
      <c r="R97" s="256">
        <f>Q97</f>
        <v>369456.38363858819</v>
      </c>
      <c r="S97" s="103">
        <f t="shared" si="25"/>
        <v>359983.14303247054</v>
      </c>
      <c r="T97" s="110" t="s">
        <v>12</v>
      </c>
      <c r="U97" s="121" t="s">
        <v>12</v>
      </c>
    </row>
    <row r="98" spans="2:21" ht="13" x14ac:dyDescent="0.3">
      <c r="B98" s="459" t="s">
        <v>104</v>
      </c>
      <c r="C98" s="290">
        <v>0</v>
      </c>
      <c r="D98" s="290">
        <v>0</v>
      </c>
      <c r="E98" s="290">
        <v>16</v>
      </c>
      <c r="F98" s="290">
        <v>8</v>
      </c>
      <c r="G98" s="290">
        <v>4</v>
      </c>
      <c r="H98" s="290">
        <v>2</v>
      </c>
      <c r="I98" s="291">
        <f>SUM(C98:H98)</f>
        <v>30</v>
      </c>
      <c r="J98" s="242" t="s">
        <v>12</v>
      </c>
      <c r="K98" s="273">
        <f>I98*$L$4</f>
        <v>12180</v>
      </c>
      <c r="L98" s="274">
        <f>K98</f>
        <v>12180</v>
      </c>
      <c r="M98" s="53" t="s">
        <v>12</v>
      </c>
      <c r="N98" s="147">
        <f>$I98*O$4</f>
        <v>12180</v>
      </c>
      <c r="O98" s="148">
        <f>N98</f>
        <v>12180</v>
      </c>
      <c r="P98" s="242" t="s">
        <v>12</v>
      </c>
      <c r="Q98" s="273">
        <f>$I98*R$4</f>
        <v>12180</v>
      </c>
      <c r="R98" s="274">
        <f>Q98</f>
        <v>12180</v>
      </c>
      <c r="S98" s="96">
        <f t="shared" si="25"/>
        <v>12180</v>
      </c>
      <c r="T98" s="34" t="s">
        <v>12</v>
      </c>
      <c r="U98" s="42" t="s">
        <v>12</v>
      </c>
    </row>
    <row r="99" spans="2:21" ht="13.5" thickBot="1" x14ac:dyDescent="0.35">
      <c r="B99" s="466" t="s">
        <v>8</v>
      </c>
      <c r="C99" s="29">
        <f>ROUND(C98*Labor!$D$3,0)</f>
        <v>0</v>
      </c>
      <c r="D99" s="29">
        <f>ROUND(D98*Labor!$D$4,0)</f>
        <v>0</v>
      </c>
      <c r="E99" s="29">
        <f>ROUND(E98*Labor!$D$5,0)</f>
        <v>404</v>
      </c>
      <c r="F99" s="29">
        <f>ROUND(F98*Labor!$D$6,0)</f>
        <v>221</v>
      </c>
      <c r="G99" s="29">
        <f>ROUND(G98*Labor!$D$7,0)</f>
        <v>125</v>
      </c>
      <c r="H99" s="29">
        <f>ROUND(H98*Labor!$D$8,0)</f>
        <v>76</v>
      </c>
      <c r="I99" s="33">
        <f>SUM(C99:H99)</f>
        <v>826</v>
      </c>
      <c r="J99" s="284">
        <f>HLOOKUP(K$2,InflationTable,2)/HLOOKUP(Labor!$B$11,InflationTable,2)*$I99</f>
        <v>1767.0112110726643</v>
      </c>
      <c r="K99" s="219">
        <f>J99*$L$4</f>
        <v>717406.55169550166</v>
      </c>
      <c r="L99" s="248">
        <f>K99</f>
        <v>717406.55169550166</v>
      </c>
      <c r="M99" s="169">
        <f>HLOOKUP(N$2,InflationTable,2)/HLOOKUP(Labor!$B$11,InflationTable,2)*$I99</f>
        <v>1837.691659515571</v>
      </c>
      <c r="N99" s="55">
        <f>M99*O$4</f>
        <v>746102.81376332184</v>
      </c>
      <c r="O99" s="33">
        <f>N99</f>
        <v>746102.81376332184</v>
      </c>
      <c r="P99" s="284">
        <f>HLOOKUP(Q$2,InflationTable,2)/HLOOKUP(Labor!$B$11,InflationTable,2)*$I99</f>
        <v>1874.4454927058821</v>
      </c>
      <c r="Q99" s="219">
        <f>P99*R$4</f>
        <v>761024.87003858818</v>
      </c>
      <c r="R99" s="248">
        <f>Q99</f>
        <v>761024.87003858818</v>
      </c>
      <c r="S99" s="103">
        <f t="shared" si="25"/>
        <v>741511.41183247056</v>
      </c>
      <c r="T99" s="110" t="s">
        <v>12</v>
      </c>
      <c r="U99" s="121" t="s">
        <v>12</v>
      </c>
    </row>
    <row r="100" spans="2:21" ht="13" x14ac:dyDescent="0.3">
      <c r="B100" s="139" t="s">
        <v>66</v>
      </c>
      <c r="C100" s="30">
        <f t="shared" ref="C100:I101" si="26">C96+C98</f>
        <v>0</v>
      </c>
      <c r="D100" s="30">
        <f t="shared" si="26"/>
        <v>0</v>
      </c>
      <c r="E100" s="30">
        <f t="shared" si="26"/>
        <v>16</v>
      </c>
      <c r="F100" s="30">
        <f t="shared" si="26"/>
        <v>8</v>
      </c>
      <c r="G100" s="30">
        <f t="shared" si="26"/>
        <v>12</v>
      </c>
      <c r="H100" s="30">
        <f t="shared" si="26"/>
        <v>6</v>
      </c>
      <c r="I100" s="39">
        <f t="shared" si="26"/>
        <v>42</v>
      </c>
      <c r="J100" s="249" t="s">
        <v>12</v>
      </c>
      <c r="K100" s="267">
        <f>K96+K98</f>
        <v>17052</v>
      </c>
      <c r="L100" s="268">
        <f>L96+L98</f>
        <v>17052</v>
      </c>
      <c r="M100" s="70" t="s">
        <v>12</v>
      </c>
      <c r="N100" s="30">
        <f>N96+N98</f>
        <v>17052</v>
      </c>
      <c r="O100" s="82">
        <f>O96+O98</f>
        <v>17052</v>
      </c>
      <c r="P100" s="249" t="s">
        <v>12</v>
      </c>
      <c r="Q100" s="267">
        <f>Q96+Q98</f>
        <v>17052</v>
      </c>
      <c r="R100" s="269">
        <f>R96+R98</f>
        <v>17052</v>
      </c>
      <c r="S100" s="96">
        <f t="shared" si="25"/>
        <v>17052</v>
      </c>
      <c r="T100" s="34" t="s">
        <v>12</v>
      </c>
      <c r="U100" s="42" t="s">
        <v>12</v>
      </c>
    </row>
    <row r="101" spans="2:21" ht="13.5" thickBot="1" x14ac:dyDescent="0.35">
      <c r="B101" s="460" t="s">
        <v>67</v>
      </c>
      <c r="C101" s="194">
        <f t="shared" si="26"/>
        <v>0</v>
      </c>
      <c r="D101" s="194">
        <f t="shared" si="26"/>
        <v>0</v>
      </c>
      <c r="E101" s="194">
        <f t="shared" si="26"/>
        <v>404</v>
      </c>
      <c r="F101" s="194">
        <f t="shared" si="26"/>
        <v>221</v>
      </c>
      <c r="G101" s="194">
        <f t="shared" si="26"/>
        <v>375</v>
      </c>
      <c r="H101" s="194">
        <f t="shared" si="26"/>
        <v>227</v>
      </c>
      <c r="I101" s="197">
        <f t="shared" si="26"/>
        <v>1227</v>
      </c>
      <c r="J101" s="224">
        <f>J97+J99</f>
        <v>2624.845951557093</v>
      </c>
      <c r="K101" s="225">
        <f>K97+K99</f>
        <v>1065687.4563321797</v>
      </c>
      <c r="L101" s="226">
        <f>L97+L99</f>
        <v>1065687.4563321797</v>
      </c>
      <c r="M101" s="196">
        <f>M97+M99</f>
        <v>2729.8397896193774</v>
      </c>
      <c r="N101" s="194">
        <f>N97+N99</f>
        <v>1108314.9545854672</v>
      </c>
      <c r="O101" s="197">
        <f>O97+O99</f>
        <v>1108314.9545854672</v>
      </c>
      <c r="P101" s="261">
        <f>P97+P99</f>
        <v>2784.4365854117641</v>
      </c>
      <c r="Q101" s="225">
        <f>Q97+Q99</f>
        <v>1130481.2536771763</v>
      </c>
      <c r="R101" s="226">
        <f>R97+R99</f>
        <v>1130481.2536771763</v>
      </c>
      <c r="S101" s="206">
        <f t="shared" si="25"/>
        <v>1101494.5548649412</v>
      </c>
      <c r="T101" s="208" t="s">
        <v>12</v>
      </c>
      <c r="U101" s="203" t="s">
        <v>12</v>
      </c>
    </row>
    <row r="102" spans="2:21" ht="13.5" thickTop="1" thickBot="1" x14ac:dyDescent="0.3">
      <c r="B102" s="144"/>
      <c r="D102" s="513"/>
      <c r="E102" s="513"/>
      <c r="F102" s="513"/>
      <c r="G102" s="513"/>
      <c r="H102" s="513"/>
      <c r="I102" s="513"/>
      <c r="J102" s="513"/>
      <c r="K102" s="513"/>
      <c r="L102" s="513"/>
      <c r="M102" s="513"/>
      <c r="N102" s="513"/>
      <c r="O102" s="513"/>
      <c r="P102" s="513"/>
      <c r="Q102" s="513"/>
      <c r="R102" s="513"/>
      <c r="S102" s="513"/>
      <c r="T102" s="513"/>
      <c r="U102" s="515"/>
    </row>
    <row r="103" spans="2:21" ht="19" thickTop="1" thickBot="1" x14ac:dyDescent="0.45">
      <c r="B103" s="456" t="s">
        <v>121</v>
      </c>
      <c r="C103" s="188" t="str">
        <f>C2</f>
        <v>SO2</v>
      </c>
      <c r="E103" s="3"/>
      <c r="F103" s="9"/>
      <c r="G103" s="3"/>
      <c r="H103" s="3"/>
      <c r="I103" s="35"/>
      <c r="J103" s="67" t="str">
        <f>J2</f>
        <v>Year 1</v>
      </c>
      <c r="K103" s="67">
        <f>K2</f>
        <v>2023</v>
      </c>
      <c r="L103" s="35"/>
      <c r="M103" s="67" t="str">
        <f>M2</f>
        <v>Year 2</v>
      </c>
      <c r="N103" s="67">
        <f>N2</f>
        <v>2024</v>
      </c>
      <c r="O103" s="35"/>
      <c r="P103" s="67" t="str">
        <f>P2</f>
        <v>Year 3</v>
      </c>
      <c r="Q103" s="67">
        <f>Q2</f>
        <v>2025</v>
      </c>
      <c r="R103" s="35"/>
      <c r="S103" s="124"/>
      <c r="T103" s="105"/>
      <c r="U103" s="468"/>
    </row>
    <row r="104" spans="2:21" ht="13.5" thickBot="1" x14ac:dyDescent="0.35">
      <c r="B104" s="144"/>
      <c r="C104" s="152" t="s">
        <v>45</v>
      </c>
      <c r="D104" s="149" t="s">
        <v>46</v>
      </c>
      <c r="E104" s="149" t="s">
        <v>47</v>
      </c>
      <c r="F104" s="160" t="s">
        <v>48</v>
      </c>
      <c r="G104" s="151" t="s">
        <v>49</v>
      </c>
      <c r="H104" s="149" t="s">
        <v>50</v>
      </c>
      <c r="I104" s="150" t="s">
        <v>13</v>
      </c>
      <c r="J104" s="270" t="s">
        <v>56</v>
      </c>
      <c r="K104" s="271" t="s">
        <v>13</v>
      </c>
      <c r="L104" s="272" t="s">
        <v>68</v>
      </c>
      <c r="M104" s="151" t="s">
        <v>56</v>
      </c>
      <c r="N104" s="149" t="s">
        <v>13</v>
      </c>
      <c r="O104" s="150" t="s">
        <v>68</v>
      </c>
      <c r="P104" s="270" t="s">
        <v>56</v>
      </c>
      <c r="Q104" s="271" t="s">
        <v>13</v>
      </c>
      <c r="R104" s="272" t="s">
        <v>68</v>
      </c>
      <c r="S104" s="152"/>
      <c r="T104" s="153"/>
      <c r="U104" s="469"/>
    </row>
    <row r="105" spans="2:21" ht="13" x14ac:dyDescent="0.3">
      <c r="B105" s="470" t="s">
        <v>97</v>
      </c>
      <c r="C105" s="155">
        <f t="shared" ref="C105:R105" si="27">C15</f>
        <v>0</v>
      </c>
      <c r="D105" s="147">
        <f t="shared" si="27"/>
        <v>0</v>
      </c>
      <c r="E105" s="147">
        <f t="shared" si="27"/>
        <v>0</v>
      </c>
      <c r="F105" s="147">
        <f t="shared" si="27"/>
        <v>14</v>
      </c>
      <c r="G105" s="147">
        <f t="shared" si="27"/>
        <v>14</v>
      </c>
      <c r="H105" s="147">
        <f t="shared" si="27"/>
        <v>10</v>
      </c>
      <c r="I105" s="148">
        <f t="shared" si="27"/>
        <v>38</v>
      </c>
      <c r="J105" s="234" t="str">
        <f t="shared" si="27"/>
        <v>NA</v>
      </c>
      <c r="K105" s="273">
        <f t="shared" si="27"/>
        <v>3154</v>
      </c>
      <c r="L105" s="274">
        <f t="shared" si="27"/>
        <v>450.57142857142856</v>
      </c>
      <c r="M105" s="38" t="str">
        <f t="shared" si="27"/>
        <v>NA</v>
      </c>
      <c r="N105" s="147">
        <f t="shared" si="27"/>
        <v>3154</v>
      </c>
      <c r="O105" s="148">
        <f t="shared" si="27"/>
        <v>450.57142857142856</v>
      </c>
      <c r="P105" s="234" t="str">
        <f t="shared" si="27"/>
        <v>NA</v>
      </c>
      <c r="Q105" s="273">
        <f t="shared" si="27"/>
        <v>3154</v>
      </c>
      <c r="R105" s="274">
        <f t="shared" si="27"/>
        <v>450.57142857142856</v>
      </c>
      <c r="S105" s="148">
        <f>S15</f>
        <v>450.57142857142861</v>
      </c>
      <c r="T105" s="31"/>
      <c r="U105" s="111"/>
    </row>
    <row r="106" spans="2:21" ht="13.5" thickBot="1" x14ac:dyDescent="0.35">
      <c r="B106" s="471" t="s">
        <v>76</v>
      </c>
      <c r="C106" s="161">
        <f t="shared" ref="C106:S106" si="28">C16</f>
        <v>0</v>
      </c>
      <c r="D106" s="162">
        <f t="shared" si="28"/>
        <v>0</v>
      </c>
      <c r="E106" s="162">
        <f t="shared" si="28"/>
        <v>0</v>
      </c>
      <c r="F106" s="162">
        <f t="shared" si="28"/>
        <v>386</v>
      </c>
      <c r="G106" s="162">
        <f t="shared" si="28"/>
        <v>438</v>
      </c>
      <c r="H106" s="162">
        <f t="shared" si="28"/>
        <v>378</v>
      </c>
      <c r="I106" s="163">
        <f t="shared" si="28"/>
        <v>1202</v>
      </c>
      <c r="J106" s="275">
        <f t="shared" si="28"/>
        <v>2571.3649826989617</v>
      </c>
      <c r="K106" s="276">
        <f t="shared" si="28"/>
        <v>213423.29356401382</v>
      </c>
      <c r="L106" s="277">
        <f t="shared" si="28"/>
        <v>30489.041937716262</v>
      </c>
      <c r="M106" s="161">
        <f t="shared" si="28"/>
        <v>2674.2195820069205</v>
      </c>
      <c r="N106" s="162">
        <f t="shared" si="28"/>
        <v>221960.2253065744</v>
      </c>
      <c r="O106" s="163">
        <f t="shared" si="28"/>
        <v>31708.603615224914</v>
      </c>
      <c r="P106" s="275">
        <f t="shared" si="28"/>
        <v>2727.7039736470588</v>
      </c>
      <c r="Q106" s="276">
        <f t="shared" si="28"/>
        <v>226399.42981270587</v>
      </c>
      <c r="R106" s="277">
        <f t="shared" si="28"/>
        <v>32342.775687529411</v>
      </c>
      <c r="S106" s="163">
        <f t="shared" si="28"/>
        <v>31513.473746823529</v>
      </c>
      <c r="T106" s="164" t="str">
        <f>T16</f>
        <v>NA</v>
      </c>
      <c r="U106" s="322" t="s">
        <v>12</v>
      </c>
    </row>
    <row r="107" spans="2:21" ht="13" x14ac:dyDescent="0.3">
      <c r="B107" s="472" t="s">
        <v>98</v>
      </c>
      <c r="C107" s="155">
        <f t="shared" ref="C107:S107" si="29">C28</f>
        <v>0</v>
      </c>
      <c r="D107" s="147">
        <f t="shared" si="29"/>
        <v>8</v>
      </c>
      <c r="E107" s="147">
        <f t="shared" si="29"/>
        <v>8</v>
      </c>
      <c r="F107" s="147">
        <f t="shared" si="29"/>
        <v>4</v>
      </c>
      <c r="G107" s="147">
        <f t="shared" si="29"/>
        <v>0</v>
      </c>
      <c r="H107" s="147">
        <f t="shared" si="29"/>
        <v>0</v>
      </c>
      <c r="I107" s="148">
        <f t="shared" si="29"/>
        <v>20</v>
      </c>
      <c r="J107" s="234" t="str">
        <f t="shared" si="29"/>
        <v>NA</v>
      </c>
      <c r="K107" s="273">
        <f t="shared" si="29"/>
        <v>8201.2000000000007</v>
      </c>
      <c r="L107" s="274">
        <f t="shared" si="29"/>
        <v>1171.5999999999999</v>
      </c>
      <c r="M107" s="38" t="str">
        <f t="shared" si="29"/>
        <v>NA</v>
      </c>
      <c r="N107" s="147">
        <f t="shared" si="29"/>
        <v>8201.2000000000007</v>
      </c>
      <c r="O107" s="148">
        <f t="shared" si="29"/>
        <v>1171.5999999999999</v>
      </c>
      <c r="P107" s="234" t="str">
        <f t="shared" si="29"/>
        <v>NA</v>
      </c>
      <c r="Q107" s="273">
        <f t="shared" si="29"/>
        <v>8201.2000000000007</v>
      </c>
      <c r="R107" s="274">
        <f t="shared" si="29"/>
        <v>1171.5999999999999</v>
      </c>
      <c r="S107" s="148">
        <f t="shared" si="29"/>
        <v>1171.5999999999999</v>
      </c>
      <c r="T107" s="31"/>
      <c r="U107" s="111"/>
    </row>
    <row r="108" spans="2:21" ht="13.5" thickBot="1" x14ac:dyDescent="0.35">
      <c r="B108" s="471" t="s">
        <v>76</v>
      </c>
      <c r="C108" s="165">
        <f t="shared" ref="C108:S108" si="30">C29</f>
        <v>0</v>
      </c>
      <c r="D108" s="166">
        <f t="shared" si="30"/>
        <v>194</v>
      </c>
      <c r="E108" s="166">
        <f t="shared" si="30"/>
        <v>202</v>
      </c>
      <c r="F108" s="166">
        <f t="shared" si="30"/>
        <v>110</v>
      </c>
      <c r="G108" s="166">
        <f t="shared" si="30"/>
        <v>0</v>
      </c>
      <c r="H108" s="166">
        <f t="shared" si="30"/>
        <v>0</v>
      </c>
      <c r="I108" s="167">
        <f t="shared" si="30"/>
        <v>506</v>
      </c>
      <c r="J108" s="278">
        <f t="shared" si="30"/>
        <v>1082.4548096885812</v>
      </c>
      <c r="K108" s="245">
        <f t="shared" si="30"/>
        <v>0</v>
      </c>
      <c r="L108" s="246">
        <f t="shared" si="30"/>
        <v>799695.06597204506</v>
      </c>
      <c r="M108" s="165">
        <f t="shared" si="30"/>
        <v>1125.7530020761246</v>
      </c>
      <c r="N108" s="166">
        <f t="shared" si="30"/>
        <v>0</v>
      </c>
      <c r="O108" s="167">
        <f t="shared" si="30"/>
        <v>830973.15476179181</v>
      </c>
      <c r="P108" s="278">
        <f t="shared" si="30"/>
        <v>1148.2680621176469</v>
      </c>
      <c r="Q108" s="245">
        <f t="shared" si="30"/>
        <v>0</v>
      </c>
      <c r="R108" s="246">
        <f t="shared" si="30"/>
        <v>847592.61785702768</v>
      </c>
      <c r="S108" s="167">
        <f t="shared" si="30"/>
        <v>65119.339282602072</v>
      </c>
      <c r="T108" s="168" t="str">
        <f>T29</f>
        <v>NA</v>
      </c>
      <c r="U108" s="473">
        <f>U29</f>
        <v>760967.60691435274</v>
      </c>
    </row>
    <row r="109" spans="2:21" ht="13" x14ac:dyDescent="0.3">
      <c r="B109" s="472" t="s">
        <v>96</v>
      </c>
      <c r="C109" s="156">
        <f t="shared" ref="C109:S109" si="31">C38</f>
        <v>0</v>
      </c>
      <c r="D109" s="21">
        <f t="shared" si="31"/>
        <v>60</v>
      </c>
      <c r="E109" s="21">
        <f t="shared" si="31"/>
        <v>60</v>
      </c>
      <c r="F109" s="21">
        <f t="shared" si="31"/>
        <v>0</v>
      </c>
      <c r="G109" s="21">
        <f t="shared" si="31"/>
        <v>0</v>
      </c>
      <c r="H109" s="21">
        <f t="shared" si="31"/>
        <v>0</v>
      </c>
      <c r="I109" s="157">
        <f t="shared" si="31"/>
        <v>120</v>
      </c>
      <c r="J109" s="279" t="str">
        <f t="shared" si="31"/>
        <v>NA</v>
      </c>
      <c r="K109" s="280">
        <f t="shared" si="31"/>
        <v>48720</v>
      </c>
      <c r="L109" s="281">
        <f t="shared" si="31"/>
        <v>48720</v>
      </c>
      <c r="M109" s="158" t="str">
        <f t="shared" si="31"/>
        <v>NA</v>
      </c>
      <c r="N109" s="21">
        <f t="shared" si="31"/>
        <v>48720</v>
      </c>
      <c r="O109" s="157">
        <f t="shared" si="31"/>
        <v>48720</v>
      </c>
      <c r="P109" s="279" t="str">
        <f t="shared" si="31"/>
        <v>NA</v>
      </c>
      <c r="Q109" s="280">
        <f t="shared" si="31"/>
        <v>48720</v>
      </c>
      <c r="R109" s="281">
        <f t="shared" si="31"/>
        <v>48720</v>
      </c>
      <c r="S109" s="157">
        <f t="shared" si="31"/>
        <v>48720</v>
      </c>
      <c r="T109" s="159" t="str">
        <f>T21</f>
        <v>NA</v>
      </c>
      <c r="U109" s="119" t="s">
        <v>12</v>
      </c>
    </row>
    <row r="110" spans="2:21" ht="13.5" thickBot="1" x14ac:dyDescent="0.35">
      <c r="B110" s="471" t="s">
        <v>76</v>
      </c>
      <c r="C110" s="169">
        <f t="shared" ref="C110:S110" si="32">C39</f>
        <v>0</v>
      </c>
      <c r="D110" s="166">
        <f t="shared" si="32"/>
        <v>60</v>
      </c>
      <c r="E110" s="166">
        <f t="shared" si="32"/>
        <v>60</v>
      </c>
      <c r="F110" s="166">
        <f t="shared" si="32"/>
        <v>0</v>
      </c>
      <c r="G110" s="166">
        <f t="shared" si="32"/>
        <v>0</v>
      </c>
      <c r="H110" s="166">
        <f t="shared" si="32"/>
        <v>0</v>
      </c>
      <c r="I110" s="167">
        <f t="shared" si="32"/>
        <v>3765</v>
      </c>
      <c r="J110" s="278">
        <f t="shared" si="32"/>
        <v>7309.9762659799471</v>
      </c>
      <c r="K110" s="245">
        <f t="shared" si="32"/>
        <v>2967850.3639878584</v>
      </c>
      <c r="L110" s="246">
        <f t="shared" si="32"/>
        <v>2967850.3639878584</v>
      </c>
      <c r="M110" s="165">
        <f t="shared" si="32"/>
        <v>7602.3753166191464</v>
      </c>
      <c r="N110" s="166">
        <f t="shared" si="32"/>
        <v>3086564.3785473732</v>
      </c>
      <c r="O110" s="167">
        <f t="shared" si="32"/>
        <v>3086564.3785473732</v>
      </c>
      <c r="P110" s="278">
        <f t="shared" si="32"/>
        <v>7754.4228229515284</v>
      </c>
      <c r="Q110" s="245">
        <f t="shared" si="32"/>
        <v>3148295.6661183205</v>
      </c>
      <c r="R110" s="246">
        <f t="shared" si="32"/>
        <v>3148295.6661183205</v>
      </c>
      <c r="S110" s="167">
        <f t="shared" si="32"/>
        <v>3067570.1362178507</v>
      </c>
      <c r="T110" s="167">
        <f>T39</f>
        <v>405849.39035432151</v>
      </c>
      <c r="U110" s="322" t="s">
        <v>12</v>
      </c>
    </row>
    <row r="111" spans="2:21" ht="13" x14ac:dyDescent="0.3">
      <c r="B111" s="472" t="s">
        <v>99</v>
      </c>
      <c r="C111" s="156">
        <f t="shared" ref="C111:S111" si="33">C50</f>
        <v>0</v>
      </c>
      <c r="D111" s="21">
        <f t="shared" si="33"/>
        <v>22</v>
      </c>
      <c r="E111" s="21">
        <f t="shared" si="33"/>
        <v>11</v>
      </c>
      <c r="F111" s="21">
        <f t="shared" si="33"/>
        <v>35</v>
      </c>
      <c r="G111" s="21">
        <f t="shared" si="33"/>
        <v>0</v>
      </c>
      <c r="H111" s="21">
        <f t="shared" si="33"/>
        <v>0</v>
      </c>
      <c r="I111" s="157">
        <f t="shared" si="33"/>
        <v>68</v>
      </c>
      <c r="J111" s="279" t="str">
        <f t="shared" si="33"/>
        <v>NA</v>
      </c>
      <c r="K111" s="280">
        <f t="shared" si="33"/>
        <v>27608</v>
      </c>
      <c r="L111" s="281">
        <f t="shared" si="33"/>
        <v>27608</v>
      </c>
      <c r="M111" s="158" t="str">
        <f t="shared" si="33"/>
        <v>NA</v>
      </c>
      <c r="N111" s="21">
        <f t="shared" si="33"/>
        <v>27608</v>
      </c>
      <c r="O111" s="157">
        <f t="shared" si="33"/>
        <v>27608</v>
      </c>
      <c r="P111" s="279" t="str">
        <f t="shared" si="33"/>
        <v>NA</v>
      </c>
      <c r="Q111" s="280">
        <f t="shared" si="33"/>
        <v>27608</v>
      </c>
      <c r="R111" s="281">
        <f t="shared" si="33"/>
        <v>27608</v>
      </c>
      <c r="S111" s="157">
        <f t="shared" si="33"/>
        <v>27608</v>
      </c>
      <c r="T111" s="31"/>
      <c r="U111" s="111"/>
    </row>
    <row r="112" spans="2:21" ht="13.5" thickBot="1" x14ac:dyDescent="0.35">
      <c r="B112" s="471" t="s">
        <v>76</v>
      </c>
      <c r="C112" s="165">
        <f t="shared" ref="C112:S112" si="34">C51</f>
        <v>0</v>
      </c>
      <c r="D112" s="166">
        <f t="shared" si="34"/>
        <v>532</v>
      </c>
      <c r="E112" s="166">
        <f t="shared" si="34"/>
        <v>278</v>
      </c>
      <c r="F112" s="166">
        <f t="shared" si="34"/>
        <v>965</v>
      </c>
      <c r="G112" s="166">
        <f t="shared" si="34"/>
        <v>0</v>
      </c>
      <c r="H112" s="166">
        <f t="shared" si="34"/>
        <v>0</v>
      </c>
      <c r="I112" s="167">
        <f t="shared" si="34"/>
        <v>2775</v>
      </c>
      <c r="J112" s="278">
        <f t="shared" si="34"/>
        <v>5006.0654881842775</v>
      </c>
      <c r="K112" s="245">
        <f t="shared" si="34"/>
        <v>2032462.5882028164</v>
      </c>
      <c r="L112" s="246">
        <f t="shared" si="34"/>
        <v>2032462.5882028164</v>
      </c>
      <c r="M112" s="169">
        <f t="shared" si="34"/>
        <v>5206.3081077116485</v>
      </c>
      <c r="N112" s="166">
        <f t="shared" si="34"/>
        <v>2113761.0917309294</v>
      </c>
      <c r="O112" s="167">
        <f t="shared" si="34"/>
        <v>2113761.0917309294</v>
      </c>
      <c r="P112" s="278">
        <f t="shared" si="34"/>
        <v>5310.4342698658811</v>
      </c>
      <c r="Q112" s="245">
        <f t="shared" si="34"/>
        <v>2156036.3135655476</v>
      </c>
      <c r="R112" s="246">
        <f t="shared" si="34"/>
        <v>2156036.3135655476</v>
      </c>
      <c r="S112" s="167">
        <f t="shared" si="34"/>
        <v>1593441.5932235294</v>
      </c>
      <c r="T112" s="167">
        <f>T51</f>
        <v>507311.73794290185</v>
      </c>
      <c r="U112" s="474" t="s">
        <v>12</v>
      </c>
    </row>
    <row r="113" spans="2:21" ht="13" x14ac:dyDescent="0.3">
      <c r="B113" s="472" t="s">
        <v>100</v>
      </c>
      <c r="C113" s="156">
        <f t="shared" ref="C113:U113" si="35">C66</f>
        <v>0</v>
      </c>
      <c r="D113" s="21">
        <f t="shared" si="35"/>
        <v>8.25</v>
      </c>
      <c r="E113" s="21">
        <f t="shared" si="35"/>
        <v>10</v>
      </c>
      <c r="F113" s="21">
        <f t="shared" si="35"/>
        <v>17</v>
      </c>
      <c r="G113" s="21">
        <f t="shared" si="35"/>
        <v>4</v>
      </c>
      <c r="H113" s="21">
        <f t="shared" si="35"/>
        <v>0</v>
      </c>
      <c r="I113" s="157">
        <f t="shared" si="35"/>
        <v>39.25</v>
      </c>
      <c r="J113" s="279" t="str">
        <f t="shared" si="35"/>
        <v>NA</v>
      </c>
      <c r="K113" s="280">
        <f t="shared" si="35"/>
        <v>15935.5</v>
      </c>
      <c r="L113" s="281">
        <f t="shared" si="35"/>
        <v>15935.5</v>
      </c>
      <c r="M113" s="158" t="str">
        <f t="shared" si="35"/>
        <v>NA</v>
      </c>
      <c r="N113" s="21">
        <f t="shared" si="35"/>
        <v>15935.5</v>
      </c>
      <c r="O113" s="157">
        <f t="shared" si="35"/>
        <v>15935.5</v>
      </c>
      <c r="P113" s="279" t="str">
        <f t="shared" si="35"/>
        <v>NA</v>
      </c>
      <c r="Q113" s="280">
        <f t="shared" si="35"/>
        <v>15935.5</v>
      </c>
      <c r="R113" s="281">
        <f t="shared" si="35"/>
        <v>15935.5</v>
      </c>
      <c r="S113" s="157">
        <f t="shared" si="35"/>
        <v>15935.5</v>
      </c>
      <c r="T113" s="170" t="str">
        <f t="shared" si="35"/>
        <v>NA</v>
      </c>
      <c r="U113" s="475" t="str">
        <f t="shared" si="35"/>
        <v>NA</v>
      </c>
    </row>
    <row r="114" spans="2:21" ht="13.5" thickBot="1" x14ac:dyDescent="0.35">
      <c r="B114" s="471" t="s">
        <v>76</v>
      </c>
      <c r="C114" s="165">
        <f t="shared" ref="C114:T114" si="36">C67</f>
        <v>0</v>
      </c>
      <c r="D114" s="166">
        <f t="shared" si="36"/>
        <v>199</v>
      </c>
      <c r="E114" s="166">
        <f t="shared" si="36"/>
        <v>252</v>
      </c>
      <c r="F114" s="166">
        <f t="shared" si="36"/>
        <v>469</v>
      </c>
      <c r="G114" s="166">
        <f t="shared" si="36"/>
        <v>126</v>
      </c>
      <c r="H114" s="166">
        <f t="shared" si="36"/>
        <v>0</v>
      </c>
      <c r="I114" s="167">
        <f t="shared" si="36"/>
        <v>1046</v>
      </c>
      <c r="J114" s="278">
        <f t="shared" si="36"/>
        <v>2237.6437370242215</v>
      </c>
      <c r="K114" s="245">
        <f t="shared" si="36"/>
        <v>908483.35723183386</v>
      </c>
      <c r="L114" s="246">
        <f t="shared" si="36"/>
        <v>908483.35723183386</v>
      </c>
      <c r="M114" s="165">
        <f t="shared" si="36"/>
        <v>2327.1494865051905</v>
      </c>
      <c r="N114" s="166">
        <f t="shared" si="36"/>
        <v>944822.69152110722</v>
      </c>
      <c r="O114" s="167">
        <f t="shared" si="36"/>
        <v>944822.69152110722</v>
      </c>
      <c r="P114" s="284">
        <f t="shared" si="36"/>
        <v>2373.6924762352937</v>
      </c>
      <c r="Q114" s="245">
        <f t="shared" si="36"/>
        <v>963719.14535152935</v>
      </c>
      <c r="R114" s="246">
        <f t="shared" si="36"/>
        <v>963719.14535152935</v>
      </c>
      <c r="S114" s="167">
        <f t="shared" si="36"/>
        <v>939008.39803482348</v>
      </c>
      <c r="T114" s="168" t="str">
        <f t="shared" si="36"/>
        <v>NA</v>
      </c>
      <c r="U114" s="322" t="s">
        <v>12</v>
      </c>
    </row>
    <row r="115" spans="2:21" ht="13" x14ac:dyDescent="0.3">
      <c r="B115" s="472" t="s">
        <v>101</v>
      </c>
      <c r="C115" s="171">
        <f t="shared" ref="C115:S115" si="37">C90</f>
        <v>0</v>
      </c>
      <c r="D115" s="172">
        <f t="shared" si="37"/>
        <v>27</v>
      </c>
      <c r="E115" s="172">
        <f t="shared" si="37"/>
        <v>1.2</v>
      </c>
      <c r="F115" s="172">
        <f t="shared" si="37"/>
        <v>32.299999999999997</v>
      </c>
      <c r="G115" s="172">
        <f t="shared" si="37"/>
        <v>27</v>
      </c>
      <c r="H115" s="172">
        <f t="shared" si="37"/>
        <v>5</v>
      </c>
      <c r="I115" s="54">
        <f t="shared" si="37"/>
        <v>92.5</v>
      </c>
      <c r="J115" s="282" t="str">
        <f t="shared" si="37"/>
        <v>NA</v>
      </c>
      <c r="K115" s="263" t="str">
        <f t="shared" si="37"/>
        <v>NA</v>
      </c>
      <c r="L115" s="243">
        <f t="shared" si="37"/>
        <v>31552.5</v>
      </c>
      <c r="M115" s="173" t="str">
        <f t="shared" si="37"/>
        <v>NA</v>
      </c>
      <c r="N115" s="36" t="str">
        <f t="shared" si="37"/>
        <v>NA</v>
      </c>
      <c r="O115" s="54">
        <f t="shared" si="37"/>
        <v>31552.5</v>
      </c>
      <c r="P115" s="282" t="str">
        <f t="shared" si="37"/>
        <v>NA</v>
      </c>
      <c r="Q115" s="263" t="str">
        <f t="shared" si="37"/>
        <v>NA</v>
      </c>
      <c r="R115" s="243">
        <f t="shared" si="37"/>
        <v>31552.5</v>
      </c>
      <c r="S115" s="54">
        <f t="shared" si="37"/>
        <v>31552.5</v>
      </c>
      <c r="T115" s="42" t="s">
        <v>12</v>
      </c>
      <c r="U115" s="119" t="s">
        <v>12</v>
      </c>
    </row>
    <row r="116" spans="2:21" ht="13.5" thickBot="1" x14ac:dyDescent="0.35">
      <c r="B116" s="471" t="s">
        <v>76</v>
      </c>
      <c r="C116" s="165">
        <f t="shared" ref="C116:S116" si="38">C91</f>
        <v>0</v>
      </c>
      <c r="D116" s="166">
        <f t="shared" si="38"/>
        <v>653</v>
      </c>
      <c r="E116" s="166">
        <f t="shared" si="38"/>
        <v>30</v>
      </c>
      <c r="F116" s="166">
        <f t="shared" si="38"/>
        <v>890</v>
      </c>
      <c r="G116" s="166">
        <f t="shared" si="38"/>
        <v>846</v>
      </c>
      <c r="H116" s="166">
        <f t="shared" si="38"/>
        <v>189</v>
      </c>
      <c r="I116" s="167">
        <f t="shared" si="38"/>
        <v>2608</v>
      </c>
      <c r="J116" s="278">
        <f t="shared" si="38"/>
        <v>5579.134671280277</v>
      </c>
      <c r="K116" s="283" t="str">
        <f t="shared" si="38"/>
        <v>NA</v>
      </c>
      <c r="L116" s="246">
        <f t="shared" si="38"/>
        <v>1852964.5406782003</v>
      </c>
      <c r="M116" s="169">
        <f t="shared" si="38"/>
        <v>5802.30005813149</v>
      </c>
      <c r="N116" s="175" t="str">
        <f t="shared" si="38"/>
        <v>NA</v>
      </c>
      <c r="O116" s="167">
        <f t="shared" si="38"/>
        <v>1927083.122305329</v>
      </c>
      <c r="P116" s="278">
        <f t="shared" si="38"/>
        <v>5918.3460592941174</v>
      </c>
      <c r="Q116" s="283" t="str">
        <f t="shared" si="38"/>
        <v>NA</v>
      </c>
      <c r="R116" s="246">
        <f t="shared" si="38"/>
        <v>1965624.7847514353</v>
      </c>
      <c r="S116" s="167">
        <f t="shared" si="38"/>
        <v>1915224.1492449883</v>
      </c>
      <c r="T116" s="167">
        <f>T91</f>
        <v>0</v>
      </c>
      <c r="U116" s="322" t="s">
        <v>12</v>
      </c>
    </row>
    <row r="117" spans="2:21" ht="13" x14ac:dyDescent="0.3">
      <c r="B117" s="472" t="s">
        <v>102</v>
      </c>
      <c r="C117" s="156">
        <f t="shared" ref="C117:S117" si="39">C100</f>
        <v>0</v>
      </c>
      <c r="D117" s="21">
        <f t="shared" si="39"/>
        <v>0</v>
      </c>
      <c r="E117" s="21">
        <f t="shared" si="39"/>
        <v>16</v>
      </c>
      <c r="F117" s="21">
        <f t="shared" si="39"/>
        <v>8</v>
      </c>
      <c r="G117" s="21">
        <f t="shared" si="39"/>
        <v>12</v>
      </c>
      <c r="H117" s="21">
        <f t="shared" si="39"/>
        <v>6</v>
      </c>
      <c r="I117" s="157">
        <f t="shared" si="39"/>
        <v>42</v>
      </c>
      <c r="J117" s="279" t="str">
        <f t="shared" si="39"/>
        <v>NA</v>
      </c>
      <c r="K117" s="280">
        <f t="shared" si="39"/>
        <v>17052</v>
      </c>
      <c r="L117" s="281">
        <f t="shared" si="39"/>
        <v>17052</v>
      </c>
      <c r="M117" s="158" t="str">
        <f t="shared" si="39"/>
        <v>NA</v>
      </c>
      <c r="N117" s="21">
        <f t="shared" si="39"/>
        <v>17052</v>
      </c>
      <c r="O117" s="157">
        <f t="shared" si="39"/>
        <v>17052</v>
      </c>
      <c r="P117" s="279" t="str">
        <f t="shared" si="39"/>
        <v>NA</v>
      </c>
      <c r="Q117" s="280">
        <f t="shared" si="39"/>
        <v>17052</v>
      </c>
      <c r="R117" s="281">
        <f t="shared" si="39"/>
        <v>17052</v>
      </c>
      <c r="S117" s="157">
        <f t="shared" si="39"/>
        <v>17052</v>
      </c>
      <c r="T117" s="42" t="s">
        <v>12</v>
      </c>
      <c r="U117" s="119" t="s">
        <v>12</v>
      </c>
    </row>
    <row r="118" spans="2:21" ht="13.5" thickBot="1" x14ac:dyDescent="0.35">
      <c r="B118" s="476" t="s">
        <v>76</v>
      </c>
      <c r="C118" s="176">
        <f t="shared" ref="C118:S118" si="40">C101</f>
        <v>0</v>
      </c>
      <c r="D118" s="177">
        <f t="shared" si="40"/>
        <v>0</v>
      </c>
      <c r="E118" s="177">
        <f t="shared" si="40"/>
        <v>404</v>
      </c>
      <c r="F118" s="177">
        <f t="shared" si="40"/>
        <v>221</v>
      </c>
      <c r="G118" s="177">
        <f t="shared" si="40"/>
        <v>375</v>
      </c>
      <c r="H118" s="177">
        <f t="shared" si="40"/>
        <v>227</v>
      </c>
      <c r="I118" s="178">
        <f t="shared" si="40"/>
        <v>1227</v>
      </c>
      <c r="J118" s="252">
        <f t="shared" si="40"/>
        <v>2624.845951557093</v>
      </c>
      <c r="K118" s="253">
        <f t="shared" si="40"/>
        <v>1065687.4563321797</v>
      </c>
      <c r="L118" s="254">
        <f t="shared" si="40"/>
        <v>1065687.4563321797</v>
      </c>
      <c r="M118" s="176">
        <f t="shared" si="40"/>
        <v>2729.8397896193774</v>
      </c>
      <c r="N118" s="177">
        <f t="shared" si="40"/>
        <v>1108314.9545854672</v>
      </c>
      <c r="O118" s="178">
        <f t="shared" si="40"/>
        <v>1108314.9545854672</v>
      </c>
      <c r="P118" s="259">
        <f t="shared" si="40"/>
        <v>2784.4365854117641</v>
      </c>
      <c r="Q118" s="253">
        <f t="shared" si="40"/>
        <v>1130481.2536771763</v>
      </c>
      <c r="R118" s="254">
        <f t="shared" si="40"/>
        <v>1130481.2536771763</v>
      </c>
      <c r="S118" s="178">
        <f t="shared" si="40"/>
        <v>1101494.5548649412</v>
      </c>
      <c r="T118" s="179" t="str">
        <f>T101</f>
        <v>NA</v>
      </c>
      <c r="U118" s="180" t="s">
        <v>12</v>
      </c>
    </row>
    <row r="119" spans="2:21" ht="18.5" thickTop="1" x14ac:dyDescent="0.4">
      <c r="B119" s="477" t="s">
        <v>13</v>
      </c>
      <c r="C119" s="88" t="s">
        <v>45</v>
      </c>
      <c r="D119" s="86" t="s">
        <v>46</v>
      </c>
      <c r="E119" s="86" t="s">
        <v>47</v>
      </c>
      <c r="F119" s="86" t="s">
        <v>48</v>
      </c>
      <c r="G119" s="86" t="s">
        <v>49</v>
      </c>
      <c r="H119" s="86" t="s">
        <v>50</v>
      </c>
      <c r="I119" s="87" t="s">
        <v>13</v>
      </c>
      <c r="J119" s="88" t="s">
        <v>56</v>
      </c>
      <c r="K119" s="86" t="s">
        <v>13</v>
      </c>
      <c r="L119" s="87" t="s">
        <v>68</v>
      </c>
      <c r="M119" s="88" t="s">
        <v>56</v>
      </c>
      <c r="N119" s="86" t="s">
        <v>13</v>
      </c>
      <c r="O119" s="87" t="s">
        <v>68</v>
      </c>
      <c r="P119" s="88" t="s">
        <v>56</v>
      </c>
      <c r="Q119" s="86" t="s">
        <v>13</v>
      </c>
      <c r="R119" s="87" t="s">
        <v>68</v>
      </c>
      <c r="S119" s="87"/>
      <c r="T119" s="31"/>
      <c r="U119" s="111"/>
    </row>
    <row r="120" spans="2:21" x14ac:dyDescent="0.25">
      <c r="B120" s="478" t="s">
        <v>75</v>
      </c>
      <c r="C120" s="154">
        <f t="shared" ref="C120:I121" si="41">C105+C107+C109+C111+C113+C115+C117</f>
        <v>0</v>
      </c>
      <c r="D120" s="58">
        <f t="shared" si="41"/>
        <v>125.25</v>
      </c>
      <c r="E120" s="58">
        <f t="shared" si="41"/>
        <v>106.2</v>
      </c>
      <c r="F120" s="58">
        <f t="shared" si="41"/>
        <v>110.3</v>
      </c>
      <c r="G120" s="58">
        <f t="shared" si="41"/>
        <v>57</v>
      </c>
      <c r="H120" s="58">
        <f t="shared" si="41"/>
        <v>21</v>
      </c>
      <c r="I120" s="57">
        <f t="shared" si="41"/>
        <v>419.75</v>
      </c>
      <c r="J120" s="285" t="s">
        <v>12</v>
      </c>
      <c r="K120" s="231">
        <f>K105+K107+K109+K111+K113+K117</f>
        <v>120670.7</v>
      </c>
      <c r="L120" s="239">
        <f>L105+L107+L109+L111+L113+L115+L117</f>
        <v>142490.17142857143</v>
      </c>
      <c r="M120" s="83" t="s">
        <v>12</v>
      </c>
      <c r="N120" s="58">
        <f>N105+N107+N109+N111+N113+N117</f>
        <v>120670.7</v>
      </c>
      <c r="O120" s="57">
        <f>O105+O107+O109+O111+O113+O115+O117</f>
        <v>142490.17142857143</v>
      </c>
      <c r="P120" s="285" t="s">
        <v>12</v>
      </c>
      <c r="Q120" s="231">
        <f>Q105+Q107+Q109+Q111+Q113+Q117</f>
        <v>120670.7</v>
      </c>
      <c r="R120" s="239">
        <f>R105+R107+R109+R111+R113+R115+R117</f>
        <v>142490.17142857143</v>
      </c>
      <c r="S120" s="57">
        <f>S105+S107+S109+S111+S113+S115+S117</f>
        <v>142490.17142857143</v>
      </c>
      <c r="T120" s="57"/>
      <c r="U120" s="113" t="s">
        <v>12</v>
      </c>
    </row>
    <row r="121" spans="2:21" s="189" customFormat="1" ht="16" thickBot="1" x14ac:dyDescent="0.4">
      <c r="B121" s="479" t="s">
        <v>76</v>
      </c>
      <c r="C121" s="480">
        <f t="shared" si="41"/>
        <v>0</v>
      </c>
      <c r="D121" s="481">
        <f t="shared" si="41"/>
        <v>1638</v>
      </c>
      <c r="E121" s="481">
        <f t="shared" si="41"/>
        <v>1226</v>
      </c>
      <c r="F121" s="481">
        <f t="shared" si="41"/>
        <v>3041</v>
      </c>
      <c r="G121" s="481">
        <f t="shared" si="41"/>
        <v>1785</v>
      </c>
      <c r="H121" s="481">
        <f t="shared" si="41"/>
        <v>794</v>
      </c>
      <c r="I121" s="482">
        <f t="shared" si="41"/>
        <v>13129</v>
      </c>
      <c r="J121" s="483">
        <f>J106+J108+J110+J112+J114+J116+J118</f>
        <v>26411.48590641336</v>
      </c>
      <c r="K121" s="484">
        <f>K106+K108+K110+K112+K114+K118</f>
        <v>7187907.0593187027</v>
      </c>
      <c r="L121" s="485">
        <f>L106+L108+L110+L112+L114+L116+L118</f>
        <v>9657632.4143426493</v>
      </c>
      <c r="M121" s="480">
        <f>M106+M108+M110+M112+M114+M116+M118</f>
        <v>27467.945342669896</v>
      </c>
      <c r="N121" s="486">
        <f>N106+N108+N110+N112+N114+N118</f>
        <v>7475423.3416914511</v>
      </c>
      <c r="O121" s="482">
        <f>O106+O108+O110+O112+O114+O116+O118</f>
        <v>10043227.997067222</v>
      </c>
      <c r="P121" s="487">
        <f>P106+P108+P110+P112+P114+P116+P118</f>
        <v>28017.304249523288</v>
      </c>
      <c r="Q121" s="484">
        <f>Q106+Q108+Q110+Q112+Q114+Q118</f>
        <v>7624931.8085252792</v>
      </c>
      <c r="R121" s="485">
        <f>R106+R108+R110+R112+R114+R116+R118</f>
        <v>10244092.557008566</v>
      </c>
      <c r="S121" s="482">
        <f>S106+S108+S110+S112+S114+S116+S118</f>
        <v>8713371.644615557</v>
      </c>
      <c r="T121" s="482">
        <f>SUM(T106,T108,T110,T112,T114,T116,T118)</f>
        <v>913161.12829722336</v>
      </c>
      <c r="U121" s="489">
        <f>SUM(U106,U108,U110,U112,U114,U116,U118)</f>
        <v>760967.60691435274</v>
      </c>
    </row>
  </sheetData>
  <mergeCells count="35">
    <mergeCell ref="Q94:R94"/>
    <mergeCell ref="Q32:R32"/>
    <mergeCell ref="Q42:R42"/>
    <mergeCell ref="Q54:R54"/>
    <mergeCell ref="Q87:R87"/>
    <mergeCell ref="Q71:R71"/>
    <mergeCell ref="G70:I70"/>
    <mergeCell ref="N87:O87"/>
    <mergeCell ref="K94:L94"/>
    <mergeCell ref="N32:O32"/>
    <mergeCell ref="N42:O42"/>
    <mergeCell ref="N71:O71"/>
    <mergeCell ref="N94:O94"/>
    <mergeCell ref="N54:O54"/>
    <mergeCell ref="K32:L32"/>
    <mergeCell ref="G93:I93"/>
    <mergeCell ref="K71:L71"/>
    <mergeCell ref="K54:L54"/>
    <mergeCell ref="G53:I53"/>
    <mergeCell ref="G32:I32"/>
    <mergeCell ref="K42:L42"/>
    <mergeCell ref="G18:I18"/>
    <mergeCell ref="G31:I31"/>
    <mergeCell ref="G42:I42"/>
    <mergeCell ref="G41:I41"/>
    <mergeCell ref="S2:T2"/>
    <mergeCell ref="Q19:R19"/>
    <mergeCell ref="G7:I7"/>
    <mergeCell ref="K19:L19"/>
    <mergeCell ref="F2:G2"/>
    <mergeCell ref="C5:I5"/>
    <mergeCell ref="Q8:R8"/>
    <mergeCell ref="K8:L8"/>
    <mergeCell ref="N8:O8"/>
    <mergeCell ref="N19:O19"/>
  </mergeCells>
  <phoneticPr fontId="2" type="noConversion"/>
  <dataValidations disablePrompts="1" count="1">
    <dataValidation allowBlank="1" showInputMessage="1" showErrorMessage="1" sqref="D34 D21" xr:uid="{00000000-0002-0000-0300-000000000000}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21"/>
  <sheetViews>
    <sheetView topLeftCell="F1" zoomScaleNormal="100" workbookViewId="0">
      <selection activeCell="S69" sqref="S69"/>
    </sheetView>
  </sheetViews>
  <sheetFormatPr defaultRowHeight="12.5" x14ac:dyDescent="0.25"/>
  <cols>
    <col min="1" max="1" width="1.1796875" customWidth="1"/>
    <col min="2" max="2" width="31.453125" customWidth="1"/>
    <col min="3" max="3" width="12.81640625" customWidth="1"/>
    <col min="4" max="4" width="10.26953125" bestFit="1" customWidth="1"/>
    <col min="5" max="5" width="11.26953125" customWidth="1"/>
    <col min="6" max="6" width="9.7265625" style="5" customWidth="1"/>
    <col min="7" max="7" width="9.7265625" bestFit="1" customWidth="1"/>
    <col min="8" max="8" width="9.81640625" bestFit="1" customWidth="1"/>
    <col min="9" max="9" width="13.26953125" customWidth="1"/>
    <col min="10" max="10" width="15" customWidth="1"/>
    <col min="11" max="11" width="14.453125" customWidth="1"/>
    <col min="12" max="12" width="14.26953125" bestFit="1" customWidth="1"/>
    <col min="13" max="13" width="15.54296875" customWidth="1"/>
    <col min="14" max="14" width="14.54296875" customWidth="1"/>
    <col min="15" max="15" width="14.453125" customWidth="1"/>
    <col min="16" max="16" width="15" customWidth="1"/>
    <col min="17" max="17" width="13.81640625" customWidth="1"/>
    <col min="18" max="18" width="14" customWidth="1"/>
    <col min="19" max="19" width="14.54296875" customWidth="1"/>
    <col min="20" max="20" width="14" customWidth="1"/>
    <col min="21" max="21" width="13.26953125" bestFit="1" customWidth="1"/>
  </cols>
  <sheetData>
    <row r="1" spans="1:21" ht="4.5" customHeight="1" thickBot="1" x14ac:dyDescent="0.3">
      <c r="B1" s="335"/>
      <c r="C1" s="335"/>
      <c r="D1" s="335"/>
      <c r="E1" s="335"/>
      <c r="F1" s="336"/>
      <c r="G1" s="335"/>
      <c r="H1" s="335"/>
      <c r="I1" s="335"/>
      <c r="J1" s="335"/>
      <c r="K1" s="335"/>
      <c r="L1" s="335"/>
      <c r="M1" s="335"/>
    </row>
    <row r="2" spans="1:21" ht="18.5" thickTop="1" x14ac:dyDescent="0.4">
      <c r="A2" s="510"/>
      <c r="B2" s="494" t="s">
        <v>0</v>
      </c>
      <c r="C2" s="491" t="s">
        <v>93</v>
      </c>
      <c r="E2" s="326" t="s">
        <v>31</v>
      </c>
      <c r="F2" s="1172">
        <v>43331</v>
      </c>
      <c r="G2" s="1173"/>
      <c r="J2" s="492" t="s">
        <v>5</v>
      </c>
      <c r="K2" s="493">
        <v>2023</v>
      </c>
      <c r="M2" s="490" t="s">
        <v>10</v>
      </c>
      <c r="N2" s="452">
        <f>K2+1</f>
        <v>2024</v>
      </c>
      <c r="O2" s="451"/>
      <c r="P2" s="453" t="s">
        <v>11</v>
      </c>
      <c r="Q2" s="452">
        <f>N2+1</f>
        <v>2025</v>
      </c>
      <c r="R2" s="454"/>
      <c r="S2" s="1165" t="s">
        <v>77</v>
      </c>
      <c r="T2" s="1166"/>
      <c r="U2" s="455" t="s">
        <v>79</v>
      </c>
    </row>
    <row r="3" spans="1:21" ht="15.5" x14ac:dyDescent="0.35">
      <c r="A3" s="510"/>
      <c r="C3" s="1"/>
      <c r="D3" s="25"/>
      <c r="E3" s="2"/>
      <c r="I3" s="326" t="s">
        <v>59</v>
      </c>
      <c r="J3" s="144"/>
      <c r="L3" s="145"/>
      <c r="O3" s="31"/>
      <c r="R3" s="31"/>
      <c r="S3" s="90" t="s">
        <v>71</v>
      </c>
      <c r="T3" s="91">
        <f>AVERAGE(J5,M5,P5)</f>
        <v>71</v>
      </c>
      <c r="U3" s="31"/>
    </row>
    <row r="4" spans="1:21" ht="13" x14ac:dyDescent="0.3">
      <c r="A4" s="510"/>
      <c r="I4" s="43">
        <v>0.05</v>
      </c>
      <c r="J4" s="326" t="s">
        <v>71</v>
      </c>
      <c r="K4" s="349" t="s">
        <v>72</v>
      </c>
      <c r="L4" s="17">
        <v>241</v>
      </c>
      <c r="M4" s="326" t="s">
        <v>71</v>
      </c>
      <c r="N4" s="349" t="s">
        <v>69</v>
      </c>
      <c r="O4" s="17">
        <v>241</v>
      </c>
      <c r="P4" s="326" t="s">
        <v>71</v>
      </c>
      <c r="Q4" s="349" t="s">
        <v>69</v>
      </c>
      <c r="R4" s="17">
        <v>241</v>
      </c>
      <c r="S4" s="90" t="s">
        <v>69</v>
      </c>
      <c r="T4" s="85">
        <f>AVERAGE(L4,O4,R4)</f>
        <v>241</v>
      </c>
      <c r="U4" s="31"/>
    </row>
    <row r="5" spans="1:21" ht="12.75" customHeight="1" thickBot="1" x14ac:dyDescent="0.35">
      <c r="A5" s="510"/>
      <c r="B5" s="495" t="s">
        <v>2</v>
      </c>
      <c r="C5" s="1174"/>
      <c r="D5" s="1175"/>
      <c r="E5" s="1175"/>
      <c r="F5" s="1175"/>
      <c r="G5" s="1175"/>
      <c r="H5" s="1175"/>
      <c r="I5" s="1175"/>
      <c r="J5" s="525">
        <v>71</v>
      </c>
      <c r="K5" s="287" t="s">
        <v>70</v>
      </c>
      <c r="L5" s="288">
        <f>L4*$I$4</f>
        <v>12.05</v>
      </c>
      <c r="M5" s="526">
        <v>71</v>
      </c>
      <c r="N5" s="287" t="s">
        <v>70</v>
      </c>
      <c r="O5" s="289">
        <f>O4*$I$4</f>
        <v>12.05</v>
      </c>
      <c r="P5" s="525">
        <v>71</v>
      </c>
      <c r="Q5" s="287" t="s">
        <v>70</v>
      </c>
      <c r="R5" s="288">
        <f>R4*$I$4</f>
        <v>12.05</v>
      </c>
      <c r="S5" s="191" t="s">
        <v>70</v>
      </c>
      <c r="T5" s="192">
        <f>AVERAGE(L5,O5,R5)</f>
        <v>12.050000000000002</v>
      </c>
      <c r="U5" s="31"/>
    </row>
    <row r="6" spans="1:21" ht="30" customHeight="1" thickTop="1" thickBot="1" x14ac:dyDescent="0.45">
      <c r="A6" s="510"/>
      <c r="B6" s="496" t="s">
        <v>73</v>
      </c>
      <c r="C6" s="3"/>
      <c r="D6" s="3"/>
      <c r="E6" s="3"/>
      <c r="F6" s="9"/>
      <c r="G6" s="3"/>
      <c r="H6" s="3"/>
      <c r="I6" s="3"/>
      <c r="J6" s="447"/>
      <c r="K6" s="3"/>
      <c r="L6" s="3"/>
      <c r="M6" s="447"/>
      <c r="N6" s="3"/>
      <c r="O6" s="3"/>
      <c r="P6" s="447"/>
      <c r="Q6" s="3"/>
      <c r="R6" s="3"/>
      <c r="S6" s="448" t="s">
        <v>17</v>
      </c>
      <c r="T6" s="449" t="s">
        <v>103</v>
      </c>
      <c r="U6" s="450"/>
    </row>
    <row r="7" spans="1:21" ht="15.5" x14ac:dyDescent="0.35">
      <c r="A7" s="510"/>
      <c r="B7" s="48" t="s">
        <v>3</v>
      </c>
      <c r="C7" s="193"/>
      <c r="D7" s="349" t="s">
        <v>54</v>
      </c>
      <c r="E7" s="24">
        <v>7</v>
      </c>
      <c r="F7" s="1" t="s">
        <v>6</v>
      </c>
      <c r="G7" s="1169"/>
      <c r="H7" s="1170"/>
      <c r="I7" s="1171"/>
      <c r="J7" s="72" t="s">
        <v>3</v>
      </c>
      <c r="K7" s="146"/>
      <c r="L7" s="62"/>
      <c r="M7" s="48" t="s">
        <v>3</v>
      </c>
      <c r="O7" s="31"/>
      <c r="P7" s="48" t="s">
        <v>3</v>
      </c>
      <c r="R7" s="31"/>
      <c r="S7" s="99"/>
      <c r="T7" s="92"/>
      <c r="U7" s="114"/>
    </row>
    <row r="8" spans="1:21" ht="13" x14ac:dyDescent="0.3">
      <c r="A8" s="510"/>
      <c r="B8" s="497" t="s">
        <v>44</v>
      </c>
      <c r="C8" s="4"/>
      <c r="D8" s="4"/>
      <c r="E8" s="4"/>
      <c r="F8" s="8"/>
      <c r="G8" s="4"/>
      <c r="H8" s="4"/>
      <c r="I8" s="40" t="s">
        <v>55</v>
      </c>
      <c r="J8" s="209" t="s">
        <v>55</v>
      </c>
      <c r="K8" s="1176" t="s">
        <v>57</v>
      </c>
      <c r="L8" s="1168"/>
      <c r="M8" s="50" t="s">
        <v>55</v>
      </c>
      <c r="N8" s="1177" t="s">
        <v>57</v>
      </c>
      <c r="O8" s="1178"/>
      <c r="P8" s="227" t="s">
        <v>55</v>
      </c>
      <c r="Q8" s="1167" t="s">
        <v>57</v>
      </c>
      <c r="R8" s="1168"/>
      <c r="S8" s="100"/>
      <c r="T8" s="118"/>
      <c r="U8" s="116"/>
    </row>
    <row r="9" spans="1:21" ht="13" x14ac:dyDescent="0.3">
      <c r="A9" s="510"/>
      <c r="B9" s="498" t="s">
        <v>53</v>
      </c>
      <c r="C9" s="20" t="s">
        <v>45</v>
      </c>
      <c r="D9" s="20" t="s">
        <v>46</v>
      </c>
      <c r="E9" s="20" t="s">
        <v>47</v>
      </c>
      <c r="F9" s="20" t="s">
        <v>48</v>
      </c>
      <c r="G9" s="20" t="s">
        <v>49</v>
      </c>
      <c r="H9" s="20" t="s">
        <v>50</v>
      </c>
      <c r="I9" s="40" t="s">
        <v>13</v>
      </c>
      <c r="J9" s="210" t="s">
        <v>56</v>
      </c>
      <c r="K9" s="211" t="s">
        <v>13</v>
      </c>
      <c r="L9" s="212" t="s">
        <v>68</v>
      </c>
      <c r="M9" s="66" t="s">
        <v>56</v>
      </c>
      <c r="N9" s="20" t="s">
        <v>13</v>
      </c>
      <c r="O9" s="32" t="s">
        <v>68</v>
      </c>
      <c r="P9" s="211" t="s">
        <v>56</v>
      </c>
      <c r="Q9" s="211" t="s">
        <v>13</v>
      </c>
      <c r="R9" s="212" t="s">
        <v>68</v>
      </c>
      <c r="S9" s="98"/>
      <c r="T9" s="44"/>
      <c r="U9" s="117"/>
    </row>
    <row r="10" spans="1:21" x14ac:dyDescent="0.25">
      <c r="A10" s="510"/>
      <c r="B10" s="499" t="s">
        <v>51</v>
      </c>
      <c r="C10" s="18">
        <v>0</v>
      </c>
      <c r="D10" s="18">
        <v>0</v>
      </c>
      <c r="E10" s="18">
        <v>0</v>
      </c>
      <c r="F10" s="18">
        <v>10</v>
      </c>
      <c r="G10" s="18">
        <v>10</v>
      </c>
      <c r="H10" s="18">
        <v>10</v>
      </c>
      <c r="I10" s="41">
        <f>SUM(C10:H10)</f>
        <v>30</v>
      </c>
      <c r="J10" s="213" t="s">
        <v>12</v>
      </c>
      <c r="K10" s="214">
        <f>I10*$J$5</f>
        <v>2130</v>
      </c>
      <c r="L10" s="215">
        <f>K10/$E$7</f>
        <v>304.28571428571428</v>
      </c>
      <c r="M10" s="51" t="s">
        <v>12</v>
      </c>
      <c r="N10" s="351">
        <f>I10*$M$5</f>
        <v>2130</v>
      </c>
      <c r="O10" s="57">
        <f>N10/$E$7</f>
        <v>304.28571428571428</v>
      </c>
      <c r="P10" s="213" t="s">
        <v>12</v>
      </c>
      <c r="Q10" s="352">
        <f>$I10*$M$5</f>
        <v>2130</v>
      </c>
      <c r="R10" s="239">
        <f>Q10/$E$7</f>
        <v>304.28571428571428</v>
      </c>
      <c r="S10" s="96">
        <f>AVERAGE(L10,O10,R10)</f>
        <v>304.28571428571428</v>
      </c>
      <c r="T10" s="94" t="s">
        <v>12</v>
      </c>
      <c r="U10" s="94" t="s">
        <v>12</v>
      </c>
    </row>
    <row r="11" spans="1:21" s="1" customFormat="1" ht="13.5" thickBot="1" x14ac:dyDescent="0.35">
      <c r="A11" s="511"/>
      <c r="B11" s="327" t="s">
        <v>52</v>
      </c>
      <c r="C11" s="20">
        <f>ROUND(C10*Labor!$D$3,0)</f>
        <v>0</v>
      </c>
      <c r="D11" s="20">
        <f>ROUND(D10*Labor!$D$4,0)</f>
        <v>0</v>
      </c>
      <c r="E11" s="20">
        <f>ROUND(E10*Labor!$D$5,0)</f>
        <v>0</v>
      </c>
      <c r="F11" s="20">
        <f>ROUND(F10*Labor!$D$6,0)</f>
        <v>276</v>
      </c>
      <c r="G11" s="20">
        <f>ROUND(G10*Labor!$D$7,0)</f>
        <v>313</v>
      </c>
      <c r="H11" s="20">
        <f>ROUND(H10*Labor!$D$8,0)</f>
        <v>378</v>
      </c>
      <c r="I11" s="314">
        <f>SUM(C11:H11)</f>
        <v>967</v>
      </c>
      <c r="J11" s="1124">
        <f>HLOOKUP(K$2,InflationTable,2)/HLOOKUP(Labor!$B$11,InflationTable,2)*$I11</f>
        <v>2068.6438754325259</v>
      </c>
      <c r="K11" s="315">
        <f>J11*$J$5</f>
        <v>146873.71515570933</v>
      </c>
      <c r="L11" s="316">
        <f>K11/$E$7</f>
        <v>20981.959307958477</v>
      </c>
      <c r="M11" s="169">
        <f>HLOOKUP(N$2,InflationTable,2)/HLOOKUP(Labor!$B$11,InflationTable,2)*$I11</f>
        <v>2151.3896304498271</v>
      </c>
      <c r="N11" s="317">
        <f>M11*$J$5</f>
        <v>152748.66376193773</v>
      </c>
      <c r="O11" s="318">
        <f>N11/$E$7</f>
        <v>21821.237680276819</v>
      </c>
      <c r="P11" s="284">
        <f>HLOOKUP(Q$2,InflationTable,2)/HLOOKUP(Labor!$B$11,InflationTable,2)*$I11</f>
        <v>2194.4174230588233</v>
      </c>
      <c r="Q11" s="315">
        <f>P11*$J$5</f>
        <v>155803.63703717646</v>
      </c>
      <c r="R11" s="316">
        <f>Q11/$E$7</f>
        <v>22257.662433882353</v>
      </c>
      <c r="S11" s="312">
        <f>AVERAGE(L11,O11,R11)</f>
        <v>21686.953140705886</v>
      </c>
      <c r="T11" s="313" t="s">
        <v>12</v>
      </c>
      <c r="U11" s="313" t="s">
        <v>12</v>
      </c>
    </row>
    <row r="12" spans="1:21" ht="13" x14ac:dyDescent="0.3">
      <c r="A12" s="510"/>
      <c r="B12" s="1" t="s">
        <v>7</v>
      </c>
      <c r="H12" s="6"/>
      <c r="I12" s="31"/>
      <c r="J12" s="1127"/>
      <c r="K12" s="216"/>
      <c r="L12" s="217"/>
      <c r="O12" s="37"/>
      <c r="P12" s="330"/>
      <c r="Q12" s="330"/>
      <c r="R12" s="240"/>
      <c r="S12" s="97"/>
      <c r="T12" s="31"/>
      <c r="U12" s="31"/>
    </row>
    <row r="13" spans="1:21" x14ac:dyDescent="0.25">
      <c r="A13" s="510"/>
      <c r="B13" s="499" t="s">
        <v>51</v>
      </c>
      <c r="C13" s="18">
        <v>0</v>
      </c>
      <c r="D13" s="18">
        <v>0</v>
      </c>
      <c r="E13" s="18">
        <v>0</v>
      </c>
      <c r="F13" s="18">
        <v>4</v>
      </c>
      <c r="G13" s="18">
        <v>4</v>
      </c>
      <c r="H13" s="18">
        <v>0</v>
      </c>
      <c r="I13" s="41">
        <f>SUM(C13:H13)</f>
        <v>8</v>
      </c>
      <c r="J13" s="1123" t="s">
        <v>12</v>
      </c>
      <c r="K13" s="214">
        <f>I13*$J$5</f>
        <v>568</v>
      </c>
      <c r="L13" s="215">
        <f>K13/$E$7</f>
        <v>81.142857142857139</v>
      </c>
      <c r="M13" s="51" t="s">
        <v>12</v>
      </c>
      <c r="N13" s="10">
        <f>I13*$M$5</f>
        <v>568</v>
      </c>
      <c r="O13" s="52">
        <f>N13/$E$7</f>
        <v>81.142857142857139</v>
      </c>
      <c r="P13" s="213" t="s">
        <v>12</v>
      </c>
      <c r="Q13" s="241">
        <f>$I13*$P$5</f>
        <v>568</v>
      </c>
      <c r="R13" s="232">
        <f>Q13/$E$7</f>
        <v>81.142857142857139</v>
      </c>
      <c r="S13" s="96">
        <f>AVERAGE(L13,O13,R13)</f>
        <v>81.142857142857139</v>
      </c>
      <c r="T13" s="94" t="s">
        <v>12</v>
      </c>
      <c r="U13" s="94" t="s">
        <v>12</v>
      </c>
    </row>
    <row r="14" spans="1:21" s="1" customFormat="1" ht="13.5" thickBot="1" x14ac:dyDescent="0.35">
      <c r="A14" s="511"/>
      <c r="B14" s="500" t="s">
        <v>52</v>
      </c>
      <c r="C14" s="310">
        <f>ROUND(C13*Labor!$D$3,0)</f>
        <v>0</v>
      </c>
      <c r="D14" s="310">
        <f>ROUND(D13*Labor!$D$4,0)</f>
        <v>0</v>
      </c>
      <c r="E14" s="310">
        <f>ROUND(E13*Labor!$D$5,0)</f>
        <v>0</v>
      </c>
      <c r="F14" s="310">
        <f>ROUND(F13*Labor!$D$6,0)</f>
        <v>110</v>
      </c>
      <c r="G14" s="310">
        <f>ROUND(G13*Labor!$D$7,0)</f>
        <v>125</v>
      </c>
      <c r="H14" s="310">
        <f>ROUND(H13*Labor!$D$8,0)</f>
        <v>0</v>
      </c>
      <c r="I14" s="311">
        <f>SUM(C14:H14)</f>
        <v>235</v>
      </c>
      <c r="J14" s="1124">
        <f>HLOOKUP(K$2,InflationTable,2)/HLOOKUP(Labor!$B$11,InflationTable,2)*$I14</f>
        <v>502.72110726643592</v>
      </c>
      <c r="K14" s="245">
        <f>J14*$J$5</f>
        <v>35693.198615916954</v>
      </c>
      <c r="L14" s="246">
        <f>K14/$E$7</f>
        <v>5099.028373702422</v>
      </c>
      <c r="M14" s="169">
        <f>HLOOKUP(N$2,InflationTable,2)/HLOOKUP(Labor!$B$11,InflationTable,2)*$I14</f>
        <v>522.82995155709341</v>
      </c>
      <c r="N14" s="166">
        <f>M14*$J$5</f>
        <v>37120.926560553635</v>
      </c>
      <c r="O14" s="167">
        <f>N14/$E$7</f>
        <v>5302.9895086505194</v>
      </c>
      <c r="P14" s="284">
        <f>HLOOKUP(Q$2,InflationTable,2)/HLOOKUP(Labor!$B$11,InflationTable,2)*$I14</f>
        <v>533.28655058823529</v>
      </c>
      <c r="Q14" s="245">
        <f>P14*$J$5</f>
        <v>37863.345091764706</v>
      </c>
      <c r="R14" s="246">
        <f>Q14/$E$7</f>
        <v>5409.0492988235292</v>
      </c>
      <c r="S14" s="312">
        <f>AVERAGE(L14,O14,R14)</f>
        <v>5270.3557270588235</v>
      </c>
      <c r="T14" s="313" t="s">
        <v>12</v>
      </c>
      <c r="U14" s="313" t="s">
        <v>12</v>
      </c>
    </row>
    <row r="15" spans="1:21" ht="13" x14ac:dyDescent="0.3">
      <c r="A15" s="510"/>
      <c r="B15" s="501" t="s">
        <v>66</v>
      </c>
      <c r="C15" s="28">
        <f t="shared" ref="C15:I16" si="0">C10+C13</f>
        <v>0</v>
      </c>
      <c r="D15" s="28">
        <f t="shared" si="0"/>
        <v>0</v>
      </c>
      <c r="E15" s="28">
        <f t="shared" si="0"/>
        <v>0</v>
      </c>
      <c r="F15" s="28">
        <f t="shared" si="0"/>
        <v>14</v>
      </c>
      <c r="G15" s="28">
        <f t="shared" si="0"/>
        <v>14</v>
      </c>
      <c r="H15" s="28">
        <f t="shared" si="0"/>
        <v>10</v>
      </c>
      <c r="I15" s="42">
        <f t="shared" si="0"/>
        <v>38</v>
      </c>
      <c r="J15" s="221" t="s">
        <v>12</v>
      </c>
      <c r="K15" s="222">
        <f>K10+K13</f>
        <v>2698</v>
      </c>
      <c r="L15" s="223">
        <f>L10+L13</f>
        <v>385.42857142857144</v>
      </c>
      <c r="M15" s="53" t="s">
        <v>12</v>
      </c>
      <c r="N15">
        <f>I15*$M$5</f>
        <v>2698</v>
      </c>
      <c r="O15" s="54">
        <f>N15/$E$7</f>
        <v>385.42857142857144</v>
      </c>
      <c r="P15" s="242" t="s">
        <v>12</v>
      </c>
      <c r="Q15" s="352">
        <f>$I15*$P$5</f>
        <v>2698</v>
      </c>
      <c r="R15" s="243">
        <f>Q15/$E$7</f>
        <v>385.42857142857144</v>
      </c>
      <c r="S15" s="96">
        <f>AVERAGE(L15,O15,R15)</f>
        <v>385.42857142857139</v>
      </c>
      <c r="T15" s="94" t="s">
        <v>12</v>
      </c>
      <c r="U15" s="94" t="s">
        <v>12</v>
      </c>
    </row>
    <row r="16" spans="1:21" ht="13.5" thickBot="1" x14ac:dyDescent="0.35">
      <c r="A16" s="510"/>
      <c r="B16" s="502" t="s">
        <v>67</v>
      </c>
      <c r="C16" s="194">
        <f t="shared" si="0"/>
        <v>0</v>
      </c>
      <c r="D16" s="194">
        <f t="shared" si="0"/>
        <v>0</v>
      </c>
      <c r="E16" s="194">
        <f t="shared" si="0"/>
        <v>0</v>
      </c>
      <c r="F16" s="194">
        <f t="shared" si="0"/>
        <v>386</v>
      </c>
      <c r="G16" s="194">
        <f t="shared" si="0"/>
        <v>438</v>
      </c>
      <c r="H16" s="194">
        <f t="shared" si="0"/>
        <v>378</v>
      </c>
      <c r="I16" s="195">
        <f t="shared" si="0"/>
        <v>1202</v>
      </c>
      <c r="J16" s="224">
        <f>J11+J14</f>
        <v>2571.3649826989617</v>
      </c>
      <c r="K16" s="225">
        <f>K11+K14</f>
        <v>182566.91377162628</v>
      </c>
      <c r="L16" s="226">
        <f>L11+L14</f>
        <v>26080.987681660899</v>
      </c>
      <c r="M16" s="196">
        <f>M11+M14</f>
        <v>2674.2195820069205</v>
      </c>
      <c r="N16" s="194">
        <f>N11+N14</f>
        <v>189869.59032249136</v>
      </c>
      <c r="O16" s="197">
        <f>O11+O14</f>
        <v>27124.22718892734</v>
      </c>
      <c r="P16" s="244">
        <f>P11+P14</f>
        <v>2727.7039736470588</v>
      </c>
      <c r="Q16" s="245">
        <f>P16*$P$5</f>
        <v>193666.98212894116</v>
      </c>
      <c r="R16" s="246">
        <f>Q16/$E$7</f>
        <v>27666.71173270588</v>
      </c>
      <c r="S16" s="169">
        <f>AVERAGE(L16,O16,R16)</f>
        <v>26957.308867764707</v>
      </c>
      <c r="T16" s="174" t="s">
        <v>12</v>
      </c>
      <c r="U16" s="174" t="s">
        <v>12</v>
      </c>
    </row>
    <row r="17" spans="1:21" ht="13.5" thickTop="1" thickBot="1" x14ac:dyDescent="0.3">
      <c r="A17" s="510"/>
      <c r="B17" s="512"/>
      <c r="C17" s="513"/>
      <c r="D17" s="513"/>
      <c r="E17" s="513"/>
      <c r="F17" s="513"/>
      <c r="G17" s="513"/>
      <c r="H17" s="513"/>
      <c r="I17" s="513"/>
      <c r="J17" s="513"/>
      <c r="K17" s="513"/>
      <c r="L17" s="513"/>
      <c r="M17" s="513"/>
      <c r="N17" s="335"/>
      <c r="O17" s="335"/>
      <c r="P17" s="335"/>
      <c r="Q17" s="335"/>
      <c r="R17" s="335"/>
      <c r="S17" s="335"/>
      <c r="T17" s="335"/>
      <c r="U17" s="190"/>
    </row>
    <row r="18" spans="1:21" ht="16" thickTop="1" x14ac:dyDescent="0.35">
      <c r="A18" s="510"/>
      <c r="B18" s="2" t="s">
        <v>16</v>
      </c>
      <c r="C18" s="61"/>
      <c r="D18" s="349" t="s">
        <v>54</v>
      </c>
      <c r="E18" s="59">
        <v>7</v>
      </c>
      <c r="F18" s="1" t="s">
        <v>6</v>
      </c>
      <c r="G18" s="1160"/>
      <c r="H18" s="1161"/>
      <c r="I18" s="1162"/>
      <c r="J18" s="2" t="s">
        <v>16</v>
      </c>
      <c r="L18" s="62"/>
      <c r="M18" s="2" t="s">
        <v>16</v>
      </c>
      <c r="O18" s="31"/>
      <c r="P18" s="2" t="s">
        <v>16</v>
      </c>
      <c r="R18" s="62"/>
      <c r="S18" s="97"/>
      <c r="T18" s="31"/>
      <c r="U18" s="111"/>
    </row>
    <row r="19" spans="1:21" ht="13" x14ac:dyDescent="0.3">
      <c r="A19" s="510"/>
      <c r="C19" s="86" t="s">
        <v>60</v>
      </c>
      <c r="D19" s="20" t="s">
        <v>62</v>
      </c>
      <c r="F19"/>
      <c r="H19" s="4"/>
      <c r="I19" s="37"/>
      <c r="J19" s="227" t="s">
        <v>61</v>
      </c>
      <c r="K19" s="1167" t="s">
        <v>57</v>
      </c>
      <c r="L19" s="1168"/>
      <c r="M19" s="50" t="s">
        <v>61</v>
      </c>
      <c r="N19" s="1177" t="s">
        <v>57</v>
      </c>
      <c r="O19" s="1178"/>
      <c r="P19" s="212" t="s">
        <v>61</v>
      </c>
      <c r="Q19" s="1167" t="s">
        <v>57</v>
      </c>
      <c r="R19" s="1168"/>
      <c r="S19" s="106"/>
      <c r="T19" s="31"/>
      <c r="U19" s="111"/>
    </row>
    <row r="20" spans="1:21" ht="13" x14ac:dyDescent="0.3">
      <c r="A20" s="510"/>
      <c r="B20" s="503" t="s">
        <v>58</v>
      </c>
      <c r="C20" s="20"/>
      <c r="D20" s="20"/>
      <c r="E20" s="7"/>
      <c r="F20" s="61"/>
      <c r="G20" s="61"/>
      <c r="H20" s="61"/>
      <c r="I20" s="62"/>
      <c r="J20" s="210" t="s">
        <v>56</v>
      </c>
      <c r="K20" s="211" t="s">
        <v>13</v>
      </c>
      <c r="L20" s="212" t="s">
        <v>68</v>
      </c>
      <c r="M20" s="66" t="s">
        <v>56</v>
      </c>
      <c r="N20" s="20" t="s">
        <v>13</v>
      </c>
      <c r="O20" s="32" t="s">
        <v>68</v>
      </c>
      <c r="P20" s="210" t="s">
        <v>56</v>
      </c>
      <c r="Q20" s="211" t="s">
        <v>13</v>
      </c>
      <c r="R20" s="212" t="s">
        <v>68</v>
      </c>
      <c r="S20" s="98"/>
      <c r="T20" s="31"/>
      <c r="U20" s="111"/>
    </row>
    <row r="21" spans="1:21" x14ac:dyDescent="0.25">
      <c r="A21" s="510"/>
      <c r="B21" s="504" t="s">
        <v>14</v>
      </c>
      <c r="C21" s="23">
        <f>VLOOKUP(C$2,Monitor_Costs,2,FALSE)</f>
        <v>10000</v>
      </c>
      <c r="D21" s="19">
        <f>VLOOKUP(C$2,Monitor_Costs,3,FALSE)</f>
        <v>2019</v>
      </c>
      <c r="E21" s="63"/>
      <c r="F21" s="64"/>
      <c r="G21" s="65"/>
      <c r="H21" s="65"/>
      <c r="I21" s="31"/>
      <c r="J21" s="229">
        <f>HLOOKUP(K$2,InflationTable,2)/HLOOKUP($D21,InflationTable,2)*$C21</f>
        <v>12089.166992569419</v>
      </c>
      <c r="K21" s="229">
        <f>J21*$L$4</f>
        <v>2913489.2452092301</v>
      </c>
      <c r="L21" s="230">
        <f>K21/$E$18</f>
        <v>416212.74931560428</v>
      </c>
      <c r="M21" s="23">
        <f>HLOOKUP(N$2,InflationTable,2)/HLOOKUP($D21,InflationTable,2)*$C$21</f>
        <v>12572.733672272194</v>
      </c>
      <c r="N21" s="23">
        <f>M21*$L$4</f>
        <v>3030028.8150175987</v>
      </c>
      <c r="O21" s="80">
        <f>N21/$E$18</f>
        <v>432861.25928822841</v>
      </c>
      <c r="P21" s="229">
        <f>HLOOKUP(Q$2,InflationTable,2)/HLOOKUP($D21,InflationTable,2)*$C$21</f>
        <v>12824.188345717637</v>
      </c>
      <c r="Q21" s="229">
        <f>P21*$L$4</f>
        <v>3090629.3913179506</v>
      </c>
      <c r="R21" s="230">
        <f>Q21/$E$18</f>
        <v>441518.48447399295</v>
      </c>
      <c r="S21" s="102" t="s">
        <v>12</v>
      </c>
      <c r="T21" s="94" t="s">
        <v>12</v>
      </c>
      <c r="U21" s="112">
        <f>AVERAGE(L21,O21,R21)</f>
        <v>430197.49769260857</v>
      </c>
    </row>
    <row r="22" spans="1:21" ht="13.5" thickBot="1" x14ac:dyDescent="0.35">
      <c r="A22" s="510"/>
      <c r="B22" s="505" t="s">
        <v>15</v>
      </c>
      <c r="C22" s="3"/>
      <c r="D22" s="3"/>
      <c r="E22" s="3"/>
      <c r="F22" s="9"/>
      <c r="G22" s="3"/>
      <c r="H22" s="3"/>
      <c r="I22" s="305"/>
      <c r="J22" s="306"/>
      <c r="K22" s="295">
        <f>J21*$L$5</f>
        <v>145674.4622604615</v>
      </c>
      <c r="L22" s="256">
        <f>K22/$E$18</f>
        <v>20810.637465780215</v>
      </c>
      <c r="M22" s="3"/>
      <c r="N22" s="84">
        <f>M21*$L$5</f>
        <v>151501.44075087993</v>
      </c>
      <c r="O22" s="307">
        <f>N22/$E$18</f>
        <v>21643.06296441142</v>
      </c>
      <c r="P22" s="308"/>
      <c r="Q22" s="295">
        <f>P21*$L$5</f>
        <v>154531.46956589754</v>
      </c>
      <c r="R22" s="256">
        <f>Q22/$E$18</f>
        <v>22075.924223699647</v>
      </c>
      <c r="S22" s="298" t="s">
        <v>12</v>
      </c>
      <c r="T22" s="121" t="s">
        <v>12</v>
      </c>
      <c r="U22" s="309">
        <f>AVERAGE(L22,O22,R22)</f>
        <v>21509.874884630426</v>
      </c>
    </row>
    <row r="23" spans="1:21" ht="13" x14ac:dyDescent="0.3">
      <c r="A23" s="510"/>
      <c r="B23" s="1" t="s">
        <v>17</v>
      </c>
      <c r="C23" s="86" t="s">
        <v>45</v>
      </c>
      <c r="D23" s="86" t="s">
        <v>46</v>
      </c>
      <c r="E23" s="86" t="s">
        <v>47</v>
      </c>
      <c r="F23" s="86" t="s">
        <v>48</v>
      </c>
      <c r="G23" s="86" t="s">
        <v>49</v>
      </c>
      <c r="H23" s="86" t="s">
        <v>50</v>
      </c>
      <c r="I23" s="145" t="s">
        <v>74</v>
      </c>
      <c r="J23" s="292"/>
      <c r="K23" s="293"/>
      <c r="L23" s="296"/>
      <c r="M23" s="88"/>
      <c r="N23" s="86"/>
      <c r="O23" s="87"/>
      <c r="P23" s="293"/>
      <c r="Q23" s="293"/>
      <c r="R23" s="296"/>
      <c r="S23" s="100"/>
      <c r="T23" s="31"/>
      <c r="U23" s="111"/>
    </row>
    <row r="24" spans="1:21" ht="13" x14ac:dyDescent="0.3">
      <c r="A24" s="510"/>
      <c r="B24" s="506" t="s">
        <v>119</v>
      </c>
      <c r="C24" s="27">
        <v>0</v>
      </c>
      <c r="D24" s="18">
        <v>0</v>
      </c>
      <c r="E24" s="18">
        <v>0</v>
      </c>
      <c r="F24" s="18">
        <v>4</v>
      </c>
      <c r="G24" s="18">
        <v>0</v>
      </c>
      <c r="H24" s="18">
        <v>0</v>
      </c>
      <c r="I24" s="41">
        <f>SUM(C24:H24)</f>
        <v>4</v>
      </c>
      <c r="J24" s="213" t="s">
        <v>12</v>
      </c>
      <c r="K24" s="231">
        <f>I24*($L$4+$L$5)</f>
        <v>1012.2</v>
      </c>
      <c r="L24" s="232">
        <f>K24/$E$18</f>
        <v>144.6</v>
      </c>
      <c r="M24" s="51" t="s">
        <v>12</v>
      </c>
      <c r="N24" s="58">
        <f>$I$24*($O$4+$O$5)</f>
        <v>1012.2</v>
      </c>
      <c r="O24" s="52">
        <f>N24/$E$18</f>
        <v>144.6</v>
      </c>
      <c r="P24" s="213" t="s">
        <v>12</v>
      </c>
      <c r="Q24" s="231">
        <f>$I$24*($R$4+$R$5)</f>
        <v>1012.2</v>
      </c>
      <c r="R24" s="232">
        <f>Q24/$E$18</f>
        <v>144.6</v>
      </c>
      <c r="S24" s="123">
        <f>AVERAGE(L24,O24,R24)</f>
        <v>144.6</v>
      </c>
      <c r="T24" s="94" t="s">
        <v>12</v>
      </c>
      <c r="U24" s="113" t="s">
        <v>12</v>
      </c>
    </row>
    <row r="25" spans="1:21" s="1" customFormat="1" ht="13.5" thickBot="1" x14ac:dyDescent="0.35">
      <c r="A25" s="511"/>
      <c r="B25" s="500" t="s">
        <v>8</v>
      </c>
      <c r="C25" s="319">
        <f>ROUND(C24*Labor!$D$3,0)</f>
        <v>0</v>
      </c>
      <c r="D25" s="310">
        <f>ROUND(D24*Labor!$D$4,0)</f>
        <v>0</v>
      </c>
      <c r="E25" s="310">
        <f>ROUND(E24*Labor!$D$5,0)</f>
        <v>0</v>
      </c>
      <c r="F25" s="310">
        <f>ROUND(F24*Labor!$D$6,0)</f>
        <v>110</v>
      </c>
      <c r="G25" s="310">
        <f>ROUND(G24*Labor!$D$7,0)</f>
        <v>0</v>
      </c>
      <c r="H25" s="310">
        <f>ROUND(H24*Labor!$D$8,0)</f>
        <v>0</v>
      </c>
      <c r="I25" s="311">
        <f>SUM(C25:H25)</f>
        <v>110</v>
      </c>
      <c r="J25" s="1124">
        <f>HLOOKUP(K$2,InflationTable,2)/HLOOKUP(Labor!$B$11,InflationTable,2)*$I25</f>
        <v>235.31626297577853</v>
      </c>
      <c r="K25" s="245">
        <f>J25*($L$4+$L$5)</f>
        <v>59546.780346020758</v>
      </c>
      <c r="L25" s="246">
        <f>K25/$E$18</f>
        <v>8506.6829065743932</v>
      </c>
      <c r="M25" s="169">
        <f>HLOOKUP(N$2,InflationTable,2)/HLOOKUP(Labor!$B$11,InflationTable,2)*$I25</f>
        <v>244.72891349480972</v>
      </c>
      <c r="N25" s="166">
        <f>M25*$L$4</f>
        <v>58979.668152249142</v>
      </c>
      <c r="O25" s="167">
        <f>N25/$E$18</f>
        <v>8425.6668788927345</v>
      </c>
      <c r="P25" s="284">
        <f>HLOOKUP(Q$2,InflationTable,2)/HLOOKUP(Labor!$B$11,InflationTable,2)*$I25</f>
        <v>249.62349176470585</v>
      </c>
      <c r="Q25" s="245">
        <f>P25*$L$4</f>
        <v>60159.261515294107</v>
      </c>
      <c r="R25" s="320">
        <f>Q25/$E$18</f>
        <v>8594.1802164705859</v>
      </c>
      <c r="S25" s="321">
        <f>AVERAGE(L25,O25,R25)</f>
        <v>8508.8433339792391</v>
      </c>
      <c r="T25" s="174" t="s">
        <v>12</v>
      </c>
      <c r="U25" s="322" t="s">
        <v>12</v>
      </c>
    </row>
    <row r="26" spans="1:21" ht="13" x14ac:dyDescent="0.3">
      <c r="A26" s="510"/>
      <c r="B26" s="1" t="s">
        <v>118</v>
      </c>
      <c r="C26" s="290">
        <v>0</v>
      </c>
      <c r="D26" s="302">
        <v>8</v>
      </c>
      <c r="E26" s="302">
        <v>8</v>
      </c>
      <c r="F26" s="302">
        <v>0</v>
      </c>
      <c r="G26" s="302">
        <v>0</v>
      </c>
      <c r="H26" s="302">
        <v>0</v>
      </c>
      <c r="I26" s="303">
        <f>SUM(C26:H26)</f>
        <v>16</v>
      </c>
      <c r="J26" s="242" t="s">
        <v>12</v>
      </c>
      <c r="K26" s="280">
        <f>I26*$L$4</f>
        <v>3856</v>
      </c>
      <c r="L26" s="243">
        <f>K26/$E$18</f>
        <v>550.85714285714289</v>
      </c>
      <c r="M26" s="53" t="s">
        <v>12</v>
      </c>
      <c r="N26" s="147">
        <f>I26*$O$4</f>
        <v>3856</v>
      </c>
      <c r="O26" s="54">
        <f>N26/$E$18</f>
        <v>550.85714285714289</v>
      </c>
      <c r="P26" s="242" t="s">
        <v>12</v>
      </c>
      <c r="Q26" s="273">
        <f>$I26*$O$4</f>
        <v>3856</v>
      </c>
      <c r="R26" s="304">
        <f>Q26/$E$18</f>
        <v>550.85714285714289</v>
      </c>
      <c r="S26" s="104">
        <f>AVERAGE(L26,O26,R26)</f>
        <v>550.85714285714289</v>
      </c>
      <c r="T26" s="42" t="s">
        <v>12</v>
      </c>
      <c r="U26" s="119" t="s">
        <v>12</v>
      </c>
    </row>
    <row r="27" spans="1:21" s="1" customFormat="1" ht="13.5" thickBot="1" x14ac:dyDescent="0.35">
      <c r="A27" s="511"/>
      <c r="B27" s="507" t="s">
        <v>8</v>
      </c>
      <c r="C27" s="310">
        <f>ROUND(C26*Labor!$D$3,0)</f>
        <v>0</v>
      </c>
      <c r="D27" s="310">
        <f>ROUND(D26*Labor!$D$4,0)</f>
        <v>194</v>
      </c>
      <c r="E27" s="310">
        <f>ROUND(E26*Labor!$D$5,0)</f>
        <v>202</v>
      </c>
      <c r="F27" s="310">
        <f>ROUND(F26*Labor!$D$6,0)</f>
        <v>0</v>
      </c>
      <c r="G27" s="310">
        <f>ROUND(G26*Labor!$D$7,0)</f>
        <v>0</v>
      </c>
      <c r="H27" s="310">
        <f>ROUND(H26*Labor!$D$8,0)</f>
        <v>0</v>
      </c>
      <c r="I27" s="311">
        <f>SUM(C27:H27)</f>
        <v>396</v>
      </c>
      <c r="J27" s="1124">
        <f>HLOOKUP(K$2,InflationTable,2)/HLOOKUP(Labor!$B$11,InflationTable,2)*$I27</f>
        <v>847.13854671280274</v>
      </c>
      <c r="K27" s="245">
        <f>J27*$L$4</f>
        <v>204160.38975778545</v>
      </c>
      <c r="L27" s="246">
        <f>K27/$E$18</f>
        <v>29165.769965397922</v>
      </c>
      <c r="M27" s="169">
        <f>HLOOKUP(N$2,InflationTable,2)/HLOOKUP(Labor!$B$11,InflationTable,2)*$I27</f>
        <v>881.02408858131491</v>
      </c>
      <c r="N27" s="166">
        <f>M27*$O$4</f>
        <v>212326.80534809688</v>
      </c>
      <c r="O27" s="167">
        <f>N27/$E$18</f>
        <v>30332.400764013841</v>
      </c>
      <c r="P27" s="284">
        <f>HLOOKUP(Q$2,InflationTable,2)/HLOOKUP(Labor!$B$11,InflationTable,2)*$I27</f>
        <v>898.64457035294106</v>
      </c>
      <c r="Q27" s="245">
        <f>P27*$R$4</f>
        <v>216573.34145505881</v>
      </c>
      <c r="R27" s="246">
        <f>Q27/$E$18</f>
        <v>30939.048779294117</v>
      </c>
      <c r="S27" s="169">
        <f>AVERAGE(L27,O27,R27)</f>
        <v>30145.739836235294</v>
      </c>
      <c r="T27" s="323" t="s">
        <v>12</v>
      </c>
      <c r="U27" s="322" t="s">
        <v>12</v>
      </c>
    </row>
    <row r="28" spans="1:21" ht="13" x14ac:dyDescent="0.3">
      <c r="A28" s="510"/>
      <c r="B28" s="501" t="s">
        <v>66</v>
      </c>
      <c r="C28" s="28">
        <f t="shared" ref="C28:I28" si="1">C24+C26</f>
        <v>0</v>
      </c>
      <c r="D28" s="28">
        <f t="shared" si="1"/>
        <v>8</v>
      </c>
      <c r="E28" s="28">
        <f t="shared" si="1"/>
        <v>8</v>
      </c>
      <c r="F28" s="28">
        <f t="shared" si="1"/>
        <v>4</v>
      </c>
      <c r="G28" s="28">
        <f t="shared" si="1"/>
        <v>0</v>
      </c>
      <c r="H28" s="28">
        <f t="shared" si="1"/>
        <v>0</v>
      </c>
      <c r="I28" s="42">
        <f t="shared" si="1"/>
        <v>20</v>
      </c>
      <c r="J28" s="234" t="s">
        <v>12</v>
      </c>
      <c r="K28" s="235">
        <f>K24+K26</f>
        <v>4868.2</v>
      </c>
      <c r="L28" s="236">
        <f>L24+L26</f>
        <v>695.45714285714291</v>
      </c>
      <c r="M28" s="38" t="s">
        <v>12</v>
      </c>
      <c r="N28" s="28">
        <f>N24+N26</f>
        <v>4868.2</v>
      </c>
      <c r="O28" s="34">
        <f>O24+O26</f>
        <v>695.45714285714291</v>
      </c>
      <c r="P28" s="234" t="s">
        <v>12</v>
      </c>
      <c r="Q28" s="235">
        <f>Q24+Q26</f>
        <v>4868.2</v>
      </c>
      <c r="R28" s="236">
        <f>R24+R26</f>
        <v>695.45714285714291</v>
      </c>
      <c r="S28" s="142">
        <f>AVERAGE(L28,O28,R28)</f>
        <v>695.45714285714291</v>
      </c>
      <c r="T28" s="42" t="s">
        <v>12</v>
      </c>
      <c r="U28" s="119" t="s">
        <v>12</v>
      </c>
    </row>
    <row r="29" spans="1:21" ht="13.5" thickBot="1" x14ac:dyDescent="0.35">
      <c r="A29" s="510"/>
      <c r="B29" s="502" t="s">
        <v>67</v>
      </c>
      <c r="C29" s="194">
        <f t="shared" ref="C29:J29" si="2">C27+C25</f>
        <v>0</v>
      </c>
      <c r="D29" s="194">
        <f t="shared" si="2"/>
        <v>194</v>
      </c>
      <c r="E29" s="194">
        <f t="shared" si="2"/>
        <v>202</v>
      </c>
      <c r="F29" s="194">
        <f t="shared" si="2"/>
        <v>110</v>
      </c>
      <c r="G29" s="194">
        <f t="shared" si="2"/>
        <v>0</v>
      </c>
      <c r="H29" s="194">
        <f t="shared" si="2"/>
        <v>0</v>
      </c>
      <c r="I29" s="195">
        <f t="shared" si="2"/>
        <v>506</v>
      </c>
      <c r="J29" s="224">
        <f t="shared" si="2"/>
        <v>1082.4548096885812</v>
      </c>
      <c r="K29" s="237"/>
      <c r="L29" s="226">
        <f>L27+L25+L22+L21</f>
        <v>474695.83965335682</v>
      </c>
      <c r="M29" s="196">
        <f>M27+M25</f>
        <v>1125.7530020761246</v>
      </c>
      <c r="N29" s="201"/>
      <c r="O29" s="197">
        <f>O27+O25+O22+O21</f>
        <v>493262.38989554642</v>
      </c>
      <c r="P29" s="224">
        <f>P27+P25</f>
        <v>1148.2680621176469</v>
      </c>
      <c r="Q29" s="237"/>
      <c r="R29" s="226">
        <f>R27+R25+R22+R21</f>
        <v>503127.63769345731</v>
      </c>
      <c r="S29" s="202">
        <f>SUM(S27,S25)</f>
        <v>38654.583170214537</v>
      </c>
      <c r="T29" s="203" t="s">
        <v>12</v>
      </c>
      <c r="U29" s="204">
        <f>SUM(U21:U22)</f>
        <v>451707.372577239</v>
      </c>
    </row>
    <row r="30" spans="1:21" ht="13.5" thickTop="1" thickBot="1" x14ac:dyDescent="0.3">
      <c r="A30" s="510"/>
      <c r="C30" s="513"/>
      <c r="D30" s="513"/>
      <c r="E30" s="513"/>
      <c r="F30" s="513"/>
      <c r="G30" s="513"/>
      <c r="H30" s="513"/>
      <c r="I30" s="513"/>
      <c r="J30" s="513"/>
      <c r="K30" s="513"/>
      <c r="L30" s="513"/>
      <c r="M30" s="513"/>
      <c r="N30" s="513"/>
      <c r="O30" s="513"/>
      <c r="P30" s="513"/>
      <c r="Q30" s="513"/>
      <c r="R30" s="513"/>
      <c r="S30" s="513"/>
      <c r="T30" s="513"/>
      <c r="U30" s="515"/>
    </row>
    <row r="31" spans="1:21" ht="16" thickTop="1" x14ac:dyDescent="0.35">
      <c r="A31" s="510"/>
      <c r="B31" s="508" t="s">
        <v>22</v>
      </c>
      <c r="F31" s="1" t="s">
        <v>6</v>
      </c>
      <c r="G31" s="1160"/>
      <c r="H31" s="1161"/>
      <c r="I31" s="1162"/>
      <c r="J31" s="198" t="s">
        <v>22</v>
      </c>
      <c r="L31" s="62"/>
      <c r="M31" s="198" t="s">
        <v>22</v>
      </c>
      <c r="O31" s="31"/>
      <c r="P31" s="198" t="s">
        <v>22</v>
      </c>
      <c r="R31" s="31"/>
      <c r="S31" s="97"/>
      <c r="T31" s="31"/>
      <c r="U31" s="111"/>
    </row>
    <row r="32" spans="1:21" ht="13" x14ac:dyDescent="0.3">
      <c r="A32" s="510"/>
      <c r="F32" s="1"/>
      <c r="G32" s="1163"/>
      <c r="H32" s="1163"/>
      <c r="I32" s="1164"/>
      <c r="J32" s="227" t="s">
        <v>61</v>
      </c>
      <c r="K32" s="1182" t="s">
        <v>57</v>
      </c>
      <c r="L32" s="1183"/>
      <c r="M32" s="50" t="s">
        <v>61</v>
      </c>
      <c r="N32" s="1177" t="s">
        <v>57</v>
      </c>
      <c r="O32" s="1178"/>
      <c r="P32" s="227" t="s">
        <v>61</v>
      </c>
      <c r="Q32" s="1167" t="s">
        <v>57</v>
      </c>
      <c r="R32" s="1168"/>
      <c r="S32" s="106"/>
      <c r="T32" s="31"/>
      <c r="U32" s="111"/>
    </row>
    <row r="33" spans="1:21" ht="13" x14ac:dyDescent="0.3">
      <c r="A33" s="510"/>
      <c r="B33" s="506" t="s">
        <v>18</v>
      </c>
      <c r="C33" s="20" t="s">
        <v>60</v>
      </c>
      <c r="D33" s="20" t="s">
        <v>62</v>
      </c>
      <c r="E33" s="7"/>
      <c r="F33" s="61"/>
      <c r="G33" s="61"/>
      <c r="H33" s="61"/>
      <c r="I33" s="31"/>
      <c r="J33" s="211" t="s">
        <v>56</v>
      </c>
      <c r="K33" s="211" t="s">
        <v>13</v>
      </c>
      <c r="L33" s="212" t="s">
        <v>68</v>
      </c>
      <c r="M33" s="66" t="s">
        <v>56</v>
      </c>
      <c r="N33" s="20" t="s">
        <v>13</v>
      </c>
      <c r="O33" s="32" t="s">
        <v>68</v>
      </c>
      <c r="P33" s="210" t="s">
        <v>56</v>
      </c>
      <c r="Q33" s="211" t="s">
        <v>13</v>
      </c>
      <c r="R33" s="212" t="s">
        <v>68</v>
      </c>
      <c r="S33" s="98"/>
      <c r="T33" s="31"/>
      <c r="U33" s="111"/>
    </row>
    <row r="34" spans="1:21" ht="13.5" thickBot="1" x14ac:dyDescent="0.35">
      <c r="A34" s="510"/>
      <c r="B34" s="300"/>
      <c r="C34" s="84">
        <f>VLOOKUP(C$2,Monitor_Costs,4,FALSE)</f>
        <v>800</v>
      </c>
      <c r="D34" s="29">
        <f>VLOOKUP(C$2,Monitor_Costs,5,FALSE)</f>
        <v>2019</v>
      </c>
      <c r="E34" s="3"/>
      <c r="F34" s="9"/>
      <c r="G34" s="3"/>
      <c r="H34" s="300"/>
      <c r="I34" s="301"/>
      <c r="J34" s="229">
        <f>HLOOKUP(K$2,InflationTable,2)/HLOOKUP($D34,InflationTable,2)*$C$34</f>
        <v>967.13335940555339</v>
      </c>
      <c r="K34" s="295">
        <f>J34*$L$4</f>
        <v>233079.13961673836</v>
      </c>
      <c r="L34" s="256">
        <f>K34</f>
        <v>233079.13961673836</v>
      </c>
      <c r="M34" s="23">
        <f>HLOOKUP(N$2,InflationTable,2)/HLOOKUP($D34,InflationTable,2)*$C$34</f>
        <v>1005.8186937817756</v>
      </c>
      <c r="N34" s="84">
        <f>M34*$O$4</f>
        <v>242402.3052014079</v>
      </c>
      <c r="O34" s="77">
        <f>N34</f>
        <v>242402.3052014079</v>
      </c>
      <c r="P34" s="229">
        <f>HLOOKUP(Q$2,InflationTable,2)/HLOOKUP($D34,InflationTable,2)*$C$34</f>
        <v>1025.9350676574111</v>
      </c>
      <c r="Q34" s="295">
        <f>P34*$R$4</f>
        <v>247250.35130543608</v>
      </c>
      <c r="R34" s="256">
        <f>Q34</f>
        <v>247250.35130543608</v>
      </c>
      <c r="S34" s="298" t="s">
        <v>12</v>
      </c>
      <c r="T34" s="299">
        <f>AVERAGE(L34,O34,R34)</f>
        <v>240910.5987078608</v>
      </c>
      <c r="U34" s="115" t="s">
        <v>12</v>
      </c>
    </row>
    <row r="35" spans="1:21" ht="13" x14ac:dyDescent="0.3">
      <c r="A35" s="510"/>
      <c r="B35" s="378" t="s">
        <v>23</v>
      </c>
      <c r="C35" s="86" t="s">
        <v>45</v>
      </c>
      <c r="D35" s="86" t="s">
        <v>46</v>
      </c>
      <c r="E35" s="86" t="s">
        <v>47</v>
      </c>
      <c r="F35" s="86" t="s">
        <v>48</v>
      </c>
      <c r="G35" s="86" t="s">
        <v>49</v>
      </c>
      <c r="H35" s="86" t="s">
        <v>50</v>
      </c>
      <c r="I35" s="145" t="s">
        <v>74</v>
      </c>
      <c r="J35" s="293"/>
      <c r="K35" s="293"/>
      <c r="L35" s="296"/>
      <c r="M35" s="88"/>
      <c r="N35" s="86"/>
      <c r="O35" s="87"/>
      <c r="P35" s="293"/>
      <c r="Q35" s="293"/>
      <c r="R35" s="296"/>
      <c r="S35" s="98"/>
      <c r="T35" s="31"/>
      <c r="U35" s="111"/>
    </row>
    <row r="36" spans="1:21" x14ac:dyDescent="0.25">
      <c r="A36" s="510"/>
      <c r="B36" s="509" t="s">
        <v>4</v>
      </c>
      <c r="C36" s="18">
        <v>0</v>
      </c>
      <c r="D36" s="18">
        <v>60</v>
      </c>
      <c r="E36" s="18">
        <v>60</v>
      </c>
      <c r="F36" s="18">
        <v>0</v>
      </c>
      <c r="G36" s="18">
        <v>0</v>
      </c>
      <c r="H36" s="18">
        <v>0</v>
      </c>
      <c r="I36" s="41">
        <f>SUM(C36:H36)</f>
        <v>120</v>
      </c>
      <c r="J36" s="247" t="s">
        <v>12</v>
      </c>
      <c r="K36" s="231">
        <f>I36*$L$4</f>
        <v>28920</v>
      </c>
      <c r="L36" s="239">
        <f>K36</f>
        <v>28920</v>
      </c>
      <c r="M36" s="51" t="s">
        <v>12</v>
      </c>
      <c r="N36" s="58">
        <f>$I$36*$O$4</f>
        <v>28920</v>
      </c>
      <c r="O36" s="57">
        <f>N36</f>
        <v>28920</v>
      </c>
      <c r="P36" s="247" t="s">
        <v>12</v>
      </c>
      <c r="Q36" s="231">
        <f>$I$36*$R$4</f>
        <v>28920</v>
      </c>
      <c r="R36" s="239">
        <f>Q36</f>
        <v>28920</v>
      </c>
      <c r="S36" s="96">
        <f>AVERAGE(L36,O36,R36)</f>
        <v>28920</v>
      </c>
      <c r="T36" s="94" t="s">
        <v>12</v>
      </c>
      <c r="U36" s="113" t="s">
        <v>12</v>
      </c>
    </row>
    <row r="37" spans="1:21" s="1" customFormat="1" ht="13.5" thickBot="1" x14ac:dyDescent="0.35">
      <c r="A37" s="511"/>
      <c r="B37" s="500" t="s">
        <v>8</v>
      </c>
      <c r="C37" s="310">
        <f>ROUND(C36*Labor!$D$3,0)</f>
        <v>0</v>
      </c>
      <c r="D37" s="310">
        <f>ROUND(D36*Labor!$D$4,0)</f>
        <v>1452</v>
      </c>
      <c r="E37" s="310">
        <f>ROUND(E36*Labor!$D$5,0)</f>
        <v>1513</v>
      </c>
      <c r="F37" s="310">
        <f>ROUND(F36*Labor!$D$6,0)</f>
        <v>0</v>
      </c>
      <c r="G37" s="310">
        <f>ROUND(G36*Labor!$D$7,0)</f>
        <v>0</v>
      </c>
      <c r="H37" s="310">
        <f>ROUND(H36*Labor!$D$8,0)</f>
        <v>0</v>
      </c>
      <c r="I37" s="311">
        <f>SUM(C37:H37)</f>
        <v>2965</v>
      </c>
      <c r="J37" s="1124">
        <f>HLOOKUP(K$2,InflationTable,2)/HLOOKUP(Labor!$B$11,InflationTable,2)*$I37</f>
        <v>6342.842906574394</v>
      </c>
      <c r="K37" s="245">
        <f>J37*$L$4</f>
        <v>1528625.140484429</v>
      </c>
      <c r="L37" s="320">
        <f>K37</f>
        <v>1528625.140484429</v>
      </c>
      <c r="M37" s="169">
        <f>HLOOKUP(N$2,InflationTable,2)/HLOOKUP(Labor!$B$11,InflationTable,2)*$I37</f>
        <v>6596.5566228373709</v>
      </c>
      <c r="N37" s="166">
        <f>M37*$O$4</f>
        <v>1589770.1461038063</v>
      </c>
      <c r="O37" s="167">
        <f>N37</f>
        <v>1589770.1461038063</v>
      </c>
      <c r="P37" s="284">
        <f>HLOOKUP(Q$2,InflationTable,2)/HLOOKUP(Labor!$B$11,InflationTable,2)*$I37</f>
        <v>6728.4877552941171</v>
      </c>
      <c r="Q37" s="245">
        <f>P37*$R$4</f>
        <v>1621565.5490258823</v>
      </c>
      <c r="R37" s="320">
        <f>Q37</f>
        <v>1621565.5490258823</v>
      </c>
      <c r="S37" s="169">
        <f>AVERAGE(L37,O37,R37)</f>
        <v>1579986.9452047059</v>
      </c>
      <c r="T37" s="323" t="s">
        <v>12</v>
      </c>
      <c r="U37" s="322" t="s">
        <v>12</v>
      </c>
    </row>
    <row r="38" spans="1:21" ht="13" x14ac:dyDescent="0.3">
      <c r="A38" s="510"/>
      <c r="B38" s="501" t="s">
        <v>66</v>
      </c>
      <c r="C38" s="30">
        <f t="shared" ref="C38:I38" si="3">C36</f>
        <v>0</v>
      </c>
      <c r="D38" s="30">
        <f t="shared" si="3"/>
        <v>60</v>
      </c>
      <c r="E38" s="30">
        <f t="shared" si="3"/>
        <v>60</v>
      </c>
      <c r="F38" s="30">
        <f t="shared" si="3"/>
        <v>0</v>
      </c>
      <c r="G38" s="30">
        <f t="shared" si="3"/>
        <v>0</v>
      </c>
      <c r="H38" s="30">
        <f t="shared" si="3"/>
        <v>0</v>
      </c>
      <c r="I38" s="44">
        <f t="shared" si="3"/>
        <v>120</v>
      </c>
      <c r="J38" s="255" t="s">
        <v>12</v>
      </c>
      <c r="K38" s="250">
        <f>K36</f>
        <v>28920</v>
      </c>
      <c r="L38" s="251">
        <f>L36</f>
        <v>28920</v>
      </c>
      <c r="M38" s="70" t="s">
        <v>12</v>
      </c>
      <c r="N38" s="69">
        <f>N36</f>
        <v>28920</v>
      </c>
      <c r="O38" s="78">
        <f>O36</f>
        <v>28920</v>
      </c>
      <c r="P38" s="249" t="s">
        <v>12</v>
      </c>
      <c r="Q38" s="250">
        <f>Q36</f>
        <v>28920</v>
      </c>
      <c r="R38" s="251">
        <f>R36</f>
        <v>28920</v>
      </c>
      <c r="S38" s="78">
        <f>S36</f>
        <v>28920</v>
      </c>
      <c r="T38" s="42" t="s">
        <v>12</v>
      </c>
      <c r="U38" s="119" t="s">
        <v>12</v>
      </c>
    </row>
    <row r="39" spans="1:21" ht="13.5" thickBot="1" x14ac:dyDescent="0.35">
      <c r="A39" s="510"/>
      <c r="B39" s="502" t="s">
        <v>67</v>
      </c>
      <c r="C39" s="194">
        <f t="shared" ref="C39:H39" si="4">C38</f>
        <v>0</v>
      </c>
      <c r="D39" s="194">
        <f t="shared" si="4"/>
        <v>60</v>
      </c>
      <c r="E39" s="194">
        <f t="shared" si="4"/>
        <v>60</v>
      </c>
      <c r="F39" s="194">
        <f t="shared" si="4"/>
        <v>0</v>
      </c>
      <c r="G39" s="194">
        <f t="shared" si="4"/>
        <v>0</v>
      </c>
      <c r="H39" s="194">
        <f t="shared" si="4"/>
        <v>0</v>
      </c>
      <c r="I39" s="205">
        <f>I37+C34</f>
        <v>3765</v>
      </c>
      <c r="J39" s="253">
        <f t="shared" ref="J39:R39" si="5">J37+J34</f>
        <v>7309.9762659799471</v>
      </c>
      <c r="K39" s="253">
        <f t="shared" si="5"/>
        <v>1761704.2801011673</v>
      </c>
      <c r="L39" s="254">
        <f t="shared" si="5"/>
        <v>1761704.2801011673</v>
      </c>
      <c r="M39" s="176">
        <f t="shared" si="5"/>
        <v>7602.3753166191464</v>
      </c>
      <c r="N39" s="177">
        <f t="shared" si="5"/>
        <v>1832172.4513052143</v>
      </c>
      <c r="O39" s="178">
        <f t="shared" si="5"/>
        <v>1832172.4513052143</v>
      </c>
      <c r="P39" s="252">
        <f t="shared" si="5"/>
        <v>7754.4228229515284</v>
      </c>
      <c r="Q39" s="253">
        <f t="shared" si="5"/>
        <v>1868815.9003313184</v>
      </c>
      <c r="R39" s="254">
        <f t="shared" si="5"/>
        <v>1868815.9003313184</v>
      </c>
      <c r="S39" s="206">
        <f>AVERAGE(L39,O39,R39)</f>
        <v>1820897.5439125665</v>
      </c>
      <c r="T39" s="205">
        <f>T34</f>
        <v>240910.5987078608</v>
      </c>
      <c r="U39" s="180" t="s">
        <v>12</v>
      </c>
    </row>
    <row r="40" spans="1:21" ht="13.5" thickTop="1" thickBot="1" x14ac:dyDescent="0.3">
      <c r="A40" s="510"/>
      <c r="B40" s="512"/>
      <c r="C40" s="513"/>
      <c r="D40" s="513"/>
      <c r="E40" s="513"/>
      <c r="F40" s="513"/>
      <c r="G40" s="513"/>
      <c r="H40" s="513"/>
      <c r="I40" s="513"/>
      <c r="J40" s="513"/>
      <c r="K40" s="513"/>
      <c r="L40" s="513"/>
      <c r="M40" s="513"/>
      <c r="N40" s="512"/>
      <c r="O40" s="513"/>
      <c r="P40" s="513"/>
      <c r="Q40" s="513"/>
      <c r="R40" s="513"/>
      <c r="S40" s="513"/>
      <c r="T40" s="513"/>
      <c r="U40" s="515"/>
    </row>
    <row r="41" spans="1:21" ht="16" thickTop="1" x14ac:dyDescent="0.35">
      <c r="A41" s="510"/>
      <c r="B41" s="2" t="s">
        <v>24</v>
      </c>
      <c r="F41" s="1" t="s">
        <v>6</v>
      </c>
      <c r="G41" s="1160"/>
      <c r="H41" s="1161"/>
      <c r="I41" s="1162"/>
      <c r="J41" s="2" t="s">
        <v>24</v>
      </c>
      <c r="L41" s="62"/>
      <c r="M41" s="2" t="s">
        <v>24</v>
      </c>
      <c r="N41" s="61"/>
      <c r="O41" s="31"/>
      <c r="P41" s="2" t="s">
        <v>24</v>
      </c>
      <c r="R41" s="31"/>
      <c r="S41" s="97"/>
      <c r="T41" s="31"/>
      <c r="U41" s="111"/>
    </row>
    <row r="42" spans="1:21" ht="13" x14ac:dyDescent="0.3">
      <c r="A42" s="510"/>
      <c r="F42" s="1"/>
      <c r="G42" s="1163"/>
      <c r="H42" s="1163"/>
      <c r="I42" s="1164"/>
      <c r="J42" s="227" t="s">
        <v>61</v>
      </c>
      <c r="K42" s="1167" t="s">
        <v>57</v>
      </c>
      <c r="L42" s="1168"/>
      <c r="M42" s="50" t="s">
        <v>61</v>
      </c>
      <c r="N42" s="1177" t="s">
        <v>57</v>
      </c>
      <c r="O42" s="1178"/>
      <c r="P42" s="227" t="s">
        <v>61</v>
      </c>
      <c r="Q42" s="1167" t="s">
        <v>57</v>
      </c>
      <c r="R42" s="1168"/>
      <c r="S42" s="106"/>
      <c r="T42" s="31"/>
      <c r="U42" s="111"/>
    </row>
    <row r="43" spans="1:21" ht="13" x14ac:dyDescent="0.3">
      <c r="A43" s="510"/>
      <c r="B43" s="506" t="s">
        <v>19</v>
      </c>
      <c r="C43" s="20" t="s">
        <v>60</v>
      </c>
      <c r="D43" s="20" t="s">
        <v>62</v>
      </c>
      <c r="E43" s="7"/>
      <c r="F43" s="61"/>
      <c r="G43" s="61"/>
      <c r="H43" s="61"/>
      <c r="I43" s="62"/>
      <c r="J43" s="210" t="s">
        <v>56</v>
      </c>
      <c r="K43" s="211" t="s">
        <v>13</v>
      </c>
      <c r="L43" s="212" t="s">
        <v>68</v>
      </c>
      <c r="M43" s="66" t="s">
        <v>56</v>
      </c>
      <c r="N43" s="20" t="s">
        <v>13</v>
      </c>
      <c r="O43" s="32" t="s">
        <v>68</v>
      </c>
      <c r="P43" s="210" t="s">
        <v>56</v>
      </c>
      <c r="Q43" s="211" t="s">
        <v>13</v>
      </c>
      <c r="R43" s="212" t="s">
        <v>68</v>
      </c>
      <c r="S43" s="98"/>
      <c r="T43" s="62"/>
      <c r="U43" s="111"/>
    </row>
    <row r="44" spans="1:21" ht="13" thickBot="1" x14ac:dyDescent="0.3">
      <c r="A44" s="510"/>
      <c r="B44" s="300"/>
      <c r="C44" s="84">
        <f>VLOOKUP(C$2,Monitor_Costs,6,FALSE)</f>
        <v>1000</v>
      </c>
      <c r="D44" s="29">
        <f>VLOOKUP(C$2,Monitor_Costs,7,FALSE)</f>
        <v>2019</v>
      </c>
      <c r="E44" s="294"/>
      <c r="F44" s="60"/>
      <c r="G44" s="49"/>
      <c r="H44" s="49"/>
      <c r="I44" s="47"/>
      <c r="J44" s="229">
        <f>HLOOKUP(K$2,InflationTable,2)/HLOOKUP($D44,InflationTable,2)*$C$44</f>
        <v>1208.9166992569417</v>
      </c>
      <c r="K44" s="295">
        <f>J44*$L$4</f>
        <v>291348.92452092294</v>
      </c>
      <c r="L44" s="256">
        <f>K44</f>
        <v>291348.92452092294</v>
      </c>
      <c r="M44" s="23">
        <f>HLOOKUP(N$2,InflationTable,2)/HLOOKUP($D44,InflationTable,2)*$C$44</f>
        <v>1257.2733672272193</v>
      </c>
      <c r="N44" s="84">
        <f>M44*$O$4</f>
        <v>303002.88150175987</v>
      </c>
      <c r="O44" s="77">
        <f>N44</f>
        <v>303002.88150175987</v>
      </c>
      <c r="P44" s="229">
        <f>HLOOKUP(Q$2,InflationTable,2)/HLOOKUP($D44,InflationTable,2)*$C$44</f>
        <v>1282.4188345717637</v>
      </c>
      <c r="Q44" s="295">
        <f>P44*$R$4</f>
        <v>309062.93913179502</v>
      </c>
      <c r="R44" s="256">
        <f>Q44</f>
        <v>309062.93913179502</v>
      </c>
      <c r="S44" s="298" t="s">
        <v>12</v>
      </c>
      <c r="T44" s="299">
        <f>AVERAGE(L44,O44,R44)</f>
        <v>301138.24838482594</v>
      </c>
      <c r="U44" s="115" t="s">
        <v>12</v>
      </c>
    </row>
    <row r="45" spans="1:21" ht="13" x14ac:dyDescent="0.3">
      <c r="A45" s="510"/>
      <c r="B45" s="378" t="s">
        <v>25</v>
      </c>
      <c r="C45" s="86" t="s">
        <v>45</v>
      </c>
      <c r="D45" s="86" t="s">
        <v>46</v>
      </c>
      <c r="E45" s="86" t="s">
        <v>47</v>
      </c>
      <c r="F45" s="86" t="s">
        <v>48</v>
      </c>
      <c r="G45" s="86" t="s">
        <v>49</v>
      </c>
      <c r="H45" s="86" t="s">
        <v>50</v>
      </c>
      <c r="I45" s="145" t="s">
        <v>74</v>
      </c>
      <c r="J45" s="292"/>
      <c r="K45" s="293"/>
      <c r="L45" s="296"/>
      <c r="M45" s="88"/>
      <c r="N45" s="86"/>
      <c r="O45" s="87"/>
      <c r="P45" s="292"/>
      <c r="Q45" s="293"/>
      <c r="R45" s="296"/>
      <c r="S45" s="109"/>
      <c r="T45" s="42"/>
      <c r="U45" s="111"/>
    </row>
    <row r="46" spans="1:21" x14ac:dyDescent="0.25">
      <c r="B46" s="464" t="s">
        <v>4</v>
      </c>
      <c r="C46" s="18">
        <v>0</v>
      </c>
      <c r="D46" s="18">
        <v>6</v>
      </c>
      <c r="E46" s="18">
        <v>3</v>
      </c>
      <c r="F46" s="18">
        <v>3</v>
      </c>
      <c r="G46" s="18">
        <v>0</v>
      </c>
      <c r="H46" s="18">
        <v>0</v>
      </c>
      <c r="I46" s="45">
        <f>SUM(C46:H46)</f>
        <v>12</v>
      </c>
      <c r="J46" s="213" t="s">
        <v>12</v>
      </c>
      <c r="K46" s="231">
        <f>I46*$L$4</f>
        <v>2892</v>
      </c>
      <c r="L46" s="239">
        <f>K46</f>
        <v>2892</v>
      </c>
      <c r="M46" s="51" t="s">
        <v>12</v>
      </c>
      <c r="N46" s="58">
        <f>$I$46*$O$4</f>
        <v>2892</v>
      </c>
      <c r="O46" s="57">
        <f>N46</f>
        <v>2892</v>
      </c>
      <c r="P46" s="213" t="s">
        <v>12</v>
      </c>
      <c r="Q46" s="231">
        <f>$I$46*$R$4</f>
        <v>2892</v>
      </c>
      <c r="R46" s="239">
        <f>Q46</f>
        <v>2892</v>
      </c>
      <c r="S46" s="96">
        <f>AVERAGE(L46,O46,R46)</f>
        <v>2892</v>
      </c>
      <c r="T46" s="94" t="s">
        <v>12</v>
      </c>
      <c r="U46" s="113" t="s">
        <v>12</v>
      </c>
    </row>
    <row r="47" spans="1:21" ht="13.5" thickBot="1" x14ac:dyDescent="0.35">
      <c r="B47" s="465" t="s">
        <v>8</v>
      </c>
      <c r="C47" s="29">
        <f>ROUND(C46*Labor!$D$3,0)</f>
        <v>0</v>
      </c>
      <c r="D47" s="29">
        <f>ROUND(D46*Labor!$D$4,0)</f>
        <v>145</v>
      </c>
      <c r="E47" s="29">
        <f>ROUND(E46*Labor!$D$5,0)</f>
        <v>76</v>
      </c>
      <c r="F47" s="29">
        <f>ROUND(F46*Labor!$D$6,0)</f>
        <v>83</v>
      </c>
      <c r="G47" s="29">
        <f>ROUND(G46*Labor!$D$7,0)</f>
        <v>0</v>
      </c>
      <c r="H47" s="29">
        <f>ROUND(H46*Labor!$D$8,0)</f>
        <v>0</v>
      </c>
      <c r="I47" s="33">
        <f>SUM(C47:H47)</f>
        <v>304</v>
      </c>
      <c r="J47" s="1124">
        <f>HLOOKUP(K$2,InflationTable,2)/HLOOKUP(Labor!$B$11,InflationTable,2)*$I47</f>
        <v>650.32858131487887</v>
      </c>
      <c r="K47" s="219">
        <f>J47*$L$4</f>
        <v>156729.1880968858</v>
      </c>
      <c r="L47" s="256">
        <f>K47</f>
        <v>156729.1880968858</v>
      </c>
      <c r="M47" s="169">
        <f>HLOOKUP(N$2,InflationTable,2)/HLOOKUP(Labor!$B$11,InflationTable,2)*$I47</f>
        <v>676.3417245674741</v>
      </c>
      <c r="N47" s="55">
        <f>M47*$O$4</f>
        <v>162998.35562076126</v>
      </c>
      <c r="O47" s="77">
        <f>N47</f>
        <v>162998.35562076126</v>
      </c>
      <c r="P47" s="284">
        <f>HLOOKUP(Q$2,InflationTable,2)/HLOOKUP(Labor!$B$11,InflationTable,2)*$I47</f>
        <v>689.86855905882339</v>
      </c>
      <c r="Q47" s="219">
        <f>P47*$O$4</f>
        <v>166258.32273317644</v>
      </c>
      <c r="R47" s="256">
        <f>Q47</f>
        <v>166258.32273317644</v>
      </c>
      <c r="S47" s="103">
        <f>AVERAGE(L47,O47,R47)</f>
        <v>161995.28881694117</v>
      </c>
      <c r="T47" s="121" t="s">
        <v>12</v>
      </c>
      <c r="U47" s="115" t="s">
        <v>12</v>
      </c>
    </row>
    <row r="48" spans="1:21" ht="13" x14ac:dyDescent="0.3">
      <c r="B48" s="106" t="s">
        <v>117</v>
      </c>
      <c r="C48" s="290">
        <v>0</v>
      </c>
      <c r="D48" s="290">
        <v>16</v>
      </c>
      <c r="E48" s="290">
        <v>8</v>
      </c>
      <c r="F48" s="290">
        <v>32</v>
      </c>
      <c r="G48" s="290">
        <v>0</v>
      </c>
      <c r="H48" s="290">
        <v>0</v>
      </c>
      <c r="I48" s="291">
        <f>SUM(C48:H48)</f>
        <v>56</v>
      </c>
      <c r="J48" s="1125" t="s">
        <v>12</v>
      </c>
      <c r="K48" s="273">
        <f>I48*$L$4</f>
        <v>13496</v>
      </c>
      <c r="L48" s="274">
        <f>K48</f>
        <v>13496</v>
      </c>
      <c r="M48" s="53" t="s">
        <v>12</v>
      </c>
      <c r="N48" s="147">
        <f>$I$48*$O$4</f>
        <v>13496</v>
      </c>
      <c r="O48" s="148">
        <f>N48</f>
        <v>13496</v>
      </c>
      <c r="P48" s="242" t="s">
        <v>12</v>
      </c>
      <c r="Q48" s="273">
        <f>$I$48*$R$4</f>
        <v>13496</v>
      </c>
      <c r="R48" s="274">
        <f>Q48</f>
        <v>13496</v>
      </c>
      <c r="S48" s="104">
        <f>AVERAGE(L48,O48,R48)</f>
        <v>13496</v>
      </c>
      <c r="T48" s="94" t="s">
        <v>12</v>
      </c>
      <c r="U48" s="113" t="s">
        <v>12</v>
      </c>
    </row>
    <row r="49" spans="2:21" ht="13.5" thickBot="1" x14ac:dyDescent="0.35">
      <c r="B49" s="466" t="s">
        <v>8</v>
      </c>
      <c r="C49" s="29">
        <f>ROUND(C48*Labor!$D$3,0)</f>
        <v>0</v>
      </c>
      <c r="D49" s="29">
        <f>ROUND(D48*Labor!$D$4,0)</f>
        <v>387</v>
      </c>
      <c r="E49" s="29">
        <f>ROUND(E48*Labor!$D$5,0)</f>
        <v>202</v>
      </c>
      <c r="F49" s="29">
        <f>ROUND(F48*Labor!$D$6,0)</f>
        <v>882</v>
      </c>
      <c r="G49" s="29">
        <f>ROUND(G48*Labor!$D$7,0)</f>
        <v>0</v>
      </c>
      <c r="H49" s="29">
        <f>ROUND(H48*Labor!$D$8,0)</f>
        <v>0</v>
      </c>
      <c r="I49" s="33">
        <f>SUM(C49:H49)</f>
        <v>1471</v>
      </c>
      <c r="J49" s="1124">
        <f>HLOOKUP(K$2,InflationTable,2)/HLOOKUP(Labor!$B$11,InflationTable,2)*$I49</f>
        <v>3146.8202076124567</v>
      </c>
      <c r="K49" s="219">
        <f>J49*$L$4</f>
        <v>758383.67003460205</v>
      </c>
      <c r="L49" s="256">
        <f>K49</f>
        <v>758383.67003460205</v>
      </c>
      <c r="M49" s="169">
        <f>HLOOKUP(N$2,InflationTable,2)/HLOOKUP(Labor!$B$11,InflationTable,2)*$I49</f>
        <v>3272.6930159169551</v>
      </c>
      <c r="N49" s="55">
        <f>M49*$O$4</f>
        <v>788719.01683598617</v>
      </c>
      <c r="O49" s="77">
        <f>N49</f>
        <v>788719.01683598617</v>
      </c>
      <c r="P49" s="284">
        <f>HLOOKUP(Q$2,InflationTable,2)/HLOOKUP(Labor!$B$11,InflationTable,2)*$I49</f>
        <v>3338.1468762352938</v>
      </c>
      <c r="Q49" s="219">
        <f>P49*$R$4</f>
        <v>804493.39717270585</v>
      </c>
      <c r="R49" s="256">
        <f>Q49</f>
        <v>804493.39717270585</v>
      </c>
      <c r="S49" s="107">
        <f>AVERAGE(L49,O49,R49)</f>
        <v>783865.36134776473</v>
      </c>
      <c r="T49" s="121" t="s">
        <v>12</v>
      </c>
      <c r="U49" s="115" t="s">
        <v>12</v>
      </c>
    </row>
    <row r="50" spans="2:21" ht="13" x14ac:dyDescent="0.3">
      <c r="B50" s="139" t="s">
        <v>66</v>
      </c>
      <c r="C50" s="30">
        <f t="shared" ref="C50:I50" si="6">C46+C48</f>
        <v>0</v>
      </c>
      <c r="D50" s="30">
        <f t="shared" si="6"/>
        <v>22</v>
      </c>
      <c r="E50" s="30">
        <f t="shared" si="6"/>
        <v>11</v>
      </c>
      <c r="F50" s="30">
        <f t="shared" si="6"/>
        <v>35</v>
      </c>
      <c r="G50" s="30">
        <f t="shared" si="6"/>
        <v>0</v>
      </c>
      <c r="H50" s="30">
        <f t="shared" si="6"/>
        <v>0</v>
      </c>
      <c r="I50" s="39">
        <f t="shared" si="6"/>
        <v>68</v>
      </c>
      <c r="J50" s="249" t="s">
        <v>12</v>
      </c>
      <c r="K50" s="257">
        <f>K46+K48</f>
        <v>16388</v>
      </c>
      <c r="L50" s="258">
        <f>L46+L48</f>
        <v>16388</v>
      </c>
      <c r="M50" s="70" t="s">
        <v>12</v>
      </c>
      <c r="N50" s="71">
        <f>N46+N48</f>
        <v>16388</v>
      </c>
      <c r="O50" s="79">
        <f>O46+O48</f>
        <v>16388</v>
      </c>
      <c r="P50" s="249" t="s">
        <v>12</v>
      </c>
      <c r="Q50" s="257">
        <f>Q46+Q48</f>
        <v>16388</v>
      </c>
      <c r="R50" s="258">
        <f>R46+R48</f>
        <v>16388</v>
      </c>
      <c r="S50" s="96">
        <f>AVERAGE(L50,O50,R50)</f>
        <v>16388</v>
      </c>
      <c r="T50" s="42" t="s">
        <v>12</v>
      </c>
      <c r="U50" s="120" t="s">
        <v>12</v>
      </c>
    </row>
    <row r="51" spans="2:21" ht="13.5" thickBot="1" x14ac:dyDescent="0.35">
      <c r="B51" s="460" t="s">
        <v>67</v>
      </c>
      <c r="C51" s="194">
        <f t="shared" ref="C51:H51" si="7">C47+C49</f>
        <v>0</v>
      </c>
      <c r="D51" s="194">
        <f t="shared" si="7"/>
        <v>532</v>
      </c>
      <c r="E51" s="194">
        <f t="shared" si="7"/>
        <v>278</v>
      </c>
      <c r="F51" s="194">
        <f t="shared" si="7"/>
        <v>965</v>
      </c>
      <c r="G51" s="194">
        <f t="shared" si="7"/>
        <v>0</v>
      </c>
      <c r="H51" s="194">
        <f t="shared" si="7"/>
        <v>0</v>
      </c>
      <c r="I51" s="178">
        <f>I49+I47+C44</f>
        <v>2775</v>
      </c>
      <c r="J51" s="259">
        <f t="shared" ref="J51:R51" si="8">J49+J47+J44</f>
        <v>5006.0654881842775</v>
      </c>
      <c r="K51" s="253">
        <f t="shared" si="8"/>
        <v>1206461.7826524107</v>
      </c>
      <c r="L51" s="254">
        <f t="shared" si="8"/>
        <v>1206461.7826524107</v>
      </c>
      <c r="M51" s="176">
        <f t="shared" si="8"/>
        <v>5206.3081077116485</v>
      </c>
      <c r="N51" s="177">
        <f t="shared" si="8"/>
        <v>1254720.2539585074</v>
      </c>
      <c r="O51" s="178">
        <f t="shared" si="8"/>
        <v>1254720.2539585074</v>
      </c>
      <c r="P51" s="259">
        <f t="shared" si="8"/>
        <v>5310.4342698658811</v>
      </c>
      <c r="Q51" s="253">
        <f t="shared" si="8"/>
        <v>1279814.6590376773</v>
      </c>
      <c r="R51" s="254">
        <f t="shared" si="8"/>
        <v>1279814.6590376773</v>
      </c>
      <c r="S51" s="202">
        <f>S49+S47</f>
        <v>945860.65016470593</v>
      </c>
      <c r="T51" s="205">
        <f>T44</f>
        <v>301138.24838482594</v>
      </c>
      <c r="U51" s="180" t="s">
        <v>12</v>
      </c>
    </row>
    <row r="52" spans="2:21" ht="13.5" thickTop="1" thickBot="1" x14ac:dyDescent="0.3">
      <c r="B52" s="144"/>
      <c r="C52" s="513"/>
      <c r="D52" s="513"/>
      <c r="E52" s="513"/>
      <c r="F52" s="513"/>
      <c r="G52" s="513"/>
      <c r="H52" s="513"/>
      <c r="I52" s="513"/>
      <c r="J52" s="513"/>
      <c r="K52" s="513"/>
      <c r="L52" s="513"/>
      <c r="M52" s="513"/>
      <c r="N52" s="513"/>
      <c r="O52" s="513"/>
      <c r="P52" s="513"/>
      <c r="Q52" s="513"/>
      <c r="R52" s="513"/>
      <c r="S52" s="513"/>
      <c r="T52" s="513"/>
      <c r="U52" s="515"/>
    </row>
    <row r="53" spans="2:21" ht="16" thickTop="1" x14ac:dyDescent="0.35">
      <c r="B53" s="463" t="s">
        <v>26</v>
      </c>
      <c r="F53" s="1" t="s">
        <v>6</v>
      </c>
      <c r="G53" s="1160"/>
      <c r="H53" s="1161"/>
      <c r="I53" s="1162"/>
      <c r="J53" s="2" t="s">
        <v>26</v>
      </c>
      <c r="L53" s="31"/>
      <c r="M53" s="199" t="s">
        <v>26</v>
      </c>
      <c r="P53" s="199" t="s">
        <v>26</v>
      </c>
      <c r="R53" s="31"/>
      <c r="S53" s="97"/>
      <c r="T53" s="31"/>
      <c r="U53" s="111"/>
    </row>
    <row r="54" spans="2:21" ht="13" x14ac:dyDescent="0.3">
      <c r="B54" s="144"/>
      <c r="I54" s="32" t="s">
        <v>61</v>
      </c>
      <c r="J54" s="227" t="s">
        <v>61</v>
      </c>
      <c r="K54" s="1167" t="s">
        <v>57</v>
      </c>
      <c r="L54" s="1168"/>
      <c r="M54" s="50" t="s">
        <v>61</v>
      </c>
      <c r="N54" s="1177" t="s">
        <v>57</v>
      </c>
      <c r="O54" s="1178"/>
      <c r="P54" s="227" t="s">
        <v>61</v>
      </c>
      <c r="Q54" s="1167" t="s">
        <v>57</v>
      </c>
      <c r="R54" s="1168"/>
      <c r="S54" s="106"/>
      <c r="T54" s="31"/>
      <c r="U54" s="111"/>
    </row>
    <row r="55" spans="2:21" ht="13" x14ac:dyDescent="0.3">
      <c r="B55" s="462" t="s">
        <v>27</v>
      </c>
      <c r="C55" s="20" t="s">
        <v>45</v>
      </c>
      <c r="D55" s="20" t="s">
        <v>46</v>
      </c>
      <c r="E55" s="20" t="s">
        <v>47</v>
      </c>
      <c r="F55" s="20" t="s">
        <v>48</v>
      </c>
      <c r="G55" s="20" t="s">
        <v>49</v>
      </c>
      <c r="H55" s="20" t="s">
        <v>50</v>
      </c>
      <c r="I55" s="32" t="s">
        <v>13</v>
      </c>
      <c r="J55" s="210" t="s">
        <v>56</v>
      </c>
      <c r="K55" s="211" t="s">
        <v>13</v>
      </c>
      <c r="L55" s="212" t="s">
        <v>68</v>
      </c>
      <c r="M55" s="66" t="s">
        <v>56</v>
      </c>
      <c r="N55" s="20" t="s">
        <v>13</v>
      </c>
      <c r="O55" s="32" t="s">
        <v>68</v>
      </c>
      <c r="P55" s="210" t="s">
        <v>56</v>
      </c>
      <c r="Q55" s="211" t="s">
        <v>13</v>
      </c>
      <c r="R55" s="212" t="s">
        <v>68</v>
      </c>
      <c r="S55" s="98"/>
      <c r="T55" s="31"/>
      <c r="U55" s="111"/>
    </row>
    <row r="56" spans="2:21" x14ac:dyDescent="0.25">
      <c r="B56" s="464" t="s">
        <v>4</v>
      </c>
      <c r="C56" s="18">
        <v>0</v>
      </c>
      <c r="D56" s="18">
        <v>6</v>
      </c>
      <c r="E56" s="18">
        <v>3</v>
      </c>
      <c r="F56" s="18">
        <v>3</v>
      </c>
      <c r="G56" s="18">
        <v>2</v>
      </c>
      <c r="H56" s="18">
        <v>0</v>
      </c>
      <c r="I56" s="45">
        <f t="shared" ref="I56:I65" si="9">SUM(C56:H56)</f>
        <v>14</v>
      </c>
      <c r="J56" s="213" t="s">
        <v>12</v>
      </c>
      <c r="K56" s="231">
        <f>I56*$L$4</f>
        <v>3374</v>
      </c>
      <c r="L56" s="239">
        <f t="shared" ref="L56:L65" si="10">K56</f>
        <v>3374</v>
      </c>
      <c r="M56" s="51" t="s">
        <v>12</v>
      </c>
      <c r="N56" s="58">
        <f>$I$56*$O$4</f>
        <v>3374</v>
      </c>
      <c r="O56" s="57">
        <f t="shared" ref="O56:O65" si="11">N56</f>
        <v>3374</v>
      </c>
      <c r="P56" s="213" t="s">
        <v>12</v>
      </c>
      <c r="Q56" s="231">
        <f>$I$56*$R$4</f>
        <v>3374</v>
      </c>
      <c r="R56" s="239">
        <f t="shared" ref="R56:R65" si="12">Q56</f>
        <v>3374</v>
      </c>
      <c r="S56" s="96">
        <f t="shared" ref="S56:S67" si="13">AVERAGE(L56,O56,R56)</f>
        <v>3374</v>
      </c>
      <c r="T56" s="94" t="s">
        <v>12</v>
      </c>
      <c r="U56" s="113" t="s">
        <v>12</v>
      </c>
    </row>
    <row r="57" spans="2:21" ht="13.5" thickBot="1" x14ac:dyDescent="0.35">
      <c r="B57" s="465" t="s">
        <v>8</v>
      </c>
      <c r="C57" s="29">
        <f>ROUND(C56*Labor!$D$3,0)</f>
        <v>0</v>
      </c>
      <c r="D57" s="29">
        <f>ROUND(D56*Labor!$D$4,0)</f>
        <v>145</v>
      </c>
      <c r="E57" s="29">
        <f>ROUND(E56*Labor!$D$5,0)</f>
        <v>76</v>
      </c>
      <c r="F57" s="29">
        <f>ROUND(F56*Labor!$D$6,0)</f>
        <v>83</v>
      </c>
      <c r="G57" s="29">
        <f>ROUND(G56*Labor!$D$7,0)</f>
        <v>63</v>
      </c>
      <c r="H57" s="29">
        <f>ROUND(H56*Labor!$D$8,0)</f>
        <v>0</v>
      </c>
      <c r="I57" s="33">
        <f t="shared" si="9"/>
        <v>367</v>
      </c>
      <c r="J57" s="1124">
        <f>HLOOKUP(K$2,InflationTable,2)/HLOOKUP(Labor!$B$11,InflationTable,2)*$I57</f>
        <v>785.10062283737022</v>
      </c>
      <c r="K57" s="219">
        <f>J57*$L$4</f>
        <v>189209.25010380623</v>
      </c>
      <c r="L57" s="256">
        <f t="shared" si="10"/>
        <v>189209.25010380623</v>
      </c>
      <c r="M57" s="169">
        <f>HLOOKUP(N$2,InflationTable,2)/HLOOKUP(Labor!$B$11,InflationTable,2)*$I57</f>
        <v>816.50464775086516</v>
      </c>
      <c r="N57" s="55">
        <f>M57*$L$4</f>
        <v>196777.6201079585</v>
      </c>
      <c r="O57" s="77">
        <f t="shared" si="11"/>
        <v>196777.6201079585</v>
      </c>
      <c r="P57" s="284">
        <f>HLOOKUP(Q$2,InflationTable,2)/HLOOKUP(Labor!$B$11,InflationTable,2)*$I57</f>
        <v>832.83474070588227</v>
      </c>
      <c r="Q57" s="219">
        <f>P57*$R$4</f>
        <v>200713.17251011761</v>
      </c>
      <c r="R57" s="256">
        <f t="shared" si="12"/>
        <v>200713.17251011761</v>
      </c>
      <c r="S57" s="103">
        <f t="shared" si="13"/>
        <v>195566.68090729413</v>
      </c>
      <c r="T57" s="121" t="s">
        <v>12</v>
      </c>
      <c r="U57" s="115" t="s">
        <v>12</v>
      </c>
    </row>
    <row r="58" spans="2:21" ht="13" x14ac:dyDescent="0.3">
      <c r="B58" s="459" t="s">
        <v>114</v>
      </c>
      <c r="C58" s="290">
        <v>0</v>
      </c>
      <c r="D58" s="290">
        <v>1</v>
      </c>
      <c r="E58" s="290">
        <v>2</v>
      </c>
      <c r="F58" s="290">
        <v>4</v>
      </c>
      <c r="G58" s="290">
        <v>2</v>
      </c>
      <c r="H58" s="290">
        <v>0</v>
      </c>
      <c r="I58" s="291">
        <f t="shared" si="9"/>
        <v>9</v>
      </c>
      <c r="J58" s="1125" t="s">
        <v>12</v>
      </c>
      <c r="K58" s="273">
        <f>I58*$L$4</f>
        <v>2169</v>
      </c>
      <c r="L58" s="274">
        <f t="shared" si="10"/>
        <v>2169</v>
      </c>
      <c r="M58" s="53" t="s">
        <v>12</v>
      </c>
      <c r="N58" s="147">
        <f>$I$58*$O$4</f>
        <v>2169</v>
      </c>
      <c r="O58" s="148">
        <f t="shared" si="11"/>
        <v>2169</v>
      </c>
      <c r="P58" s="242" t="s">
        <v>12</v>
      </c>
      <c r="Q58" s="273">
        <f>$I$58*$R$4</f>
        <v>2169</v>
      </c>
      <c r="R58" s="274">
        <f t="shared" si="12"/>
        <v>2169</v>
      </c>
      <c r="S58" s="104">
        <f t="shared" si="13"/>
        <v>2169</v>
      </c>
      <c r="T58" s="42" t="s">
        <v>12</v>
      </c>
      <c r="U58" s="119" t="s">
        <v>12</v>
      </c>
    </row>
    <row r="59" spans="2:21" ht="13.5" thickBot="1" x14ac:dyDescent="0.35">
      <c r="B59" s="465" t="s">
        <v>8</v>
      </c>
      <c r="C59" s="29">
        <f>ROUND(C58*Labor!$D$3,0)</f>
        <v>0</v>
      </c>
      <c r="D59" s="29">
        <f>ROUND(D58*Labor!$D$4,0)</f>
        <v>24</v>
      </c>
      <c r="E59" s="29">
        <f>ROUND(E58*Labor!$D$5,0)</f>
        <v>50</v>
      </c>
      <c r="F59" s="29">
        <f>ROUND(F58*Labor!$D$6,0)</f>
        <v>110</v>
      </c>
      <c r="G59" s="29">
        <f>ROUND(G58*Labor!$D$7,0)</f>
        <v>63</v>
      </c>
      <c r="H59" s="29">
        <f>ROUND(H58*Labor!$D$8,0)</f>
        <v>0</v>
      </c>
      <c r="I59" s="33">
        <f t="shared" si="9"/>
        <v>247</v>
      </c>
      <c r="J59" s="1124">
        <f>HLOOKUP(K$2,InflationTable,2)/HLOOKUP(Labor!$B$11,InflationTable,2)*$I59</f>
        <v>528.39197231833907</v>
      </c>
      <c r="K59" s="219">
        <f>J59*$L$4</f>
        <v>127342.46532871971</v>
      </c>
      <c r="L59" s="256">
        <f t="shared" si="10"/>
        <v>127342.46532871971</v>
      </c>
      <c r="M59" s="169">
        <f>HLOOKUP(N$2,InflationTable,2)/HLOOKUP(Labor!$B$11,InflationTable,2)*$I59</f>
        <v>549.52765121107268</v>
      </c>
      <c r="N59" s="55">
        <f>M59*$O$4</f>
        <v>132436.16394186852</v>
      </c>
      <c r="O59" s="77">
        <f t="shared" si="11"/>
        <v>132436.16394186852</v>
      </c>
      <c r="P59" s="284">
        <f>HLOOKUP(Q$2,InflationTable,2)/HLOOKUP(Labor!$B$11,InflationTable,2)*$I59</f>
        <v>560.51820423529409</v>
      </c>
      <c r="Q59" s="219">
        <f>P59*$R$4</f>
        <v>135084.88722070589</v>
      </c>
      <c r="R59" s="256">
        <f t="shared" si="12"/>
        <v>135084.88722070589</v>
      </c>
      <c r="S59" s="103">
        <f t="shared" si="13"/>
        <v>131621.17216376471</v>
      </c>
      <c r="T59" s="121" t="s">
        <v>12</v>
      </c>
      <c r="U59" s="115" t="s">
        <v>12</v>
      </c>
    </row>
    <row r="60" spans="2:21" ht="13" x14ac:dyDescent="0.3">
      <c r="B60" s="459" t="s">
        <v>115</v>
      </c>
      <c r="C60" s="290">
        <v>0</v>
      </c>
      <c r="D60" s="290">
        <v>0</v>
      </c>
      <c r="E60" s="290">
        <v>4</v>
      </c>
      <c r="F60" s="290">
        <v>8</v>
      </c>
      <c r="G60" s="290">
        <v>0</v>
      </c>
      <c r="H60" s="290">
        <v>0</v>
      </c>
      <c r="I60" s="291">
        <f t="shared" si="9"/>
        <v>12</v>
      </c>
      <c r="J60" s="1125" t="s">
        <v>12</v>
      </c>
      <c r="K60" s="273">
        <f>I60*$L$4</f>
        <v>2892</v>
      </c>
      <c r="L60" s="274">
        <f t="shared" si="10"/>
        <v>2892</v>
      </c>
      <c r="M60" s="53" t="s">
        <v>12</v>
      </c>
      <c r="N60" s="147">
        <f>$I$60*$O$4</f>
        <v>2892</v>
      </c>
      <c r="O60" s="148">
        <f t="shared" si="11"/>
        <v>2892</v>
      </c>
      <c r="P60" s="242" t="s">
        <v>12</v>
      </c>
      <c r="Q60" s="273">
        <f>$I$60*$R$4</f>
        <v>2892</v>
      </c>
      <c r="R60" s="274">
        <f t="shared" si="12"/>
        <v>2892</v>
      </c>
      <c r="S60" s="104">
        <f t="shared" si="13"/>
        <v>2892</v>
      </c>
      <c r="T60" s="42" t="s">
        <v>12</v>
      </c>
      <c r="U60" s="119" t="s">
        <v>12</v>
      </c>
    </row>
    <row r="61" spans="2:21" ht="13.5" thickBot="1" x14ac:dyDescent="0.35">
      <c r="B61" s="465" t="s">
        <v>8</v>
      </c>
      <c r="C61" s="29">
        <f>ROUND(C60*Labor!$D$3,0)</f>
        <v>0</v>
      </c>
      <c r="D61" s="29">
        <f>ROUND(D60*Labor!$D$4,0)</f>
        <v>0</v>
      </c>
      <c r="E61" s="29">
        <f>ROUND(E60*Labor!$D$5,0)</f>
        <v>101</v>
      </c>
      <c r="F61" s="29">
        <f>ROUND(F60*Labor!$D$6,0)</f>
        <v>221</v>
      </c>
      <c r="G61" s="29">
        <f>ROUND(G60*Labor!$D$7,0)</f>
        <v>0</v>
      </c>
      <c r="H61" s="29">
        <f>ROUND(H60*Labor!$D$8,0)</f>
        <v>0</v>
      </c>
      <c r="I61" s="33">
        <f t="shared" si="9"/>
        <v>322</v>
      </c>
      <c r="J61" s="1124">
        <f>HLOOKUP(K$2,InflationTable,2)/HLOOKUP(Labor!$B$11,InflationTable,2)*$I61</f>
        <v>688.83487889273351</v>
      </c>
      <c r="K61" s="219">
        <f>J61*$L$4</f>
        <v>166009.20581314879</v>
      </c>
      <c r="L61" s="256">
        <f t="shared" si="10"/>
        <v>166009.20581314879</v>
      </c>
      <c r="M61" s="169">
        <f>HLOOKUP(N$2,InflationTable,2)/HLOOKUP(Labor!$B$11,InflationTable,2)*$I61</f>
        <v>716.38827404844301</v>
      </c>
      <c r="N61" s="55">
        <f>M61*$O$4</f>
        <v>172649.57404567476</v>
      </c>
      <c r="O61" s="77">
        <f t="shared" si="11"/>
        <v>172649.57404567476</v>
      </c>
      <c r="P61" s="284">
        <f>HLOOKUP(Q$2,InflationTable,2)/HLOOKUP(Labor!$B$11,InflationTable,2)*$I61</f>
        <v>730.71603952941166</v>
      </c>
      <c r="Q61" s="219">
        <f>P61*$R$4</f>
        <v>176102.56552658821</v>
      </c>
      <c r="R61" s="256">
        <f t="shared" si="12"/>
        <v>176102.56552658821</v>
      </c>
      <c r="S61" s="103">
        <f t="shared" si="13"/>
        <v>171587.11512847058</v>
      </c>
      <c r="T61" s="121" t="s">
        <v>12</v>
      </c>
      <c r="U61" s="115" t="s">
        <v>12</v>
      </c>
    </row>
    <row r="62" spans="2:21" ht="13" x14ac:dyDescent="0.3">
      <c r="B62" s="459" t="s">
        <v>116</v>
      </c>
      <c r="C62" s="290">
        <v>0</v>
      </c>
      <c r="D62" s="290">
        <v>1</v>
      </c>
      <c r="E62" s="290">
        <v>1</v>
      </c>
      <c r="F62" s="290">
        <v>2</v>
      </c>
      <c r="G62" s="290">
        <v>0</v>
      </c>
      <c r="H62" s="290">
        <v>0</v>
      </c>
      <c r="I62" s="291">
        <f t="shared" si="9"/>
        <v>4</v>
      </c>
      <c r="J62" s="1125" t="s">
        <v>12</v>
      </c>
      <c r="K62" s="273">
        <f>I62*$L$4</f>
        <v>964</v>
      </c>
      <c r="L62" s="274">
        <f t="shared" si="10"/>
        <v>964</v>
      </c>
      <c r="M62" s="53" t="s">
        <v>12</v>
      </c>
      <c r="N62" s="147">
        <f>$I$62*$O$4</f>
        <v>964</v>
      </c>
      <c r="O62" s="148">
        <f t="shared" si="11"/>
        <v>964</v>
      </c>
      <c r="P62" s="242" t="s">
        <v>12</v>
      </c>
      <c r="Q62" s="273">
        <f>$I$62*$R$4</f>
        <v>964</v>
      </c>
      <c r="R62" s="274">
        <f t="shared" si="12"/>
        <v>964</v>
      </c>
      <c r="S62" s="104">
        <f t="shared" si="13"/>
        <v>964</v>
      </c>
      <c r="T62" s="42" t="s">
        <v>12</v>
      </c>
      <c r="U62" s="119" t="s">
        <v>12</v>
      </c>
    </row>
    <row r="63" spans="2:21" ht="13.5" thickBot="1" x14ac:dyDescent="0.35">
      <c r="B63" s="465" t="s">
        <v>8</v>
      </c>
      <c r="C63" s="29">
        <f>ROUND(C62*Labor!$D$3,0)</f>
        <v>0</v>
      </c>
      <c r="D63" s="29">
        <f>ROUND(D62*Labor!$D$4,0)</f>
        <v>24</v>
      </c>
      <c r="E63" s="29">
        <f>ROUND(E62*Labor!$D$5,0)</f>
        <v>25</v>
      </c>
      <c r="F63" s="29">
        <f>ROUND(F62*Labor!$D$6,0)</f>
        <v>55</v>
      </c>
      <c r="G63" s="29">
        <f>ROUND(G62*Labor!$D$7,0)</f>
        <v>0</v>
      </c>
      <c r="H63" s="29">
        <f>ROUND(H62*Labor!$D$8,0)</f>
        <v>0</v>
      </c>
      <c r="I63" s="33">
        <f t="shared" si="9"/>
        <v>104</v>
      </c>
      <c r="J63" s="1124">
        <f>HLOOKUP(K$2,InflationTable,2)/HLOOKUP(Labor!$B$11,InflationTable,2)*$I63</f>
        <v>222.48083044982698</v>
      </c>
      <c r="K63" s="219">
        <f>J63*$L$4</f>
        <v>53617.880138408305</v>
      </c>
      <c r="L63" s="256">
        <f t="shared" si="10"/>
        <v>53617.880138408305</v>
      </c>
      <c r="M63" s="169">
        <f>HLOOKUP(N$2,InflationTable,2)/HLOOKUP(Labor!$B$11,InflationTable,2)*$I63</f>
        <v>231.38006366782008</v>
      </c>
      <c r="N63" s="55">
        <f>M63*$O$4</f>
        <v>55762.595343944638</v>
      </c>
      <c r="O63" s="77">
        <f t="shared" si="11"/>
        <v>55762.595343944638</v>
      </c>
      <c r="P63" s="284">
        <f>HLOOKUP(Q$2,InflationTable,2)/HLOOKUP(Labor!$B$11,InflationTable,2)*$I63</f>
        <v>236.00766494117644</v>
      </c>
      <c r="Q63" s="219">
        <f>P63*$R$4</f>
        <v>56877.847250823521</v>
      </c>
      <c r="R63" s="256">
        <f t="shared" si="12"/>
        <v>56877.847250823521</v>
      </c>
      <c r="S63" s="103">
        <f t="shared" si="13"/>
        <v>55419.440911058824</v>
      </c>
      <c r="T63" s="110" t="s">
        <v>12</v>
      </c>
      <c r="U63" s="115" t="s">
        <v>12</v>
      </c>
    </row>
    <row r="64" spans="2:21" ht="13" x14ac:dyDescent="0.3">
      <c r="B64" s="1095" t="s">
        <v>376</v>
      </c>
      <c r="C64" s="1100">
        <v>0</v>
      </c>
      <c r="D64" s="1100">
        <v>0.25</v>
      </c>
      <c r="E64" s="1100">
        <v>0</v>
      </c>
      <c r="F64" s="1100">
        <v>0</v>
      </c>
      <c r="G64" s="1100">
        <v>0</v>
      </c>
      <c r="H64" s="1100">
        <v>0</v>
      </c>
      <c r="I64" s="291">
        <f t="shared" si="9"/>
        <v>0.25</v>
      </c>
      <c r="J64" s="1125" t="s">
        <v>12</v>
      </c>
      <c r="K64" s="273">
        <f>I64*$L$4</f>
        <v>60.25</v>
      </c>
      <c r="L64" s="274">
        <f t="shared" si="10"/>
        <v>60.25</v>
      </c>
      <c r="M64" s="53" t="s">
        <v>12</v>
      </c>
      <c r="N64" s="147">
        <f>$I$64*$O$4</f>
        <v>60.25</v>
      </c>
      <c r="O64" s="148">
        <f t="shared" si="11"/>
        <v>60.25</v>
      </c>
      <c r="P64" s="242" t="s">
        <v>12</v>
      </c>
      <c r="Q64" s="273">
        <f>$I$64*$R$4</f>
        <v>60.25</v>
      </c>
      <c r="R64" s="274">
        <f t="shared" si="12"/>
        <v>60.25</v>
      </c>
      <c r="S64" s="104">
        <f t="shared" si="13"/>
        <v>60.25</v>
      </c>
      <c r="T64" s="42" t="s">
        <v>12</v>
      </c>
      <c r="U64" s="119" t="s">
        <v>12</v>
      </c>
    </row>
    <row r="65" spans="2:21" ht="13.5" thickBot="1" x14ac:dyDescent="0.35">
      <c r="B65" s="465" t="s">
        <v>8</v>
      </c>
      <c r="C65" s="1097">
        <f>ROUND(C64*Labor!$D$3,0)</f>
        <v>0</v>
      </c>
      <c r="D65" s="1097">
        <f>ROUND(D64*Labor!$D$3,0)</f>
        <v>6</v>
      </c>
      <c r="E65" s="1097">
        <f>ROUND(E64*Labor!$D$3,0)</f>
        <v>0</v>
      </c>
      <c r="F65" s="1097">
        <f>ROUND(F64*Labor!$D$3,0)</f>
        <v>0</v>
      </c>
      <c r="G65" s="1097">
        <f>ROUND(G64*Labor!$D$3,0)</f>
        <v>0</v>
      </c>
      <c r="H65" s="1097">
        <f>ROUND(H64*Labor!$D$3,0)</f>
        <v>0</v>
      </c>
      <c r="I65" s="1094">
        <f t="shared" si="9"/>
        <v>6</v>
      </c>
      <c r="J65" s="1124">
        <f>HLOOKUP(K$2,InflationTable,2)/HLOOKUP(Labor!$B$11,InflationTable,2)*$I65</f>
        <v>12.835432525951557</v>
      </c>
      <c r="K65" s="219">
        <f>J65*$L$4</f>
        <v>3093.3392387543254</v>
      </c>
      <c r="L65" s="256">
        <f t="shared" si="10"/>
        <v>3093.3392387543254</v>
      </c>
      <c r="M65" s="169">
        <f>HLOOKUP(N$2,InflationTable,2)/HLOOKUP(Labor!$B$11,InflationTable,2)*$I65</f>
        <v>13.348849826989621</v>
      </c>
      <c r="N65" s="55">
        <f>M65*$O$4</f>
        <v>3217.0728083044987</v>
      </c>
      <c r="O65" s="77">
        <f t="shared" si="11"/>
        <v>3217.0728083044987</v>
      </c>
      <c r="P65" s="284">
        <f>HLOOKUP(Q$2,InflationTable,2)/HLOOKUP(Labor!$B$11,InflationTable,2)*$I65</f>
        <v>13.61582682352941</v>
      </c>
      <c r="Q65" s="219">
        <f>P65*$R$4</f>
        <v>3281.414264470588</v>
      </c>
      <c r="R65" s="256">
        <f t="shared" si="12"/>
        <v>3281.414264470588</v>
      </c>
      <c r="S65" s="103">
        <f t="shared" si="13"/>
        <v>3197.2754371764709</v>
      </c>
      <c r="T65" s="110" t="s">
        <v>12</v>
      </c>
      <c r="U65" s="115" t="s">
        <v>12</v>
      </c>
    </row>
    <row r="66" spans="2:21" ht="13" x14ac:dyDescent="0.3">
      <c r="B66" s="139" t="s">
        <v>66</v>
      </c>
      <c r="C66" s="30">
        <f>C56+C58+C60+C62+C64</f>
        <v>0</v>
      </c>
      <c r="D66" s="30">
        <f t="shared" ref="D66:I66" si="14">D56+D58+D60+D62+D64</f>
        <v>8.25</v>
      </c>
      <c r="E66" s="30">
        <f t="shared" si="14"/>
        <v>10</v>
      </c>
      <c r="F66" s="30">
        <f t="shared" si="14"/>
        <v>17</v>
      </c>
      <c r="G66" s="30">
        <f t="shared" si="14"/>
        <v>4</v>
      </c>
      <c r="H66" s="30">
        <f t="shared" si="14"/>
        <v>0</v>
      </c>
      <c r="I66" s="30">
        <f t="shared" si="14"/>
        <v>39.25</v>
      </c>
      <c r="J66" s="249" t="s">
        <v>12</v>
      </c>
      <c r="K66" s="235">
        <f>K56+K58+K60+K62+K64</f>
        <v>9459.25</v>
      </c>
      <c r="L66" s="235">
        <f>L56+L58+L60+L62+L64</f>
        <v>9459.25</v>
      </c>
      <c r="M66" s="70" t="s">
        <v>12</v>
      </c>
      <c r="N66" s="28">
        <f>N56+N58+N60+N62+N64</f>
        <v>9459.25</v>
      </c>
      <c r="O66" s="81">
        <f>O56+O58+O60+O62+O64</f>
        <v>9459.25</v>
      </c>
      <c r="P66" s="249" t="s">
        <v>12</v>
      </c>
      <c r="Q66" s="235">
        <f>Q56+Q58+Q60+Q62+Q64</f>
        <v>9459.25</v>
      </c>
      <c r="R66" s="235">
        <f>R56+R58+R60+R62+R64</f>
        <v>9459.25</v>
      </c>
      <c r="S66" s="104">
        <f t="shared" si="13"/>
        <v>9459.25</v>
      </c>
      <c r="T66" s="42" t="s">
        <v>12</v>
      </c>
      <c r="U66" s="119" t="s">
        <v>12</v>
      </c>
    </row>
    <row r="67" spans="2:21" ht="13.5" thickBot="1" x14ac:dyDescent="0.35">
      <c r="B67" s="460" t="s">
        <v>67</v>
      </c>
      <c r="C67" s="194">
        <f>C57+C59+C61+C63+C65</f>
        <v>0</v>
      </c>
      <c r="D67" s="194">
        <f t="shared" ref="D67:I67" si="15">D57+D59+D61+D63+D65</f>
        <v>199</v>
      </c>
      <c r="E67" s="194">
        <f t="shared" si="15"/>
        <v>252</v>
      </c>
      <c r="F67" s="194">
        <f t="shared" si="15"/>
        <v>469</v>
      </c>
      <c r="G67" s="194">
        <f t="shared" si="15"/>
        <v>126</v>
      </c>
      <c r="H67" s="194">
        <f t="shared" si="15"/>
        <v>0</v>
      </c>
      <c r="I67" s="194">
        <f t="shared" si="15"/>
        <v>1046</v>
      </c>
      <c r="J67" s="261">
        <f>J57+J59+J61+J63+J65</f>
        <v>2237.6437370242215</v>
      </c>
      <c r="K67" s="261">
        <f>K57+K59+K61+K63+K65</f>
        <v>539272.14062283735</v>
      </c>
      <c r="L67" s="261">
        <f>L57+L59+L61+L63+L65</f>
        <v>539272.14062283735</v>
      </c>
      <c r="M67" s="194">
        <f>M57+M59+M61+M63+M65</f>
        <v>2327.1494865051905</v>
      </c>
      <c r="N67" s="194">
        <f>N57+N59+N61+N63+N65</f>
        <v>560843.02624775085</v>
      </c>
      <c r="O67" s="194">
        <f>O57+O59+O61+O63+O65</f>
        <v>560843.02624775085</v>
      </c>
      <c r="P67" s="261">
        <f>P57+P59+P61+P63+P65</f>
        <v>2373.6924762352937</v>
      </c>
      <c r="Q67" s="261">
        <f>Q57+Q59+Q61+Q63+Q65</f>
        <v>572059.88677270582</v>
      </c>
      <c r="R67" s="261">
        <f>R57+R59+R61+R63+R65</f>
        <v>572059.88677270582</v>
      </c>
      <c r="S67" s="206">
        <f t="shared" si="13"/>
        <v>557391.68454776471</v>
      </c>
      <c r="T67" s="203" t="s">
        <v>12</v>
      </c>
      <c r="U67" s="180" t="s">
        <v>12</v>
      </c>
    </row>
    <row r="68" spans="2:21" ht="13.5" thickTop="1" x14ac:dyDescent="0.3">
      <c r="B68" s="519"/>
      <c r="C68" s="516"/>
      <c r="D68" s="516"/>
      <c r="E68" s="516"/>
      <c r="F68" s="516"/>
      <c r="G68" s="516"/>
      <c r="H68" s="516"/>
      <c r="I68" s="517"/>
      <c r="J68" s="517"/>
      <c r="K68" s="517"/>
      <c r="L68" s="517"/>
      <c r="M68" s="517"/>
      <c r="N68" s="517"/>
      <c r="O68" s="517"/>
      <c r="P68" s="517"/>
      <c r="Q68" s="517"/>
      <c r="R68" s="517"/>
      <c r="S68" s="520"/>
      <c r="T68" s="521"/>
      <c r="U68" s="522"/>
    </row>
    <row r="69" spans="2:21" ht="13" thickBot="1" x14ac:dyDescent="0.3">
      <c r="B69" s="335"/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  <c r="Q69" s="335"/>
      <c r="R69" s="335"/>
      <c r="S69" s="335"/>
      <c r="T69" s="335"/>
      <c r="U69" s="335"/>
    </row>
    <row r="70" spans="2:21" ht="27.5" thickTop="1" thickBot="1" x14ac:dyDescent="0.4">
      <c r="B70" s="463" t="s">
        <v>28</v>
      </c>
      <c r="F70" s="1" t="s">
        <v>6</v>
      </c>
      <c r="G70" s="1160"/>
      <c r="H70" s="1161"/>
      <c r="I70" s="1162"/>
      <c r="J70" s="2" t="s">
        <v>28</v>
      </c>
      <c r="L70" s="31"/>
      <c r="M70" s="2" t="s">
        <v>28</v>
      </c>
      <c r="O70" s="31"/>
      <c r="P70" s="2" t="s">
        <v>28</v>
      </c>
      <c r="R70" s="31"/>
      <c r="S70" s="448" t="s">
        <v>17</v>
      </c>
      <c r="T70" s="449" t="s">
        <v>103</v>
      </c>
      <c r="U70" s="523" t="s">
        <v>79</v>
      </c>
    </row>
    <row r="71" spans="2:21" ht="13" x14ac:dyDescent="0.3">
      <c r="B71" s="144"/>
      <c r="I71" s="32" t="s">
        <v>61</v>
      </c>
      <c r="J71" s="227" t="s">
        <v>61</v>
      </c>
      <c r="K71" s="1167" t="s">
        <v>57</v>
      </c>
      <c r="L71" s="1168"/>
      <c r="M71" s="50" t="s">
        <v>61</v>
      </c>
      <c r="N71" s="1177" t="s">
        <v>57</v>
      </c>
      <c r="O71" s="1181"/>
      <c r="P71" s="266" t="s">
        <v>61</v>
      </c>
      <c r="Q71" s="1167" t="s">
        <v>57</v>
      </c>
      <c r="R71" s="1168"/>
      <c r="S71" s="139"/>
      <c r="T71" s="108"/>
      <c r="U71" s="31"/>
    </row>
    <row r="72" spans="2:21" ht="13" x14ac:dyDescent="0.3">
      <c r="B72" s="457"/>
      <c r="C72" s="20" t="s">
        <v>45</v>
      </c>
      <c r="D72" s="20" t="s">
        <v>46</v>
      </c>
      <c r="E72" s="20" t="s">
        <v>47</v>
      </c>
      <c r="F72" s="20" t="s">
        <v>48</v>
      </c>
      <c r="G72" s="20" t="s">
        <v>49</v>
      </c>
      <c r="H72" s="20" t="s">
        <v>50</v>
      </c>
      <c r="I72" s="32" t="s">
        <v>13</v>
      </c>
      <c r="J72" s="210" t="s">
        <v>56</v>
      </c>
      <c r="K72" s="211" t="s">
        <v>13</v>
      </c>
      <c r="L72" s="212" t="s">
        <v>68</v>
      </c>
      <c r="M72" s="66" t="s">
        <v>56</v>
      </c>
      <c r="N72" s="20" t="s">
        <v>13</v>
      </c>
      <c r="O72" s="32" t="s">
        <v>68</v>
      </c>
      <c r="P72" s="210" t="s">
        <v>56</v>
      </c>
      <c r="Q72" s="211" t="s">
        <v>13</v>
      </c>
      <c r="R72" s="212" t="s">
        <v>68</v>
      </c>
      <c r="S72" s="95"/>
      <c r="T72" s="108"/>
      <c r="U72" s="31"/>
    </row>
    <row r="73" spans="2:21" ht="13" x14ac:dyDescent="0.3">
      <c r="B73" s="457" t="s">
        <v>111</v>
      </c>
      <c r="C73" s="18">
        <v>0</v>
      </c>
      <c r="D73" s="18">
        <v>0</v>
      </c>
      <c r="E73" s="18">
        <v>0</v>
      </c>
      <c r="F73" s="18">
        <v>20</v>
      </c>
      <c r="G73" s="18">
        <v>16</v>
      </c>
      <c r="H73" s="18">
        <v>0</v>
      </c>
      <c r="I73" s="45">
        <f>SUM(C73:H73)</f>
        <v>36</v>
      </c>
      <c r="J73" s="213" t="s">
        <v>12</v>
      </c>
      <c r="K73" s="231">
        <f>I73*$L$4</f>
        <v>8676</v>
      </c>
      <c r="L73" s="239">
        <f>K73</f>
        <v>8676</v>
      </c>
      <c r="M73" s="51" t="s">
        <v>12</v>
      </c>
      <c r="N73" s="58">
        <f>$I$73*$O$4</f>
        <v>8676</v>
      </c>
      <c r="O73" s="57">
        <f>N73</f>
        <v>8676</v>
      </c>
      <c r="P73" s="213" t="s">
        <v>12</v>
      </c>
      <c r="Q73" s="231">
        <f>$I$73*$O$4</f>
        <v>8676</v>
      </c>
      <c r="R73" s="239">
        <f>Q73</f>
        <v>8676</v>
      </c>
      <c r="S73" s="96">
        <f>AVERAGE(L73,O73,R73)</f>
        <v>8676</v>
      </c>
      <c r="T73" s="34" t="s">
        <v>12</v>
      </c>
      <c r="U73" s="42" t="s">
        <v>12</v>
      </c>
    </row>
    <row r="74" spans="2:21" ht="13.5" thickBot="1" x14ac:dyDescent="0.35">
      <c r="B74" s="466" t="s">
        <v>8</v>
      </c>
      <c r="C74" s="29">
        <f>ROUND(C73*Labor!$D$3,0)</f>
        <v>0</v>
      </c>
      <c r="D74" s="29">
        <f>ROUND(D73*Labor!$D$4,0)</f>
        <v>0</v>
      </c>
      <c r="E74" s="29">
        <f>ROUND(E73*Labor!$D$5,0)</f>
        <v>0</v>
      </c>
      <c r="F74" s="29">
        <f>ROUND(F73*Labor!$D$6,0)</f>
        <v>551</v>
      </c>
      <c r="G74" s="29">
        <f>ROUND(G73*Labor!$D$7,0)</f>
        <v>501</v>
      </c>
      <c r="H74" s="29">
        <f>ROUND(H73*Labor!$D$8,0)</f>
        <v>0</v>
      </c>
      <c r="I74" s="33">
        <f>SUM(C74:H74)</f>
        <v>1052</v>
      </c>
      <c r="J74" s="1124">
        <f>HLOOKUP(K$2,InflationTable,2)/HLOOKUP(Labor!$B$11,InflationTable,2)*$I74</f>
        <v>2250.4791695501726</v>
      </c>
      <c r="K74" s="219">
        <f>J74*$L$4</f>
        <v>542365.47986159159</v>
      </c>
      <c r="L74" s="256">
        <f>K74</f>
        <v>542365.47986159159</v>
      </c>
      <c r="M74" s="169">
        <f>HLOOKUP(N$2,InflationTable,2)/HLOOKUP(Labor!$B$11,InflationTable,2)*$I74</f>
        <v>2340.4983363321803</v>
      </c>
      <c r="N74" s="55">
        <f>M74*$O$4</f>
        <v>564060.09905605542</v>
      </c>
      <c r="O74" s="77">
        <f>N74</f>
        <v>564060.09905605542</v>
      </c>
      <c r="P74" s="284">
        <f>HLOOKUP(Q$2,InflationTable,2)/HLOOKUP(Labor!$B$11,InflationTable,2)*$I74</f>
        <v>2387.3083030588232</v>
      </c>
      <c r="Q74" s="219">
        <f>P74*$R$4</f>
        <v>575341.3010371764</v>
      </c>
      <c r="R74" s="256">
        <f>Q74</f>
        <v>575341.3010371764</v>
      </c>
      <c r="S74" s="103">
        <f>AVERAGE(L74,O74,R74)</f>
        <v>560588.95998494106</v>
      </c>
      <c r="T74" s="110" t="s">
        <v>12</v>
      </c>
      <c r="U74" s="121" t="s">
        <v>12</v>
      </c>
    </row>
    <row r="75" spans="2:21" ht="13" x14ac:dyDescent="0.3">
      <c r="B75" s="459" t="s">
        <v>110</v>
      </c>
      <c r="C75" s="290">
        <v>0</v>
      </c>
      <c r="D75" s="290">
        <v>26</v>
      </c>
      <c r="E75" s="290">
        <v>0</v>
      </c>
      <c r="F75" s="290">
        <v>0</v>
      </c>
      <c r="G75" s="290">
        <v>0</v>
      </c>
      <c r="H75" s="290">
        <v>0</v>
      </c>
      <c r="I75" s="291">
        <f>SUM(C75:H75)</f>
        <v>26</v>
      </c>
      <c r="J75" s="1125" t="s">
        <v>12</v>
      </c>
      <c r="K75" s="273">
        <f>I75*$L$4</f>
        <v>6266</v>
      </c>
      <c r="L75" s="274">
        <f>K75</f>
        <v>6266</v>
      </c>
      <c r="M75" s="53" t="s">
        <v>12</v>
      </c>
      <c r="N75" s="147">
        <f>$I$75*$O$4</f>
        <v>6266</v>
      </c>
      <c r="O75" s="148">
        <f>N75</f>
        <v>6266</v>
      </c>
      <c r="P75" s="242" t="s">
        <v>12</v>
      </c>
      <c r="Q75" s="273">
        <f>$I$75*$O$4</f>
        <v>6266</v>
      </c>
      <c r="R75" s="274">
        <f>Q75</f>
        <v>6266</v>
      </c>
      <c r="S75" s="104">
        <f>AVERAGE(L75,O75,R75)</f>
        <v>6266</v>
      </c>
      <c r="T75" s="34" t="s">
        <v>12</v>
      </c>
      <c r="U75" s="42" t="s">
        <v>12</v>
      </c>
    </row>
    <row r="76" spans="2:21" ht="13.5" thickBot="1" x14ac:dyDescent="0.35">
      <c r="B76" s="466" t="s">
        <v>8</v>
      </c>
      <c r="C76" s="29">
        <f>ROUND(C75*Labor!$D$3,0)</f>
        <v>0</v>
      </c>
      <c r="D76" s="29">
        <f>ROUND(D75*Labor!$D$4,0)</f>
        <v>629</v>
      </c>
      <c r="E76" s="29">
        <f>ROUND(E75*Labor!$D$5,0)</f>
        <v>0</v>
      </c>
      <c r="F76" s="29">
        <f>ROUND(F75*Labor!$D$6,0)</f>
        <v>0</v>
      </c>
      <c r="G76" s="29">
        <f>ROUND(G75*Labor!$D$7,0)</f>
        <v>0</v>
      </c>
      <c r="H76" s="29">
        <f>ROUND(H75*Labor!$D$8,0)</f>
        <v>0</v>
      </c>
      <c r="I76" s="33">
        <f>SUM(C76:H76)</f>
        <v>629</v>
      </c>
      <c r="J76" s="1124">
        <f>HLOOKUP(K$2,InflationTable,2)/HLOOKUP(Labor!$B$11,InflationTable,2)*$I76</f>
        <v>1345.5811764705882</v>
      </c>
      <c r="K76" s="219">
        <f>J76*$L$4</f>
        <v>324285.06352941174</v>
      </c>
      <c r="L76" s="256">
        <f>K76</f>
        <v>324285.06352941174</v>
      </c>
      <c r="M76" s="169">
        <f>HLOOKUP(N$2,InflationTable,2)/HLOOKUP(Labor!$B$11,InflationTable,2)*$I76</f>
        <v>1399.4044235294118</v>
      </c>
      <c r="N76" s="55">
        <f>M76*$O$4</f>
        <v>337256.46607058827</v>
      </c>
      <c r="O76" s="77">
        <f>N76</f>
        <v>337256.46607058827</v>
      </c>
      <c r="P76" s="284">
        <f>HLOOKUP(Q$2,InflationTable,2)/HLOOKUP(Labor!$B$11,InflationTable,2)*$I76</f>
        <v>1427.3925119999999</v>
      </c>
      <c r="Q76" s="219">
        <f>P76*$R$4</f>
        <v>344001.59539199999</v>
      </c>
      <c r="R76" s="256">
        <f>Q76</f>
        <v>344001.59539199999</v>
      </c>
      <c r="S76" s="103">
        <f>AVERAGE(L76,O76,R76)</f>
        <v>335181.04166399996</v>
      </c>
      <c r="T76" s="110" t="s">
        <v>12</v>
      </c>
      <c r="U76" s="121" t="s">
        <v>12</v>
      </c>
    </row>
    <row r="77" spans="2:21" ht="13" x14ac:dyDescent="0.3">
      <c r="B77" s="459" t="s">
        <v>20</v>
      </c>
      <c r="C77" s="86" t="s">
        <v>45</v>
      </c>
      <c r="D77" s="86" t="s">
        <v>46</v>
      </c>
      <c r="E77" s="86" t="s">
        <v>47</v>
      </c>
      <c r="F77" s="86" t="s">
        <v>48</v>
      </c>
      <c r="G77" s="86" t="s">
        <v>49</v>
      </c>
      <c r="H77" s="86" t="s">
        <v>50</v>
      </c>
      <c r="I77" s="87" t="s">
        <v>13</v>
      </c>
      <c r="J77" s="1125"/>
      <c r="K77" s="293"/>
      <c r="L77" s="296"/>
      <c r="M77" s="88" t="s">
        <v>56</v>
      </c>
      <c r="N77" s="86" t="s">
        <v>13</v>
      </c>
      <c r="O77" s="87" t="s">
        <v>68</v>
      </c>
      <c r="P77" s="292" t="s">
        <v>56</v>
      </c>
      <c r="Q77" s="293" t="s">
        <v>13</v>
      </c>
      <c r="R77" s="296" t="s">
        <v>68</v>
      </c>
      <c r="S77" s="98"/>
      <c r="T77" s="108"/>
      <c r="U77" s="31"/>
    </row>
    <row r="78" spans="2:21" x14ac:dyDescent="0.25">
      <c r="B78" s="458" t="s">
        <v>4</v>
      </c>
      <c r="C78" s="18">
        <v>0</v>
      </c>
      <c r="D78" s="18">
        <v>0</v>
      </c>
      <c r="E78" s="18">
        <v>0</v>
      </c>
      <c r="F78" s="18">
        <v>2</v>
      </c>
      <c r="G78" s="18">
        <v>2</v>
      </c>
      <c r="H78" s="18">
        <v>0</v>
      </c>
      <c r="I78" s="45">
        <f t="shared" ref="I78:I83" si="16">SUM(C78:H78)</f>
        <v>4</v>
      </c>
      <c r="J78" s="1123" t="s">
        <v>12</v>
      </c>
      <c r="K78" s="231">
        <f>I78*$L$4</f>
        <v>964</v>
      </c>
      <c r="L78" s="239">
        <f t="shared" ref="L78:L83" si="17">K78</f>
        <v>964</v>
      </c>
      <c r="M78" s="51" t="s">
        <v>12</v>
      </c>
      <c r="N78" s="58">
        <f>$I78*$O$4</f>
        <v>964</v>
      </c>
      <c r="O78" s="57">
        <f t="shared" ref="O78:O83" si="18">N78</f>
        <v>964</v>
      </c>
      <c r="P78" s="213" t="s">
        <v>12</v>
      </c>
      <c r="Q78" s="231">
        <f>$I78*$O$4</f>
        <v>964</v>
      </c>
      <c r="R78" s="239">
        <f t="shared" ref="R78:R83" si="19">Q78</f>
        <v>964</v>
      </c>
      <c r="S78" s="96">
        <f t="shared" ref="S78:S83" si="20">AVERAGE(L78,O78,R78)</f>
        <v>964</v>
      </c>
      <c r="T78" s="34" t="s">
        <v>12</v>
      </c>
      <c r="U78" s="42" t="s">
        <v>12</v>
      </c>
    </row>
    <row r="79" spans="2:21" ht="13.5" thickBot="1" x14ac:dyDescent="0.35">
      <c r="B79" s="466" t="s">
        <v>8</v>
      </c>
      <c r="C79" s="29">
        <f>ROUND(C78*Labor!$D$3,0)</f>
        <v>0</v>
      </c>
      <c r="D79" s="29">
        <f>ROUND(D78*Labor!$D$4,0)</f>
        <v>0</v>
      </c>
      <c r="E79" s="29">
        <f>ROUND(E78*Labor!$D$5,0)</f>
        <v>0</v>
      </c>
      <c r="F79" s="29">
        <f>ROUND(F78*Labor!$D$6,0)</f>
        <v>55</v>
      </c>
      <c r="G79" s="29">
        <f>ROUND(G78*Labor!$D$7,0)</f>
        <v>63</v>
      </c>
      <c r="H79" s="29">
        <f>ROUND(H78*Labor!$D$8,0)</f>
        <v>0</v>
      </c>
      <c r="I79" s="33">
        <f t="shared" si="16"/>
        <v>118</v>
      </c>
      <c r="J79" s="1124">
        <f>HLOOKUP(K$2,InflationTable,2)/HLOOKUP(Labor!$B$11,InflationTable,2)*$I79</f>
        <v>252.4301730103806</v>
      </c>
      <c r="K79" s="219">
        <f>J79*$L$4</f>
        <v>60835.671695501725</v>
      </c>
      <c r="L79" s="256">
        <f t="shared" si="17"/>
        <v>60835.671695501725</v>
      </c>
      <c r="M79" s="169">
        <f>HLOOKUP(N$2,InflationTable,2)/HLOOKUP(Labor!$B$11,InflationTable,2)*$I79</f>
        <v>262.52737993079586</v>
      </c>
      <c r="N79" s="55">
        <f>M79*$O$4</f>
        <v>63269.098563321801</v>
      </c>
      <c r="O79" s="77">
        <f t="shared" si="18"/>
        <v>63269.098563321801</v>
      </c>
      <c r="P79" s="284">
        <f>HLOOKUP(Q$2,InflationTable,2)/HLOOKUP(Labor!$B$11,InflationTable,2)*$I79</f>
        <v>267.77792752941173</v>
      </c>
      <c r="Q79" s="219">
        <f>P79*$R$4</f>
        <v>64534.480534588227</v>
      </c>
      <c r="R79" s="256">
        <f t="shared" si="19"/>
        <v>64534.480534588227</v>
      </c>
      <c r="S79" s="103">
        <f t="shared" si="20"/>
        <v>62879.750264470582</v>
      </c>
      <c r="T79" s="110" t="s">
        <v>12</v>
      </c>
      <c r="U79" s="121" t="s">
        <v>12</v>
      </c>
    </row>
    <row r="80" spans="2:21" ht="13" x14ac:dyDescent="0.3">
      <c r="B80" s="459" t="s">
        <v>109</v>
      </c>
      <c r="C80" s="290">
        <v>0</v>
      </c>
      <c r="D80" s="290">
        <v>1</v>
      </c>
      <c r="E80" s="290">
        <v>1</v>
      </c>
      <c r="F80" s="290">
        <v>2</v>
      </c>
      <c r="G80" s="290">
        <v>1</v>
      </c>
      <c r="H80" s="290">
        <v>0</v>
      </c>
      <c r="I80" s="291">
        <f t="shared" si="16"/>
        <v>5</v>
      </c>
      <c r="J80" s="1125" t="s">
        <v>12</v>
      </c>
      <c r="K80" s="273">
        <f>I80*$L$4</f>
        <v>1205</v>
      </c>
      <c r="L80" s="274">
        <f t="shared" si="17"/>
        <v>1205</v>
      </c>
      <c r="M80" s="53" t="s">
        <v>12</v>
      </c>
      <c r="N80" s="147">
        <f>$I80*$O$4</f>
        <v>1205</v>
      </c>
      <c r="O80" s="148">
        <f t="shared" si="18"/>
        <v>1205</v>
      </c>
      <c r="P80" s="242" t="s">
        <v>12</v>
      </c>
      <c r="Q80" s="273">
        <f>$I80*$O$4</f>
        <v>1205</v>
      </c>
      <c r="R80" s="274">
        <f t="shared" si="19"/>
        <v>1205</v>
      </c>
      <c r="S80" s="104">
        <f t="shared" si="20"/>
        <v>1205</v>
      </c>
      <c r="T80" s="34" t="s">
        <v>12</v>
      </c>
      <c r="U80" s="42" t="s">
        <v>12</v>
      </c>
    </row>
    <row r="81" spans="2:21" ht="13.5" thickBot="1" x14ac:dyDescent="0.35">
      <c r="B81" s="466" t="s">
        <v>8</v>
      </c>
      <c r="C81" s="29">
        <f>ROUND(C80*Labor!$D$3,0)</f>
        <v>0</v>
      </c>
      <c r="D81" s="29">
        <f>ROUND(D80*Labor!$D$4,0)</f>
        <v>24</v>
      </c>
      <c r="E81" s="29">
        <f>ROUND(E80*Labor!$D$5,0)</f>
        <v>25</v>
      </c>
      <c r="F81" s="29">
        <f>ROUND(F80*Labor!$D$6,0)</f>
        <v>55</v>
      </c>
      <c r="G81" s="29">
        <f>ROUND(G80*Labor!$D$7,0)</f>
        <v>31</v>
      </c>
      <c r="H81" s="29">
        <f>ROUND(H80*Labor!$D$8,0)</f>
        <v>0</v>
      </c>
      <c r="I81" s="33">
        <f t="shared" si="16"/>
        <v>135</v>
      </c>
      <c r="J81" s="1124">
        <f>HLOOKUP(K$2,InflationTable,2)/HLOOKUP(Labor!$B$11,InflationTable,2)*$I81</f>
        <v>288.79723183391002</v>
      </c>
      <c r="K81" s="219">
        <f>J81*$L$4</f>
        <v>69600.13287197231</v>
      </c>
      <c r="L81" s="256">
        <f t="shared" si="17"/>
        <v>69600.13287197231</v>
      </c>
      <c r="M81" s="169">
        <f>HLOOKUP(N$2,InflationTable,2)/HLOOKUP(Labor!$B$11,InflationTable,2)*$I81</f>
        <v>300.34912110726646</v>
      </c>
      <c r="N81" s="55">
        <f>M81*$O$4</f>
        <v>72384.138186851211</v>
      </c>
      <c r="O81" s="77">
        <f t="shared" si="18"/>
        <v>72384.138186851211</v>
      </c>
      <c r="P81" s="284">
        <f>HLOOKUP(Q$2,InflationTable,2)/HLOOKUP(Labor!$B$11,InflationTable,2)*$I81</f>
        <v>306.35610352941171</v>
      </c>
      <c r="Q81" s="219">
        <f>P81*$R$4</f>
        <v>73831.820950588226</v>
      </c>
      <c r="R81" s="256">
        <f t="shared" si="19"/>
        <v>73831.820950588226</v>
      </c>
      <c r="S81" s="140">
        <f t="shared" si="20"/>
        <v>71938.697336470577</v>
      </c>
      <c r="T81" s="93" t="s">
        <v>12</v>
      </c>
      <c r="U81" s="94" t="s">
        <v>12</v>
      </c>
    </row>
    <row r="82" spans="2:21" ht="13" x14ac:dyDescent="0.3">
      <c r="B82" s="459" t="s">
        <v>108</v>
      </c>
      <c r="C82" s="290">
        <v>0</v>
      </c>
      <c r="D82" s="290">
        <v>0</v>
      </c>
      <c r="E82" s="290">
        <v>0</v>
      </c>
      <c r="F82" s="290">
        <v>3</v>
      </c>
      <c r="G82" s="290">
        <v>3</v>
      </c>
      <c r="H82" s="290">
        <v>0</v>
      </c>
      <c r="I82" s="291">
        <f t="shared" si="16"/>
        <v>6</v>
      </c>
      <c r="J82" s="1125" t="s">
        <v>12</v>
      </c>
      <c r="K82" s="273">
        <f>I82*$L$4</f>
        <v>1446</v>
      </c>
      <c r="L82" s="274">
        <f t="shared" si="17"/>
        <v>1446</v>
      </c>
      <c r="M82" s="53" t="s">
        <v>12</v>
      </c>
      <c r="N82" s="147">
        <f>$I82*$O$4</f>
        <v>1446</v>
      </c>
      <c r="O82" s="148">
        <f t="shared" si="18"/>
        <v>1446</v>
      </c>
      <c r="P82" s="242" t="s">
        <v>12</v>
      </c>
      <c r="Q82" s="273">
        <f>$I82*$O$4</f>
        <v>1446</v>
      </c>
      <c r="R82" s="274">
        <f t="shared" si="19"/>
        <v>1446</v>
      </c>
      <c r="S82" s="96">
        <f t="shared" si="20"/>
        <v>1446</v>
      </c>
      <c r="T82" s="34" t="s">
        <v>12</v>
      </c>
      <c r="U82" s="42" t="s">
        <v>12</v>
      </c>
    </row>
    <row r="83" spans="2:21" ht="13.5" thickBot="1" x14ac:dyDescent="0.35">
      <c r="B83" s="466" t="s">
        <v>8</v>
      </c>
      <c r="C83" s="29">
        <f>ROUND(C82*Labor!$D$3,0)</f>
        <v>0</v>
      </c>
      <c r="D83" s="29">
        <f>ROUND(D82*Labor!$D$4,0)</f>
        <v>0</v>
      </c>
      <c r="E83" s="29">
        <f>ROUND(E82*Labor!$D$5,0)</f>
        <v>0</v>
      </c>
      <c r="F83" s="29">
        <f>ROUND(F82*Labor!$D$6,0)</f>
        <v>83</v>
      </c>
      <c r="G83" s="29">
        <f>ROUND(G82*Labor!$D$7,0)</f>
        <v>94</v>
      </c>
      <c r="H83" s="29">
        <f>ROUND(H82*Labor!$D$8,0)</f>
        <v>0</v>
      </c>
      <c r="I83" s="33">
        <f t="shared" si="16"/>
        <v>177</v>
      </c>
      <c r="J83" s="1124">
        <f>HLOOKUP(K$2,InflationTable,2)/HLOOKUP(Labor!$B$11,InflationTable,2)*$I83</f>
        <v>378.6452595155709</v>
      </c>
      <c r="K83" s="219">
        <f>J83*$L$4</f>
        <v>91253.507543252592</v>
      </c>
      <c r="L83" s="256">
        <f t="shared" si="17"/>
        <v>91253.507543252592</v>
      </c>
      <c r="M83" s="169">
        <f>HLOOKUP(N$2,InflationTable,2)/HLOOKUP(Labor!$B$11,InflationTable,2)*$I83</f>
        <v>393.79106989619379</v>
      </c>
      <c r="N83" s="55">
        <f>M83*$O$4</f>
        <v>94903.647844982697</v>
      </c>
      <c r="O83" s="77">
        <f t="shared" si="18"/>
        <v>94903.647844982697</v>
      </c>
      <c r="P83" s="284">
        <f>HLOOKUP(Q$2,InflationTable,2)/HLOOKUP(Labor!$B$11,InflationTable,2)*$I83</f>
        <v>401.66689129411759</v>
      </c>
      <c r="Q83" s="219">
        <f>P83*$R$4</f>
        <v>96801.720801882344</v>
      </c>
      <c r="R83" s="256">
        <f t="shared" si="19"/>
        <v>96801.720801882344</v>
      </c>
      <c r="S83" s="103">
        <f t="shared" si="20"/>
        <v>94319.625396705873</v>
      </c>
      <c r="T83" s="110" t="s">
        <v>12</v>
      </c>
      <c r="U83" s="121" t="s">
        <v>12</v>
      </c>
    </row>
    <row r="84" spans="2:21" ht="13" x14ac:dyDescent="0.3">
      <c r="B84" s="106" t="s">
        <v>29</v>
      </c>
      <c r="C84" s="86" t="s">
        <v>45</v>
      </c>
      <c r="D84" s="86" t="s">
        <v>46</v>
      </c>
      <c r="E84" s="86" t="s">
        <v>47</v>
      </c>
      <c r="F84" s="86" t="s">
        <v>48</v>
      </c>
      <c r="G84" s="86" t="s">
        <v>49</v>
      </c>
      <c r="H84" s="86" t="s">
        <v>50</v>
      </c>
      <c r="I84" s="87" t="s">
        <v>112</v>
      </c>
      <c r="J84" s="1125"/>
      <c r="K84" s="293"/>
      <c r="L84" s="296"/>
      <c r="M84" s="88" t="s">
        <v>113</v>
      </c>
      <c r="N84" s="86" t="s">
        <v>13</v>
      </c>
      <c r="O84" s="87" t="s">
        <v>68</v>
      </c>
      <c r="P84" s="292" t="s">
        <v>113</v>
      </c>
      <c r="Q84" s="293" t="s">
        <v>13</v>
      </c>
      <c r="R84" s="296" t="s">
        <v>68</v>
      </c>
      <c r="S84" s="98"/>
      <c r="T84" s="108"/>
      <c r="U84" s="31"/>
    </row>
    <row r="85" spans="2:21" x14ac:dyDescent="0.25">
      <c r="B85" s="467" t="s">
        <v>51</v>
      </c>
      <c r="C85" s="18">
        <v>0</v>
      </c>
      <c r="D85" s="18">
        <v>0</v>
      </c>
      <c r="E85" s="18">
        <v>0.2</v>
      </c>
      <c r="F85" s="18">
        <v>0.3</v>
      </c>
      <c r="G85" s="18">
        <v>0</v>
      </c>
      <c r="H85" s="18">
        <v>0</v>
      </c>
      <c r="I85" s="45">
        <f>SUM(C85:H85)</f>
        <v>0.5</v>
      </c>
      <c r="J85" s="1123" t="s">
        <v>12</v>
      </c>
      <c r="K85" s="262">
        <f>I85*$J$5</f>
        <v>35.5</v>
      </c>
      <c r="L85" s="239">
        <f>K85</f>
        <v>35.5</v>
      </c>
      <c r="M85" s="51" t="s">
        <v>12</v>
      </c>
      <c r="N85" s="73">
        <f>$I85*M$5</f>
        <v>35.5</v>
      </c>
      <c r="O85" s="57">
        <f>N85</f>
        <v>35.5</v>
      </c>
      <c r="P85" s="213" t="s">
        <v>12</v>
      </c>
      <c r="Q85" s="262">
        <f>$I85*P$5</f>
        <v>35.5</v>
      </c>
      <c r="R85" s="239">
        <f>Q85</f>
        <v>35.5</v>
      </c>
      <c r="S85" s="96">
        <f>AVERAGE(L85,O85,R85)</f>
        <v>35.5</v>
      </c>
      <c r="T85" s="34" t="s">
        <v>12</v>
      </c>
      <c r="U85" s="42" t="s">
        <v>12</v>
      </c>
    </row>
    <row r="86" spans="2:21" ht="13.5" thickBot="1" x14ac:dyDescent="0.35">
      <c r="B86" s="465" t="s">
        <v>107</v>
      </c>
      <c r="C86" s="29">
        <f>ROUND(C85*Labor!$D$3,0)</f>
        <v>0</v>
      </c>
      <c r="D86" s="29">
        <f>ROUND(D85*Labor!$D$4,0)</f>
        <v>0</v>
      </c>
      <c r="E86" s="29">
        <f>ROUND(E85*Labor!$D$5,0)</f>
        <v>5</v>
      </c>
      <c r="F86" s="29">
        <f>ROUND(F85*Labor!$D$6,0)</f>
        <v>8</v>
      </c>
      <c r="G86" s="29">
        <f>ROUND(G85*Labor!$D$7,0)</f>
        <v>0</v>
      </c>
      <c r="H86" s="29">
        <f>ROUND(H85*Labor!$D$8,0)</f>
        <v>0</v>
      </c>
      <c r="I86" s="33">
        <f>SUM(C86:H86)</f>
        <v>13</v>
      </c>
      <c r="J86" s="1124">
        <f>HLOOKUP(K$2,InflationTable,2)/HLOOKUP(Labor!$B$11,InflationTable,2)*$I86</f>
        <v>27.810103806228373</v>
      </c>
      <c r="K86" s="219">
        <f>J86*$J$5</f>
        <v>1974.5173702422144</v>
      </c>
      <c r="L86" s="256">
        <f>K86</f>
        <v>1974.5173702422144</v>
      </c>
      <c r="M86" s="169">
        <f>HLOOKUP(N$2,InflationTable,2)/HLOOKUP(Labor!$B$11,InflationTable,2)*$I86</f>
        <v>28.92250795847751</v>
      </c>
      <c r="N86" s="55">
        <f>M86*$M$5</f>
        <v>2053.4980650519033</v>
      </c>
      <c r="O86" s="77">
        <f>N86</f>
        <v>2053.4980650519033</v>
      </c>
      <c r="P86" s="284">
        <f>HLOOKUP(Q$2,InflationTable,2)/HLOOKUP(Labor!$B$11,InflationTable,2)*$I86</f>
        <v>29.500958117647055</v>
      </c>
      <c r="Q86" s="219">
        <f>P86*$P$5</f>
        <v>2094.5680263529412</v>
      </c>
      <c r="R86" s="256">
        <f>Q86</f>
        <v>2094.5680263529412</v>
      </c>
      <c r="S86" s="107">
        <f>AVERAGE(L86,O86,R86)</f>
        <v>2040.8611538823527</v>
      </c>
      <c r="T86" s="110" t="s">
        <v>12</v>
      </c>
      <c r="U86" s="121" t="s">
        <v>12</v>
      </c>
    </row>
    <row r="87" spans="2:21" ht="13" x14ac:dyDescent="0.3">
      <c r="B87" s="106" t="s">
        <v>106</v>
      </c>
      <c r="C87" s="5"/>
      <c r="D87" s="349" t="s">
        <v>54</v>
      </c>
      <c r="E87" s="24">
        <v>5</v>
      </c>
      <c r="I87" s="87" t="s">
        <v>55</v>
      </c>
      <c r="J87" s="1126"/>
      <c r="K87" s="445"/>
      <c r="L87" s="446"/>
      <c r="M87" s="130" t="s">
        <v>55</v>
      </c>
      <c r="N87" s="1179" t="s">
        <v>57</v>
      </c>
      <c r="O87" s="1180"/>
      <c r="P87" s="209" t="s">
        <v>55</v>
      </c>
      <c r="Q87" s="1176" t="s">
        <v>57</v>
      </c>
      <c r="R87" s="1184"/>
      <c r="S87" s="139"/>
      <c r="T87" s="108"/>
      <c r="U87" s="31"/>
    </row>
    <row r="88" spans="2:21" x14ac:dyDescent="0.25">
      <c r="B88" s="467" t="s">
        <v>51</v>
      </c>
      <c r="C88" s="18">
        <v>0</v>
      </c>
      <c r="D88" s="18">
        <v>0</v>
      </c>
      <c r="E88" s="18">
        <v>0</v>
      </c>
      <c r="F88" s="18">
        <v>5</v>
      </c>
      <c r="G88" s="18">
        <v>5</v>
      </c>
      <c r="H88" s="18">
        <v>5</v>
      </c>
      <c r="I88" s="45">
        <f>SUM(C88:H88)</f>
        <v>15</v>
      </c>
      <c r="J88" s="1123" t="s">
        <v>12</v>
      </c>
      <c r="K88" s="233">
        <f>I88*$J$5</f>
        <v>1065</v>
      </c>
      <c r="L88" s="232">
        <f>K88/$E$87</f>
        <v>213</v>
      </c>
      <c r="M88" s="51" t="s">
        <v>12</v>
      </c>
      <c r="N88" s="10">
        <f>$I$88*$M$5</f>
        <v>1065</v>
      </c>
      <c r="O88" s="52">
        <f>N88/$E$87</f>
        <v>213</v>
      </c>
      <c r="P88" s="213" t="s">
        <v>12</v>
      </c>
      <c r="Q88" s="233">
        <f>$I$88*$P$5</f>
        <v>1065</v>
      </c>
      <c r="R88" s="232">
        <f>Q88/$E$87</f>
        <v>213</v>
      </c>
      <c r="S88" s="96">
        <f>AVERAGE(L88,O88,R88)</f>
        <v>213</v>
      </c>
      <c r="T88" s="34" t="s">
        <v>12</v>
      </c>
      <c r="U88" s="42" t="s">
        <v>12</v>
      </c>
    </row>
    <row r="89" spans="2:21" ht="13.5" thickBot="1" x14ac:dyDescent="0.35">
      <c r="B89" s="465" t="s">
        <v>105</v>
      </c>
      <c r="C89" s="29">
        <f>ROUND(C88*Labor!$D$3,0)</f>
        <v>0</v>
      </c>
      <c r="D89" s="29">
        <f>ROUND(D88*Labor!$D$4,0)</f>
        <v>0</v>
      </c>
      <c r="E89" s="29">
        <f>ROUND(E88*Labor!$D$5,0)</f>
        <v>0</v>
      </c>
      <c r="F89" s="29">
        <f>ROUND(F88*Labor!$D$6,0)</f>
        <v>138</v>
      </c>
      <c r="G89" s="29">
        <f>ROUND(G88*Labor!$D$7,0)</f>
        <v>157</v>
      </c>
      <c r="H89" s="29">
        <f>ROUND(H88*Labor!$D$8,0)</f>
        <v>189</v>
      </c>
      <c r="I89" s="33">
        <f>SUM(C89:H89)</f>
        <v>484</v>
      </c>
      <c r="J89" s="1124">
        <f>HLOOKUP(K$2,InflationTable,2)/HLOOKUP(Labor!$B$11,InflationTable,2)*$I89</f>
        <v>1035.3915570934255</v>
      </c>
      <c r="K89" s="219">
        <f>J89*$J$5</f>
        <v>73512.800553633206</v>
      </c>
      <c r="L89" s="220">
        <f>K89/$E$87</f>
        <v>14702.560110726641</v>
      </c>
      <c r="M89" s="169">
        <f>HLOOKUP(N$2,InflationTable,2)/HLOOKUP(Labor!$B$11,InflationTable,2)*$I89</f>
        <v>1076.8072193771627</v>
      </c>
      <c r="N89" s="55">
        <f>M89*$M$5</f>
        <v>76453.312575778546</v>
      </c>
      <c r="O89" s="33">
        <f>N89/$E$87</f>
        <v>15290.662515155709</v>
      </c>
      <c r="P89" s="284">
        <f>HLOOKUP(Q$2,InflationTable,2)/HLOOKUP(Labor!$B$11,InflationTable,2)*$I89</f>
        <v>1098.3433637647058</v>
      </c>
      <c r="Q89" s="219">
        <f>P89*$P$5</f>
        <v>77982.378827294116</v>
      </c>
      <c r="R89" s="220">
        <f>Q89/$E$87</f>
        <v>15596.475765458823</v>
      </c>
      <c r="S89" s="103">
        <f>AVERAGE(L89,O89,R89)</f>
        <v>15196.566130447058</v>
      </c>
      <c r="T89" s="110" t="s">
        <v>12</v>
      </c>
      <c r="U89" s="121" t="s">
        <v>12</v>
      </c>
    </row>
    <row r="90" spans="2:21" ht="13" x14ac:dyDescent="0.3">
      <c r="B90" s="139" t="s">
        <v>66</v>
      </c>
      <c r="C90" s="36">
        <f t="shared" ref="C90:I91" si="21">C73+C75+C78+C80+C82+C85+C88</f>
        <v>0</v>
      </c>
      <c r="D90" s="36">
        <f t="shared" si="21"/>
        <v>27</v>
      </c>
      <c r="E90" s="36">
        <f t="shared" si="21"/>
        <v>1.2</v>
      </c>
      <c r="F90" s="36">
        <f t="shared" si="21"/>
        <v>32.299999999999997</v>
      </c>
      <c r="G90" s="36">
        <f t="shared" si="21"/>
        <v>27</v>
      </c>
      <c r="H90" s="36">
        <f t="shared" si="21"/>
        <v>5</v>
      </c>
      <c r="I90" s="46">
        <f t="shared" si="21"/>
        <v>92.5</v>
      </c>
      <c r="J90" s="242" t="s">
        <v>12</v>
      </c>
      <c r="K90" s="263" t="s">
        <v>12</v>
      </c>
      <c r="L90" s="264">
        <f>L88+K85+K82+K80+K78+K75+K73</f>
        <v>18805.5</v>
      </c>
      <c r="M90" s="75" t="s">
        <v>12</v>
      </c>
      <c r="N90" s="36" t="s">
        <v>12</v>
      </c>
      <c r="O90" s="74">
        <f>O88+N85+N82+N80+N78+N75+N73</f>
        <v>18805.5</v>
      </c>
      <c r="P90" s="242" t="s">
        <v>12</v>
      </c>
      <c r="Q90" s="263" t="s">
        <v>12</v>
      </c>
      <c r="R90" s="264">
        <f>R88+Q85+Q82+Q80+Q78+Q75+Q73</f>
        <v>18805.5</v>
      </c>
      <c r="S90" s="122">
        <f>AVERAGE(L90,O90,R90)</f>
        <v>18805.5</v>
      </c>
      <c r="T90" s="108"/>
      <c r="U90" s="31"/>
    </row>
    <row r="91" spans="2:21" ht="13.5" thickBot="1" x14ac:dyDescent="0.35">
      <c r="B91" s="460" t="s">
        <v>67</v>
      </c>
      <c r="C91" s="194">
        <f t="shared" si="21"/>
        <v>0</v>
      </c>
      <c r="D91" s="194">
        <f t="shared" si="21"/>
        <v>653</v>
      </c>
      <c r="E91" s="194">
        <f t="shared" si="21"/>
        <v>30</v>
      </c>
      <c r="F91" s="194">
        <f t="shared" si="21"/>
        <v>890</v>
      </c>
      <c r="G91" s="194">
        <f t="shared" si="21"/>
        <v>846</v>
      </c>
      <c r="H91" s="194">
        <f t="shared" si="21"/>
        <v>189</v>
      </c>
      <c r="I91" s="197">
        <f t="shared" si="21"/>
        <v>2608</v>
      </c>
      <c r="J91" s="224">
        <f>J74+J76+J79+J81+J83+J86+J89</f>
        <v>5579.134671280277</v>
      </c>
      <c r="K91" s="265" t="s">
        <v>12</v>
      </c>
      <c r="L91" s="254">
        <f>L89+K86+K83+K81+K79+K76+K74</f>
        <v>1105016.9329826988</v>
      </c>
      <c r="M91" s="196">
        <f>M74+M76+M79+M81+M83+M86+M89</f>
        <v>5802.30005813149</v>
      </c>
      <c r="N91" s="207" t="s">
        <v>12</v>
      </c>
      <c r="O91" s="178">
        <f>O89+N86+N83+N81+N79+N76+N74</f>
        <v>1149217.6103020068</v>
      </c>
      <c r="P91" s="224">
        <f>P74+P76+P79+P81+P83+P86+P89</f>
        <v>5918.3460592941174</v>
      </c>
      <c r="Q91" s="265" t="s">
        <v>12</v>
      </c>
      <c r="R91" s="254">
        <f>R89+Q86+Q83+Q81+Q79+Q76+Q74</f>
        <v>1172201.962508047</v>
      </c>
      <c r="S91" s="202">
        <f>AVERAGE(L91,O91,R91)</f>
        <v>1142145.5019309176</v>
      </c>
      <c r="T91" s="200"/>
      <c r="U91" s="190"/>
    </row>
    <row r="92" spans="2:21" ht="13.5" thickTop="1" thickBot="1" x14ac:dyDescent="0.3">
      <c r="B92" s="514"/>
      <c r="C92" s="513"/>
      <c r="D92" s="513"/>
      <c r="E92" s="513"/>
      <c r="F92" s="513"/>
      <c r="G92" s="513"/>
      <c r="H92" s="513"/>
      <c r="I92" s="513"/>
      <c r="J92" s="513"/>
      <c r="K92" s="513"/>
      <c r="L92" s="513"/>
      <c r="M92" s="513"/>
      <c r="N92" s="513"/>
      <c r="O92" s="513"/>
      <c r="P92" s="513"/>
      <c r="Q92" s="513"/>
      <c r="R92" s="513"/>
      <c r="S92" s="513"/>
      <c r="T92" s="513"/>
      <c r="U92" s="515"/>
    </row>
    <row r="93" spans="2:21" ht="16" thickTop="1" x14ac:dyDescent="0.35">
      <c r="B93" s="461" t="s">
        <v>30</v>
      </c>
      <c r="F93" s="1" t="s">
        <v>6</v>
      </c>
      <c r="G93" s="1160"/>
      <c r="H93" s="1161"/>
      <c r="I93" s="1162"/>
      <c r="J93" s="2" t="s">
        <v>30</v>
      </c>
      <c r="L93" s="31"/>
      <c r="M93" s="2" t="s">
        <v>30</v>
      </c>
      <c r="O93" s="31"/>
      <c r="P93" s="2" t="s">
        <v>30</v>
      </c>
      <c r="Q93" s="61"/>
      <c r="R93" s="62"/>
      <c r="S93" s="97"/>
      <c r="T93" s="108"/>
      <c r="U93" s="31"/>
    </row>
    <row r="94" spans="2:21" ht="13" x14ac:dyDescent="0.3">
      <c r="B94" s="144"/>
      <c r="I94" s="32" t="s">
        <v>61</v>
      </c>
      <c r="J94" s="227" t="s">
        <v>61</v>
      </c>
      <c r="K94" s="1167" t="s">
        <v>57</v>
      </c>
      <c r="L94" s="1168"/>
      <c r="M94" s="50" t="s">
        <v>61</v>
      </c>
      <c r="N94" s="1177" t="s">
        <v>57</v>
      </c>
      <c r="O94" s="1181"/>
      <c r="P94" s="266" t="s">
        <v>61</v>
      </c>
      <c r="Q94" s="1176" t="s">
        <v>57</v>
      </c>
      <c r="R94" s="1184"/>
      <c r="S94" s="106"/>
      <c r="T94" s="108"/>
      <c r="U94" s="31"/>
    </row>
    <row r="95" spans="2:21" ht="13" x14ac:dyDescent="0.3">
      <c r="B95" s="462" t="s">
        <v>21</v>
      </c>
      <c r="C95" s="20" t="s">
        <v>45</v>
      </c>
      <c r="D95" s="20" t="s">
        <v>46</v>
      </c>
      <c r="E95" s="20" t="s">
        <v>47</v>
      </c>
      <c r="F95" s="20" t="s">
        <v>48</v>
      </c>
      <c r="G95" s="20" t="s">
        <v>49</v>
      </c>
      <c r="H95" s="20" t="s">
        <v>50</v>
      </c>
      <c r="I95" s="32" t="s">
        <v>13</v>
      </c>
      <c r="J95" s="210" t="s">
        <v>56</v>
      </c>
      <c r="K95" s="211" t="s">
        <v>13</v>
      </c>
      <c r="L95" s="212" t="s">
        <v>68</v>
      </c>
      <c r="M95" s="66" t="s">
        <v>56</v>
      </c>
      <c r="N95" s="20" t="s">
        <v>13</v>
      </c>
      <c r="O95" s="32" t="s">
        <v>68</v>
      </c>
      <c r="P95" s="210" t="s">
        <v>56</v>
      </c>
      <c r="Q95" s="211" t="s">
        <v>13</v>
      </c>
      <c r="R95" s="212" t="s">
        <v>68</v>
      </c>
      <c r="S95" s="98"/>
      <c r="T95" s="108"/>
      <c r="U95" s="31"/>
    </row>
    <row r="96" spans="2:21" x14ac:dyDescent="0.25">
      <c r="B96" s="464" t="s">
        <v>4</v>
      </c>
      <c r="C96" s="18">
        <v>0</v>
      </c>
      <c r="D96" s="18">
        <v>0</v>
      </c>
      <c r="E96" s="18">
        <v>0</v>
      </c>
      <c r="F96" s="18">
        <v>0</v>
      </c>
      <c r="G96" s="18">
        <v>8</v>
      </c>
      <c r="H96" s="18">
        <v>4</v>
      </c>
      <c r="I96" s="45">
        <f>SUM(C96:H96)</f>
        <v>12</v>
      </c>
      <c r="J96" s="1123" t="s">
        <v>12</v>
      </c>
      <c r="K96" s="231">
        <f>I96*$L$4</f>
        <v>2892</v>
      </c>
      <c r="L96" s="239">
        <f>K96</f>
        <v>2892</v>
      </c>
      <c r="M96" s="51" t="s">
        <v>12</v>
      </c>
      <c r="N96" s="58">
        <f>$I96*O$4</f>
        <v>2892</v>
      </c>
      <c r="O96" s="52">
        <f>N96</f>
        <v>2892</v>
      </c>
      <c r="P96" s="213" t="s">
        <v>12</v>
      </c>
      <c r="Q96" s="231">
        <f>$I96*R$4</f>
        <v>2892</v>
      </c>
      <c r="R96" s="239">
        <f>Q96</f>
        <v>2892</v>
      </c>
      <c r="S96" s="96">
        <f t="shared" ref="S96:S101" si="22">AVERAGE(L96,O96,R96)</f>
        <v>2892</v>
      </c>
      <c r="T96" s="34" t="s">
        <v>12</v>
      </c>
      <c r="U96" s="42" t="s">
        <v>12</v>
      </c>
    </row>
    <row r="97" spans="2:21" ht="13.5" thickBot="1" x14ac:dyDescent="0.35">
      <c r="B97" s="465" t="s">
        <v>8</v>
      </c>
      <c r="C97" s="29">
        <f>ROUND(C96*Labor!$D$3,0)</f>
        <v>0</v>
      </c>
      <c r="D97" s="29">
        <f>ROUND(D96*Labor!$D$4,0)</f>
        <v>0</v>
      </c>
      <c r="E97" s="29">
        <f>ROUND(E96*Labor!$D$5,0)</f>
        <v>0</v>
      </c>
      <c r="F97" s="29">
        <f>ROUND(F96*Labor!$D$6,0)</f>
        <v>0</v>
      </c>
      <c r="G97" s="29">
        <f>ROUND(G96*Labor!$D$7,0)</f>
        <v>250</v>
      </c>
      <c r="H97" s="29">
        <f>ROUND(H96*Labor!$D$8,0)</f>
        <v>151</v>
      </c>
      <c r="I97" s="33">
        <f>SUM(C97:H97)</f>
        <v>401</v>
      </c>
      <c r="J97" s="1124">
        <f>HLOOKUP(K$2,InflationTable,2)/HLOOKUP(Labor!$B$11,InflationTable,2)*$I97</f>
        <v>857.83474048442895</v>
      </c>
      <c r="K97" s="219">
        <f>J97*$L$4</f>
        <v>206738.17245674739</v>
      </c>
      <c r="L97" s="256">
        <f>K97</f>
        <v>206738.17245674739</v>
      </c>
      <c r="M97" s="169">
        <f>HLOOKUP(N$2,InflationTable,2)/HLOOKUP(Labor!$B$11,InflationTable,2)*$I97</f>
        <v>892.14813010380624</v>
      </c>
      <c r="N97" s="55">
        <f>M97*O$4</f>
        <v>215007.69935501731</v>
      </c>
      <c r="O97" s="33">
        <f>N97</f>
        <v>215007.69935501731</v>
      </c>
      <c r="P97" s="284">
        <f>HLOOKUP(Q$2,InflationTable,2)/HLOOKUP(Labor!$B$11,InflationTable,2)*$I97</f>
        <v>909.99109270588224</v>
      </c>
      <c r="Q97" s="219">
        <f>P97*R$4</f>
        <v>219307.85334211763</v>
      </c>
      <c r="R97" s="256">
        <f>Q97</f>
        <v>219307.85334211763</v>
      </c>
      <c r="S97" s="103">
        <f t="shared" si="22"/>
        <v>213684.57505129409</v>
      </c>
      <c r="T97" s="110" t="s">
        <v>12</v>
      </c>
      <c r="U97" s="121" t="s">
        <v>12</v>
      </c>
    </row>
    <row r="98" spans="2:21" ht="13" x14ac:dyDescent="0.3">
      <c r="B98" s="459" t="s">
        <v>104</v>
      </c>
      <c r="C98" s="290">
        <v>0</v>
      </c>
      <c r="D98" s="290">
        <v>0</v>
      </c>
      <c r="E98" s="290">
        <v>16</v>
      </c>
      <c r="F98" s="290">
        <v>8</v>
      </c>
      <c r="G98" s="290">
        <v>4</v>
      </c>
      <c r="H98" s="290">
        <v>2</v>
      </c>
      <c r="I98" s="291">
        <f>SUM(C98:H98)</f>
        <v>30</v>
      </c>
      <c r="J98" s="1125" t="s">
        <v>12</v>
      </c>
      <c r="K98" s="273">
        <f>I98*$L$4</f>
        <v>7230</v>
      </c>
      <c r="L98" s="274">
        <f>K98</f>
        <v>7230</v>
      </c>
      <c r="M98" s="53" t="s">
        <v>12</v>
      </c>
      <c r="N98" s="147">
        <f>$I98*O$4</f>
        <v>7230</v>
      </c>
      <c r="O98" s="148">
        <f>N98</f>
        <v>7230</v>
      </c>
      <c r="P98" s="242" t="s">
        <v>12</v>
      </c>
      <c r="Q98" s="273">
        <f>$I98*R$4</f>
        <v>7230</v>
      </c>
      <c r="R98" s="274">
        <f>Q98</f>
        <v>7230</v>
      </c>
      <c r="S98" s="96">
        <f t="shared" si="22"/>
        <v>7230</v>
      </c>
      <c r="T98" s="34" t="s">
        <v>12</v>
      </c>
      <c r="U98" s="42" t="s">
        <v>12</v>
      </c>
    </row>
    <row r="99" spans="2:21" ht="13.5" thickBot="1" x14ac:dyDescent="0.35">
      <c r="B99" s="466" t="s">
        <v>8</v>
      </c>
      <c r="C99" s="29">
        <f>ROUND(C98*Labor!$D$3,0)</f>
        <v>0</v>
      </c>
      <c r="D99" s="29">
        <f>ROUND(D98*Labor!$D$4,0)</f>
        <v>0</v>
      </c>
      <c r="E99" s="29">
        <f>ROUND(E98*Labor!$D$5,0)</f>
        <v>404</v>
      </c>
      <c r="F99" s="29">
        <f>ROUND(F98*Labor!$D$6,0)</f>
        <v>221</v>
      </c>
      <c r="G99" s="29">
        <f>ROUND(G98*Labor!$D$7,0)</f>
        <v>125</v>
      </c>
      <c r="H99" s="29">
        <f>ROUND(H98*Labor!$D$8,0)</f>
        <v>76</v>
      </c>
      <c r="I99" s="33">
        <f>SUM(C99:H99)</f>
        <v>826</v>
      </c>
      <c r="J99" s="1124">
        <f>HLOOKUP(K$2,InflationTable,2)/HLOOKUP(Labor!$B$11,InflationTable,2)*$I99</f>
        <v>1767.0112110726643</v>
      </c>
      <c r="K99" s="219">
        <f>J99*$L$4</f>
        <v>425849.70186851209</v>
      </c>
      <c r="L99" s="248">
        <f>K99</f>
        <v>425849.70186851209</v>
      </c>
      <c r="M99" s="169">
        <f>HLOOKUP(N$2,InflationTable,2)/HLOOKUP(Labor!$B$11,InflationTable,2)*$I99</f>
        <v>1837.691659515571</v>
      </c>
      <c r="N99" s="55">
        <f>M99*O$4</f>
        <v>442883.6899432526</v>
      </c>
      <c r="O99" s="33">
        <f>N99</f>
        <v>442883.6899432526</v>
      </c>
      <c r="P99" s="284">
        <f>HLOOKUP(Q$2,InflationTable,2)/HLOOKUP(Labor!$B$11,InflationTable,2)*$I99</f>
        <v>1874.4454927058821</v>
      </c>
      <c r="Q99" s="219">
        <f>P99*R$4</f>
        <v>451741.3637421176</v>
      </c>
      <c r="R99" s="248">
        <f>Q99</f>
        <v>451741.3637421176</v>
      </c>
      <c r="S99" s="103">
        <f t="shared" si="22"/>
        <v>440158.25185129413</v>
      </c>
      <c r="T99" s="110" t="s">
        <v>12</v>
      </c>
      <c r="U99" s="121" t="s">
        <v>12</v>
      </c>
    </row>
    <row r="100" spans="2:21" ht="13" x14ac:dyDescent="0.3">
      <c r="B100" s="139" t="s">
        <v>66</v>
      </c>
      <c r="C100" s="30">
        <f t="shared" ref="C100:I101" si="23">C96+C98</f>
        <v>0</v>
      </c>
      <c r="D100" s="30">
        <f t="shared" si="23"/>
        <v>0</v>
      </c>
      <c r="E100" s="30">
        <f t="shared" si="23"/>
        <v>16</v>
      </c>
      <c r="F100" s="30">
        <f t="shared" si="23"/>
        <v>8</v>
      </c>
      <c r="G100" s="30">
        <f t="shared" si="23"/>
        <v>12</v>
      </c>
      <c r="H100" s="30">
        <f t="shared" si="23"/>
        <v>6</v>
      </c>
      <c r="I100" s="39">
        <f t="shared" si="23"/>
        <v>42</v>
      </c>
      <c r="J100" s="249" t="s">
        <v>12</v>
      </c>
      <c r="K100" s="267">
        <f>K96+K98</f>
        <v>10122</v>
      </c>
      <c r="L100" s="268">
        <f>L96+L98</f>
        <v>10122</v>
      </c>
      <c r="M100" s="70" t="s">
        <v>12</v>
      </c>
      <c r="N100" s="30">
        <f>N96+N98</f>
        <v>10122</v>
      </c>
      <c r="O100" s="82">
        <f>O96+O98</f>
        <v>10122</v>
      </c>
      <c r="P100" s="249" t="s">
        <v>12</v>
      </c>
      <c r="Q100" s="267">
        <f>Q96+Q98</f>
        <v>10122</v>
      </c>
      <c r="R100" s="269">
        <f>R96+R98</f>
        <v>10122</v>
      </c>
      <c r="S100" s="96">
        <f t="shared" si="22"/>
        <v>10122</v>
      </c>
      <c r="T100" s="34" t="s">
        <v>12</v>
      </c>
      <c r="U100" s="42" t="s">
        <v>12</v>
      </c>
    </row>
    <row r="101" spans="2:21" ht="13.5" thickBot="1" x14ac:dyDescent="0.35">
      <c r="B101" s="460" t="s">
        <v>67</v>
      </c>
      <c r="C101" s="194">
        <f t="shared" si="23"/>
        <v>0</v>
      </c>
      <c r="D101" s="194">
        <f t="shared" si="23"/>
        <v>0</v>
      </c>
      <c r="E101" s="194">
        <f t="shared" si="23"/>
        <v>404</v>
      </c>
      <c r="F101" s="194">
        <f t="shared" si="23"/>
        <v>221</v>
      </c>
      <c r="G101" s="194">
        <f t="shared" si="23"/>
        <v>375</v>
      </c>
      <c r="H101" s="194">
        <f t="shared" si="23"/>
        <v>227</v>
      </c>
      <c r="I101" s="197">
        <f t="shared" si="23"/>
        <v>1227</v>
      </c>
      <c r="J101" s="224">
        <f>J97+J99</f>
        <v>2624.845951557093</v>
      </c>
      <c r="K101" s="225">
        <f>K97+K99</f>
        <v>632587.87432525947</v>
      </c>
      <c r="L101" s="226">
        <f>L97+L99</f>
        <v>632587.87432525947</v>
      </c>
      <c r="M101" s="196">
        <f>M97+M99</f>
        <v>2729.8397896193774</v>
      </c>
      <c r="N101" s="194">
        <f>N97+N99</f>
        <v>657891.38929826987</v>
      </c>
      <c r="O101" s="197">
        <f>O97+O99</f>
        <v>657891.38929826987</v>
      </c>
      <c r="P101" s="261">
        <f>P97+P99</f>
        <v>2784.4365854117641</v>
      </c>
      <c r="Q101" s="225">
        <f>Q97+Q99</f>
        <v>671049.21708423528</v>
      </c>
      <c r="R101" s="226">
        <f>R97+R99</f>
        <v>671049.21708423528</v>
      </c>
      <c r="S101" s="206">
        <f t="shared" si="22"/>
        <v>653842.82690258825</v>
      </c>
      <c r="T101" s="208" t="s">
        <v>12</v>
      </c>
      <c r="U101" s="203" t="s">
        <v>12</v>
      </c>
    </row>
    <row r="102" spans="2:21" ht="13.5" thickTop="1" thickBot="1" x14ac:dyDescent="0.3">
      <c r="B102" s="144"/>
      <c r="D102" s="513"/>
      <c r="E102" s="513"/>
      <c r="F102" s="513"/>
      <c r="G102" s="513"/>
      <c r="H102" s="513"/>
      <c r="I102" s="513"/>
      <c r="J102" s="513"/>
      <c r="K102" s="513"/>
      <c r="L102" s="513"/>
      <c r="M102" s="513"/>
      <c r="N102" s="513"/>
      <c r="O102" s="513"/>
      <c r="P102" s="513"/>
      <c r="Q102" s="513"/>
      <c r="R102" s="513"/>
      <c r="S102" s="513"/>
      <c r="T102" s="513"/>
      <c r="U102" s="515"/>
    </row>
    <row r="103" spans="2:21" ht="19" thickTop="1" thickBot="1" x14ac:dyDescent="0.45">
      <c r="B103" s="456" t="s">
        <v>121</v>
      </c>
      <c r="C103" s="188" t="str">
        <f>C2</f>
        <v>CO</v>
      </c>
      <c r="E103" s="3"/>
      <c r="F103" s="9"/>
      <c r="G103" s="3"/>
      <c r="H103" s="3"/>
      <c r="I103" s="35"/>
      <c r="J103" s="67" t="str">
        <f>J2</f>
        <v>Year 1</v>
      </c>
      <c r="K103" s="67">
        <f>K2</f>
        <v>2023</v>
      </c>
      <c r="L103" s="35"/>
      <c r="M103" s="67" t="str">
        <f>M2</f>
        <v>Year 2</v>
      </c>
      <c r="N103" s="67">
        <f>N2</f>
        <v>2024</v>
      </c>
      <c r="O103" s="35"/>
      <c r="P103" s="67" t="str">
        <f>P2</f>
        <v>Year 3</v>
      </c>
      <c r="Q103" s="67">
        <f>Q2</f>
        <v>2025</v>
      </c>
      <c r="R103" s="35"/>
      <c r="S103" s="124"/>
      <c r="T103" s="105"/>
      <c r="U103" s="468"/>
    </row>
    <row r="104" spans="2:21" ht="13.5" thickBot="1" x14ac:dyDescent="0.35">
      <c r="B104" s="144"/>
      <c r="C104" s="152" t="s">
        <v>45</v>
      </c>
      <c r="D104" s="149" t="s">
        <v>46</v>
      </c>
      <c r="E104" s="149" t="s">
        <v>47</v>
      </c>
      <c r="F104" s="160" t="s">
        <v>48</v>
      </c>
      <c r="G104" s="151" t="s">
        <v>49</v>
      </c>
      <c r="H104" s="149" t="s">
        <v>50</v>
      </c>
      <c r="I104" s="150" t="s">
        <v>13</v>
      </c>
      <c r="J104" s="270" t="s">
        <v>56</v>
      </c>
      <c r="K104" s="271" t="s">
        <v>13</v>
      </c>
      <c r="L104" s="272" t="s">
        <v>68</v>
      </c>
      <c r="M104" s="151" t="s">
        <v>56</v>
      </c>
      <c r="N104" s="149" t="s">
        <v>13</v>
      </c>
      <c r="O104" s="150" t="s">
        <v>68</v>
      </c>
      <c r="P104" s="270" t="s">
        <v>56</v>
      </c>
      <c r="Q104" s="271" t="s">
        <v>13</v>
      </c>
      <c r="R104" s="272" t="s">
        <v>68</v>
      </c>
      <c r="S104" s="152"/>
      <c r="T104" s="153"/>
      <c r="U104" s="469"/>
    </row>
    <row r="105" spans="2:21" ht="13" x14ac:dyDescent="0.3">
      <c r="B105" s="470" t="s">
        <v>97</v>
      </c>
      <c r="C105" s="155">
        <f t="shared" ref="C105:S105" si="24">C15</f>
        <v>0</v>
      </c>
      <c r="D105" s="147">
        <f t="shared" si="24"/>
        <v>0</v>
      </c>
      <c r="E105" s="147">
        <f t="shared" si="24"/>
        <v>0</v>
      </c>
      <c r="F105" s="147">
        <f t="shared" si="24"/>
        <v>14</v>
      </c>
      <c r="G105" s="147">
        <f t="shared" si="24"/>
        <v>14</v>
      </c>
      <c r="H105" s="147">
        <f t="shared" si="24"/>
        <v>10</v>
      </c>
      <c r="I105" s="148">
        <f t="shared" si="24"/>
        <v>38</v>
      </c>
      <c r="J105" s="234" t="str">
        <f t="shared" si="24"/>
        <v>NA</v>
      </c>
      <c r="K105" s="273">
        <f t="shared" si="24"/>
        <v>2698</v>
      </c>
      <c r="L105" s="274">
        <f t="shared" si="24"/>
        <v>385.42857142857144</v>
      </c>
      <c r="M105" s="38" t="str">
        <f t="shared" si="24"/>
        <v>NA</v>
      </c>
      <c r="N105" s="147">
        <f t="shared" si="24"/>
        <v>2698</v>
      </c>
      <c r="O105" s="148">
        <f t="shared" si="24"/>
        <v>385.42857142857144</v>
      </c>
      <c r="P105" s="234" t="str">
        <f t="shared" si="24"/>
        <v>NA</v>
      </c>
      <c r="Q105" s="273">
        <f t="shared" si="24"/>
        <v>2698</v>
      </c>
      <c r="R105" s="274">
        <f t="shared" si="24"/>
        <v>385.42857142857144</v>
      </c>
      <c r="S105" s="148">
        <f t="shared" si="24"/>
        <v>385.42857142857139</v>
      </c>
      <c r="T105" s="31"/>
      <c r="U105" s="111"/>
    </row>
    <row r="106" spans="2:21" ht="13.5" thickBot="1" x14ac:dyDescent="0.35">
      <c r="B106" s="471" t="s">
        <v>76</v>
      </c>
      <c r="C106" s="161">
        <f t="shared" ref="C106:S106" si="25">C16</f>
        <v>0</v>
      </c>
      <c r="D106" s="162">
        <f t="shared" si="25"/>
        <v>0</v>
      </c>
      <c r="E106" s="162">
        <f t="shared" si="25"/>
        <v>0</v>
      </c>
      <c r="F106" s="162">
        <f t="shared" si="25"/>
        <v>386</v>
      </c>
      <c r="G106" s="162">
        <f t="shared" si="25"/>
        <v>438</v>
      </c>
      <c r="H106" s="162">
        <f t="shared" si="25"/>
        <v>378</v>
      </c>
      <c r="I106" s="163">
        <f t="shared" si="25"/>
        <v>1202</v>
      </c>
      <c r="J106" s="275">
        <f t="shared" si="25"/>
        <v>2571.3649826989617</v>
      </c>
      <c r="K106" s="276">
        <f t="shared" si="25"/>
        <v>182566.91377162628</v>
      </c>
      <c r="L106" s="277">
        <f t="shared" si="25"/>
        <v>26080.987681660899</v>
      </c>
      <c r="M106" s="161">
        <f t="shared" si="25"/>
        <v>2674.2195820069205</v>
      </c>
      <c r="N106" s="162">
        <f t="shared" si="25"/>
        <v>189869.59032249136</v>
      </c>
      <c r="O106" s="163">
        <f t="shared" si="25"/>
        <v>27124.22718892734</v>
      </c>
      <c r="P106" s="275">
        <f t="shared" si="25"/>
        <v>2727.7039736470588</v>
      </c>
      <c r="Q106" s="276">
        <f t="shared" si="25"/>
        <v>193666.98212894116</v>
      </c>
      <c r="R106" s="277">
        <f t="shared" si="25"/>
        <v>27666.71173270588</v>
      </c>
      <c r="S106" s="163">
        <f t="shared" si="25"/>
        <v>26957.308867764707</v>
      </c>
      <c r="T106" s="164" t="str">
        <f>T16</f>
        <v>NA</v>
      </c>
      <c r="U106" s="322" t="s">
        <v>12</v>
      </c>
    </row>
    <row r="107" spans="2:21" ht="13" x14ac:dyDescent="0.3">
      <c r="B107" s="472" t="s">
        <v>98</v>
      </c>
      <c r="C107" s="155">
        <f t="shared" ref="C107:S107" si="26">C28</f>
        <v>0</v>
      </c>
      <c r="D107" s="147">
        <f t="shared" si="26"/>
        <v>8</v>
      </c>
      <c r="E107" s="147">
        <f t="shared" si="26"/>
        <v>8</v>
      </c>
      <c r="F107" s="147">
        <f t="shared" si="26"/>
        <v>4</v>
      </c>
      <c r="G107" s="147">
        <f t="shared" si="26"/>
        <v>0</v>
      </c>
      <c r="H107" s="147">
        <f t="shared" si="26"/>
        <v>0</v>
      </c>
      <c r="I107" s="148">
        <f t="shared" si="26"/>
        <v>20</v>
      </c>
      <c r="J107" s="234" t="str">
        <f t="shared" si="26"/>
        <v>NA</v>
      </c>
      <c r="K107" s="273">
        <f t="shared" si="26"/>
        <v>4868.2</v>
      </c>
      <c r="L107" s="274">
        <f t="shared" si="26"/>
        <v>695.45714285714291</v>
      </c>
      <c r="M107" s="38" t="str">
        <f t="shared" si="26"/>
        <v>NA</v>
      </c>
      <c r="N107" s="147">
        <f t="shared" si="26"/>
        <v>4868.2</v>
      </c>
      <c r="O107" s="148">
        <f t="shared" si="26"/>
        <v>695.45714285714291</v>
      </c>
      <c r="P107" s="234" t="str">
        <f t="shared" si="26"/>
        <v>NA</v>
      </c>
      <c r="Q107" s="273">
        <f t="shared" si="26"/>
        <v>4868.2</v>
      </c>
      <c r="R107" s="274">
        <f t="shared" si="26"/>
        <v>695.45714285714291</v>
      </c>
      <c r="S107" s="148">
        <f t="shared" si="26"/>
        <v>695.45714285714291</v>
      </c>
      <c r="T107" s="31"/>
      <c r="U107" s="111"/>
    </row>
    <row r="108" spans="2:21" ht="13.5" thickBot="1" x14ac:dyDescent="0.35">
      <c r="B108" s="471" t="s">
        <v>76</v>
      </c>
      <c r="C108" s="165">
        <f t="shared" ref="C108:S108" si="27">C29</f>
        <v>0</v>
      </c>
      <c r="D108" s="166">
        <f t="shared" si="27"/>
        <v>194</v>
      </c>
      <c r="E108" s="166">
        <f t="shared" si="27"/>
        <v>202</v>
      </c>
      <c r="F108" s="166">
        <f t="shared" si="27"/>
        <v>110</v>
      </c>
      <c r="G108" s="166">
        <f t="shared" si="27"/>
        <v>0</v>
      </c>
      <c r="H108" s="166">
        <f t="shared" si="27"/>
        <v>0</v>
      </c>
      <c r="I108" s="167">
        <f t="shared" si="27"/>
        <v>506</v>
      </c>
      <c r="J108" s="278">
        <f t="shared" si="27"/>
        <v>1082.4548096885812</v>
      </c>
      <c r="K108" s="245">
        <f t="shared" si="27"/>
        <v>0</v>
      </c>
      <c r="L108" s="246">
        <f t="shared" si="27"/>
        <v>474695.83965335682</v>
      </c>
      <c r="M108" s="165">
        <f t="shared" si="27"/>
        <v>1125.7530020761246</v>
      </c>
      <c r="N108" s="166">
        <f t="shared" si="27"/>
        <v>0</v>
      </c>
      <c r="O108" s="167">
        <f t="shared" si="27"/>
        <v>493262.38989554642</v>
      </c>
      <c r="P108" s="278">
        <f t="shared" si="27"/>
        <v>1148.2680621176469</v>
      </c>
      <c r="Q108" s="245">
        <f t="shared" si="27"/>
        <v>0</v>
      </c>
      <c r="R108" s="246">
        <f t="shared" si="27"/>
        <v>503127.63769345731</v>
      </c>
      <c r="S108" s="167">
        <f t="shared" si="27"/>
        <v>38654.583170214537</v>
      </c>
      <c r="T108" s="168" t="str">
        <f>T29</f>
        <v>NA</v>
      </c>
      <c r="U108" s="473">
        <f>U29</f>
        <v>451707.372577239</v>
      </c>
    </row>
    <row r="109" spans="2:21" ht="13" x14ac:dyDescent="0.3">
      <c r="B109" s="472" t="s">
        <v>96</v>
      </c>
      <c r="C109" s="156">
        <f t="shared" ref="C109:S109" si="28">C38</f>
        <v>0</v>
      </c>
      <c r="D109" s="21">
        <f t="shared" si="28"/>
        <v>60</v>
      </c>
      <c r="E109" s="21">
        <f t="shared" si="28"/>
        <v>60</v>
      </c>
      <c r="F109" s="21">
        <f t="shared" si="28"/>
        <v>0</v>
      </c>
      <c r="G109" s="21">
        <f t="shared" si="28"/>
        <v>0</v>
      </c>
      <c r="H109" s="21">
        <f t="shared" si="28"/>
        <v>0</v>
      </c>
      <c r="I109" s="157">
        <f t="shared" si="28"/>
        <v>120</v>
      </c>
      <c r="J109" s="279" t="str">
        <f t="shared" si="28"/>
        <v>NA</v>
      </c>
      <c r="K109" s="280">
        <f t="shared" si="28"/>
        <v>28920</v>
      </c>
      <c r="L109" s="281">
        <f t="shared" si="28"/>
        <v>28920</v>
      </c>
      <c r="M109" s="158" t="str">
        <f t="shared" si="28"/>
        <v>NA</v>
      </c>
      <c r="N109" s="21">
        <f t="shared" si="28"/>
        <v>28920</v>
      </c>
      <c r="O109" s="157">
        <f t="shared" si="28"/>
        <v>28920</v>
      </c>
      <c r="P109" s="279" t="str">
        <f t="shared" si="28"/>
        <v>NA</v>
      </c>
      <c r="Q109" s="280">
        <f t="shared" si="28"/>
        <v>28920</v>
      </c>
      <c r="R109" s="281">
        <f t="shared" si="28"/>
        <v>28920</v>
      </c>
      <c r="S109" s="157">
        <f t="shared" si="28"/>
        <v>28920</v>
      </c>
      <c r="T109" s="159" t="str">
        <f>T21</f>
        <v>NA</v>
      </c>
      <c r="U109" s="119" t="s">
        <v>12</v>
      </c>
    </row>
    <row r="110" spans="2:21" ht="13.5" thickBot="1" x14ac:dyDescent="0.35">
      <c r="B110" s="471" t="s">
        <v>76</v>
      </c>
      <c r="C110" s="169">
        <f t="shared" ref="C110:S110" si="29">C39</f>
        <v>0</v>
      </c>
      <c r="D110" s="166">
        <f t="shared" si="29"/>
        <v>60</v>
      </c>
      <c r="E110" s="166">
        <f t="shared" si="29"/>
        <v>60</v>
      </c>
      <c r="F110" s="166">
        <f t="shared" si="29"/>
        <v>0</v>
      </c>
      <c r="G110" s="166">
        <f t="shared" si="29"/>
        <v>0</v>
      </c>
      <c r="H110" s="166">
        <f t="shared" si="29"/>
        <v>0</v>
      </c>
      <c r="I110" s="167">
        <f t="shared" si="29"/>
        <v>3765</v>
      </c>
      <c r="J110" s="278">
        <f t="shared" si="29"/>
        <v>7309.9762659799471</v>
      </c>
      <c r="K110" s="245">
        <f t="shared" si="29"/>
        <v>1761704.2801011673</v>
      </c>
      <c r="L110" s="246">
        <f t="shared" si="29"/>
        <v>1761704.2801011673</v>
      </c>
      <c r="M110" s="165">
        <f t="shared" si="29"/>
        <v>7602.3753166191464</v>
      </c>
      <c r="N110" s="166">
        <f t="shared" si="29"/>
        <v>1832172.4513052143</v>
      </c>
      <c r="O110" s="167">
        <f t="shared" si="29"/>
        <v>1832172.4513052143</v>
      </c>
      <c r="P110" s="278">
        <f t="shared" si="29"/>
        <v>7754.4228229515284</v>
      </c>
      <c r="Q110" s="245">
        <f t="shared" si="29"/>
        <v>1868815.9003313184</v>
      </c>
      <c r="R110" s="246">
        <f t="shared" si="29"/>
        <v>1868815.9003313184</v>
      </c>
      <c r="S110" s="167">
        <f t="shared" si="29"/>
        <v>1820897.5439125665</v>
      </c>
      <c r="T110" s="167">
        <f>T39</f>
        <v>240910.5987078608</v>
      </c>
      <c r="U110" s="322" t="s">
        <v>12</v>
      </c>
    </row>
    <row r="111" spans="2:21" ht="13" x14ac:dyDescent="0.3">
      <c r="B111" s="472" t="s">
        <v>99</v>
      </c>
      <c r="C111" s="156">
        <f t="shared" ref="C111:S111" si="30">C50</f>
        <v>0</v>
      </c>
      <c r="D111" s="21">
        <f t="shared" si="30"/>
        <v>22</v>
      </c>
      <c r="E111" s="21">
        <f t="shared" si="30"/>
        <v>11</v>
      </c>
      <c r="F111" s="21">
        <f t="shared" si="30"/>
        <v>35</v>
      </c>
      <c r="G111" s="21">
        <f t="shared" si="30"/>
        <v>0</v>
      </c>
      <c r="H111" s="21">
        <f t="shared" si="30"/>
        <v>0</v>
      </c>
      <c r="I111" s="157">
        <f t="shared" si="30"/>
        <v>68</v>
      </c>
      <c r="J111" s="279" t="str">
        <f t="shared" si="30"/>
        <v>NA</v>
      </c>
      <c r="K111" s="280">
        <f t="shared" si="30"/>
        <v>16388</v>
      </c>
      <c r="L111" s="281">
        <f t="shared" si="30"/>
        <v>16388</v>
      </c>
      <c r="M111" s="158" t="str">
        <f t="shared" si="30"/>
        <v>NA</v>
      </c>
      <c r="N111" s="21">
        <f t="shared" si="30"/>
        <v>16388</v>
      </c>
      <c r="O111" s="157">
        <f t="shared" si="30"/>
        <v>16388</v>
      </c>
      <c r="P111" s="279" t="str">
        <f t="shared" si="30"/>
        <v>NA</v>
      </c>
      <c r="Q111" s="280">
        <f t="shared" si="30"/>
        <v>16388</v>
      </c>
      <c r="R111" s="281">
        <f t="shared" si="30"/>
        <v>16388</v>
      </c>
      <c r="S111" s="157">
        <f t="shared" si="30"/>
        <v>16388</v>
      </c>
      <c r="T111" s="31"/>
      <c r="U111" s="111"/>
    </row>
    <row r="112" spans="2:21" ht="13.5" thickBot="1" x14ac:dyDescent="0.35">
      <c r="B112" s="471" t="s">
        <v>76</v>
      </c>
      <c r="C112" s="165">
        <f t="shared" ref="C112:S112" si="31">C51</f>
        <v>0</v>
      </c>
      <c r="D112" s="166">
        <f t="shared" si="31"/>
        <v>532</v>
      </c>
      <c r="E112" s="166">
        <f t="shared" si="31"/>
        <v>278</v>
      </c>
      <c r="F112" s="166">
        <f t="shared" si="31"/>
        <v>965</v>
      </c>
      <c r="G112" s="166">
        <f t="shared" si="31"/>
        <v>0</v>
      </c>
      <c r="H112" s="166">
        <f t="shared" si="31"/>
        <v>0</v>
      </c>
      <c r="I112" s="167">
        <f t="shared" si="31"/>
        <v>2775</v>
      </c>
      <c r="J112" s="278">
        <f t="shared" si="31"/>
        <v>5006.0654881842775</v>
      </c>
      <c r="K112" s="245">
        <f t="shared" si="31"/>
        <v>1206461.7826524107</v>
      </c>
      <c r="L112" s="246">
        <f t="shared" si="31"/>
        <v>1206461.7826524107</v>
      </c>
      <c r="M112" s="169">
        <f t="shared" si="31"/>
        <v>5206.3081077116485</v>
      </c>
      <c r="N112" s="166">
        <f t="shared" si="31"/>
        <v>1254720.2539585074</v>
      </c>
      <c r="O112" s="167">
        <f t="shared" si="31"/>
        <v>1254720.2539585074</v>
      </c>
      <c r="P112" s="278">
        <f t="shared" si="31"/>
        <v>5310.4342698658811</v>
      </c>
      <c r="Q112" s="245">
        <f t="shared" si="31"/>
        <v>1279814.6590376773</v>
      </c>
      <c r="R112" s="246">
        <f t="shared" si="31"/>
        <v>1279814.6590376773</v>
      </c>
      <c r="S112" s="167">
        <f t="shared" si="31"/>
        <v>945860.65016470593</v>
      </c>
      <c r="T112" s="167">
        <f>T51</f>
        <v>301138.24838482594</v>
      </c>
      <c r="U112" s="474" t="s">
        <v>12</v>
      </c>
    </row>
    <row r="113" spans="2:21" ht="13" x14ac:dyDescent="0.3">
      <c r="B113" s="472" t="s">
        <v>100</v>
      </c>
      <c r="C113" s="156">
        <f t="shared" ref="C113:U113" si="32">C66</f>
        <v>0</v>
      </c>
      <c r="D113" s="21">
        <f t="shared" si="32"/>
        <v>8.25</v>
      </c>
      <c r="E113" s="21">
        <f t="shared" si="32"/>
        <v>10</v>
      </c>
      <c r="F113" s="21">
        <f t="shared" si="32"/>
        <v>17</v>
      </c>
      <c r="G113" s="21">
        <f t="shared" si="32"/>
        <v>4</v>
      </c>
      <c r="H113" s="21">
        <f t="shared" si="32"/>
        <v>0</v>
      </c>
      <c r="I113" s="157">
        <f t="shared" si="32"/>
        <v>39.25</v>
      </c>
      <c r="J113" s="279" t="str">
        <f t="shared" si="32"/>
        <v>NA</v>
      </c>
      <c r="K113" s="280">
        <f t="shared" si="32"/>
        <v>9459.25</v>
      </c>
      <c r="L113" s="281">
        <f t="shared" si="32"/>
        <v>9459.25</v>
      </c>
      <c r="M113" s="158" t="str">
        <f t="shared" si="32"/>
        <v>NA</v>
      </c>
      <c r="N113" s="21">
        <f t="shared" si="32"/>
        <v>9459.25</v>
      </c>
      <c r="O113" s="157">
        <f t="shared" si="32"/>
        <v>9459.25</v>
      </c>
      <c r="P113" s="279" t="str">
        <f t="shared" si="32"/>
        <v>NA</v>
      </c>
      <c r="Q113" s="280">
        <f t="shared" si="32"/>
        <v>9459.25</v>
      </c>
      <c r="R113" s="281">
        <f t="shared" si="32"/>
        <v>9459.25</v>
      </c>
      <c r="S113" s="157">
        <f t="shared" si="32"/>
        <v>9459.25</v>
      </c>
      <c r="T113" s="170" t="str">
        <f t="shared" si="32"/>
        <v>NA</v>
      </c>
      <c r="U113" s="475" t="str">
        <f t="shared" si="32"/>
        <v>NA</v>
      </c>
    </row>
    <row r="114" spans="2:21" ht="13.5" thickBot="1" x14ac:dyDescent="0.35">
      <c r="B114" s="471" t="s">
        <v>76</v>
      </c>
      <c r="C114" s="165">
        <f t="shared" ref="C114:T114" si="33">C67</f>
        <v>0</v>
      </c>
      <c r="D114" s="166">
        <f t="shared" si="33"/>
        <v>199</v>
      </c>
      <c r="E114" s="166">
        <f t="shared" si="33"/>
        <v>252</v>
      </c>
      <c r="F114" s="166">
        <f t="shared" si="33"/>
        <v>469</v>
      </c>
      <c r="G114" s="166">
        <f t="shared" si="33"/>
        <v>126</v>
      </c>
      <c r="H114" s="166">
        <f t="shared" si="33"/>
        <v>0</v>
      </c>
      <c r="I114" s="167">
        <f t="shared" si="33"/>
        <v>1046</v>
      </c>
      <c r="J114" s="278">
        <f t="shared" si="33"/>
        <v>2237.6437370242215</v>
      </c>
      <c r="K114" s="245">
        <f t="shared" si="33"/>
        <v>539272.14062283735</v>
      </c>
      <c r="L114" s="246">
        <f t="shared" si="33"/>
        <v>539272.14062283735</v>
      </c>
      <c r="M114" s="165">
        <f t="shared" si="33"/>
        <v>2327.1494865051905</v>
      </c>
      <c r="N114" s="166">
        <f t="shared" si="33"/>
        <v>560843.02624775085</v>
      </c>
      <c r="O114" s="167">
        <f t="shared" si="33"/>
        <v>560843.02624775085</v>
      </c>
      <c r="P114" s="284">
        <f t="shared" si="33"/>
        <v>2373.6924762352937</v>
      </c>
      <c r="Q114" s="245">
        <f t="shared" si="33"/>
        <v>572059.88677270582</v>
      </c>
      <c r="R114" s="246">
        <f t="shared" si="33"/>
        <v>572059.88677270582</v>
      </c>
      <c r="S114" s="167">
        <f t="shared" si="33"/>
        <v>557391.68454776471</v>
      </c>
      <c r="T114" s="168" t="str">
        <f t="shared" si="33"/>
        <v>NA</v>
      </c>
      <c r="U114" s="322" t="s">
        <v>12</v>
      </c>
    </row>
    <row r="115" spans="2:21" ht="13" x14ac:dyDescent="0.3">
      <c r="B115" s="472" t="s">
        <v>101</v>
      </c>
      <c r="C115" s="171">
        <f t="shared" ref="C115:S115" si="34">C90</f>
        <v>0</v>
      </c>
      <c r="D115" s="172">
        <f t="shared" si="34"/>
        <v>27</v>
      </c>
      <c r="E115" s="172">
        <f t="shared" si="34"/>
        <v>1.2</v>
      </c>
      <c r="F115" s="172">
        <f t="shared" si="34"/>
        <v>32.299999999999997</v>
      </c>
      <c r="G115" s="172">
        <f t="shared" si="34"/>
        <v>27</v>
      </c>
      <c r="H115" s="172">
        <f t="shared" si="34"/>
        <v>5</v>
      </c>
      <c r="I115" s="54">
        <f t="shared" si="34"/>
        <v>92.5</v>
      </c>
      <c r="J115" s="282" t="str">
        <f t="shared" si="34"/>
        <v>NA</v>
      </c>
      <c r="K115" s="263" t="str">
        <f t="shared" si="34"/>
        <v>NA</v>
      </c>
      <c r="L115" s="243">
        <f t="shared" si="34"/>
        <v>18805.5</v>
      </c>
      <c r="M115" s="173" t="str">
        <f t="shared" si="34"/>
        <v>NA</v>
      </c>
      <c r="N115" s="36" t="str">
        <f t="shared" si="34"/>
        <v>NA</v>
      </c>
      <c r="O115" s="54">
        <f t="shared" si="34"/>
        <v>18805.5</v>
      </c>
      <c r="P115" s="282" t="str">
        <f t="shared" si="34"/>
        <v>NA</v>
      </c>
      <c r="Q115" s="263" t="str">
        <f t="shared" si="34"/>
        <v>NA</v>
      </c>
      <c r="R115" s="243">
        <f t="shared" si="34"/>
        <v>18805.5</v>
      </c>
      <c r="S115" s="54">
        <f t="shared" si="34"/>
        <v>18805.5</v>
      </c>
      <c r="T115" s="42" t="s">
        <v>12</v>
      </c>
      <c r="U115" s="119" t="s">
        <v>12</v>
      </c>
    </row>
    <row r="116" spans="2:21" ht="13.5" thickBot="1" x14ac:dyDescent="0.35">
      <c r="B116" s="471" t="s">
        <v>76</v>
      </c>
      <c r="C116" s="165">
        <f t="shared" ref="C116:S116" si="35">C91</f>
        <v>0</v>
      </c>
      <c r="D116" s="166">
        <f t="shared" si="35"/>
        <v>653</v>
      </c>
      <c r="E116" s="166">
        <f t="shared" si="35"/>
        <v>30</v>
      </c>
      <c r="F116" s="166">
        <f t="shared" si="35"/>
        <v>890</v>
      </c>
      <c r="G116" s="166">
        <f t="shared" si="35"/>
        <v>846</v>
      </c>
      <c r="H116" s="166">
        <f t="shared" si="35"/>
        <v>189</v>
      </c>
      <c r="I116" s="167">
        <f t="shared" si="35"/>
        <v>2608</v>
      </c>
      <c r="J116" s="278">
        <f t="shared" si="35"/>
        <v>5579.134671280277</v>
      </c>
      <c r="K116" s="283" t="str">
        <f t="shared" si="35"/>
        <v>NA</v>
      </c>
      <c r="L116" s="246">
        <f t="shared" si="35"/>
        <v>1105016.9329826988</v>
      </c>
      <c r="M116" s="169">
        <f t="shared" si="35"/>
        <v>5802.30005813149</v>
      </c>
      <c r="N116" s="175" t="str">
        <f t="shared" si="35"/>
        <v>NA</v>
      </c>
      <c r="O116" s="167">
        <f t="shared" si="35"/>
        <v>1149217.6103020068</v>
      </c>
      <c r="P116" s="278">
        <f t="shared" si="35"/>
        <v>5918.3460592941174</v>
      </c>
      <c r="Q116" s="283" t="str">
        <f t="shared" si="35"/>
        <v>NA</v>
      </c>
      <c r="R116" s="246">
        <f t="shared" si="35"/>
        <v>1172201.962508047</v>
      </c>
      <c r="S116" s="167">
        <f t="shared" si="35"/>
        <v>1142145.5019309176</v>
      </c>
      <c r="T116" s="167">
        <f>T91</f>
        <v>0</v>
      </c>
      <c r="U116" s="322" t="s">
        <v>12</v>
      </c>
    </row>
    <row r="117" spans="2:21" ht="13" x14ac:dyDescent="0.3">
      <c r="B117" s="472" t="s">
        <v>102</v>
      </c>
      <c r="C117" s="156">
        <f t="shared" ref="C117:S117" si="36">C100</f>
        <v>0</v>
      </c>
      <c r="D117" s="21">
        <f t="shared" si="36"/>
        <v>0</v>
      </c>
      <c r="E117" s="21">
        <f t="shared" si="36"/>
        <v>16</v>
      </c>
      <c r="F117" s="21">
        <f t="shared" si="36"/>
        <v>8</v>
      </c>
      <c r="G117" s="21">
        <f t="shared" si="36"/>
        <v>12</v>
      </c>
      <c r="H117" s="21">
        <f t="shared" si="36"/>
        <v>6</v>
      </c>
      <c r="I117" s="157">
        <f t="shared" si="36"/>
        <v>42</v>
      </c>
      <c r="J117" s="279" t="str">
        <f t="shared" si="36"/>
        <v>NA</v>
      </c>
      <c r="K117" s="280">
        <f t="shared" si="36"/>
        <v>10122</v>
      </c>
      <c r="L117" s="281">
        <f t="shared" si="36"/>
        <v>10122</v>
      </c>
      <c r="M117" s="158" t="str">
        <f t="shared" si="36"/>
        <v>NA</v>
      </c>
      <c r="N117" s="21">
        <f t="shared" si="36"/>
        <v>10122</v>
      </c>
      <c r="O117" s="157">
        <f t="shared" si="36"/>
        <v>10122</v>
      </c>
      <c r="P117" s="279" t="str">
        <f t="shared" si="36"/>
        <v>NA</v>
      </c>
      <c r="Q117" s="280">
        <f t="shared" si="36"/>
        <v>10122</v>
      </c>
      <c r="R117" s="281">
        <f t="shared" si="36"/>
        <v>10122</v>
      </c>
      <c r="S117" s="157">
        <f t="shared" si="36"/>
        <v>10122</v>
      </c>
      <c r="T117" s="42" t="s">
        <v>12</v>
      </c>
      <c r="U117" s="119" t="s">
        <v>12</v>
      </c>
    </row>
    <row r="118" spans="2:21" ht="13.5" thickBot="1" x14ac:dyDescent="0.35">
      <c r="B118" s="476" t="s">
        <v>76</v>
      </c>
      <c r="C118" s="176">
        <f t="shared" ref="C118:S118" si="37">C101</f>
        <v>0</v>
      </c>
      <c r="D118" s="177">
        <f t="shared" si="37"/>
        <v>0</v>
      </c>
      <c r="E118" s="177">
        <f t="shared" si="37"/>
        <v>404</v>
      </c>
      <c r="F118" s="177">
        <f t="shared" si="37"/>
        <v>221</v>
      </c>
      <c r="G118" s="177">
        <f t="shared" si="37"/>
        <v>375</v>
      </c>
      <c r="H118" s="177">
        <f t="shared" si="37"/>
        <v>227</v>
      </c>
      <c r="I118" s="178">
        <f t="shared" si="37"/>
        <v>1227</v>
      </c>
      <c r="J118" s="252">
        <f t="shared" si="37"/>
        <v>2624.845951557093</v>
      </c>
      <c r="K118" s="253">
        <f t="shared" si="37"/>
        <v>632587.87432525947</v>
      </c>
      <c r="L118" s="254">
        <f t="shared" si="37"/>
        <v>632587.87432525947</v>
      </c>
      <c r="M118" s="176">
        <f t="shared" si="37"/>
        <v>2729.8397896193774</v>
      </c>
      <c r="N118" s="177">
        <f t="shared" si="37"/>
        <v>657891.38929826987</v>
      </c>
      <c r="O118" s="178">
        <f t="shared" si="37"/>
        <v>657891.38929826987</v>
      </c>
      <c r="P118" s="259">
        <f t="shared" si="37"/>
        <v>2784.4365854117641</v>
      </c>
      <c r="Q118" s="253">
        <f t="shared" si="37"/>
        <v>671049.21708423528</v>
      </c>
      <c r="R118" s="254">
        <f t="shared" si="37"/>
        <v>671049.21708423528</v>
      </c>
      <c r="S118" s="178">
        <f t="shared" si="37"/>
        <v>653842.82690258825</v>
      </c>
      <c r="T118" s="179" t="str">
        <f>T101</f>
        <v>NA</v>
      </c>
      <c r="U118" s="180" t="s">
        <v>12</v>
      </c>
    </row>
    <row r="119" spans="2:21" ht="18.5" thickTop="1" x14ac:dyDescent="0.4">
      <c r="B119" s="477" t="s">
        <v>13</v>
      </c>
      <c r="C119" s="88" t="s">
        <v>45</v>
      </c>
      <c r="D119" s="86" t="s">
        <v>46</v>
      </c>
      <c r="E119" s="86" t="s">
        <v>47</v>
      </c>
      <c r="F119" s="86" t="s">
        <v>48</v>
      </c>
      <c r="G119" s="86" t="s">
        <v>49</v>
      </c>
      <c r="H119" s="86" t="s">
        <v>50</v>
      </c>
      <c r="I119" s="87" t="s">
        <v>13</v>
      </c>
      <c r="J119" s="88" t="s">
        <v>56</v>
      </c>
      <c r="K119" s="86" t="s">
        <v>13</v>
      </c>
      <c r="L119" s="87" t="s">
        <v>68</v>
      </c>
      <c r="M119" s="88" t="s">
        <v>56</v>
      </c>
      <c r="N119" s="86" t="s">
        <v>13</v>
      </c>
      <c r="O119" s="87" t="s">
        <v>68</v>
      </c>
      <c r="P119" s="88" t="s">
        <v>56</v>
      </c>
      <c r="Q119" s="86" t="s">
        <v>13</v>
      </c>
      <c r="R119" s="87" t="s">
        <v>68</v>
      </c>
      <c r="S119" s="87"/>
      <c r="T119" s="31"/>
      <c r="U119" s="111"/>
    </row>
    <row r="120" spans="2:21" x14ac:dyDescent="0.25">
      <c r="B120" s="478" t="s">
        <v>75</v>
      </c>
      <c r="C120" s="154">
        <f t="shared" ref="C120:I121" si="38">C105+C107+C109+C111+C113+C115+C117</f>
        <v>0</v>
      </c>
      <c r="D120" s="58">
        <f t="shared" si="38"/>
        <v>125.25</v>
      </c>
      <c r="E120" s="58">
        <f t="shared" si="38"/>
        <v>106.2</v>
      </c>
      <c r="F120" s="58">
        <f t="shared" si="38"/>
        <v>110.3</v>
      </c>
      <c r="G120" s="58">
        <f t="shared" si="38"/>
        <v>57</v>
      </c>
      <c r="H120" s="58">
        <f t="shared" si="38"/>
        <v>21</v>
      </c>
      <c r="I120" s="57">
        <f t="shared" si="38"/>
        <v>419.75</v>
      </c>
      <c r="J120" s="285" t="s">
        <v>12</v>
      </c>
      <c r="K120" s="231">
        <f>K105+K107+K109+K111+K113+K117</f>
        <v>72455.45</v>
      </c>
      <c r="L120" s="239">
        <f>L105+L107+L109+L111+L113+L115+L117</f>
        <v>84775.635714285716</v>
      </c>
      <c r="M120" s="83" t="s">
        <v>12</v>
      </c>
      <c r="N120" s="58">
        <f>N105+N107+N109+N111+N113+N117</f>
        <v>72455.45</v>
      </c>
      <c r="O120" s="57">
        <f>O105+O107+O109+O111+O113+O115+O117</f>
        <v>84775.635714285716</v>
      </c>
      <c r="P120" s="285" t="s">
        <v>12</v>
      </c>
      <c r="Q120" s="231">
        <f>Q105+Q107+Q109+Q111+Q113+Q117</f>
        <v>72455.45</v>
      </c>
      <c r="R120" s="239">
        <f>R105+R107+R109+R111+R113+R115+R117</f>
        <v>84775.635714285716</v>
      </c>
      <c r="S120" s="141">
        <f>S105+S107+S109+S111+S113+S115+S117</f>
        <v>84775.635714285716</v>
      </c>
      <c r="T120" s="57"/>
      <c r="U120" s="113" t="s">
        <v>12</v>
      </c>
    </row>
    <row r="121" spans="2:21" s="189" customFormat="1" ht="16" thickBot="1" x14ac:dyDescent="0.4">
      <c r="B121" s="479" t="s">
        <v>76</v>
      </c>
      <c r="C121" s="480">
        <f t="shared" si="38"/>
        <v>0</v>
      </c>
      <c r="D121" s="481">
        <f t="shared" si="38"/>
        <v>1638</v>
      </c>
      <c r="E121" s="481">
        <f t="shared" si="38"/>
        <v>1226</v>
      </c>
      <c r="F121" s="481">
        <f t="shared" si="38"/>
        <v>3041</v>
      </c>
      <c r="G121" s="481">
        <f t="shared" si="38"/>
        <v>1785</v>
      </c>
      <c r="H121" s="481">
        <f t="shared" si="38"/>
        <v>794</v>
      </c>
      <c r="I121" s="482">
        <f t="shared" si="38"/>
        <v>13129</v>
      </c>
      <c r="J121" s="483">
        <f>J106+J108+J110+J112+J114+J116+J118</f>
        <v>26411.48590641336</v>
      </c>
      <c r="K121" s="484">
        <f>K106+K108+K110+K112+K114+K118</f>
        <v>4322592.9914733013</v>
      </c>
      <c r="L121" s="485">
        <f>L106+L108+L110+L112+L114+L116+L118</f>
        <v>5745819.8380193915</v>
      </c>
      <c r="M121" s="480">
        <f>M106+M108+M110+M112+M114+M116+M118</f>
        <v>27467.945342669896</v>
      </c>
      <c r="N121" s="486">
        <f>N106+N108+N110+N112+N114+N118</f>
        <v>4495496.711132234</v>
      </c>
      <c r="O121" s="482">
        <f>O106+O108+O110+O112+O114+O116+O118</f>
        <v>5975231.3481962234</v>
      </c>
      <c r="P121" s="487">
        <f>P106+P108+P110+P112+P114+P116+P118</f>
        <v>28017.304249523288</v>
      </c>
      <c r="Q121" s="484">
        <f>Q106+Q108+Q110+Q112+Q114+Q118</f>
        <v>4585406.6453548782</v>
      </c>
      <c r="R121" s="485">
        <f>R106+R108+R110+R112+R114+R116+R118</f>
        <v>6094735.975160148</v>
      </c>
      <c r="S121" s="488">
        <f>S106+S108+S110+S112+S114+S116+S118</f>
        <v>5185750.099496522</v>
      </c>
      <c r="T121" s="482">
        <f>SUM(T106,T108,T110,T112,T114,T116,T118)</f>
        <v>542048.84709268669</v>
      </c>
      <c r="U121" s="489">
        <f>SUM(U106,U108,U110,U112,U114,U116,U118)</f>
        <v>451707.372577239</v>
      </c>
    </row>
  </sheetData>
  <mergeCells count="35">
    <mergeCell ref="G93:I93"/>
    <mergeCell ref="Q8:R8"/>
    <mergeCell ref="K8:L8"/>
    <mergeCell ref="N8:O8"/>
    <mergeCell ref="G53:I53"/>
    <mergeCell ref="G70:I70"/>
    <mergeCell ref="N19:O19"/>
    <mergeCell ref="G42:I42"/>
    <mergeCell ref="G41:I41"/>
    <mergeCell ref="K54:L54"/>
    <mergeCell ref="C5:I5"/>
    <mergeCell ref="G18:I18"/>
    <mergeCell ref="G31:I31"/>
    <mergeCell ref="N87:O87"/>
    <mergeCell ref="S2:T2"/>
    <mergeCell ref="Q19:R19"/>
    <mergeCell ref="G7:I7"/>
    <mergeCell ref="K19:L19"/>
    <mergeCell ref="F2:G2"/>
    <mergeCell ref="G32:I32"/>
    <mergeCell ref="K94:L94"/>
    <mergeCell ref="N32:O32"/>
    <mergeCell ref="N42:O42"/>
    <mergeCell ref="N71:O71"/>
    <mergeCell ref="N94:O94"/>
    <mergeCell ref="N54:O54"/>
    <mergeCell ref="K32:L32"/>
    <mergeCell ref="K71:L71"/>
    <mergeCell ref="K42:L42"/>
    <mergeCell ref="Q94:R94"/>
    <mergeCell ref="Q32:R32"/>
    <mergeCell ref="Q42:R42"/>
    <mergeCell ref="Q54:R54"/>
    <mergeCell ref="Q87:R87"/>
    <mergeCell ref="Q71:R71"/>
  </mergeCells>
  <phoneticPr fontId="2" type="noConversion"/>
  <dataValidations disablePrompts="1" count="1">
    <dataValidation allowBlank="1" showInputMessage="1" showErrorMessage="1" sqref="D34 D21" xr:uid="{00000000-0002-0000-0400-000000000000}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21"/>
  <sheetViews>
    <sheetView topLeftCell="H48" zoomScaleNormal="100" workbookViewId="0">
      <selection activeCell="P68" sqref="P68"/>
    </sheetView>
  </sheetViews>
  <sheetFormatPr defaultRowHeight="12.5" x14ac:dyDescent="0.25"/>
  <cols>
    <col min="1" max="1" width="1.1796875" customWidth="1"/>
    <col min="2" max="2" width="31.453125" customWidth="1"/>
    <col min="3" max="3" width="12.81640625" customWidth="1"/>
    <col min="4" max="4" width="10.26953125" bestFit="1" customWidth="1"/>
    <col min="5" max="5" width="11.26953125" customWidth="1"/>
    <col min="6" max="6" width="9.7265625" style="5" customWidth="1"/>
    <col min="7" max="7" width="9.7265625" bestFit="1" customWidth="1"/>
    <col min="8" max="8" width="9.81640625" bestFit="1" customWidth="1"/>
    <col min="9" max="9" width="13.26953125" customWidth="1"/>
    <col min="10" max="10" width="15" customWidth="1"/>
    <col min="11" max="11" width="14.453125" customWidth="1"/>
    <col min="12" max="12" width="14.26953125" bestFit="1" customWidth="1"/>
    <col min="13" max="13" width="15.54296875" customWidth="1"/>
    <col min="14" max="14" width="14.54296875" customWidth="1"/>
    <col min="15" max="15" width="14.453125" customWidth="1"/>
    <col min="16" max="16" width="15" customWidth="1"/>
    <col min="17" max="17" width="13.81640625" customWidth="1"/>
    <col min="18" max="18" width="14" customWidth="1"/>
    <col min="19" max="19" width="14.54296875" customWidth="1"/>
    <col min="20" max="20" width="14" customWidth="1"/>
    <col min="21" max="21" width="13.26953125" bestFit="1" customWidth="1"/>
  </cols>
  <sheetData>
    <row r="1" spans="1:21" ht="4.5" customHeight="1" thickBot="1" x14ac:dyDescent="0.3">
      <c r="B1" s="335"/>
      <c r="C1" s="335"/>
      <c r="D1" s="335"/>
      <c r="E1" s="335"/>
      <c r="F1" s="336"/>
      <c r="G1" s="335"/>
      <c r="H1" s="335"/>
      <c r="I1" s="335"/>
      <c r="J1" s="335"/>
      <c r="K1" s="335"/>
      <c r="L1" s="335"/>
      <c r="M1" s="335"/>
    </row>
    <row r="2" spans="1:21" ht="18.5" thickTop="1" x14ac:dyDescent="0.4">
      <c r="A2" s="510"/>
      <c r="B2" s="494" t="s">
        <v>0</v>
      </c>
      <c r="C2" s="491" t="s">
        <v>1</v>
      </c>
      <c r="E2" s="326" t="s">
        <v>31</v>
      </c>
      <c r="F2" s="1172">
        <v>43331</v>
      </c>
      <c r="G2" s="1173"/>
      <c r="J2" s="492" t="s">
        <v>5</v>
      </c>
      <c r="K2" s="493">
        <v>2023</v>
      </c>
      <c r="M2" s="490" t="s">
        <v>10</v>
      </c>
      <c r="N2" s="452">
        <f>K2+1</f>
        <v>2024</v>
      </c>
      <c r="O2" s="451"/>
      <c r="P2" s="453" t="s">
        <v>11</v>
      </c>
      <c r="Q2" s="452">
        <f>N2+1</f>
        <v>2025</v>
      </c>
      <c r="R2" s="454"/>
      <c r="S2" s="1165" t="s">
        <v>77</v>
      </c>
      <c r="T2" s="1166"/>
      <c r="U2" s="455" t="s">
        <v>79</v>
      </c>
    </row>
    <row r="3" spans="1:21" ht="15.5" x14ac:dyDescent="0.35">
      <c r="A3" s="510"/>
      <c r="C3" s="1"/>
      <c r="D3" s="25"/>
      <c r="E3" s="2"/>
      <c r="I3" s="326" t="s">
        <v>59</v>
      </c>
      <c r="J3" s="144"/>
      <c r="L3" s="145"/>
      <c r="O3" s="31"/>
      <c r="R3" s="31"/>
      <c r="S3" s="90" t="s">
        <v>71</v>
      </c>
      <c r="T3" s="91">
        <f>AVERAGE(J5,M5,P5)</f>
        <v>80</v>
      </c>
      <c r="U3" s="31"/>
    </row>
    <row r="4" spans="1:21" ht="13" x14ac:dyDescent="0.3">
      <c r="A4" s="510"/>
      <c r="I4" s="43">
        <v>0.05</v>
      </c>
      <c r="J4" s="326" t="s">
        <v>71</v>
      </c>
      <c r="K4" s="349" t="s">
        <v>72</v>
      </c>
      <c r="L4" s="17">
        <v>437</v>
      </c>
      <c r="M4" s="326" t="s">
        <v>71</v>
      </c>
      <c r="N4" s="349" t="s">
        <v>69</v>
      </c>
      <c r="O4" s="17">
        <v>437</v>
      </c>
      <c r="P4" s="326" t="s">
        <v>71</v>
      </c>
      <c r="Q4" s="349" t="s">
        <v>69</v>
      </c>
      <c r="R4" s="17">
        <v>437</v>
      </c>
      <c r="S4" s="90" t="s">
        <v>69</v>
      </c>
      <c r="T4" s="85">
        <f>AVERAGE(L4,O4,R4)</f>
        <v>437</v>
      </c>
      <c r="U4" s="31"/>
    </row>
    <row r="5" spans="1:21" ht="12.75" customHeight="1" thickBot="1" x14ac:dyDescent="0.35">
      <c r="A5" s="510"/>
      <c r="B5" s="495" t="s">
        <v>2</v>
      </c>
      <c r="C5" s="1174"/>
      <c r="D5" s="1175"/>
      <c r="E5" s="1175"/>
      <c r="F5" s="1175"/>
      <c r="G5" s="1175"/>
      <c r="H5" s="1175"/>
      <c r="I5" s="1175"/>
      <c r="J5" s="286">
        <v>80</v>
      </c>
      <c r="K5" s="287" t="s">
        <v>70</v>
      </c>
      <c r="L5" s="288">
        <f>L4*$I$4</f>
        <v>21.85</v>
      </c>
      <c r="M5" s="526">
        <v>80</v>
      </c>
      <c r="N5" s="287" t="s">
        <v>70</v>
      </c>
      <c r="O5" s="289">
        <f>O4*$I$4</f>
        <v>21.85</v>
      </c>
      <c r="P5" s="525">
        <v>80</v>
      </c>
      <c r="Q5" s="287" t="s">
        <v>70</v>
      </c>
      <c r="R5" s="288">
        <f>R4*$I$4</f>
        <v>21.85</v>
      </c>
      <c r="S5" s="191" t="s">
        <v>70</v>
      </c>
      <c r="T5" s="192">
        <f>AVERAGE(L5,O5,R5)</f>
        <v>21.850000000000005</v>
      </c>
      <c r="U5" s="31"/>
    </row>
    <row r="6" spans="1:21" ht="30" customHeight="1" thickTop="1" thickBot="1" x14ac:dyDescent="0.45">
      <c r="A6" s="510"/>
      <c r="B6" s="496" t="s">
        <v>73</v>
      </c>
      <c r="C6" s="3"/>
      <c r="D6" s="3"/>
      <c r="E6" s="3"/>
      <c r="F6" s="9"/>
      <c r="G6" s="3"/>
      <c r="H6" s="3"/>
      <c r="I6" s="3"/>
      <c r="J6" s="447"/>
      <c r="K6" s="3"/>
      <c r="L6" s="3"/>
      <c r="M6" s="447"/>
      <c r="N6" s="3"/>
      <c r="O6" s="3"/>
      <c r="P6" s="447"/>
      <c r="Q6" s="3"/>
      <c r="R6" s="3"/>
      <c r="S6" s="448" t="s">
        <v>17</v>
      </c>
      <c r="T6" s="449" t="s">
        <v>103</v>
      </c>
      <c r="U6" s="450"/>
    </row>
    <row r="7" spans="1:21" ht="15.5" x14ac:dyDescent="0.35">
      <c r="A7" s="510"/>
      <c r="B7" s="48" t="s">
        <v>3</v>
      </c>
      <c r="C7" s="193"/>
      <c r="D7" s="349" t="s">
        <v>54</v>
      </c>
      <c r="E7" s="24">
        <v>7</v>
      </c>
      <c r="F7" s="1" t="s">
        <v>6</v>
      </c>
      <c r="G7" s="1169"/>
      <c r="H7" s="1170"/>
      <c r="I7" s="1171"/>
      <c r="J7" s="72" t="s">
        <v>3</v>
      </c>
      <c r="K7" s="146"/>
      <c r="L7" s="62"/>
      <c r="M7" s="48" t="s">
        <v>3</v>
      </c>
      <c r="O7" s="31"/>
      <c r="P7" s="48" t="s">
        <v>3</v>
      </c>
      <c r="R7" s="31"/>
      <c r="S7" s="99"/>
      <c r="T7" s="92"/>
      <c r="U7" s="114"/>
    </row>
    <row r="8" spans="1:21" ht="13" x14ac:dyDescent="0.3">
      <c r="A8" s="510"/>
      <c r="B8" s="497" t="s">
        <v>44</v>
      </c>
      <c r="C8" s="4"/>
      <c r="D8" s="4"/>
      <c r="E8" s="4"/>
      <c r="F8" s="8"/>
      <c r="G8" s="4"/>
      <c r="H8" s="4"/>
      <c r="I8" s="40" t="s">
        <v>55</v>
      </c>
      <c r="J8" s="209" t="s">
        <v>55</v>
      </c>
      <c r="K8" s="1176" t="s">
        <v>57</v>
      </c>
      <c r="L8" s="1168"/>
      <c r="M8" s="50" t="s">
        <v>55</v>
      </c>
      <c r="N8" s="1177" t="s">
        <v>57</v>
      </c>
      <c r="O8" s="1178"/>
      <c r="P8" s="227" t="s">
        <v>55</v>
      </c>
      <c r="Q8" s="1167" t="s">
        <v>57</v>
      </c>
      <c r="R8" s="1168"/>
      <c r="S8" s="100"/>
      <c r="T8" s="118"/>
      <c r="U8" s="116"/>
    </row>
    <row r="9" spans="1:21" ht="13" x14ac:dyDescent="0.3">
      <c r="A9" s="510"/>
      <c r="B9" s="498" t="s">
        <v>53</v>
      </c>
      <c r="C9" s="20" t="s">
        <v>45</v>
      </c>
      <c r="D9" s="20" t="s">
        <v>46</v>
      </c>
      <c r="E9" s="20" t="s">
        <v>47</v>
      </c>
      <c r="F9" s="20" t="s">
        <v>48</v>
      </c>
      <c r="G9" s="20" t="s">
        <v>49</v>
      </c>
      <c r="H9" s="20" t="s">
        <v>50</v>
      </c>
      <c r="I9" s="40" t="s">
        <v>13</v>
      </c>
      <c r="J9" s="210" t="s">
        <v>56</v>
      </c>
      <c r="K9" s="211" t="s">
        <v>13</v>
      </c>
      <c r="L9" s="212" t="s">
        <v>68</v>
      </c>
      <c r="M9" s="66" t="s">
        <v>56</v>
      </c>
      <c r="N9" s="20" t="s">
        <v>13</v>
      </c>
      <c r="O9" s="32" t="s">
        <v>68</v>
      </c>
      <c r="P9" s="211" t="s">
        <v>56</v>
      </c>
      <c r="Q9" s="211" t="s">
        <v>13</v>
      </c>
      <c r="R9" s="212" t="s">
        <v>68</v>
      </c>
      <c r="S9" s="98"/>
      <c r="T9" s="44"/>
      <c r="U9" s="117"/>
    </row>
    <row r="10" spans="1:21" x14ac:dyDescent="0.25">
      <c r="A10" s="510"/>
      <c r="B10" s="499" t="s">
        <v>51</v>
      </c>
      <c r="C10" s="18">
        <v>0</v>
      </c>
      <c r="D10" s="18">
        <v>0</v>
      </c>
      <c r="E10" s="18">
        <v>0</v>
      </c>
      <c r="F10" s="18">
        <v>10</v>
      </c>
      <c r="G10" s="18">
        <v>10</v>
      </c>
      <c r="H10" s="18">
        <v>10</v>
      </c>
      <c r="I10" s="41">
        <f>SUM(C10:H10)</f>
        <v>30</v>
      </c>
      <c r="J10" s="213" t="s">
        <v>12</v>
      </c>
      <c r="K10" s="214">
        <f>I10*$J$5</f>
        <v>2400</v>
      </c>
      <c r="L10" s="215">
        <f>K10/$E$7</f>
        <v>342.85714285714283</v>
      </c>
      <c r="M10" s="51" t="s">
        <v>12</v>
      </c>
      <c r="N10" s="351">
        <f>I10*$M$5</f>
        <v>2400</v>
      </c>
      <c r="O10" s="57">
        <f>N10/$E$7</f>
        <v>342.85714285714283</v>
      </c>
      <c r="P10" s="213" t="s">
        <v>12</v>
      </c>
      <c r="Q10" s="352">
        <f>$I10*$P$5</f>
        <v>2400</v>
      </c>
      <c r="R10" s="239">
        <f>Q10/$E$7</f>
        <v>342.85714285714283</v>
      </c>
      <c r="S10" s="96">
        <f>AVERAGE(L10,O10,R10)</f>
        <v>342.85714285714283</v>
      </c>
      <c r="T10" s="94" t="s">
        <v>12</v>
      </c>
      <c r="U10" s="94" t="s">
        <v>12</v>
      </c>
    </row>
    <row r="11" spans="1:21" s="1" customFormat="1" ht="13.5" thickBot="1" x14ac:dyDescent="0.35">
      <c r="A11" s="511"/>
      <c r="B11" s="327" t="s">
        <v>52</v>
      </c>
      <c r="C11" s="20">
        <f>ROUND(C10*Labor!$D$3,0)</f>
        <v>0</v>
      </c>
      <c r="D11" s="20">
        <f>ROUND(D10*Labor!$D$4,0)</f>
        <v>0</v>
      </c>
      <c r="E11" s="20">
        <f>ROUND(E10*Labor!$D$5,0)</f>
        <v>0</v>
      </c>
      <c r="F11" s="20">
        <f>ROUND(F10*Labor!$D$6,0)</f>
        <v>276</v>
      </c>
      <c r="G11" s="20">
        <f>ROUND(G10*Labor!$D$7,0)</f>
        <v>313</v>
      </c>
      <c r="H11" s="20">
        <f>ROUND(H10*Labor!$D$8,0)</f>
        <v>378</v>
      </c>
      <c r="I11" s="314">
        <f>SUM(C11:H11)</f>
        <v>967</v>
      </c>
      <c r="J11" s="284">
        <f>HLOOKUP(K$2,InflationTable,2)/HLOOKUP(Labor!$B$11,InflationTable,2)*$I11</f>
        <v>2068.6438754325259</v>
      </c>
      <c r="K11" s="315">
        <f>J11*$J$5</f>
        <v>165491.51003460208</v>
      </c>
      <c r="L11" s="316">
        <f>K11/$E$7</f>
        <v>23641.644290657441</v>
      </c>
      <c r="M11" s="169">
        <f>HLOOKUP(N$2,InflationTable,2)/HLOOKUP(Labor!$B$11,InflationTable,2)*$I11</f>
        <v>2151.3896304498271</v>
      </c>
      <c r="N11" s="317">
        <f>M11*$M$5</f>
        <v>172111.17043598616</v>
      </c>
      <c r="O11" s="318">
        <f>N11/$E$7</f>
        <v>24587.310062283737</v>
      </c>
      <c r="P11" s="284">
        <f>HLOOKUP(Q$2,InflationTable,2)/HLOOKUP(Labor!$B$11,InflationTable,2)*$I11</f>
        <v>2194.4174230588233</v>
      </c>
      <c r="Q11" s="315">
        <f>P11*$P$5</f>
        <v>175553.39384470586</v>
      </c>
      <c r="R11" s="316">
        <f>Q11/$E$7</f>
        <v>25079.056263529408</v>
      </c>
      <c r="S11" s="312">
        <f>AVERAGE(L11,O11,R11)</f>
        <v>24436.003538823526</v>
      </c>
      <c r="T11" s="313" t="s">
        <v>12</v>
      </c>
      <c r="U11" s="313" t="s">
        <v>12</v>
      </c>
    </row>
    <row r="12" spans="1:21" ht="13" x14ac:dyDescent="0.3">
      <c r="A12" s="510"/>
      <c r="B12" s="1" t="s">
        <v>7</v>
      </c>
      <c r="H12" s="6"/>
      <c r="I12" s="31"/>
      <c r="J12" s="216"/>
      <c r="K12" s="216"/>
      <c r="L12" s="217"/>
      <c r="O12" s="37"/>
      <c r="P12" s="330"/>
      <c r="Q12" s="330"/>
      <c r="R12" s="240"/>
      <c r="S12" s="97"/>
      <c r="T12" s="31"/>
      <c r="U12" s="31"/>
    </row>
    <row r="13" spans="1:21" x14ac:dyDescent="0.25">
      <c r="A13" s="510"/>
      <c r="B13" s="499" t="s">
        <v>51</v>
      </c>
      <c r="C13" s="18">
        <v>0</v>
      </c>
      <c r="D13" s="18">
        <v>0</v>
      </c>
      <c r="E13" s="18">
        <v>0</v>
      </c>
      <c r="F13" s="18">
        <v>4</v>
      </c>
      <c r="G13" s="18">
        <v>4</v>
      </c>
      <c r="H13" s="18">
        <v>0</v>
      </c>
      <c r="I13" s="41">
        <f>SUM(C13:H13)</f>
        <v>8</v>
      </c>
      <c r="J13" s="213" t="s">
        <v>12</v>
      </c>
      <c r="K13" s="214">
        <f>I13*$J$5</f>
        <v>640</v>
      </c>
      <c r="L13" s="215">
        <f>K13/$E$7</f>
        <v>91.428571428571431</v>
      </c>
      <c r="M13" s="51" t="s">
        <v>12</v>
      </c>
      <c r="N13" s="10">
        <f>I13*$M$5</f>
        <v>640</v>
      </c>
      <c r="O13" s="52">
        <f>N13/$E$7</f>
        <v>91.428571428571431</v>
      </c>
      <c r="P13" s="213" t="s">
        <v>12</v>
      </c>
      <c r="Q13" s="241">
        <f>$I13*$P$5</f>
        <v>640</v>
      </c>
      <c r="R13" s="232">
        <f>Q13/$E$7</f>
        <v>91.428571428571431</v>
      </c>
      <c r="S13" s="96">
        <f>AVERAGE(L13,O13,R13)</f>
        <v>91.428571428571431</v>
      </c>
      <c r="T13" s="94" t="s">
        <v>12</v>
      </c>
      <c r="U13" s="94" t="s">
        <v>12</v>
      </c>
    </row>
    <row r="14" spans="1:21" s="1" customFormat="1" ht="13.5" thickBot="1" x14ac:dyDescent="0.35">
      <c r="A14" s="511"/>
      <c r="B14" s="500" t="s">
        <v>52</v>
      </c>
      <c r="C14" s="310">
        <f>ROUND(C13*Labor!$D$3,0)</f>
        <v>0</v>
      </c>
      <c r="D14" s="310">
        <f>ROUND(D13*Labor!$D$4,0)</f>
        <v>0</v>
      </c>
      <c r="E14" s="310">
        <f>ROUND(E13*Labor!$D$5,0)</f>
        <v>0</v>
      </c>
      <c r="F14" s="310">
        <f>ROUND(F13*Labor!$D$6,0)</f>
        <v>110</v>
      </c>
      <c r="G14" s="310">
        <f>ROUND(G13*Labor!$D$7,0)</f>
        <v>125</v>
      </c>
      <c r="H14" s="310">
        <f>ROUND(H13*Labor!$D$8,0)</f>
        <v>0</v>
      </c>
      <c r="I14" s="311">
        <f>SUM(C14:H14)</f>
        <v>235</v>
      </c>
      <c r="J14" s="284">
        <f>HLOOKUP(K$2,InflationTable,2)/HLOOKUP(Labor!$B$11,InflationTable,2)*$I14</f>
        <v>502.72110726643592</v>
      </c>
      <c r="K14" s="245">
        <f>J14*$J$5</f>
        <v>40217.688581314877</v>
      </c>
      <c r="L14" s="246">
        <f>K14/$E$7</f>
        <v>5745.3840830449826</v>
      </c>
      <c r="M14" s="169">
        <f>HLOOKUP(N$2,InflationTable,2)/HLOOKUP(Labor!$B$11,InflationTable,2)*$I14</f>
        <v>522.82995155709341</v>
      </c>
      <c r="N14" s="166">
        <f>M14*$M$5</f>
        <v>41826.396124567473</v>
      </c>
      <c r="O14" s="167">
        <f>N14/$E$7</f>
        <v>5975.1994463667816</v>
      </c>
      <c r="P14" s="284">
        <f>HLOOKUP(Q$2,InflationTable,2)/HLOOKUP(Labor!$B$11,InflationTable,2)*$I14</f>
        <v>533.28655058823529</v>
      </c>
      <c r="Q14" s="245">
        <f>P14*$P$5</f>
        <v>42662.924047058827</v>
      </c>
      <c r="R14" s="246">
        <f>Q14/$E$7</f>
        <v>6094.7034352941182</v>
      </c>
      <c r="S14" s="312">
        <f>AVERAGE(L14,O14,R14)</f>
        <v>5938.4289882352941</v>
      </c>
      <c r="T14" s="313" t="s">
        <v>12</v>
      </c>
      <c r="U14" s="313" t="s">
        <v>12</v>
      </c>
    </row>
    <row r="15" spans="1:21" ht="13" x14ac:dyDescent="0.3">
      <c r="A15" s="510"/>
      <c r="B15" s="501" t="s">
        <v>66</v>
      </c>
      <c r="C15" s="28">
        <f t="shared" ref="C15:I16" si="0">C10+C13</f>
        <v>0</v>
      </c>
      <c r="D15" s="28">
        <f t="shared" si="0"/>
        <v>0</v>
      </c>
      <c r="E15" s="28">
        <f t="shared" si="0"/>
        <v>0</v>
      </c>
      <c r="F15" s="28">
        <f t="shared" si="0"/>
        <v>14</v>
      </c>
      <c r="G15" s="28">
        <f t="shared" si="0"/>
        <v>14</v>
      </c>
      <c r="H15" s="28">
        <f t="shared" si="0"/>
        <v>10</v>
      </c>
      <c r="I15" s="42">
        <f t="shared" si="0"/>
        <v>38</v>
      </c>
      <c r="J15" s="221" t="s">
        <v>12</v>
      </c>
      <c r="K15" s="222">
        <f>K10+K13</f>
        <v>3040</v>
      </c>
      <c r="L15" s="223">
        <f>L10+L13</f>
        <v>434.28571428571428</v>
      </c>
      <c r="M15" s="53" t="s">
        <v>12</v>
      </c>
      <c r="N15">
        <f>I15*$M$5</f>
        <v>3040</v>
      </c>
      <c r="O15" s="54">
        <f>N15/$E$7</f>
        <v>434.28571428571428</v>
      </c>
      <c r="P15" s="242" t="s">
        <v>12</v>
      </c>
      <c r="Q15" s="352">
        <f>$I15*$P$5</f>
        <v>3040</v>
      </c>
      <c r="R15" s="243">
        <f>Q15/$E$7</f>
        <v>434.28571428571428</v>
      </c>
      <c r="S15" s="96">
        <f>AVERAGE(L15,O15,R15)</f>
        <v>434.28571428571428</v>
      </c>
      <c r="T15" s="94" t="s">
        <v>12</v>
      </c>
      <c r="U15" s="94" t="s">
        <v>12</v>
      </c>
    </row>
    <row r="16" spans="1:21" ht="13.5" thickBot="1" x14ac:dyDescent="0.35">
      <c r="A16" s="510"/>
      <c r="B16" s="502" t="s">
        <v>67</v>
      </c>
      <c r="C16" s="194">
        <f t="shared" si="0"/>
        <v>0</v>
      </c>
      <c r="D16" s="194">
        <f t="shared" si="0"/>
        <v>0</v>
      </c>
      <c r="E16" s="194">
        <f t="shared" si="0"/>
        <v>0</v>
      </c>
      <c r="F16" s="194">
        <f t="shared" si="0"/>
        <v>386</v>
      </c>
      <c r="G16" s="194">
        <f t="shared" si="0"/>
        <v>438</v>
      </c>
      <c r="H16" s="194">
        <f t="shared" si="0"/>
        <v>378</v>
      </c>
      <c r="I16" s="195">
        <f t="shared" si="0"/>
        <v>1202</v>
      </c>
      <c r="J16" s="224">
        <f>J11+J14</f>
        <v>2571.3649826989617</v>
      </c>
      <c r="K16" s="225">
        <f>K11+K14</f>
        <v>205709.19861591695</v>
      </c>
      <c r="L16" s="226">
        <f>L11+L14</f>
        <v>29387.028373702422</v>
      </c>
      <c r="M16" s="196">
        <f>M11+M14</f>
        <v>2674.2195820069205</v>
      </c>
      <c r="N16" s="194">
        <f>N11+N14</f>
        <v>213937.56656055362</v>
      </c>
      <c r="O16" s="197">
        <f>O11+O14</f>
        <v>30562.509508650517</v>
      </c>
      <c r="P16" s="244">
        <f>P11+P14</f>
        <v>2727.7039736470588</v>
      </c>
      <c r="Q16" s="1073">
        <f>Q11+Q14</f>
        <v>218216.31789176469</v>
      </c>
      <c r="R16" s="246">
        <f>Q16/$E$7</f>
        <v>31173.759698823527</v>
      </c>
      <c r="S16" s="169">
        <f>AVERAGE(L16,O16,R16)</f>
        <v>30374.43252705882</v>
      </c>
      <c r="T16" s="174" t="s">
        <v>12</v>
      </c>
      <c r="U16" s="174" t="s">
        <v>12</v>
      </c>
    </row>
    <row r="17" spans="1:21" ht="13.5" thickTop="1" thickBot="1" x14ac:dyDescent="0.3">
      <c r="A17" s="510"/>
      <c r="B17" s="512"/>
      <c r="C17" s="513"/>
      <c r="D17" s="513"/>
      <c r="E17" s="513"/>
      <c r="F17" s="513"/>
      <c r="G17" s="513"/>
      <c r="H17" s="513"/>
      <c r="I17" s="513"/>
      <c r="J17" s="513"/>
      <c r="K17" s="513"/>
      <c r="L17" s="513"/>
      <c r="M17" s="513"/>
      <c r="N17" s="335"/>
      <c r="O17" s="335"/>
      <c r="P17" s="335"/>
      <c r="Q17" s="335"/>
      <c r="R17" s="335"/>
      <c r="S17" s="335"/>
      <c r="T17" s="335"/>
      <c r="U17" s="190"/>
    </row>
    <row r="18" spans="1:21" ht="16" thickTop="1" x14ac:dyDescent="0.35">
      <c r="A18" s="510"/>
      <c r="B18" s="2" t="s">
        <v>16</v>
      </c>
      <c r="C18" s="61"/>
      <c r="D18" s="349" t="s">
        <v>54</v>
      </c>
      <c r="E18" s="59">
        <v>7</v>
      </c>
      <c r="F18" s="1" t="s">
        <v>6</v>
      </c>
      <c r="G18" s="1160"/>
      <c r="H18" s="1161"/>
      <c r="I18" s="1162"/>
      <c r="J18" s="2" t="s">
        <v>16</v>
      </c>
      <c r="L18" s="62"/>
      <c r="M18" s="2" t="s">
        <v>16</v>
      </c>
      <c r="O18" s="31"/>
      <c r="P18" s="2" t="s">
        <v>16</v>
      </c>
      <c r="R18" s="62"/>
      <c r="S18" s="97"/>
      <c r="T18" s="31"/>
      <c r="U18" s="111"/>
    </row>
    <row r="19" spans="1:21" ht="13" x14ac:dyDescent="0.3">
      <c r="A19" s="510"/>
      <c r="C19" s="86" t="s">
        <v>60</v>
      </c>
      <c r="D19" s="20" t="s">
        <v>62</v>
      </c>
      <c r="F19"/>
      <c r="H19" s="4"/>
      <c r="I19" s="37"/>
      <c r="J19" s="227" t="s">
        <v>61</v>
      </c>
      <c r="K19" s="1167" t="s">
        <v>57</v>
      </c>
      <c r="L19" s="1168"/>
      <c r="M19" s="50" t="s">
        <v>61</v>
      </c>
      <c r="N19" s="1177" t="s">
        <v>57</v>
      </c>
      <c r="O19" s="1178"/>
      <c r="P19" s="212" t="s">
        <v>61</v>
      </c>
      <c r="Q19" s="1167" t="s">
        <v>57</v>
      </c>
      <c r="R19" s="1168"/>
      <c r="S19" s="106"/>
      <c r="T19" s="31"/>
      <c r="U19" s="111"/>
    </row>
    <row r="20" spans="1:21" ht="13" x14ac:dyDescent="0.3">
      <c r="A20" s="510"/>
      <c r="B20" s="503" t="s">
        <v>58</v>
      </c>
      <c r="C20" s="20"/>
      <c r="D20" s="20"/>
      <c r="E20" s="7"/>
      <c r="F20" s="61"/>
      <c r="G20" s="61"/>
      <c r="H20" s="61"/>
      <c r="I20" s="62"/>
      <c r="J20" s="210" t="s">
        <v>56</v>
      </c>
      <c r="K20" s="211" t="s">
        <v>13</v>
      </c>
      <c r="L20" s="212" t="s">
        <v>68</v>
      </c>
      <c r="M20" s="66" t="s">
        <v>56</v>
      </c>
      <c r="N20" s="20" t="s">
        <v>13</v>
      </c>
      <c r="O20" s="32" t="s">
        <v>68</v>
      </c>
      <c r="P20" s="210" t="s">
        <v>56</v>
      </c>
      <c r="Q20" s="211" t="s">
        <v>13</v>
      </c>
      <c r="R20" s="212" t="s">
        <v>68</v>
      </c>
      <c r="S20" s="98"/>
      <c r="T20" s="31"/>
      <c r="U20" s="111"/>
    </row>
    <row r="21" spans="1:21" x14ac:dyDescent="0.25">
      <c r="A21" s="510"/>
      <c r="B21" s="504" t="s">
        <v>14</v>
      </c>
      <c r="C21" s="23">
        <f>VLOOKUP(C$2,Monitor_Costs,2,FALSE)</f>
        <v>11700</v>
      </c>
      <c r="D21" s="19">
        <f>VLOOKUP(C$2,Monitor_Costs,3,FALSE)</f>
        <v>2019</v>
      </c>
      <c r="E21" s="63"/>
      <c r="F21" s="64"/>
      <c r="G21" s="65"/>
      <c r="H21" s="65"/>
      <c r="I21" s="31"/>
      <c r="J21" s="229">
        <f>HLOOKUP(K$2,InflationTable,2)/HLOOKUP($D21,InflationTable,2)*$C21</f>
        <v>14144.325381306218</v>
      </c>
      <c r="K21" s="229">
        <f>J21*$L$4</f>
        <v>6181070.191630817</v>
      </c>
      <c r="L21" s="230">
        <f>K21/$E$18</f>
        <v>883010.02737583104</v>
      </c>
      <c r="M21" s="23">
        <f>HLOOKUP(N$2,InflationTable,2)/HLOOKUP($D21,InflationTable,2)*$C21</f>
        <v>14710.098396558467</v>
      </c>
      <c r="N21" s="23">
        <f>M21*$O$4</f>
        <v>6428312.9992960505</v>
      </c>
      <c r="O21" s="80">
        <f>N21/$E$18</f>
        <v>918330.42847086431</v>
      </c>
      <c r="P21" s="229">
        <f>HLOOKUP(Q$2,InflationTable,2)/HLOOKUP($D21,InflationTable,2)*$C21</f>
        <v>15004.300364489636</v>
      </c>
      <c r="Q21" s="229">
        <f>P21*$R$4</f>
        <v>6556879.2592819706</v>
      </c>
      <c r="R21" s="230">
        <f>Q21/$E$18</f>
        <v>936697.03704028146</v>
      </c>
      <c r="S21" s="102" t="s">
        <v>12</v>
      </c>
      <c r="T21" s="94" t="s">
        <v>12</v>
      </c>
      <c r="U21" s="112">
        <f>AVERAGE(L21,O21,R21)</f>
        <v>912679.16429565893</v>
      </c>
    </row>
    <row r="22" spans="1:21" ht="13.5" thickBot="1" x14ac:dyDescent="0.35">
      <c r="A22" s="510"/>
      <c r="B22" s="505" t="s">
        <v>15</v>
      </c>
      <c r="C22" s="3"/>
      <c r="D22" s="3"/>
      <c r="E22" s="3"/>
      <c r="F22" s="9"/>
      <c r="G22" s="3"/>
      <c r="H22" s="3"/>
      <c r="I22" s="305"/>
      <c r="J22" s="306"/>
      <c r="K22" s="295">
        <f>J21*$L$5</f>
        <v>309053.50958154089</v>
      </c>
      <c r="L22" s="256">
        <f>K22/$E$18</f>
        <v>44150.501368791556</v>
      </c>
      <c r="M22" s="3"/>
      <c r="N22" s="84">
        <f>M21*$O$5</f>
        <v>321415.64996480255</v>
      </c>
      <c r="O22" s="307">
        <f>N22/$E$18</f>
        <v>45916.521423543221</v>
      </c>
      <c r="P22" s="308"/>
      <c r="Q22" s="295">
        <f>P21*$R$5</f>
        <v>327843.96296409855</v>
      </c>
      <c r="R22" s="256">
        <f>Q22/$E$18</f>
        <v>46834.851852014079</v>
      </c>
      <c r="S22" s="298" t="s">
        <v>12</v>
      </c>
      <c r="T22" s="121" t="s">
        <v>12</v>
      </c>
      <c r="U22" s="309">
        <f>AVERAGE(L22,O22,R22)</f>
        <v>45633.958214782957</v>
      </c>
    </row>
    <row r="23" spans="1:21" ht="13" x14ac:dyDescent="0.3">
      <c r="A23" s="510"/>
      <c r="B23" s="1" t="s">
        <v>17</v>
      </c>
      <c r="C23" s="86" t="s">
        <v>45</v>
      </c>
      <c r="D23" s="86" t="s">
        <v>46</v>
      </c>
      <c r="E23" s="86" t="s">
        <v>47</v>
      </c>
      <c r="F23" s="86" t="s">
        <v>48</v>
      </c>
      <c r="G23" s="86" t="s">
        <v>49</v>
      </c>
      <c r="H23" s="86" t="s">
        <v>50</v>
      </c>
      <c r="I23" s="145" t="s">
        <v>74</v>
      </c>
      <c r="J23" s="292"/>
      <c r="K23" s="293"/>
      <c r="L23" s="296"/>
      <c r="M23" s="88"/>
      <c r="N23" s="86"/>
      <c r="O23" s="87"/>
      <c r="P23" s="293"/>
      <c r="Q23" s="293"/>
      <c r="R23" s="296"/>
      <c r="S23" s="100"/>
      <c r="T23" s="31"/>
      <c r="U23" s="111"/>
    </row>
    <row r="24" spans="1:21" ht="13" x14ac:dyDescent="0.3">
      <c r="A24" s="510"/>
      <c r="B24" s="506" t="s">
        <v>119</v>
      </c>
      <c r="C24" s="27">
        <v>0</v>
      </c>
      <c r="D24" s="18">
        <v>0</v>
      </c>
      <c r="E24" s="18">
        <v>0</v>
      </c>
      <c r="F24" s="18">
        <v>4</v>
      </c>
      <c r="G24" s="18">
        <v>0</v>
      </c>
      <c r="H24" s="18">
        <v>0</v>
      </c>
      <c r="I24" s="41">
        <f>SUM(C24:H24)</f>
        <v>4</v>
      </c>
      <c r="J24" s="213" t="s">
        <v>12</v>
      </c>
      <c r="K24" s="231">
        <f>I24*($L$4+$L$5)</f>
        <v>1835.4</v>
      </c>
      <c r="L24" s="232">
        <f>K24/$E$18</f>
        <v>262.2</v>
      </c>
      <c r="M24" s="51" t="s">
        <v>12</v>
      </c>
      <c r="N24" s="58">
        <f>$I$24*($O$4+$O$5)</f>
        <v>1835.4</v>
      </c>
      <c r="O24" s="52">
        <f>N24/$E$18</f>
        <v>262.2</v>
      </c>
      <c r="P24" s="213" t="s">
        <v>12</v>
      </c>
      <c r="Q24" s="231">
        <f>$I$24*($R$4+$R$5)</f>
        <v>1835.4</v>
      </c>
      <c r="R24" s="232">
        <f>Q24/$E$18</f>
        <v>262.2</v>
      </c>
      <c r="S24" s="123">
        <f>AVERAGE(L24,O24,R24)</f>
        <v>262.2</v>
      </c>
      <c r="T24" s="94" t="s">
        <v>12</v>
      </c>
      <c r="U24" s="113" t="s">
        <v>12</v>
      </c>
    </row>
    <row r="25" spans="1:21" s="1" customFormat="1" ht="13.5" thickBot="1" x14ac:dyDescent="0.35">
      <c r="A25" s="511"/>
      <c r="B25" s="500" t="s">
        <v>8</v>
      </c>
      <c r="C25" s="319">
        <f>ROUND(C24*Labor!$D$3,0)</f>
        <v>0</v>
      </c>
      <c r="D25" s="310">
        <f>ROUND(D24*Labor!$D$4,0)</f>
        <v>0</v>
      </c>
      <c r="E25" s="310">
        <f>ROUND(E24*Labor!$D$5,0)</f>
        <v>0</v>
      </c>
      <c r="F25" s="310">
        <f>ROUND(F24*Labor!$D$6,0)</f>
        <v>110</v>
      </c>
      <c r="G25" s="310">
        <f>ROUND(G24*Labor!$D$7,0)</f>
        <v>0</v>
      </c>
      <c r="H25" s="310">
        <f>ROUND(H24*Labor!$D$8,0)</f>
        <v>0</v>
      </c>
      <c r="I25" s="311">
        <f>SUM(C25:H25)</f>
        <v>110</v>
      </c>
      <c r="J25" s="284">
        <f>HLOOKUP(K$2,InflationTable,2)/HLOOKUP(Labor!$B$11,InflationTable,2)*$I25</f>
        <v>235.31626297577853</v>
      </c>
      <c r="K25" s="245">
        <f>J25*($L$4+$L$5)</f>
        <v>107974.86726643598</v>
      </c>
      <c r="L25" s="246">
        <f>K25/$E$18</f>
        <v>15424.981038062282</v>
      </c>
      <c r="M25" s="169">
        <f>HLOOKUP(N$2,InflationTable,2)/HLOOKUP(Labor!$B$11,InflationTable,2)*$I25</f>
        <v>244.72891349480972</v>
      </c>
      <c r="N25" s="166">
        <f>M25*($O$4+$O$5)</f>
        <v>112293.86195709344</v>
      </c>
      <c r="O25" s="167">
        <f>N25/$E$18</f>
        <v>16041.980279584777</v>
      </c>
      <c r="P25" s="284">
        <f>HLOOKUP(Q$2,InflationTable,2)/HLOOKUP(Labor!$B$11,InflationTable,2)*$I25</f>
        <v>249.62349176470585</v>
      </c>
      <c r="Q25" s="245">
        <f>P25*($R$4+$R$5)</f>
        <v>114539.73919623528</v>
      </c>
      <c r="R25" s="320">
        <f>Q25/$E$18</f>
        <v>16362.81988517647</v>
      </c>
      <c r="S25" s="321">
        <f>AVERAGE(L25,O25,R25)</f>
        <v>15943.260400941175</v>
      </c>
      <c r="T25" s="174" t="s">
        <v>12</v>
      </c>
      <c r="U25" s="322" t="s">
        <v>12</v>
      </c>
    </row>
    <row r="26" spans="1:21" ht="13" x14ac:dyDescent="0.3">
      <c r="A26" s="510"/>
      <c r="B26" s="1" t="s">
        <v>118</v>
      </c>
      <c r="C26" s="290">
        <v>0</v>
      </c>
      <c r="D26" s="302">
        <v>8</v>
      </c>
      <c r="E26" s="302">
        <v>8</v>
      </c>
      <c r="F26" s="302">
        <v>0</v>
      </c>
      <c r="G26" s="302">
        <v>0</v>
      </c>
      <c r="H26" s="302">
        <v>0</v>
      </c>
      <c r="I26" s="303">
        <f>SUM(C26:H26)</f>
        <v>16</v>
      </c>
      <c r="J26" s="242" t="s">
        <v>12</v>
      </c>
      <c r="K26" s="280">
        <f>I26*$L$4</f>
        <v>6992</v>
      </c>
      <c r="L26" s="243">
        <f>K26/$E$18</f>
        <v>998.85714285714289</v>
      </c>
      <c r="M26" s="53" t="s">
        <v>12</v>
      </c>
      <c r="N26" s="147">
        <f>I26*$O$4</f>
        <v>6992</v>
      </c>
      <c r="O26" s="54">
        <f>N26/$E$18</f>
        <v>998.85714285714289</v>
      </c>
      <c r="P26" s="242" t="s">
        <v>12</v>
      </c>
      <c r="Q26" s="273">
        <f>$I26*$R$4</f>
        <v>6992</v>
      </c>
      <c r="R26" s="304">
        <f>Q26/$E$18</f>
        <v>998.85714285714289</v>
      </c>
      <c r="S26" s="104">
        <f>AVERAGE(L26,O26,R26)</f>
        <v>998.85714285714278</v>
      </c>
      <c r="T26" s="42" t="s">
        <v>12</v>
      </c>
      <c r="U26" s="119" t="s">
        <v>12</v>
      </c>
    </row>
    <row r="27" spans="1:21" s="1" customFormat="1" ht="13.5" thickBot="1" x14ac:dyDescent="0.35">
      <c r="A27" s="511"/>
      <c r="B27" s="507" t="s">
        <v>8</v>
      </c>
      <c r="C27" s="310">
        <f>ROUND(C26*Labor!$D$3,0)</f>
        <v>0</v>
      </c>
      <c r="D27" s="310">
        <f>ROUND(D26*Labor!$D$4,0)</f>
        <v>194</v>
      </c>
      <c r="E27" s="310">
        <f>ROUND(E26*Labor!$D$5,0)</f>
        <v>202</v>
      </c>
      <c r="F27" s="310">
        <f>ROUND(F26*Labor!$D$6,0)</f>
        <v>0</v>
      </c>
      <c r="G27" s="310">
        <f>ROUND(G26*Labor!$D$7,0)</f>
        <v>0</v>
      </c>
      <c r="H27" s="310">
        <f>ROUND(H26*Labor!$D$8,0)</f>
        <v>0</v>
      </c>
      <c r="I27" s="311">
        <f>SUM(C27:H27)</f>
        <v>396</v>
      </c>
      <c r="J27" s="284">
        <f>HLOOKUP(K$2,InflationTable,2)/HLOOKUP(Labor!$B$11,InflationTable,2)*$I27</f>
        <v>847.13854671280274</v>
      </c>
      <c r="K27" s="245">
        <f>J27*$L$4</f>
        <v>370199.54491349478</v>
      </c>
      <c r="L27" s="246">
        <f>K27/$E$18</f>
        <v>52885.649273356401</v>
      </c>
      <c r="M27" s="169">
        <f>HLOOKUP(N$2,InflationTable,2)/HLOOKUP(Labor!$B$11,InflationTable,2)*$I27</f>
        <v>881.02408858131491</v>
      </c>
      <c r="N27" s="166">
        <f>M27*$O$4</f>
        <v>385007.52671003464</v>
      </c>
      <c r="O27" s="167">
        <f>N27/$E$18</f>
        <v>55001.07524429066</v>
      </c>
      <c r="P27" s="284">
        <f>HLOOKUP(Q$2,InflationTable,2)/HLOOKUP(Labor!$B$11,InflationTable,2)*$I27</f>
        <v>898.64457035294106</v>
      </c>
      <c r="Q27" s="245">
        <f>P27*$R$4</f>
        <v>392707.67724423524</v>
      </c>
      <c r="R27" s="246">
        <f>Q27/$E$18</f>
        <v>56101.09674917646</v>
      </c>
      <c r="S27" s="169">
        <f>AVERAGE(L27,O27,R27)</f>
        <v>54662.607088941171</v>
      </c>
      <c r="T27" s="323" t="s">
        <v>12</v>
      </c>
      <c r="U27" s="322" t="s">
        <v>12</v>
      </c>
    </row>
    <row r="28" spans="1:21" ht="13" x14ac:dyDescent="0.3">
      <c r="A28" s="510"/>
      <c r="B28" s="501" t="s">
        <v>66</v>
      </c>
      <c r="C28" s="28">
        <f t="shared" ref="C28:I28" si="1">C24+C26</f>
        <v>0</v>
      </c>
      <c r="D28" s="28">
        <f t="shared" si="1"/>
        <v>8</v>
      </c>
      <c r="E28" s="28">
        <f t="shared" si="1"/>
        <v>8</v>
      </c>
      <c r="F28" s="28">
        <f t="shared" si="1"/>
        <v>4</v>
      </c>
      <c r="G28" s="28">
        <f t="shared" si="1"/>
        <v>0</v>
      </c>
      <c r="H28" s="28">
        <f t="shared" si="1"/>
        <v>0</v>
      </c>
      <c r="I28" s="42">
        <f t="shared" si="1"/>
        <v>20</v>
      </c>
      <c r="J28" s="234" t="s">
        <v>12</v>
      </c>
      <c r="K28" s="235">
        <f>K24+K26</f>
        <v>8827.4</v>
      </c>
      <c r="L28" s="236">
        <f>L24+L26</f>
        <v>1261.0571428571429</v>
      </c>
      <c r="M28" s="38" t="s">
        <v>12</v>
      </c>
      <c r="N28" s="28">
        <f>N24+N26</f>
        <v>8827.4</v>
      </c>
      <c r="O28" s="34">
        <f>O24+O26</f>
        <v>1261.0571428571429</v>
      </c>
      <c r="P28" s="234" t="s">
        <v>12</v>
      </c>
      <c r="Q28" s="235">
        <f>Q24+Q26</f>
        <v>8827.4</v>
      </c>
      <c r="R28" s="236">
        <f>R24+R26</f>
        <v>1261.0571428571429</v>
      </c>
      <c r="S28" s="142">
        <f>AVERAGE(L28,O28,R28)</f>
        <v>1261.0571428571429</v>
      </c>
      <c r="T28" s="42" t="s">
        <v>12</v>
      </c>
      <c r="U28" s="119" t="s">
        <v>12</v>
      </c>
    </row>
    <row r="29" spans="1:21" ht="13.5" thickBot="1" x14ac:dyDescent="0.35">
      <c r="A29" s="510"/>
      <c r="B29" s="502" t="s">
        <v>67</v>
      </c>
      <c r="C29" s="194">
        <f t="shared" ref="C29:J29" si="2">C27+C25</f>
        <v>0</v>
      </c>
      <c r="D29" s="194">
        <f t="shared" si="2"/>
        <v>194</v>
      </c>
      <c r="E29" s="194">
        <f t="shared" si="2"/>
        <v>202</v>
      </c>
      <c r="F29" s="194">
        <f t="shared" si="2"/>
        <v>110</v>
      </c>
      <c r="G29" s="194">
        <f t="shared" si="2"/>
        <v>0</v>
      </c>
      <c r="H29" s="194">
        <f t="shared" si="2"/>
        <v>0</v>
      </c>
      <c r="I29" s="195">
        <f t="shared" si="2"/>
        <v>506</v>
      </c>
      <c r="J29" s="224">
        <f t="shared" si="2"/>
        <v>1082.4548096885812</v>
      </c>
      <c r="K29" s="237"/>
      <c r="L29" s="226">
        <f>L27+L25+L22+L21</f>
        <v>995471.15905604127</v>
      </c>
      <c r="M29" s="196">
        <f>M27+M25</f>
        <v>1125.7530020761246</v>
      </c>
      <c r="N29" s="201"/>
      <c r="O29" s="197">
        <f>O27+O25+O22+O21</f>
        <v>1035290.0054182829</v>
      </c>
      <c r="P29" s="224">
        <f>P27+P25</f>
        <v>1148.2680621176469</v>
      </c>
      <c r="Q29" s="237"/>
      <c r="R29" s="226">
        <f>R27+R25+R22+R21</f>
        <v>1055995.8055266484</v>
      </c>
      <c r="S29" s="202">
        <f>SUM(S27,S25)</f>
        <v>70605.867489882352</v>
      </c>
      <c r="T29" s="203" t="s">
        <v>12</v>
      </c>
      <c r="U29" s="204">
        <f>SUM(U21:U22)</f>
        <v>958313.12251044193</v>
      </c>
    </row>
    <row r="30" spans="1:21" ht="13.5" thickTop="1" thickBot="1" x14ac:dyDescent="0.3">
      <c r="A30" s="510"/>
      <c r="C30" s="513"/>
      <c r="D30" s="513"/>
      <c r="E30" s="513"/>
      <c r="F30" s="513"/>
      <c r="G30" s="513"/>
      <c r="H30" s="513"/>
      <c r="I30" s="513"/>
      <c r="J30" s="513"/>
      <c r="K30" s="513"/>
      <c r="L30" s="513"/>
      <c r="M30" s="513"/>
      <c r="N30" s="513"/>
      <c r="O30" s="513"/>
      <c r="P30" s="513"/>
      <c r="Q30" s="513"/>
      <c r="R30" s="513"/>
      <c r="S30" s="513"/>
      <c r="T30" s="513"/>
      <c r="U30" s="515"/>
    </row>
    <row r="31" spans="1:21" ht="16" thickTop="1" x14ac:dyDescent="0.35">
      <c r="A31" s="510"/>
      <c r="B31" s="508" t="s">
        <v>22</v>
      </c>
      <c r="F31" s="1" t="s">
        <v>6</v>
      </c>
      <c r="G31" s="1160"/>
      <c r="H31" s="1161"/>
      <c r="I31" s="1162"/>
      <c r="J31" s="198" t="s">
        <v>22</v>
      </c>
      <c r="L31" s="62"/>
      <c r="M31" s="198" t="s">
        <v>22</v>
      </c>
      <c r="O31" s="31"/>
      <c r="P31" s="198" t="s">
        <v>22</v>
      </c>
      <c r="R31" s="31"/>
      <c r="S31" s="97"/>
      <c r="T31" s="31"/>
      <c r="U31" s="111"/>
    </row>
    <row r="32" spans="1:21" ht="13" x14ac:dyDescent="0.3">
      <c r="A32" s="510"/>
      <c r="F32" s="1"/>
      <c r="G32" s="1163"/>
      <c r="H32" s="1163"/>
      <c r="I32" s="1164"/>
      <c r="J32" s="227" t="s">
        <v>61</v>
      </c>
      <c r="K32" s="1182" t="s">
        <v>57</v>
      </c>
      <c r="L32" s="1183"/>
      <c r="M32" s="50" t="s">
        <v>61</v>
      </c>
      <c r="N32" s="1177" t="s">
        <v>57</v>
      </c>
      <c r="O32" s="1178"/>
      <c r="P32" s="227" t="s">
        <v>61</v>
      </c>
      <c r="Q32" s="1167" t="s">
        <v>57</v>
      </c>
      <c r="R32" s="1168"/>
      <c r="S32" s="106"/>
      <c r="T32" s="31"/>
      <c r="U32" s="111"/>
    </row>
    <row r="33" spans="1:21" ht="13" x14ac:dyDescent="0.3">
      <c r="A33" s="510"/>
      <c r="B33" s="506" t="s">
        <v>18</v>
      </c>
      <c r="C33" s="20" t="s">
        <v>60</v>
      </c>
      <c r="D33" s="20" t="s">
        <v>62</v>
      </c>
      <c r="E33" s="7"/>
      <c r="F33" s="61"/>
      <c r="G33" s="61"/>
      <c r="H33" s="61"/>
      <c r="I33" s="31"/>
      <c r="J33" s="211" t="s">
        <v>56</v>
      </c>
      <c r="K33" s="211" t="s">
        <v>13</v>
      </c>
      <c r="L33" s="212" t="s">
        <v>68</v>
      </c>
      <c r="M33" s="66" t="s">
        <v>56</v>
      </c>
      <c r="N33" s="20" t="s">
        <v>13</v>
      </c>
      <c r="O33" s="32" t="s">
        <v>68</v>
      </c>
      <c r="P33" s="210" t="s">
        <v>56</v>
      </c>
      <c r="Q33" s="211" t="s">
        <v>13</v>
      </c>
      <c r="R33" s="212" t="s">
        <v>68</v>
      </c>
      <c r="S33" s="98"/>
      <c r="T33" s="31"/>
      <c r="U33" s="111"/>
    </row>
    <row r="34" spans="1:21" ht="13.5" thickBot="1" x14ac:dyDescent="0.35">
      <c r="A34" s="510"/>
      <c r="B34" s="300"/>
      <c r="C34" s="84">
        <f>VLOOKUP(C$2,Monitor_Costs,4,FALSE)</f>
        <v>800</v>
      </c>
      <c r="D34" s="29">
        <f>VLOOKUP(C$2,Monitor_Costs,5,FALSE)</f>
        <v>2019</v>
      </c>
      <c r="E34" s="3"/>
      <c r="F34" s="9"/>
      <c r="G34" s="3"/>
      <c r="H34" s="300"/>
      <c r="I34" s="301"/>
      <c r="J34" s="229">
        <f>HLOOKUP(K$2,InflationTable,2)/HLOOKUP($D34,InflationTable,2)*$C34</f>
        <v>967.13335940555339</v>
      </c>
      <c r="K34" s="295">
        <f>J34*$L$4</f>
        <v>422637.27806022682</v>
      </c>
      <c r="L34" s="256">
        <f>K34</f>
        <v>422637.27806022682</v>
      </c>
      <c r="M34" s="23">
        <f>HLOOKUP(N$2,InflationTable,2)/HLOOKUP($D34,InflationTable,2)*$C34</f>
        <v>1005.8186937817756</v>
      </c>
      <c r="N34" s="84">
        <f>M34*$O$4</f>
        <v>439542.76918263594</v>
      </c>
      <c r="O34" s="77">
        <f>N34</f>
        <v>439542.76918263594</v>
      </c>
      <c r="P34" s="229">
        <f>HLOOKUP(Q$2,InflationTable,2)/HLOOKUP($D34,InflationTable,2)*$C34</f>
        <v>1025.9350676574111</v>
      </c>
      <c r="Q34" s="295">
        <f>P34*$R$4</f>
        <v>448333.62456628866</v>
      </c>
      <c r="R34" s="256">
        <f>Q34</f>
        <v>448333.62456628866</v>
      </c>
      <c r="S34" s="298" t="s">
        <v>12</v>
      </c>
      <c r="T34" s="299">
        <f>AVERAGE(L34,O34,R34)</f>
        <v>436837.89060305041</v>
      </c>
      <c r="U34" s="115" t="s">
        <v>12</v>
      </c>
    </row>
    <row r="35" spans="1:21" ht="13" x14ac:dyDescent="0.3">
      <c r="A35" s="510"/>
      <c r="B35" s="378" t="s">
        <v>23</v>
      </c>
      <c r="C35" s="86" t="s">
        <v>45</v>
      </c>
      <c r="D35" s="86" t="s">
        <v>46</v>
      </c>
      <c r="E35" s="86" t="s">
        <v>47</v>
      </c>
      <c r="F35" s="86" t="s">
        <v>48</v>
      </c>
      <c r="G35" s="86" t="s">
        <v>49</v>
      </c>
      <c r="H35" s="86" t="s">
        <v>50</v>
      </c>
      <c r="I35" s="145" t="s">
        <v>74</v>
      </c>
      <c r="J35" s="293"/>
      <c r="K35" s="293"/>
      <c r="L35" s="296"/>
      <c r="M35" s="88"/>
      <c r="N35" s="86"/>
      <c r="O35" s="87"/>
      <c r="P35" s="293"/>
      <c r="Q35" s="293"/>
      <c r="R35" s="296"/>
      <c r="S35" s="98"/>
      <c r="T35" s="31"/>
      <c r="U35" s="111"/>
    </row>
    <row r="36" spans="1:21" x14ac:dyDescent="0.25">
      <c r="A36" s="510"/>
      <c r="B36" s="509" t="s">
        <v>4</v>
      </c>
      <c r="C36" s="18">
        <v>0</v>
      </c>
      <c r="D36" s="18">
        <v>60</v>
      </c>
      <c r="E36" s="18">
        <v>60</v>
      </c>
      <c r="F36" s="18">
        <v>0</v>
      </c>
      <c r="G36" s="18">
        <v>0</v>
      </c>
      <c r="H36" s="18">
        <v>0</v>
      </c>
      <c r="I36" s="41">
        <f>SUM(C36:H36)</f>
        <v>120</v>
      </c>
      <c r="J36" s="247" t="s">
        <v>12</v>
      </c>
      <c r="K36" s="231">
        <f>I36*$L$4</f>
        <v>52440</v>
      </c>
      <c r="L36" s="239">
        <f>K36</f>
        <v>52440</v>
      </c>
      <c r="M36" s="51" t="s">
        <v>12</v>
      </c>
      <c r="N36" s="58">
        <f>$I$36*$O$4</f>
        <v>52440</v>
      </c>
      <c r="O36" s="57">
        <f>N36</f>
        <v>52440</v>
      </c>
      <c r="P36" s="247" t="s">
        <v>12</v>
      </c>
      <c r="Q36" s="231">
        <f>$I$36*$R$4</f>
        <v>52440</v>
      </c>
      <c r="R36" s="239">
        <f>Q36</f>
        <v>52440</v>
      </c>
      <c r="S36" s="96">
        <f>AVERAGE(L36,O36,R36)</f>
        <v>52440</v>
      </c>
      <c r="T36" s="94" t="s">
        <v>12</v>
      </c>
      <c r="U36" s="113" t="s">
        <v>12</v>
      </c>
    </row>
    <row r="37" spans="1:21" s="1" customFormat="1" ht="13.5" thickBot="1" x14ac:dyDescent="0.35">
      <c r="A37" s="511"/>
      <c r="B37" s="500" t="s">
        <v>8</v>
      </c>
      <c r="C37" s="310">
        <f>ROUND(C36*Labor!$D$3,0)</f>
        <v>0</v>
      </c>
      <c r="D37" s="310">
        <f>ROUND(D36*Labor!$D$4,0)</f>
        <v>1452</v>
      </c>
      <c r="E37" s="310">
        <f>ROUND(E36*Labor!$D$5,0)</f>
        <v>1513</v>
      </c>
      <c r="F37" s="310">
        <f>ROUND(F36*Labor!$D$6,0)</f>
        <v>0</v>
      </c>
      <c r="G37" s="310">
        <f>ROUND(G36*Labor!$D$7,0)</f>
        <v>0</v>
      </c>
      <c r="H37" s="310">
        <f>ROUND(H36*Labor!$D$8,0)</f>
        <v>0</v>
      </c>
      <c r="I37" s="311">
        <f>SUM(C37:H37)</f>
        <v>2965</v>
      </c>
      <c r="J37" s="284">
        <f>HLOOKUP(K$2,InflationTable,2)/HLOOKUP(Labor!$B$11,InflationTable,2)*$I37</f>
        <v>6342.842906574394</v>
      </c>
      <c r="K37" s="245">
        <f>J37*$L$4</f>
        <v>2771822.35017301</v>
      </c>
      <c r="L37" s="320">
        <f>K37</f>
        <v>2771822.35017301</v>
      </c>
      <c r="M37" s="169">
        <f>HLOOKUP(N$2,InflationTable,2)/HLOOKUP(Labor!$B$11,InflationTable,2)*$I37</f>
        <v>6596.5566228373709</v>
      </c>
      <c r="N37" s="166">
        <f>M37*$O$4</f>
        <v>2882695.244179931</v>
      </c>
      <c r="O37" s="167">
        <f>N37</f>
        <v>2882695.244179931</v>
      </c>
      <c r="P37" s="284">
        <f>HLOOKUP(Q$2,InflationTable,2)/HLOOKUP(Labor!$B$11,InflationTable,2)*$I37</f>
        <v>6728.4877552941171</v>
      </c>
      <c r="Q37" s="245">
        <f>P37*$R$4</f>
        <v>2940349.149063529</v>
      </c>
      <c r="R37" s="320">
        <f>Q37</f>
        <v>2940349.149063529</v>
      </c>
      <c r="S37" s="169">
        <f>AVERAGE(L37,O37,R37)</f>
        <v>2864955.5811388232</v>
      </c>
      <c r="T37" s="323" t="s">
        <v>12</v>
      </c>
      <c r="U37" s="322" t="s">
        <v>12</v>
      </c>
    </row>
    <row r="38" spans="1:21" ht="13" x14ac:dyDescent="0.3">
      <c r="A38" s="510"/>
      <c r="B38" s="501" t="s">
        <v>66</v>
      </c>
      <c r="C38" s="30">
        <f>C36</f>
        <v>0</v>
      </c>
      <c r="D38" s="30">
        <f t="shared" ref="D38:I38" si="3">D36</f>
        <v>60</v>
      </c>
      <c r="E38" s="30">
        <f t="shared" si="3"/>
        <v>60</v>
      </c>
      <c r="F38" s="30">
        <f t="shared" si="3"/>
        <v>0</v>
      </c>
      <c r="G38" s="30">
        <f t="shared" si="3"/>
        <v>0</v>
      </c>
      <c r="H38" s="30">
        <f t="shared" si="3"/>
        <v>0</v>
      </c>
      <c r="I38" s="44">
        <f t="shared" si="3"/>
        <v>120</v>
      </c>
      <c r="J38" s="255" t="s">
        <v>12</v>
      </c>
      <c r="K38" s="250">
        <f>K36</f>
        <v>52440</v>
      </c>
      <c r="L38" s="251">
        <f>L36</f>
        <v>52440</v>
      </c>
      <c r="M38" s="70" t="s">
        <v>12</v>
      </c>
      <c r="N38" s="69">
        <f>N36</f>
        <v>52440</v>
      </c>
      <c r="O38" s="78">
        <f>O36</f>
        <v>52440</v>
      </c>
      <c r="P38" s="249" t="s">
        <v>12</v>
      </c>
      <c r="Q38" s="250">
        <f>Q36</f>
        <v>52440</v>
      </c>
      <c r="R38" s="251">
        <f>R36</f>
        <v>52440</v>
      </c>
      <c r="S38" s="78">
        <f>S36</f>
        <v>52440</v>
      </c>
      <c r="T38" s="42" t="s">
        <v>12</v>
      </c>
      <c r="U38" s="119" t="s">
        <v>12</v>
      </c>
    </row>
    <row r="39" spans="1:21" ht="13.5" thickBot="1" x14ac:dyDescent="0.35">
      <c r="A39" s="510"/>
      <c r="B39" s="502" t="s">
        <v>67</v>
      </c>
      <c r="C39" s="194">
        <f t="shared" ref="C39:H39" si="4">C38</f>
        <v>0</v>
      </c>
      <c r="D39" s="194">
        <f t="shared" si="4"/>
        <v>60</v>
      </c>
      <c r="E39" s="194">
        <f t="shared" si="4"/>
        <v>60</v>
      </c>
      <c r="F39" s="194">
        <f t="shared" si="4"/>
        <v>0</v>
      </c>
      <c r="G39" s="194">
        <f t="shared" si="4"/>
        <v>0</v>
      </c>
      <c r="H39" s="194">
        <f t="shared" si="4"/>
        <v>0</v>
      </c>
      <c r="I39" s="205">
        <f>I37+C34</f>
        <v>3765</v>
      </c>
      <c r="J39" s="253">
        <f t="shared" ref="J39:R39" si="5">J37+J34</f>
        <v>7309.9762659799471</v>
      </c>
      <c r="K39" s="253">
        <f t="shared" si="5"/>
        <v>3194459.6282332367</v>
      </c>
      <c r="L39" s="254">
        <f t="shared" si="5"/>
        <v>3194459.6282332367</v>
      </c>
      <c r="M39" s="176">
        <f t="shared" si="5"/>
        <v>7602.3753166191464</v>
      </c>
      <c r="N39" s="177">
        <f t="shared" si="5"/>
        <v>3322238.0133625669</v>
      </c>
      <c r="O39" s="178">
        <f t="shared" si="5"/>
        <v>3322238.0133625669</v>
      </c>
      <c r="P39" s="252">
        <f t="shared" si="5"/>
        <v>7754.4228229515284</v>
      </c>
      <c r="Q39" s="253">
        <f t="shared" si="5"/>
        <v>3388682.7736298176</v>
      </c>
      <c r="R39" s="254">
        <f t="shared" si="5"/>
        <v>3388682.7736298176</v>
      </c>
      <c r="S39" s="206">
        <f>AVERAGE(L39,O39,R39)</f>
        <v>3301793.4717418738</v>
      </c>
      <c r="T39" s="205">
        <f>T34</f>
        <v>436837.89060305041</v>
      </c>
      <c r="U39" s="180" t="s">
        <v>12</v>
      </c>
    </row>
    <row r="40" spans="1:21" ht="13.5" thickTop="1" thickBot="1" x14ac:dyDescent="0.3">
      <c r="A40" s="510"/>
      <c r="B40" s="512"/>
      <c r="C40" s="513"/>
      <c r="D40" s="513"/>
      <c r="E40" s="513"/>
      <c r="F40" s="513"/>
      <c r="G40" s="513"/>
      <c r="H40" s="513"/>
      <c r="I40" s="513"/>
      <c r="J40" s="513"/>
      <c r="K40" s="513"/>
      <c r="L40" s="513"/>
      <c r="M40" s="513"/>
      <c r="N40" s="512"/>
      <c r="O40" s="513"/>
      <c r="P40" s="513"/>
      <c r="Q40" s="513"/>
      <c r="R40" s="513"/>
      <c r="S40" s="513"/>
      <c r="T40" s="513"/>
      <c r="U40" s="515"/>
    </row>
    <row r="41" spans="1:21" ht="16" thickTop="1" x14ac:dyDescent="0.35">
      <c r="A41" s="510"/>
      <c r="B41" s="2" t="s">
        <v>24</v>
      </c>
      <c r="F41" s="1" t="s">
        <v>6</v>
      </c>
      <c r="G41" s="1160"/>
      <c r="H41" s="1161"/>
      <c r="I41" s="1162"/>
      <c r="J41" s="2" t="s">
        <v>24</v>
      </c>
      <c r="L41" s="62"/>
      <c r="M41" s="2" t="s">
        <v>24</v>
      </c>
      <c r="N41" s="61"/>
      <c r="O41" s="31"/>
      <c r="P41" s="2" t="s">
        <v>24</v>
      </c>
      <c r="R41" s="31"/>
      <c r="S41" s="97"/>
      <c r="T41" s="31"/>
      <c r="U41" s="111"/>
    </row>
    <row r="42" spans="1:21" ht="13" x14ac:dyDescent="0.3">
      <c r="A42" s="510"/>
      <c r="F42" s="1"/>
      <c r="G42" s="1163"/>
      <c r="H42" s="1163"/>
      <c r="I42" s="1164"/>
      <c r="J42" s="227" t="s">
        <v>61</v>
      </c>
      <c r="K42" s="1167" t="s">
        <v>57</v>
      </c>
      <c r="L42" s="1168"/>
      <c r="M42" s="50" t="s">
        <v>61</v>
      </c>
      <c r="N42" s="1177" t="s">
        <v>57</v>
      </c>
      <c r="O42" s="1178"/>
      <c r="P42" s="227" t="s">
        <v>61</v>
      </c>
      <c r="Q42" s="1167" t="s">
        <v>57</v>
      </c>
      <c r="R42" s="1168"/>
      <c r="S42" s="106"/>
      <c r="T42" s="31"/>
      <c r="U42" s="111"/>
    </row>
    <row r="43" spans="1:21" ht="13" x14ac:dyDescent="0.3">
      <c r="A43" s="510"/>
      <c r="B43" s="506" t="s">
        <v>19</v>
      </c>
      <c r="C43" s="20" t="s">
        <v>60</v>
      </c>
      <c r="D43" s="20" t="s">
        <v>62</v>
      </c>
      <c r="E43" s="7"/>
      <c r="F43" s="61"/>
      <c r="G43" s="61"/>
      <c r="H43" s="61"/>
      <c r="I43" s="62"/>
      <c r="J43" s="210" t="s">
        <v>56</v>
      </c>
      <c r="K43" s="211" t="s">
        <v>13</v>
      </c>
      <c r="L43" s="212" t="s">
        <v>68</v>
      </c>
      <c r="M43" s="66" t="s">
        <v>56</v>
      </c>
      <c r="N43" s="20" t="s">
        <v>13</v>
      </c>
      <c r="O43" s="32" t="s">
        <v>68</v>
      </c>
      <c r="P43" s="210" t="s">
        <v>56</v>
      </c>
      <c r="Q43" s="211" t="s">
        <v>13</v>
      </c>
      <c r="R43" s="212" t="s">
        <v>68</v>
      </c>
      <c r="S43" s="98"/>
      <c r="T43" s="62"/>
      <c r="U43" s="111"/>
    </row>
    <row r="44" spans="1:21" ht="13" thickBot="1" x14ac:dyDescent="0.3">
      <c r="A44" s="510"/>
      <c r="B44" s="300"/>
      <c r="C44" s="84">
        <f>VLOOKUP(C$2,Monitor_Costs,6,FALSE)</f>
        <v>1000</v>
      </c>
      <c r="D44" s="29">
        <f>VLOOKUP(C$2,Monitor_Costs,7,FALSE)</f>
        <v>2019</v>
      </c>
      <c r="E44" s="294"/>
      <c r="F44" s="60"/>
      <c r="G44" s="49"/>
      <c r="H44" s="49"/>
      <c r="I44" s="47"/>
      <c r="J44" s="229">
        <f>HLOOKUP(K$2,InflationTable,2)/HLOOKUP($D44,InflationTable,2)*$C44</f>
        <v>1208.9166992569417</v>
      </c>
      <c r="K44" s="295">
        <f>J44*$L$4</f>
        <v>528296.59757528349</v>
      </c>
      <c r="L44" s="256">
        <f>K44</f>
        <v>528296.59757528349</v>
      </c>
      <c r="M44" s="23">
        <f>HLOOKUP(N$2,InflationTable,2)/HLOOKUP($D44,InflationTable,2)*$C44</f>
        <v>1257.2733672272193</v>
      </c>
      <c r="N44" s="84">
        <f>M44*$O$4</f>
        <v>549428.4614782948</v>
      </c>
      <c r="O44" s="77">
        <f>N44</f>
        <v>549428.4614782948</v>
      </c>
      <c r="P44" s="229">
        <f>HLOOKUP(Q$2,InflationTable,2)/HLOOKUP($D44,InflationTable,2)*$C44</f>
        <v>1282.4188345717637</v>
      </c>
      <c r="Q44" s="295">
        <f>P44*$R$4</f>
        <v>560417.03070786071</v>
      </c>
      <c r="R44" s="256">
        <f>Q44</f>
        <v>560417.03070786071</v>
      </c>
      <c r="S44" s="298" t="s">
        <v>12</v>
      </c>
      <c r="T44" s="299">
        <f>AVERAGE(L44,O44,R44)</f>
        <v>546047.36325381312</v>
      </c>
      <c r="U44" s="115" t="s">
        <v>12</v>
      </c>
    </row>
    <row r="45" spans="1:21" ht="13" x14ac:dyDescent="0.3">
      <c r="A45" s="510"/>
      <c r="B45" s="378" t="s">
        <v>25</v>
      </c>
      <c r="C45" s="86" t="s">
        <v>45</v>
      </c>
      <c r="D45" s="86" t="s">
        <v>46</v>
      </c>
      <c r="E45" s="86" t="s">
        <v>47</v>
      </c>
      <c r="F45" s="86" t="s">
        <v>48</v>
      </c>
      <c r="G45" s="86" t="s">
        <v>49</v>
      </c>
      <c r="H45" s="86" t="s">
        <v>50</v>
      </c>
      <c r="I45" s="145" t="s">
        <v>74</v>
      </c>
      <c r="J45" s="292"/>
      <c r="K45" s="293"/>
      <c r="L45" s="296"/>
      <c r="M45" s="88"/>
      <c r="N45" s="86"/>
      <c r="O45" s="87"/>
      <c r="P45" s="292"/>
      <c r="Q45" s="293"/>
      <c r="R45" s="296"/>
      <c r="S45" s="109"/>
      <c r="T45" s="42"/>
      <c r="U45" s="111"/>
    </row>
    <row r="46" spans="1:21" x14ac:dyDescent="0.25">
      <c r="B46" s="464" t="s">
        <v>4</v>
      </c>
      <c r="C46" s="18">
        <v>0</v>
      </c>
      <c r="D46" s="18">
        <v>0</v>
      </c>
      <c r="E46" s="18">
        <v>8</v>
      </c>
      <c r="F46" s="18">
        <v>8</v>
      </c>
      <c r="G46" s="18">
        <v>0</v>
      </c>
      <c r="H46" s="18">
        <v>0</v>
      </c>
      <c r="I46" s="45">
        <f>SUM(C46:H46)</f>
        <v>16</v>
      </c>
      <c r="J46" s="213" t="s">
        <v>12</v>
      </c>
      <c r="K46" s="231">
        <f>I46*$L$4</f>
        <v>6992</v>
      </c>
      <c r="L46" s="239">
        <f>K46</f>
        <v>6992</v>
      </c>
      <c r="M46" s="51" t="s">
        <v>12</v>
      </c>
      <c r="N46" s="58">
        <f>$I$46*$O$4</f>
        <v>6992</v>
      </c>
      <c r="O46" s="57">
        <f>N46</f>
        <v>6992</v>
      </c>
      <c r="P46" s="213" t="s">
        <v>12</v>
      </c>
      <c r="Q46" s="231">
        <f>$I$46*$R$4</f>
        <v>6992</v>
      </c>
      <c r="R46" s="239">
        <f>Q46</f>
        <v>6992</v>
      </c>
      <c r="S46" s="96">
        <f>AVERAGE(L46,O46,R46)</f>
        <v>6992</v>
      </c>
      <c r="T46" s="94" t="s">
        <v>12</v>
      </c>
      <c r="U46" s="113" t="s">
        <v>12</v>
      </c>
    </row>
    <row r="47" spans="1:21" ht="13.5" thickBot="1" x14ac:dyDescent="0.35">
      <c r="B47" s="465" t="s">
        <v>8</v>
      </c>
      <c r="C47" s="29">
        <f>ROUND(C46*Labor!$D$3,0)</f>
        <v>0</v>
      </c>
      <c r="D47" s="29">
        <f>ROUND(D46*Labor!$D$4,0)</f>
        <v>0</v>
      </c>
      <c r="E47" s="29">
        <f>ROUND(E46*Labor!$D$5,0)</f>
        <v>202</v>
      </c>
      <c r="F47" s="29">
        <f>ROUND(F46*Labor!$D$6,0)</f>
        <v>221</v>
      </c>
      <c r="G47" s="29">
        <f>ROUND(G46*Labor!$D$7,0)</f>
        <v>0</v>
      </c>
      <c r="H47" s="29">
        <f>ROUND(H46*Labor!$D$8,0)</f>
        <v>0</v>
      </c>
      <c r="I47" s="33">
        <f>SUM(C47:H47)</f>
        <v>423</v>
      </c>
      <c r="J47" s="284">
        <f>HLOOKUP(K$2,InflationTable,2)/HLOOKUP(Labor!$B$11,InflationTable,2)*$I47</f>
        <v>904.89799307958469</v>
      </c>
      <c r="K47" s="219">
        <f>J47*$L$4</f>
        <v>395440.42297577852</v>
      </c>
      <c r="L47" s="256">
        <f>K47</f>
        <v>395440.42297577852</v>
      </c>
      <c r="M47" s="169">
        <f>HLOOKUP(N$2,InflationTable,2)/HLOOKUP(Labor!$B$11,InflationTable,2)*$I47</f>
        <v>941.09391280276827</v>
      </c>
      <c r="N47" s="55">
        <f>M47*$O$4</f>
        <v>411258.03989480971</v>
      </c>
      <c r="O47" s="77">
        <f>N47</f>
        <v>411258.03989480971</v>
      </c>
      <c r="P47" s="284">
        <f>HLOOKUP(Q$2,InflationTable,2)/HLOOKUP(Labor!$B$11,InflationTable,2)*$I47</f>
        <v>959.9157910588234</v>
      </c>
      <c r="Q47" s="219">
        <f>P47*$R$4</f>
        <v>419483.20069270581</v>
      </c>
      <c r="R47" s="256">
        <f>Q47</f>
        <v>419483.20069270581</v>
      </c>
      <c r="S47" s="103">
        <f>AVERAGE(L47,O47,R47)</f>
        <v>408727.22118776472</v>
      </c>
      <c r="T47" s="121" t="s">
        <v>12</v>
      </c>
      <c r="U47" s="115" t="s">
        <v>12</v>
      </c>
    </row>
    <row r="48" spans="1:21" ht="13" x14ac:dyDescent="0.3">
      <c r="B48" s="106" t="s">
        <v>117</v>
      </c>
      <c r="C48" s="290">
        <v>0</v>
      </c>
      <c r="D48" s="290">
        <v>0</v>
      </c>
      <c r="E48" s="290">
        <v>30</v>
      </c>
      <c r="F48" s="290">
        <v>40</v>
      </c>
      <c r="G48" s="290">
        <v>0</v>
      </c>
      <c r="H48" s="290">
        <v>0</v>
      </c>
      <c r="I48" s="291">
        <f>SUM(C48:H48)</f>
        <v>70</v>
      </c>
      <c r="J48" s="242" t="s">
        <v>12</v>
      </c>
      <c r="K48" s="273">
        <f>I48*$L$4</f>
        <v>30590</v>
      </c>
      <c r="L48" s="274">
        <f>K48</f>
        <v>30590</v>
      </c>
      <c r="M48" s="53" t="s">
        <v>12</v>
      </c>
      <c r="N48" s="147">
        <f>$I$48*$O$4</f>
        <v>30590</v>
      </c>
      <c r="O48" s="148">
        <f>N48</f>
        <v>30590</v>
      </c>
      <c r="P48" s="242" t="s">
        <v>12</v>
      </c>
      <c r="Q48" s="273">
        <f>$I$48*$R$4</f>
        <v>30590</v>
      </c>
      <c r="R48" s="274">
        <f>Q48</f>
        <v>30590</v>
      </c>
      <c r="S48" s="104">
        <f>AVERAGE(L48,O48,R48)</f>
        <v>30590</v>
      </c>
      <c r="T48" s="94" t="s">
        <v>12</v>
      </c>
      <c r="U48" s="113" t="s">
        <v>12</v>
      </c>
    </row>
    <row r="49" spans="2:21" ht="13.5" thickBot="1" x14ac:dyDescent="0.35">
      <c r="B49" s="466" t="s">
        <v>8</v>
      </c>
      <c r="C49" s="29">
        <f>ROUND(C48*Labor!$D$3,0)</f>
        <v>0</v>
      </c>
      <c r="D49" s="29">
        <f>ROUND(D48*Labor!$D$4,0)</f>
        <v>0</v>
      </c>
      <c r="E49" s="29">
        <f>ROUND(E48*Labor!$D$5,0)</f>
        <v>757</v>
      </c>
      <c r="F49" s="29">
        <f>ROUND(F48*Labor!$D$6,0)</f>
        <v>1103</v>
      </c>
      <c r="G49" s="29">
        <f>ROUND(G48*Labor!$D$7,0)</f>
        <v>0</v>
      </c>
      <c r="H49" s="29">
        <f>ROUND(H48*Labor!$D$8,0)</f>
        <v>0</v>
      </c>
      <c r="I49" s="33">
        <f>SUM(C49:H49)</f>
        <v>1860</v>
      </c>
      <c r="J49" s="284">
        <f>HLOOKUP(K$2,InflationTable,2)/HLOOKUP(Labor!$B$11,InflationTable,2)*$I49</f>
        <v>3978.9840830449825</v>
      </c>
      <c r="K49" s="219">
        <f>J49*$L$4</f>
        <v>1738816.0442906574</v>
      </c>
      <c r="L49" s="256">
        <f>K49</f>
        <v>1738816.0442906574</v>
      </c>
      <c r="M49" s="169">
        <f>HLOOKUP(N$2,InflationTable,2)/HLOOKUP(Labor!$B$11,InflationTable,2)*$I49</f>
        <v>4138.143446366782</v>
      </c>
      <c r="N49" s="55">
        <f>M49*$O$4</f>
        <v>1808368.6860622838</v>
      </c>
      <c r="O49" s="77">
        <f>N49</f>
        <v>1808368.6860622838</v>
      </c>
      <c r="P49" s="284">
        <f>HLOOKUP(Q$2,InflationTable,2)/HLOOKUP(Labor!$B$11,InflationTable,2)*$I49</f>
        <v>4220.9063152941171</v>
      </c>
      <c r="Q49" s="219">
        <f>P49*$R$4</f>
        <v>1844536.0597835293</v>
      </c>
      <c r="R49" s="256">
        <f>Q49</f>
        <v>1844536.0597835293</v>
      </c>
      <c r="S49" s="107">
        <f>AVERAGE(L49,O49,R49)</f>
        <v>1797240.2633788234</v>
      </c>
      <c r="T49" s="121" t="s">
        <v>12</v>
      </c>
      <c r="U49" s="115" t="s">
        <v>12</v>
      </c>
    </row>
    <row r="50" spans="2:21" ht="13" x14ac:dyDescent="0.3">
      <c r="B50" s="139" t="s">
        <v>66</v>
      </c>
      <c r="C50" s="30">
        <f t="shared" ref="C50:I50" si="6">C46+C48</f>
        <v>0</v>
      </c>
      <c r="D50" s="30">
        <f t="shared" si="6"/>
        <v>0</v>
      </c>
      <c r="E50" s="30">
        <f t="shared" si="6"/>
        <v>38</v>
      </c>
      <c r="F50" s="30">
        <f t="shared" si="6"/>
        <v>48</v>
      </c>
      <c r="G50" s="30">
        <f t="shared" si="6"/>
        <v>0</v>
      </c>
      <c r="H50" s="30">
        <f t="shared" si="6"/>
        <v>0</v>
      </c>
      <c r="I50" s="39">
        <f t="shared" si="6"/>
        <v>86</v>
      </c>
      <c r="J50" s="249" t="s">
        <v>12</v>
      </c>
      <c r="K50" s="257">
        <f>K46+K48</f>
        <v>37582</v>
      </c>
      <c r="L50" s="258">
        <f>L46+L48</f>
        <v>37582</v>
      </c>
      <c r="M50" s="70" t="s">
        <v>12</v>
      </c>
      <c r="N50" s="71">
        <f>N46+N48</f>
        <v>37582</v>
      </c>
      <c r="O50" s="79">
        <f>O46+O48</f>
        <v>37582</v>
      </c>
      <c r="P50" s="249" t="s">
        <v>12</v>
      </c>
      <c r="Q50" s="257">
        <f>Q46+Q48</f>
        <v>37582</v>
      </c>
      <c r="R50" s="258">
        <f>R46+R48</f>
        <v>37582</v>
      </c>
      <c r="S50" s="96">
        <f>AVERAGE(L50,O50,R50)</f>
        <v>37582</v>
      </c>
      <c r="T50" s="42" t="s">
        <v>12</v>
      </c>
      <c r="U50" s="120" t="s">
        <v>12</v>
      </c>
    </row>
    <row r="51" spans="2:21" ht="13.5" thickBot="1" x14ac:dyDescent="0.35">
      <c r="B51" s="460" t="s">
        <v>67</v>
      </c>
      <c r="C51" s="194">
        <f t="shared" ref="C51:H51" si="7">C47+C49</f>
        <v>0</v>
      </c>
      <c r="D51" s="194">
        <f t="shared" si="7"/>
        <v>0</v>
      </c>
      <c r="E51" s="194">
        <f t="shared" si="7"/>
        <v>959</v>
      </c>
      <c r="F51" s="194">
        <f t="shared" si="7"/>
        <v>1324</v>
      </c>
      <c r="G51" s="194">
        <f t="shared" si="7"/>
        <v>0</v>
      </c>
      <c r="H51" s="194">
        <f t="shared" si="7"/>
        <v>0</v>
      </c>
      <c r="I51" s="178">
        <f>I49+I47+C44</f>
        <v>3283</v>
      </c>
      <c r="J51" s="259">
        <f t="shared" ref="J51:R51" si="8">J49+J47+J44</f>
        <v>6092.7987753815087</v>
      </c>
      <c r="K51" s="253">
        <f t="shared" si="8"/>
        <v>2662553.0648417193</v>
      </c>
      <c r="L51" s="254">
        <f t="shared" si="8"/>
        <v>2662553.0648417193</v>
      </c>
      <c r="M51" s="176">
        <f t="shared" si="8"/>
        <v>6336.5107263967693</v>
      </c>
      <c r="N51" s="177">
        <f t="shared" si="8"/>
        <v>2769055.1874353886</v>
      </c>
      <c r="O51" s="178">
        <f t="shared" si="8"/>
        <v>2769055.1874353886</v>
      </c>
      <c r="P51" s="259">
        <f t="shared" si="8"/>
        <v>6463.2409409247048</v>
      </c>
      <c r="Q51" s="253">
        <f t="shared" si="8"/>
        <v>2824436.2911840961</v>
      </c>
      <c r="R51" s="254">
        <f t="shared" si="8"/>
        <v>2824436.2911840961</v>
      </c>
      <c r="S51" s="202">
        <f>S49+S47</f>
        <v>2205967.484566588</v>
      </c>
      <c r="T51" s="205">
        <f>T44</f>
        <v>546047.36325381312</v>
      </c>
      <c r="U51" s="180" t="s">
        <v>12</v>
      </c>
    </row>
    <row r="52" spans="2:21" ht="13.5" thickTop="1" thickBot="1" x14ac:dyDescent="0.3">
      <c r="B52" s="144"/>
      <c r="C52" s="513"/>
      <c r="D52" s="513"/>
      <c r="E52" s="513"/>
      <c r="F52" s="513"/>
      <c r="G52" s="513"/>
      <c r="H52" s="513"/>
      <c r="I52" s="513"/>
      <c r="J52" s="513"/>
      <c r="K52" s="513"/>
      <c r="L52" s="513"/>
      <c r="M52" s="513"/>
      <c r="N52" s="513"/>
      <c r="O52" s="513"/>
      <c r="P52" s="513"/>
      <c r="Q52" s="513"/>
      <c r="R52" s="513"/>
      <c r="S52" s="513"/>
      <c r="T52" s="513"/>
      <c r="U52" s="515"/>
    </row>
    <row r="53" spans="2:21" ht="16" thickTop="1" x14ac:dyDescent="0.35">
      <c r="B53" s="463" t="s">
        <v>26</v>
      </c>
      <c r="F53" s="1" t="s">
        <v>6</v>
      </c>
      <c r="G53" s="1160"/>
      <c r="H53" s="1161"/>
      <c r="I53" s="1162"/>
      <c r="J53" s="2" t="s">
        <v>26</v>
      </c>
      <c r="L53" s="31"/>
      <c r="M53" s="199" t="s">
        <v>26</v>
      </c>
      <c r="P53" s="199" t="s">
        <v>26</v>
      </c>
      <c r="R53" s="31"/>
      <c r="S53" s="97"/>
      <c r="T53" s="31"/>
      <c r="U53" s="111"/>
    </row>
    <row r="54" spans="2:21" ht="13" x14ac:dyDescent="0.3">
      <c r="B54" s="144"/>
      <c r="I54" s="32" t="s">
        <v>61</v>
      </c>
      <c r="J54" s="227" t="s">
        <v>61</v>
      </c>
      <c r="K54" s="1167" t="s">
        <v>57</v>
      </c>
      <c r="L54" s="1168"/>
      <c r="M54" s="50" t="s">
        <v>61</v>
      </c>
      <c r="N54" s="1177" t="s">
        <v>57</v>
      </c>
      <c r="O54" s="1178"/>
      <c r="P54" s="227" t="s">
        <v>61</v>
      </c>
      <c r="Q54" s="1167" t="s">
        <v>57</v>
      </c>
      <c r="R54" s="1168"/>
      <c r="S54" s="106"/>
      <c r="T54" s="31"/>
      <c r="U54" s="111"/>
    </row>
    <row r="55" spans="2:21" ht="13" x14ac:dyDescent="0.3">
      <c r="B55" s="462" t="s">
        <v>27</v>
      </c>
      <c r="C55" s="20" t="s">
        <v>45</v>
      </c>
      <c r="D55" s="20" t="s">
        <v>46</v>
      </c>
      <c r="E55" s="20" t="s">
        <v>47</v>
      </c>
      <c r="F55" s="20" t="s">
        <v>48</v>
      </c>
      <c r="G55" s="20" t="s">
        <v>49</v>
      </c>
      <c r="H55" s="20" t="s">
        <v>50</v>
      </c>
      <c r="I55" s="32" t="s">
        <v>13</v>
      </c>
      <c r="J55" s="210" t="s">
        <v>56</v>
      </c>
      <c r="K55" s="211" t="s">
        <v>13</v>
      </c>
      <c r="L55" s="212" t="s">
        <v>68</v>
      </c>
      <c r="M55" s="66" t="s">
        <v>56</v>
      </c>
      <c r="N55" s="20" t="s">
        <v>13</v>
      </c>
      <c r="O55" s="32" t="s">
        <v>68</v>
      </c>
      <c r="P55" s="210" t="s">
        <v>56</v>
      </c>
      <c r="Q55" s="211" t="s">
        <v>13</v>
      </c>
      <c r="R55" s="212" t="s">
        <v>68</v>
      </c>
      <c r="S55" s="98"/>
      <c r="T55" s="31"/>
      <c r="U55" s="111"/>
    </row>
    <row r="56" spans="2:21" x14ac:dyDescent="0.25">
      <c r="B56" s="464" t="s">
        <v>4</v>
      </c>
      <c r="C56" s="18">
        <v>0</v>
      </c>
      <c r="D56" s="18">
        <v>0</v>
      </c>
      <c r="E56" s="18">
        <v>8</v>
      </c>
      <c r="F56" s="18">
        <v>8</v>
      </c>
      <c r="G56" s="18">
        <v>4</v>
      </c>
      <c r="H56" s="18">
        <v>0</v>
      </c>
      <c r="I56" s="45">
        <f t="shared" ref="I56:I65" si="9">SUM(C56:H56)</f>
        <v>20</v>
      </c>
      <c r="J56" s="213" t="s">
        <v>12</v>
      </c>
      <c r="K56" s="231">
        <f>I56*$L$4</f>
        <v>8740</v>
      </c>
      <c r="L56" s="239">
        <f t="shared" ref="L56:L65" si="10">K56</f>
        <v>8740</v>
      </c>
      <c r="M56" s="51" t="s">
        <v>12</v>
      </c>
      <c r="N56" s="58">
        <f>$I$56*$O$4</f>
        <v>8740</v>
      </c>
      <c r="O56" s="57">
        <f t="shared" ref="O56:O65" si="11">N56</f>
        <v>8740</v>
      </c>
      <c r="P56" s="213" t="s">
        <v>12</v>
      </c>
      <c r="Q56" s="231">
        <f>$I$56*$R$4</f>
        <v>8740</v>
      </c>
      <c r="R56" s="239">
        <f t="shared" ref="R56:R65" si="12">Q56</f>
        <v>8740</v>
      </c>
      <c r="S56" s="96">
        <f t="shared" ref="S56:S67" si="13">AVERAGE(L56,O56,R56)</f>
        <v>8740</v>
      </c>
      <c r="T56" s="94" t="s">
        <v>12</v>
      </c>
      <c r="U56" s="113" t="s">
        <v>12</v>
      </c>
    </row>
    <row r="57" spans="2:21" ht="13.5" thickBot="1" x14ac:dyDescent="0.35">
      <c r="B57" s="465" t="s">
        <v>8</v>
      </c>
      <c r="C57" s="29">
        <f>ROUND(C56*Labor!$D$3,0)</f>
        <v>0</v>
      </c>
      <c r="D57" s="29">
        <f>ROUND(D56*Labor!$D$4,0)</f>
        <v>0</v>
      </c>
      <c r="E57" s="29">
        <f>ROUND(E56*Labor!$D$5,0)</f>
        <v>202</v>
      </c>
      <c r="F57" s="29">
        <f>ROUND(F56*Labor!$D$6,0)</f>
        <v>221</v>
      </c>
      <c r="G57" s="29">
        <f>ROUND(G56*Labor!$D$7,0)</f>
        <v>125</v>
      </c>
      <c r="H57" s="29">
        <f>ROUND(H56*Labor!$D$8,0)</f>
        <v>0</v>
      </c>
      <c r="I57" s="33">
        <f t="shared" si="9"/>
        <v>548</v>
      </c>
      <c r="J57" s="284">
        <f>HLOOKUP(K$2,InflationTable,2)/HLOOKUP(Labor!$B$11,InflationTable,2)*$I57</f>
        <v>1172.3028373702421</v>
      </c>
      <c r="K57" s="219">
        <f>J57*$L$4</f>
        <v>512296.33993079577</v>
      </c>
      <c r="L57" s="256">
        <f t="shared" si="10"/>
        <v>512296.33993079577</v>
      </c>
      <c r="M57" s="169">
        <f>HLOOKUP(N$2,InflationTable,2)/HLOOKUP(Labor!$B$11,InflationTable,2)*$I57</f>
        <v>1219.1949508650521</v>
      </c>
      <c r="N57" s="55">
        <f>M57*$O$4</f>
        <v>532788.19352802774</v>
      </c>
      <c r="O57" s="77">
        <f t="shared" si="11"/>
        <v>532788.19352802774</v>
      </c>
      <c r="P57" s="284">
        <f>HLOOKUP(Q$2,InflationTable,2)/HLOOKUP(Labor!$B$11,InflationTable,2)*$I57</f>
        <v>1243.5788498823529</v>
      </c>
      <c r="Q57" s="219">
        <f>P57*$R$4</f>
        <v>543443.95739858819</v>
      </c>
      <c r="R57" s="256">
        <f t="shared" si="12"/>
        <v>543443.95739858819</v>
      </c>
      <c r="S57" s="103">
        <f t="shared" si="13"/>
        <v>529509.49695247051</v>
      </c>
      <c r="T57" s="121" t="s">
        <v>12</v>
      </c>
      <c r="U57" s="115" t="s">
        <v>12</v>
      </c>
    </row>
    <row r="58" spans="2:21" ht="13" x14ac:dyDescent="0.3">
      <c r="B58" s="459" t="s">
        <v>114</v>
      </c>
      <c r="C58" s="290">
        <v>0</v>
      </c>
      <c r="D58" s="290">
        <v>0</v>
      </c>
      <c r="E58" s="290">
        <v>3</v>
      </c>
      <c r="F58" s="290">
        <v>4</v>
      </c>
      <c r="G58" s="290">
        <v>3</v>
      </c>
      <c r="H58" s="290">
        <v>0</v>
      </c>
      <c r="I58" s="291">
        <f t="shared" si="9"/>
        <v>10</v>
      </c>
      <c r="J58" s="242" t="s">
        <v>12</v>
      </c>
      <c r="K58" s="273">
        <f>I58*$L$4</f>
        <v>4370</v>
      </c>
      <c r="L58" s="274">
        <f t="shared" si="10"/>
        <v>4370</v>
      </c>
      <c r="M58" s="53" t="s">
        <v>12</v>
      </c>
      <c r="N58" s="147">
        <f>$I$58*$O$4</f>
        <v>4370</v>
      </c>
      <c r="O58" s="148">
        <f t="shared" si="11"/>
        <v>4370</v>
      </c>
      <c r="P58" s="242" t="s">
        <v>12</v>
      </c>
      <c r="Q58" s="273">
        <f>$I$58*$R$4</f>
        <v>4370</v>
      </c>
      <c r="R58" s="274">
        <f t="shared" si="12"/>
        <v>4370</v>
      </c>
      <c r="S58" s="104">
        <f t="shared" si="13"/>
        <v>4370</v>
      </c>
      <c r="T58" s="42" t="s">
        <v>12</v>
      </c>
      <c r="U58" s="119" t="s">
        <v>12</v>
      </c>
    </row>
    <row r="59" spans="2:21" ht="13.5" thickBot="1" x14ac:dyDescent="0.35">
      <c r="B59" s="465" t="s">
        <v>8</v>
      </c>
      <c r="C59" s="29">
        <f>ROUND(C58*Labor!$D$3,0)</f>
        <v>0</v>
      </c>
      <c r="D59" s="29">
        <f>ROUND(D58*Labor!$D$4,0)</f>
        <v>0</v>
      </c>
      <c r="E59" s="29">
        <f>ROUND(E58*Labor!$D$5,0)</f>
        <v>76</v>
      </c>
      <c r="F59" s="29">
        <f>ROUND(F58*Labor!$D$6,0)</f>
        <v>110</v>
      </c>
      <c r="G59" s="29">
        <f>ROUND(G58*Labor!$D$7,0)</f>
        <v>94</v>
      </c>
      <c r="H59" s="29">
        <f>ROUND(H58*Labor!$D$8,0)</f>
        <v>0</v>
      </c>
      <c r="I59" s="33">
        <f t="shared" si="9"/>
        <v>280</v>
      </c>
      <c r="J59" s="284">
        <f>HLOOKUP(K$2,InflationTable,2)/HLOOKUP(Labor!$B$11,InflationTable,2)*$I59</f>
        <v>598.98685121107258</v>
      </c>
      <c r="K59" s="219">
        <f>J59*$L$4</f>
        <v>261757.25397923871</v>
      </c>
      <c r="L59" s="256">
        <f t="shared" si="10"/>
        <v>261757.25397923871</v>
      </c>
      <c r="M59" s="169">
        <f>HLOOKUP(N$2,InflationTable,2)/HLOOKUP(Labor!$B$11,InflationTable,2)*$I59</f>
        <v>622.94632525951556</v>
      </c>
      <c r="N59" s="55">
        <f>M59*$O$4</f>
        <v>272227.54413840832</v>
      </c>
      <c r="O59" s="77">
        <f t="shared" si="11"/>
        <v>272227.54413840832</v>
      </c>
      <c r="P59" s="284">
        <f>HLOOKUP(Q$2,InflationTable,2)/HLOOKUP(Labor!$B$11,InflationTable,2)*$I59</f>
        <v>635.40525176470578</v>
      </c>
      <c r="Q59" s="219">
        <f>P59*$R$4</f>
        <v>277672.09502117644</v>
      </c>
      <c r="R59" s="256">
        <f t="shared" si="12"/>
        <v>277672.09502117644</v>
      </c>
      <c r="S59" s="103">
        <f t="shared" si="13"/>
        <v>270552.29771294119</v>
      </c>
      <c r="T59" s="121" t="s">
        <v>12</v>
      </c>
      <c r="U59" s="115" t="s">
        <v>12</v>
      </c>
    </row>
    <row r="60" spans="2:21" ht="13" x14ac:dyDescent="0.3">
      <c r="B60" s="459" t="s">
        <v>115</v>
      </c>
      <c r="C60" s="290">
        <v>0</v>
      </c>
      <c r="D60" s="290">
        <v>0</v>
      </c>
      <c r="E60" s="290">
        <v>5</v>
      </c>
      <c r="F60" s="290">
        <v>10</v>
      </c>
      <c r="G60" s="290">
        <v>0</v>
      </c>
      <c r="H60" s="290">
        <v>0</v>
      </c>
      <c r="I60" s="291">
        <f t="shared" si="9"/>
        <v>15</v>
      </c>
      <c r="J60" s="242" t="s">
        <v>12</v>
      </c>
      <c r="K60" s="273">
        <f>I60*$L$4</f>
        <v>6555</v>
      </c>
      <c r="L60" s="274">
        <f t="shared" si="10"/>
        <v>6555</v>
      </c>
      <c r="M60" s="53" t="s">
        <v>12</v>
      </c>
      <c r="N60" s="147">
        <f>$I$60*$O$4</f>
        <v>6555</v>
      </c>
      <c r="O60" s="148">
        <f t="shared" si="11"/>
        <v>6555</v>
      </c>
      <c r="P60" s="242" t="s">
        <v>12</v>
      </c>
      <c r="Q60" s="273">
        <f>$I$60*$R$4</f>
        <v>6555</v>
      </c>
      <c r="R60" s="274">
        <f t="shared" si="12"/>
        <v>6555</v>
      </c>
      <c r="S60" s="104">
        <f t="shared" si="13"/>
        <v>6555</v>
      </c>
      <c r="T60" s="42" t="s">
        <v>12</v>
      </c>
      <c r="U60" s="119" t="s">
        <v>12</v>
      </c>
    </row>
    <row r="61" spans="2:21" ht="13.5" thickBot="1" x14ac:dyDescent="0.35">
      <c r="B61" s="465" t="s">
        <v>8</v>
      </c>
      <c r="C61" s="29">
        <f>ROUND(C60*Labor!$D$3,0)</f>
        <v>0</v>
      </c>
      <c r="D61" s="29">
        <f>ROUND(D60*Labor!$D$4,0)</f>
        <v>0</v>
      </c>
      <c r="E61" s="29">
        <f>ROUND(E60*Labor!$D$5,0)</f>
        <v>126</v>
      </c>
      <c r="F61" s="29">
        <f>ROUND(F60*Labor!$D$6,0)</f>
        <v>276</v>
      </c>
      <c r="G61" s="29">
        <f>ROUND(G60*Labor!$D$7,0)</f>
        <v>0</v>
      </c>
      <c r="H61" s="29">
        <f>ROUND(H60*Labor!$D$8,0)</f>
        <v>0</v>
      </c>
      <c r="I61" s="33">
        <f t="shared" si="9"/>
        <v>402</v>
      </c>
      <c r="J61" s="284">
        <f>HLOOKUP(K$2,InflationTable,2)/HLOOKUP(Labor!$B$11,InflationTable,2)*$I61</f>
        <v>859.97397923875428</v>
      </c>
      <c r="K61" s="219">
        <f>J61*$L$4</f>
        <v>375808.62892733561</v>
      </c>
      <c r="L61" s="256">
        <f t="shared" si="10"/>
        <v>375808.62892733561</v>
      </c>
      <c r="M61" s="169">
        <f>HLOOKUP(N$2,InflationTable,2)/HLOOKUP(Labor!$B$11,InflationTable,2)*$I61</f>
        <v>894.37293840830455</v>
      </c>
      <c r="N61" s="55">
        <f>M61*$O$4</f>
        <v>390840.97408442909</v>
      </c>
      <c r="O61" s="77">
        <f t="shared" si="11"/>
        <v>390840.97408442909</v>
      </c>
      <c r="P61" s="284">
        <f>HLOOKUP(Q$2,InflationTable,2)/HLOOKUP(Labor!$B$11,InflationTable,2)*$I61</f>
        <v>912.26039717647052</v>
      </c>
      <c r="Q61" s="219">
        <f>P61*$R$4</f>
        <v>398657.79356611765</v>
      </c>
      <c r="R61" s="256">
        <f t="shared" si="12"/>
        <v>398657.79356611765</v>
      </c>
      <c r="S61" s="103">
        <f t="shared" si="13"/>
        <v>388435.7988592941</v>
      </c>
      <c r="T61" s="121" t="s">
        <v>12</v>
      </c>
      <c r="U61" s="115" t="s">
        <v>12</v>
      </c>
    </row>
    <row r="62" spans="2:21" ht="13" x14ac:dyDescent="0.3">
      <c r="B62" s="459" t="s">
        <v>116</v>
      </c>
      <c r="C62" s="290">
        <v>0</v>
      </c>
      <c r="D62" s="290">
        <v>0</v>
      </c>
      <c r="E62" s="290">
        <v>2</v>
      </c>
      <c r="F62" s="290">
        <v>3</v>
      </c>
      <c r="G62" s="290">
        <v>0</v>
      </c>
      <c r="H62" s="290">
        <v>0</v>
      </c>
      <c r="I62" s="291">
        <f t="shared" si="9"/>
        <v>5</v>
      </c>
      <c r="J62" s="242" t="s">
        <v>12</v>
      </c>
      <c r="K62" s="273">
        <f>I62*$L$4</f>
        <v>2185</v>
      </c>
      <c r="L62" s="274">
        <f t="shared" si="10"/>
        <v>2185</v>
      </c>
      <c r="M62" s="53" t="s">
        <v>12</v>
      </c>
      <c r="N62" s="147">
        <f>$I$62*$O$4</f>
        <v>2185</v>
      </c>
      <c r="O62" s="148">
        <f t="shared" si="11"/>
        <v>2185</v>
      </c>
      <c r="P62" s="242" t="s">
        <v>12</v>
      </c>
      <c r="Q62" s="273">
        <f>$I$62*$R$4</f>
        <v>2185</v>
      </c>
      <c r="R62" s="274">
        <f t="shared" si="12"/>
        <v>2185</v>
      </c>
      <c r="S62" s="104">
        <f t="shared" si="13"/>
        <v>2185</v>
      </c>
      <c r="T62" s="42" t="s">
        <v>12</v>
      </c>
      <c r="U62" s="119" t="s">
        <v>12</v>
      </c>
    </row>
    <row r="63" spans="2:21" ht="13.5" thickBot="1" x14ac:dyDescent="0.35">
      <c r="B63" s="465" t="s">
        <v>8</v>
      </c>
      <c r="C63" s="29">
        <f>ROUND(C62*Labor!$D$3,0)</f>
        <v>0</v>
      </c>
      <c r="D63" s="29">
        <f>ROUND(D62*Labor!$D$4,0)</f>
        <v>0</v>
      </c>
      <c r="E63" s="29">
        <f>ROUND(E62*Labor!$D$5,0)</f>
        <v>50</v>
      </c>
      <c r="F63" s="29">
        <f>ROUND(F62*Labor!$D$6,0)</f>
        <v>83</v>
      </c>
      <c r="G63" s="29">
        <f>ROUND(G62*Labor!$D$7,0)</f>
        <v>0</v>
      </c>
      <c r="H63" s="29">
        <f>ROUND(H62*Labor!$D$8,0)</f>
        <v>0</v>
      </c>
      <c r="I63" s="33">
        <f t="shared" si="9"/>
        <v>133</v>
      </c>
      <c r="J63" s="284">
        <f>HLOOKUP(K$2,InflationTable,2)/HLOOKUP(Labor!$B$11,InflationTable,2)*$I63</f>
        <v>284.51875432525947</v>
      </c>
      <c r="K63" s="219">
        <f>J63*$L$4</f>
        <v>124334.69564013838</v>
      </c>
      <c r="L63" s="256">
        <f t="shared" si="10"/>
        <v>124334.69564013838</v>
      </c>
      <c r="M63" s="169">
        <f>HLOOKUP(N$2,InflationTable,2)/HLOOKUP(Labor!$B$11,InflationTable,2)*$I63</f>
        <v>295.89950449826989</v>
      </c>
      <c r="N63" s="55">
        <f>M63*$O$4</f>
        <v>129308.08346574394</v>
      </c>
      <c r="O63" s="77">
        <f t="shared" si="11"/>
        <v>129308.08346574394</v>
      </c>
      <c r="P63" s="284">
        <f>HLOOKUP(Q$2,InflationTable,2)/HLOOKUP(Labor!$B$11,InflationTable,2)*$I63</f>
        <v>301.81749458823526</v>
      </c>
      <c r="Q63" s="219">
        <f>P63*$R$4</f>
        <v>131894.24513505882</v>
      </c>
      <c r="R63" s="256">
        <f t="shared" si="12"/>
        <v>131894.24513505882</v>
      </c>
      <c r="S63" s="103">
        <f t="shared" si="13"/>
        <v>128512.34141364705</v>
      </c>
      <c r="T63" s="110" t="s">
        <v>12</v>
      </c>
      <c r="U63" s="115" t="s">
        <v>12</v>
      </c>
    </row>
    <row r="64" spans="2:21" ht="13" x14ac:dyDescent="0.3">
      <c r="B64" s="1095" t="s">
        <v>376</v>
      </c>
      <c r="C64" s="1100">
        <v>0</v>
      </c>
      <c r="D64" s="1100">
        <v>0.25</v>
      </c>
      <c r="E64" s="1100">
        <v>0</v>
      </c>
      <c r="F64" s="1100">
        <v>0</v>
      </c>
      <c r="G64" s="1100">
        <v>0</v>
      </c>
      <c r="H64" s="1100">
        <v>0</v>
      </c>
      <c r="I64" s="291">
        <f t="shared" si="9"/>
        <v>0.25</v>
      </c>
      <c r="J64" s="242" t="s">
        <v>12</v>
      </c>
      <c r="K64" s="273">
        <f>I64*$L$4</f>
        <v>109.25</v>
      </c>
      <c r="L64" s="274">
        <f>K64</f>
        <v>109.25</v>
      </c>
      <c r="M64" s="53" t="s">
        <v>12</v>
      </c>
      <c r="N64" s="147">
        <f>$I$64*$O$4</f>
        <v>109.25</v>
      </c>
      <c r="O64" s="148">
        <f t="shared" si="11"/>
        <v>109.25</v>
      </c>
      <c r="P64" s="242" t="s">
        <v>12</v>
      </c>
      <c r="Q64" s="273">
        <f>$I$64*$R$4</f>
        <v>109.25</v>
      </c>
      <c r="R64" s="274">
        <f t="shared" si="12"/>
        <v>109.25</v>
      </c>
      <c r="S64" s="104">
        <f t="shared" si="13"/>
        <v>109.25</v>
      </c>
      <c r="T64" s="42" t="s">
        <v>12</v>
      </c>
      <c r="U64" s="119" t="s">
        <v>12</v>
      </c>
    </row>
    <row r="65" spans="2:21" ht="13.5" thickBot="1" x14ac:dyDescent="0.35">
      <c r="B65" s="465" t="s">
        <v>8</v>
      </c>
      <c r="C65" s="1097">
        <f>ROUND(C64*Labor!$D$3,0)</f>
        <v>0</v>
      </c>
      <c r="D65" s="1097">
        <f>ROUND(D64*Labor!$D$3,0)</f>
        <v>6</v>
      </c>
      <c r="E65" s="1097">
        <f>ROUND(E64*Labor!$D$3,0)</f>
        <v>0</v>
      </c>
      <c r="F65" s="1097">
        <f>ROUND(F64*Labor!$D$3,0)</f>
        <v>0</v>
      </c>
      <c r="G65" s="1097">
        <f>ROUND(G64*Labor!$D$3,0)</f>
        <v>0</v>
      </c>
      <c r="H65" s="1097">
        <f>ROUND(H64*Labor!$D$3,0)</f>
        <v>0</v>
      </c>
      <c r="I65" s="1094">
        <f t="shared" si="9"/>
        <v>6</v>
      </c>
      <c r="J65" s="284">
        <f>HLOOKUP(K$2,InflationTable,2)/HLOOKUP(Labor!$B$11,InflationTable,2)*$I65</f>
        <v>12.835432525951557</v>
      </c>
      <c r="K65" s="219">
        <f>J65*$L$4</f>
        <v>5609.0840138408303</v>
      </c>
      <c r="L65" s="256">
        <f t="shared" si="10"/>
        <v>5609.0840138408303</v>
      </c>
      <c r="M65" s="169">
        <f>HLOOKUP(N$2,InflationTable,2)/HLOOKUP(Labor!$B$11,InflationTable,2)*$I65</f>
        <v>13.348849826989621</v>
      </c>
      <c r="N65" s="55">
        <f>M65*$O$4</f>
        <v>5833.4473743944645</v>
      </c>
      <c r="O65" s="77">
        <f t="shared" si="11"/>
        <v>5833.4473743944645</v>
      </c>
      <c r="P65" s="284">
        <f>HLOOKUP(Q$2,InflationTable,2)/HLOOKUP(Labor!$B$11,InflationTable,2)*$I65</f>
        <v>13.61582682352941</v>
      </c>
      <c r="Q65" s="219">
        <f>P65*$R$4</f>
        <v>5950.1163218823522</v>
      </c>
      <c r="R65" s="256">
        <f t="shared" si="12"/>
        <v>5950.1163218823522</v>
      </c>
      <c r="S65" s="103">
        <f t="shared" si="13"/>
        <v>5797.5492367058823</v>
      </c>
      <c r="T65" s="110" t="s">
        <v>12</v>
      </c>
      <c r="U65" s="115" t="s">
        <v>12</v>
      </c>
    </row>
    <row r="66" spans="2:21" ht="13" x14ac:dyDescent="0.3">
      <c r="B66" s="139" t="s">
        <v>66</v>
      </c>
      <c r="C66" s="30">
        <f>C56+C58+C60+C62+C64</f>
        <v>0</v>
      </c>
      <c r="D66" s="30">
        <f t="shared" ref="D66:I66" si="14">D56+D58+D60+D62+D64</f>
        <v>0.25</v>
      </c>
      <c r="E66" s="30">
        <f t="shared" si="14"/>
        <v>18</v>
      </c>
      <c r="F66" s="30">
        <f t="shared" si="14"/>
        <v>25</v>
      </c>
      <c r="G66" s="30">
        <f t="shared" si="14"/>
        <v>7</v>
      </c>
      <c r="H66" s="30">
        <f t="shared" si="14"/>
        <v>0</v>
      </c>
      <c r="I66" s="30">
        <f t="shared" si="14"/>
        <v>50.25</v>
      </c>
      <c r="J66" s="249" t="s">
        <v>12</v>
      </c>
      <c r="K66" s="235">
        <f>K56+K58+K60+K62+K64</f>
        <v>21959.25</v>
      </c>
      <c r="L66" s="235">
        <f>L56+L58+L60+L62+L64</f>
        <v>21959.25</v>
      </c>
      <c r="M66" s="70" t="s">
        <v>12</v>
      </c>
      <c r="N66" s="28">
        <f>N56+N58+N60+N62+N64</f>
        <v>21959.25</v>
      </c>
      <c r="O66" s="81">
        <f>O56+O58+O60+O62+O64</f>
        <v>21959.25</v>
      </c>
      <c r="P66" s="249" t="s">
        <v>12</v>
      </c>
      <c r="Q66" s="235">
        <f>Q56+Q58+Q60+Q62+Q64</f>
        <v>21959.25</v>
      </c>
      <c r="R66" s="235">
        <f>R56+R58+R60+R62+R64</f>
        <v>21959.25</v>
      </c>
      <c r="S66" s="104">
        <f>AVERAGE(L66,O66,R66)</f>
        <v>21959.25</v>
      </c>
      <c r="T66" s="42" t="s">
        <v>12</v>
      </c>
      <c r="U66" s="119" t="s">
        <v>12</v>
      </c>
    </row>
    <row r="67" spans="2:21" ht="13.5" thickBot="1" x14ac:dyDescent="0.35">
      <c r="B67" s="460" t="s">
        <v>67</v>
      </c>
      <c r="C67" s="194">
        <f>C57+C59+C61+C63+C65</f>
        <v>0</v>
      </c>
      <c r="D67" s="194">
        <f t="shared" ref="D67:I67" si="15">D57+D59+D61+D63+D65</f>
        <v>6</v>
      </c>
      <c r="E67" s="194">
        <f t="shared" si="15"/>
        <v>454</v>
      </c>
      <c r="F67" s="194">
        <f t="shared" si="15"/>
        <v>690</v>
      </c>
      <c r="G67" s="194">
        <f t="shared" si="15"/>
        <v>219</v>
      </c>
      <c r="H67" s="194">
        <f t="shared" si="15"/>
        <v>0</v>
      </c>
      <c r="I67" s="194">
        <f t="shared" si="15"/>
        <v>1369</v>
      </c>
      <c r="J67" s="261">
        <f>J57+J59+J61+J63+C65+J65</f>
        <v>2928.6178546712799</v>
      </c>
      <c r="K67" s="261">
        <f>K57+K59+K61+K63+D65+K65</f>
        <v>1279812.0024913494</v>
      </c>
      <c r="L67" s="261">
        <f>L57+L59+L61+L63+E65+L65</f>
        <v>1279806.0024913494</v>
      </c>
      <c r="M67" s="194">
        <f>M57+M59+M61+M63+M65</f>
        <v>3045.7625688581315</v>
      </c>
      <c r="N67" s="194">
        <f>N57+N59+N61+N63+G65+N65</f>
        <v>1330998.2425910034</v>
      </c>
      <c r="O67" s="194">
        <f>O57+O59+O61+O63+H65+O65</f>
        <v>1330998.2425910034</v>
      </c>
      <c r="P67" s="261">
        <f>P57+P59+P61+P63+I65+P65</f>
        <v>3112.6778202352939</v>
      </c>
      <c r="Q67" s="261">
        <f>Q57+Q59+Q61+Q63+J65+Q65</f>
        <v>1357631.0428753498</v>
      </c>
      <c r="R67" s="261">
        <f>R57+R59+R61+R63+K65+R65</f>
        <v>1363227.2914566647</v>
      </c>
      <c r="S67" s="206">
        <f t="shared" si="13"/>
        <v>1324677.178846339</v>
      </c>
      <c r="T67" s="203" t="s">
        <v>12</v>
      </c>
      <c r="U67" s="180" t="s">
        <v>12</v>
      </c>
    </row>
    <row r="68" spans="2:21" ht="13.5" thickTop="1" x14ac:dyDescent="0.3">
      <c r="B68" s="519"/>
      <c r="C68" s="516"/>
      <c r="D68" s="516"/>
      <c r="E68" s="516"/>
      <c r="F68" s="516"/>
      <c r="G68" s="516"/>
      <c r="H68" s="516"/>
      <c r="I68" s="517"/>
      <c r="J68" s="517"/>
      <c r="K68" s="517"/>
      <c r="L68" s="517"/>
      <c r="M68" s="517"/>
      <c r="N68" s="517"/>
      <c r="O68" s="517"/>
      <c r="P68" s="517"/>
      <c r="Q68" s="517"/>
      <c r="R68" s="517"/>
      <c r="S68" s="520"/>
      <c r="T68" s="521"/>
      <c r="U68" s="522"/>
    </row>
    <row r="69" spans="2:21" ht="13" thickBot="1" x14ac:dyDescent="0.3">
      <c r="B69" s="335"/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  <c r="Q69" s="335"/>
      <c r="R69" s="335"/>
      <c r="S69" s="335"/>
      <c r="T69" s="335"/>
      <c r="U69" s="335"/>
    </row>
    <row r="70" spans="2:21" ht="27.5" thickTop="1" thickBot="1" x14ac:dyDescent="0.4">
      <c r="B70" s="463" t="s">
        <v>28</v>
      </c>
      <c r="F70" s="1" t="s">
        <v>6</v>
      </c>
      <c r="G70" s="1160"/>
      <c r="H70" s="1161"/>
      <c r="I70" s="1162"/>
      <c r="J70" s="2" t="s">
        <v>28</v>
      </c>
      <c r="L70" s="31"/>
      <c r="M70" s="2" t="s">
        <v>28</v>
      </c>
      <c r="O70" s="31"/>
      <c r="P70" s="2" t="s">
        <v>28</v>
      </c>
      <c r="R70" s="31"/>
      <c r="S70" s="448" t="s">
        <v>17</v>
      </c>
      <c r="T70" s="449" t="s">
        <v>103</v>
      </c>
      <c r="U70" s="523" t="s">
        <v>79</v>
      </c>
    </row>
    <row r="71" spans="2:21" ht="13" x14ac:dyDescent="0.3">
      <c r="B71" s="144"/>
      <c r="I71" s="32" t="s">
        <v>61</v>
      </c>
      <c r="J71" s="227" t="s">
        <v>61</v>
      </c>
      <c r="K71" s="1167" t="s">
        <v>57</v>
      </c>
      <c r="L71" s="1168"/>
      <c r="M71" s="50" t="s">
        <v>61</v>
      </c>
      <c r="N71" s="1177" t="s">
        <v>57</v>
      </c>
      <c r="O71" s="1181"/>
      <c r="P71" s="266" t="s">
        <v>61</v>
      </c>
      <c r="Q71" s="1167" t="s">
        <v>57</v>
      </c>
      <c r="R71" s="1168"/>
      <c r="S71" s="139"/>
      <c r="T71" s="108"/>
      <c r="U71" s="31"/>
    </row>
    <row r="72" spans="2:21" ht="13" x14ac:dyDescent="0.3">
      <c r="B72" s="457"/>
      <c r="C72" s="20" t="s">
        <v>45</v>
      </c>
      <c r="D72" s="20" t="s">
        <v>46</v>
      </c>
      <c r="E72" s="20" t="s">
        <v>47</v>
      </c>
      <c r="F72" s="20" t="s">
        <v>48</v>
      </c>
      <c r="G72" s="20" t="s">
        <v>49</v>
      </c>
      <c r="H72" s="20" t="s">
        <v>50</v>
      </c>
      <c r="I72" s="32" t="s">
        <v>13</v>
      </c>
      <c r="J72" s="210" t="s">
        <v>56</v>
      </c>
      <c r="K72" s="211" t="s">
        <v>13</v>
      </c>
      <c r="L72" s="212" t="s">
        <v>68</v>
      </c>
      <c r="M72" s="66" t="s">
        <v>56</v>
      </c>
      <c r="N72" s="20" t="s">
        <v>13</v>
      </c>
      <c r="O72" s="32" t="s">
        <v>68</v>
      </c>
      <c r="P72" s="210" t="s">
        <v>56</v>
      </c>
      <c r="Q72" s="211" t="s">
        <v>13</v>
      </c>
      <c r="R72" s="212" t="s">
        <v>68</v>
      </c>
      <c r="S72" s="95"/>
      <c r="T72" s="108"/>
      <c r="U72" s="31"/>
    </row>
    <row r="73" spans="2:21" ht="13" x14ac:dyDescent="0.3">
      <c r="B73" s="457" t="s">
        <v>111</v>
      </c>
      <c r="C73" s="18">
        <v>0</v>
      </c>
      <c r="D73" s="18">
        <v>0</v>
      </c>
      <c r="E73" s="18">
        <v>0</v>
      </c>
      <c r="F73" s="18">
        <v>36</v>
      </c>
      <c r="G73" s="18">
        <v>36</v>
      </c>
      <c r="H73" s="18">
        <v>0</v>
      </c>
      <c r="I73" s="45">
        <f>SUM(C73:H73)</f>
        <v>72</v>
      </c>
      <c r="J73" s="213" t="s">
        <v>12</v>
      </c>
      <c r="K73" s="231">
        <f>I73*$L$4</f>
        <v>31464</v>
      </c>
      <c r="L73" s="239">
        <f>K73</f>
        <v>31464</v>
      </c>
      <c r="M73" s="51" t="s">
        <v>12</v>
      </c>
      <c r="N73" s="58">
        <f>$I$73*$O$4</f>
        <v>31464</v>
      </c>
      <c r="O73" s="57">
        <f>N73</f>
        <v>31464</v>
      </c>
      <c r="P73" s="213" t="s">
        <v>12</v>
      </c>
      <c r="Q73" s="231">
        <f>$I$73*$R$4</f>
        <v>31464</v>
      </c>
      <c r="R73" s="239">
        <f>Q73</f>
        <v>31464</v>
      </c>
      <c r="S73" s="96">
        <f>AVERAGE(L73,O73,R73)</f>
        <v>31464</v>
      </c>
      <c r="T73" s="34" t="s">
        <v>12</v>
      </c>
      <c r="U73" s="42" t="s">
        <v>12</v>
      </c>
    </row>
    <row r="74" spans="2:21" ht="13.5" thickBot="1" x14ac:dyDescent="0.35">
      <c r="B74" s="466" t="s">
        <v>8</v>
      </c>
      <c r="C74" s="29">
        <f>ROUND(C73*Labor!$D$3,0)</f>
        <v>0</v>
      </c>
      <c r="D74" s="29">
        <f>ROUND(D73*Labor!$D$4,0)</f>
        <v>0</v>
      </c>
      <c r="E74" s="29">
        <f>ROUND(E73*Labor!$D$5,0)</f>
        <v>0</v>
      </c>
      <c r="F74" s="29">
        <f>ROUND(F73*Labor!$D$6,0)</f>
        <v>992</v>
      </c>
      <c r="G74" s="29">
        <f>ROUND(G73*Labor!$D$7,0)</f>
        <v>1127</v>
      </c>
      <c r="H74" s="29">
        <f>ROUND(H73*Labor!$D$8,0)</f>
        <v>0</v>
      </c>
      <c r="I74" s="33">
        <f>SUM(C74:H74)</f>
        <v>2119</v>
      </c>
      <c r="J74" s="284">
        <f>HLOOKUP(K$2,InflationTable,2)/HLOOKUP(Labor!$B$11,InflationTable,2)*$I74</f>
        <v>4533.0469204152241</v>
      </c>
      <c r="K74" s="219">
        <f>J74*$L$4</f>
        <v>1980941.5042214529</v>
      </c>
      <c r="L74" s="256">
        <f>K74</f>
        <v>1980941.5042214529</v>
      </c>
      <c r="M74" s="169">
        <f>HLOOKUP(N$2,InflationTable,2)/HLOOKUP(Labor!$B$11,InflationTable,2)*$I74</f>
        <v>4714.3687972318339</v>
      </c>
      <c r="N74" s="55">
        <f>M74*$O$4</f>
        <v>2060179.1643903113</v>
      </c>
      <c r="O74" s="77">
        <f>N74</f>
        <v>2060179.1643903113</v>
      </c>
      <c r="P74" s="284">
        <f>HLOOKUP(Q$2,InflationTable,2)/HLOOKUP(Labor!$B$11,InflationTable,2)*$I74</f>
        <v>4808.6561731764705</v>
      </c>
      <c r="Q74" s="219">
        <f>P74*$R$4</f>
        <v>2101382.7476781178</v>
      </c>
      <c r="R74" s="256">
        <f>Q74</f>
        <v>2101382.7476781178</v>
      </c>
      <c r="S74" s="103">
        <f>AVERAGE(L74,O74,R74)</f>
        <v>2047501.1387632939</v>
      </c>
      <c r="T74" s="110" t="s">
        <v>12</v>
      </c>
      <c r="U74" s="121" t="s">
        <v>12</v>
      </c>
    </row>
    <row r="75" spans="2:21" ht="13" x14ac:dyDescent="0.3">
      <c r="B75" s="459" t="s">
        <v>110</v>
      </c>
      <c r="C75" s="290">
        <v>0</v>
      </c>
      <c r="D75" s="290">
        <v>24</v>
      </c>
      <c r="E75" s="290">
        <v>24</v>
      </c>
      <c r="F75" s="290">
        <v>0</v>
      </c>
      <c r="G75" s="290">
        <v>0</v>
      </c>
      <c r="H75" s="290">
        <v>0</v>
      </c>
      <c r="I75" s="291">
        <f>SUM(C75:H75)</f>
        <v>48</v>
      </c>
      <c r="J75" s="242" t="s">
        <v>12</v>
      </c>
      <c r="K75" s="273">
        <f>I75*$L$4</f>
        <v>20976</v>
      </c>
      <c r="L75" s="274">
        <f>K75</f>
        <v>20976</v>
      </c>
      <c r="M75" s="53" t="s">
        <v>12</v>
      </c>
      <c r="N75" s="147">
        <f>$I$75*$O$4</f>
        <v>20976</v>
      </c>
      <c r="O75" s="148">
        <f>N75</f>
        <v>20976</v>
      </c>
      <c r="P75" s="242" t="s">
        <v>12</v>
      </c>
      <c r="Q75" s="273">
        <f>$I$75*$R$4</f>
        <v>20976</v>
      </c>
      <c r="R75" s="274">
        <f>Q75</f>
        <v>20976</v>
      </c>
      <c r="S75" s="104">
        <f>AVERAGE(L75,O75,R75)</f>
        <v>20976</v>
      </c>
      <c r="T75" s="34" t="s">
        <v>12</v>
      </c>
      <c r="U75" s="42" t="s">
        <v>12</v>
      </c>
    </row>
    <row r="76" spans="2:21" ht="13.5" thickBot="1" x14ac:dyDescent="0.35">
      <c r="B76" s="466" t="s">
        <v>8</v>
      </c>
      <c r="C76" s="29">
        <f>ROUND(C75*Labor!$D$3,0)</f>
        <v>0</v>
      </c>
      <c r="D76" s="29">
        <f>ROUND(D75*Labor!$D$4,0)</f>
        <v>581</v>
      </c>
      <c r="E76" s="29">
        <f>ROUND(E75*Labor!$D$5,0)</f>
        <v>605</v>
      </c>
      <c r="F76" s="29">
        <f>ROUND(F75*Labor!$D$6,0)</f>
        <v>0</v>
      </c>
      <c r="G76" s="29">
        <f>ROUND(G75*Labor!$D$7,0)</f>
        <v>0</v>
      </c>
      <c r="H76" s="29">
        <f>ROUND(H75*Labor!$D$8,0)</f>
        <v>0</v>
      </c>
      <c r="I76" s="33">
        <f>SUM(C76:H76)</f>
        <v>1186</v>
      </c>
      <c r="J76" s="284">
        <f>HLOOKUP(K$2,InflationTable,2)/HLOOKUP(Labor!$B$11,InflationTable,2)*$I76</f>
        <v>2537.1371626297578</v>
      </c>
      <c r="K76" s="219">
        <f>J76*$L$4</f>
        <v>1108728.9400692042</v>
      </c>
      <c r="L76" s="256">
        <f>K76</f>
        <v>1108728.9400692042</v>
      </c>
      <c r="M76" s="169">
        <f>HLOOKUP(N$2,InflationTable,2)/HLOOKUP(Labor!$B$11,InflationTable,2)*$I76</f>
        <v>2638.6226491349485</v>
      </c>
      <c r="N76" s="55">
        <f>M76*$O$4</f>
        <v>1153078.0976719726</v>
      </c>
      <c r="O76" s="77">
        <f>N76</f>
        <v>1153078.0976719726</v>
      </c>
      <c r="P76" s="284">
        <f>HLOOKUP(Q$2,InflationTable,2)/HLOOKUP(Labor!$B$11,InflationTable,2)*$I76</f>
        <v>2691.3951021176467</v>
      </c>
      <c r="Q76" s="219">
        <f>P76*$R$4</f>
        <v>1176139.6596254117</v>
      </c>
      <c r="R76" s="256">
        <f>Q76</f>
        <v>1176139.6596254117</v>
      </c>
      <c r="S76" s="103">
        <f>AVERAGE(L76,O76,R76)</f>
        <v>1145982.2324555295</v>
      </c>
      <c r="T76" s="110" t="s">
        <v>12</v>
      </c>
      <c r="U76" s="121" t="s">
        <v>12</v>
      </c>
    </row>
    <row r="77" spans="2:21" ht="13" x14ac:dyDescent="0.3">
      <c r="B77" s="459" t="s">
        <v>20</v>
      </c>
      <c r="C77" s="86" t="s">
        <v>45</v>
      </c>
      <c r="D77" s="86" t="s">
        <v>46</v>
      </c>
      <c r="E77" s="86" t="s">
        <v>47</v>
      </c>
      <c r="F77" s="86" t="s">
        <v>48</v>
      </c>
      <c r="G77" s="86" t="s">
        <v>49</v>
      </c>
      <c r="H77" s="86" t="s">
        <v>50</v>
      </c>
      <c r="I77" s="87" t="s">
        <v>13</v>
      </c>
      <c r="J77" s="292"/>
      <c r="K77" s="293"/>
      <c r="L77" s="296"/>
      <c r="M77" s="88" t="s">
        <v>56</v>
      </c>
      <c r="N77" s="86" t="s">
        <v>13</v>
      </c>
      <c r="O77" s="87" t="s">
        <v>68</v>
      </c>
      <c r="P77" s="292" t="s">
        <v>56</v>
      </c>
      <c r="Q77" s="293" t="s">
        <v>13</v>
      </c>
      <c r="R77" s="296" t="s">
        <v>68</v>
      </c>
      <c r="S77" s="98"/>
      <c r="T77" s="108"/>
      <c r="U77" s="31"/>
    </row>
    <row r="78" spans="2:21" x14ac:dyDescent="0.25">
      <c r="B78" s="458" t="s">
        <v>4</v>
      </c>
      <c r="C78" s="18">
        <v>0</v>
      </c>
      <c r="D78" s="18">
        <v>0</v>
      </c>
      <c r="E78" s="18">
        <v>0</v>
      </c>
      <c r="F78" s="18">
        <v>2</v>
      </c>
      <c r="G78" s="18">
        <v>2</v>
      </c>
      <c r="H78" s="18">
        <v>0</v>
      </c>
      <c r="I78" s="45">
        <f t="shared" ref="I78:I83" si="16">SUM(C78:H78)</f>
        <v>4</v>
      </c>
      <c r="J78" s="213" t="s">
        <v>12</v>
      </c>
      <c r="K78" s="231">
        <f>I78*$L$4</f>
        <v>1748</v>
      </c>
      <c r="L78" s="239">
        <f t="shared" ref="L78:L83" si="17">K78</f>
        <v>1748</v>
      </c>
      <c r="M78" s="51" t="s">
        <v>12</v>
      </c>
      <c r="N78" s="58">
        <f>$I78*$O$4</f>
        <v>1748</v>
      </c>
      <c r="O78" s="57">
        <f t="shared" ref="O78:O83" si="18">N78</f>
        <v>1748</v>
      </c>
      <c r="P78" s="213" t="s">
        <v>12</v>
      </c>
      <c r="Q78" s="231">
        <f>$I78*$R$4</f>
        <v>1748</v>
      </c>
      <c r="R78" s="239">
        <f t="shared" ref="R78:R83" si="19">Q78</f>
        <v>1748</v>
      </c>
      <c r="S78" s="96">
        <f t="shared" ref="S78:S83" si="20">AVERAGE(L78,O78,R78)</f>
        <v>1748</v>
      </c>
      <c r="T78" s="34" t="s">
        <v>12</v>
      </c>
      <c r="U78" s="42" t="s">
        <v>12</v>
      </c>
    </row>
    <row r="79" spans="2:21" ht="13.5" thickBot="1" x14ac:dyDescent="0.35">
      <c r="B79" s="466" t="s">
        <v>8</v>
      </c>
      <c r="C79" s="29">
        <f>ROUND(C78*Labor!$D$3,0)</f>
        <v>0</v>
      </c>
      <c r="D79" s="29">
        <f>ROUND(D78*Labor!$D$4,0)</f>
        <v>0</v>
      </c>
      <c r="E79" s="29">
        <f>ROUND(E78*Labor!$D$5,0)</f>
        <v>0</v>
      </c>
      <c r="F79" s="29">
        <f>ROUND(F78*Labor!$D$6,0)</f>
        <v>55</v>
      </c>
      <c r="G79" s="29">
        <f>ROUND(G78*Labor!$D$7,0)</f>
        <v>63</v>
      </c>
      <c r="H79" s="29">
        <f>ROUND(H78*Labor!$D$8,0)</f>
        <v>0</v>
      </c>
      <c r="I79" s="33">
        <f t="shared" si="16"/>
        <v>118</v>
      </c>
      <c r="J79" s="284">
        <f>HLOOKUP(K$2,InflationTable,2)/HLOOKUP(Labor!$B$11,InflationTable,2)*$I79</f>
        <v>252.4301730103806</v>
      </c>
      <c r="K79" s="219">
        <f>J79*$L$4</f>
        <v>110311.98560553632</v>
      </c>
      <c r="L79" s="256">
        <f t="shared" si="17"/>
        <v>110311.98560553632</v>
      </c>
      <c r="M79" s="169">
        <f>HLOOKUP(N$2,InflationTable,2)/HLOOKUP(Labor!$B$11,InflationTable,2)*$I79</f>
        <v>262.52737993079586</v>
      </c>
      <c r="N79" s="55">
        <f>M79*$O$4</f>
        <v>114724.46502975779</v>
      </c>
      <c r="O79" s="77">
        <f t="shared" si="18"/>
        <v>114724.46502975779</v>
      </c>
      <c r="P79" s="284">
        <f>HLOOKUP(Q$2,InflationTable,2)/HLOOKUP(Labor!$B$11,InflationTable,2)*$I79</f>
        <v>267.77792752941173</v>
      </c>
      <c r="Q79" s="219">
        <f>P79*$R$4</f>
        <v>117018.95433035292</v>
      </c>
      <c r="R79" s="256">
        <f t="shared" si="19"/>
        <v>117018.95433035292</v>
      </c>
      <c r="S79" s="103">
        <f t="shared" si="20"/>
        <v>114018.46832188235</v>
      </c>
      <c r="T79" s="110" t="s">
        <v>12</v>
      </c>
      <c r="U79" s="121" t="s">
        <v>12</v>
      </c>
    </row>
    <row r="80" spans="2:21" ht="13" x14ac:dyDescent="0.3">
      <c r="B80" s="459" t="s">
        <v>109</v>
      </c>
      <c r="C80" s="290">
        <v>0</v>
      </c>
      <c r="D80" s="290">
        <v>1</v>
      </c>
      <c r="E80" s="290">
        <v>1</v>
      </c>
      <c r="F80" s="290">
        <v>2</v>
      </c>
      <c r="G80" s="290">
        <v>1</v>
      </c>
      <c r="H80" s="290">
        <v>0</v>
      </c>
      <c r="I80" s="291">
        <f t="shared" si="16"/>
        <v>5</v>
      </c>
      <c r="J80" s="242" t="s">
        <v>12</v>
      </c>
      <c r="K80" s="273">
        <f>I80*$L$4</f>
        <v>2185</v>
      </c>
      <c r="L80" s="274">
        <f t="shared" si="17"/>
        <v>2185</v>
      </c>
      <c r="M80" s="53" t="s">
        <v>12</v>
      </c>
      <c r="N80" s="147">
        <f>$I80*$O$4</f>
        <v>2185</v>
      </c>
      <c r="O80" s="148">
        <f t="shared" si="18"/>
        <v>2185</v>
      </c>
      <c r="P80" s="242" t="s">
        <v>12</v>
      </c>
      <c r="Q80" s="273">
        <f>$I80*$R$4</f>
        <v>2185</v>
      </c>
      <c r="R80" s="274">
        <f t="shared" si="19"/>
        <v>2185</v>
      </c>
      <c r="S80" s="104">
        <f t="shared" si="20"/>
        <v>2185</v>
      </c>
      <c r="T80" s="34" t="s">
        <v>12</v>
      </c>
      <c r="U80" s="42" t="s">
        <v>12</v>
      </c>
    </row>
    <row r="81" spans="2:21" ht="13.5" thickBot="1" x14ac:dyDescent="0.35">
      <c r="B81" s="466" t="s">
        <v>8</v>
      </c>
      <c r="C81" s="29">
        <f>ROUND(C80*Labor!$D$3,0)</f>
        <v>0</v>
      </c>
      <c r="D81" s="29">
        <f>ROUND(D80*Labor!$D$4,0)</f>
        <v>24</v>
      </c>
      <c r="E81" s="29">
        <f>ROUND(E80*Labor!$D$5,0)</f>
        <v>25</v>
      </c>
      <c r="F81" s="29">
        <f>ROUND(F80*Labor!$D$6,0)</f>
        <v>55</v>
      </c>
      <c r="G81" s="29">
        <f>ROUND(G80*Labor!$D$7,0)</f>
        <v>31</v>
      </c>
      <c r="H81" s="29">
        <f>ROUND(H80*Labor!$D$8,0)</f>
        <v>0</v>
      </c>
      <c r="I81" s="33">
        <f t="shared" si="16"/>
        <v>135</v>
      </c>
      <c r="J81" s="284">
        <f>HLOOKUP(K$2,InflationTable,2)/HLOOKUP(Labor!$B$11,InflationTable,2)*$I81</f>
        <v>288.79723183391002</v>
      </c>
      <c r="K81" s="219">
        <f>J81*$L$4</f>
        <v>126204.39031141868</v>
      </c>
      <c r="L81" s="256">
        <f t="shared" si="17"/>
        <v>126204.39031141868</v>
      </c>
      <c r="M81" s="169">
        <f>HLOOKUP(N$2,InflationTable,2)/HLOOKUP(Labor!$B$11,InflationTable,2)*$I81</f>
        <v>300.34912110726646</v>
      </c>
      <c r="N81" s="55">
        <f>M81*$O$4</f>
        <v>131252.56592387543</v>
      </c>
      <c r="O81" s="77">
        <f t="shared" si="18"/>
        <v>131252.56592387543</v>
      </c>
      <c r="P81" s="284">
        <f>HLOOKUP(Q$2,InflationTable,2)/HLOOKUP(Labor!$B$11,InflationTable,2)*$I81</f>
        <v>306.35610352941171</v>
      </c>
      <c r="Q81" s="219">
        <f>P81*$R$4</f>
        <v>133877.61724235292</v>
      </c>
      <c r="R81" s="256">
        <f t="shared" si="19"/>
        <v>133877.61724235292</v>
      </c>
      <c r="S81" s="140">
        <f t="shared" si="20"/>
        <v>130444.85782588234</v>
      </c>
      <c r="T81" s="93" t="s">
        <v>12</v>
      </c>
      <c r="U81" s="94" t="s">
        <v>12</v>
      </c>
    </row>
    <row r="82" spans="2:21" ht="13" x14ac:dyDescent="0.3">
      <c r="B82" s="459" t="s">
        <v>108</v>
      </c>
      <c r="C82" s="290">
        <v>0</v>
      </c>
      <c r="D82" s="290">
        <v>0</v>
      </c>
      <c r="E82" s="290">
        <v>0</v>
      </c>
      <c r="F82" s="290">
        <v>3</v>
      </c>
      <c r="G82" s="290">
        <v>3</v>
      </c>
      <c r="H82" s="290">
        <v>0</v>
      </c>
      <c r="I82" s="291">
        <f t="shared" si="16"/>
        <v>6</v>
      </c>
      <c r="J82" s="242" t="s">
        <v>12</v>
      </c>
      <c r="K82" s="273">
        <f>I82*$L$4</f>
        <v>2622</v>
      </c>
      <c r="L82" s="274">
        <f t="shared" si="17"/>
        <v>2622</v>
      </c>
      <c r="M82" s="53" t="s">
        <v>12</v>
      </c>
      <c r="N82" s="147">
        <f>$I82*$O$4</f>
        <v>2622</v>
      </c>
      <c r="O82" s="148">
        <f t="shared" si="18"/>
        <v>2622</v>
      </c>
      <c r="P82" s="242" t="s">
        <v>12</v>
      </c>
      <c r="Q82" s="273">
        <f>$I82*$R$4</f>
        <v>2622</v>
      </c>
      <c r="R82" s="274">
        <f t="shared" si="19"/>
        <v>2622</v>
      </c>
      <c r="S82" s="96">
        <f t="shared" si="20"/>
        <v>2622</v>
      </c>
      <c r="T82" s="34" t="s">
        <v>12</v>
      </c>
      <c r="U82" s="42" t="s">
        <v>12</v>
      </c>
    </row>
    <row r="83" spans="2:21" ht="13.5" thickBot="1" x14ac:dyDescent="0.35">
      <c r="B83" s="466" t="s">
        <v>8</v>
      </c>
      <c r="C83" s="29">
        <f>ROUND(C82*Labor!$D$3,0)</f>
        <v>0</v>
      </c>
      <c r="D83" s="29">
        <f>ROUND(D82*Labor!$D$4,0)</f>
        <v>0</v>
      </c>
      <c r="E83" s="29">
        <f>ROUND(E82*Labor!$D$5,0)</f>
        <v>0</v>
      </c>
      <c r="F83" s="29">
        <f>ROUND(F82*Labor!$D$6,0)</f>
        <v>83</v>
      </c>
      <c r="G83" s="29">
        <f>ROUND(G82*Labor!$D$7,0)</f>
        <v>94</v>
      </c>
      <c r="H83" s="29">
        <f>ROUND(H82*Labor!$D$8,0)</f>
        <v>0</v>
      </c>
      <c r="I83" s="33">
        <f t="shared" si="16"/>
        <v>177</v>
      </c>
      <c r="J83" s="284">
        <f>HLOOKUP(K$2,InflationTable,2)/HLOOKUP(Labor!$B$11,InflationTable,2)*$I83</f>
        <v>378.6452595155709</v>
      </c>
      <c r="K83" s="219">
        <f>J83*$L$4</f>
        <v>165467.97840830448</v>
      </c>
      <c r="L83" s="256">
        <f t="shared" si="17"/>
        <v>165467.97840830448</v>
      </c>
      <c r="M83" s="169">
        <f>HLOOKUP(N$2,InflationTable,2)/HLOOKUP(Labor!$B$11,InflationTable,2)*$I83</f>
        <v>393.79106989619379</v>
      </c>
      <c r="N83" s="55">
        <f>M83*$O$4</f>
        <v>172086.6975446367</v>
      </c>
      <c r="O83" s="77">
        <f t="shared" si="18"/>
        <v>172086.6975446367</v>
      </c>
      <c r="P83" s="284">
        <f>HLOOKUP(Q$2,InflationTable,2)/HLOOKUP(Labor!$B$11,InflationTable,2)*$I83</f>
        <v>401.66689129411759</v>
      </c>
      <c r="Q83" s="219">
        <f>P83*$R$4</f>
        <v>175528.4314955294</v>
      </c>
      <c r="R83" s="256">
        <f t="shared" si="19"/>
        <v>175528.4314955294</v>
      </c>
      <c r="S83" s="103">
        <f t="shared" si="20"/>
        <v>171027.70248282352</v>
      </c>
      <c r="T83" s="110" t="s">
        <v>12</v>
      </c>
      <c r="U83" s="121" t="s">
        <v>12</v>
      </c>
    </row>
    <row r="84" spans="2:21" ht="13" x14ac:dyDescent="0.3">
      <c r="B84" s="106" t="s">
        <v>29</v>
      </c>
      <c r="C84" s="86" t="s">
        <v>45</v>
      </c>
      <c r="D84" s="86" t="s">
        <v>46</v>
      </c>
      <c r="E84" s="86" t="s">
        <v>47</v>
      </c>
      <c r="F84" s="86" t="s">
        <v>48</v>
      </c>
      <c r="G84" s="86" t="s">
        <v>49</v>
      </c>
      <c r="H84" s="86" t="s">
        <v>50</v>
      </c>
      <c r="I84" s="87" t="s">
        <v>112</v>
      </c>
      <c r="J84" s="292"/>
      <c r="K84" s="293"/>
      <c r="L84" s="296"/>
      <c r="M84" s="88" t="s">
        <v>113</v>
      </c>
      <c r="N84" s="86" t="s">
        <v>13</v>
      </c>
      <c r="O84" s="87" t="s">
        <v>68</v>
      </c>
      <c r="P84" s="292" t="s">
        <v>113</v>
      </c>
      <c r="Q84" s="293" t="s">
        <v>13</v>
      </c>
      <c r="R84" s="296" t="s">
        <v>68</v>
      </c>
      <c r="S84" s="98"/>
      <c r="T84" s="108"/>
      <c r="U84" s="31"/>
    </row>
    <row r="85" spans="2:21" x14ac:dyDescent="0.25">
      <c r="B85" s="467" t="s">
        <v>51</v>
      </c>
      <c r="C85" s="18">
        <v>0</v>
      </c>
      <c r="D85" s="18">
        <v>0</v>
      </c>
      <c r="E85" s="18">
        <v>0.2</v>
      </c>
      <c r="F85" s="18">
        <v>0.3</v>
      </c>
      <c r="G85" s="18">
        <v>0</v>
      </c>
      <c r="H85" s="18">
        <v>0</v>
      </c>
      <c r="I85" s="45">
        <f>SUM(C85:H85)</f>
        <v>0.5</v>
      </c>
      <c r="J85" s="213" t="s">
        <v>12</v>
      </c>
      <c r="K85" s="262">
        <f>I85*$J$5</f>
        <v>40</v>
      </c>
      <c r="L85" s="239">
        <f>K85</f>
        <v>40</v>
      </c>
      <c r="M85" s="51" t="s">
        <v>12</v>
      </c>
      <c r="N85" s="73">
        <f>$I85*M$5</f>
        <v>40</v>
      </c>
      <c r="O85" s="57">
        <f>N85</f>
        <v>40</v>
      </c>
      <c r="P85" s="213" t="s">
        <v>12</v>
      </c>
      <c r="Q85" s="262">
        <f>$I85*P$5</f>
        <v>40</v>
      </c>
      <c r="R85" s="239">
        <f>Q85</f>
        <v>40</v>
      </c>
      <c r="S85" s="96">
        <f>AVERAGE(L85,O85,R85)</f>
        <v>40</v>
      </c>
      <c r="T85" s="34" t="s">
        <v>12</v>
      </c>
      <c r="U85" s="42" t="s">
        <v>12</v>
      </c>
    </row>
    <row r="86" spans="2:21" ht="13.5" thickBot="1" x14ac:dyDescent="0.35">
      <c r="B86" s="465" t="s">
        <v>107</v>
      </c>
      <c r="C86" s="29">
        <f>ROUND(C85*Labor!$D$3,0)</f>
        <v>0</v>
      </c>
      <c r="D86" s="29">
        <f>ROUND(D85*Labor!$D$4,0)</f>
        <v>0</v>
      </c>
      <c r="E86" s="29">
        <f>ROUND(E85*Labor!$D$5,0)</f>
        <v>5</v>
      </c>
      <c r="F86" s="29">
        <f>ROUND(F85*Labor!$D$6,0)</f>
        <v>8</v>
      </c>
      <c r="G86" s="29">
        <f>ROUND(G85*Labor!$D$7,0)</f>
        <v>0</v>
      </c>
      <c r="H86" s="29">
        <f>ROUND(H85*Labor!$D$8,0)</f>
        <v>0</v>
      </c>
      <c r="I86" s="33">
        <f>SUM(C86:H86)</f>
        <v>13</v>
      </c>
      <c r="J86" s="284">
        <f>HLOOKUP(K$2,InflationTable,2)/HLOOKUP(Labor!$B$11,InflationTable,2)*$I86</f>
        <v>27.810103806228373</v>
      </c>
      <c r="K86" s="219">
        <f>J86*$J$5</f>
        <v>2224.80830449827</v>
      </c>
      <c r="L86" s="256">
        <f>K86</f>
        <v>2224.80830449827</v>
      </c>
      <c r="M86" s="169">
        <f>HLOOKUP(N$2,InflationTable,2)/HLOOKUP(Labor!$B$11,InflationTable,2)*$I86</f>
        <v>28.92250795847751</v>
      </c>
      <c r="N86" s="55">
        <f>M86*$M$5</f>
        <v>2313.800636678201</v>
      </c>
      <c r="O86" s="77">
        <f>N86</f>
        <v>2313.800636678201</v>
      </c>
      <c r="P86" s="284">
        <f>HLOOKUP(Q$2,InflationTable,2)/HLOOKUP(Labor!$B$11,InflationTable,2)*$I86</f>
        <v>29.500958117647055</v>
      </c>
      <c r="Q86" s="219">
        <f>P86*$P$5</f>
        <v>2360.0766494117643</v>
      </c>
      <c r="R86" s="256">
        <f>Q86</f>
        <v>2360.0766494117643</v>
      </c>
      <c r="S86" s="107">
        <f>AVERAGE(L86,O86,R86)</f>
        <v>2299.5618635294118</v>
      </c>
      <c r="T86" s="110" t="s">
        <v>12</v>
      </c>
      <c r="U86" s="121" t="s">
        <v>12</v>
      </c>
    </row>
    <row r="87" spans="2:21" ht="13" x14ac:dyDescent="0.3">
      <c r="B87" s="106" t="s">
        <v>106</v>
      </c>
      <c r="C87" s="5"/>
      <c r="D87" s="349" t="s">
        <v>54</v>
      </c>
      <c r="E87" s="24">
        <v>5</v>
      </c>
      <c r="I87" s="87" t="s">
        <v>55</v>
      </c>
      <c r="J87" s="209"/>
      <c r="K87" s="445"/>
      <c r="L87" s="446"/>
      <c r="M87" s="130" t="s">
        <v>55</v>
      </c>
      <c r="N87" s="1179" t="s">
        <v>57</v>
      </c>
      <c r="O87" s="1180"/>
      <c r="P87" s="209" t="s">
        <v>55</v>
      </c>
      <c r="Q87" s="1176" t="s">
        <v>57</v>
      </c>
      <c r="R87" s="1184"/>
      <c r="S87" s="139"/>
      <c r="T87" s="108"/>
      <c r="U87" s="31"/>
    </row>
    <row r="88" spans="2:21" x14ac:dyDescent="0.25">
      <c r="B88" s="467" t="s">
        <v>51</v>
      </c>
      <c r="C88" s="18">
        <v>0</v>
      </c>
      <c r="D88" s="18">
        <v>0</v>
      </c>
      <c r="E88" s="18">
        <v>0</v>
      </c>
      <c r="F88" s="18">
        <v>5</v>
      </c>
      <c r="G88" s="18">
        <v>5</v>
      </c>
      <c r="H88" s="18">
        <v>5</v>
      </c>
      <c r="I88" s="45">
        <f>SUM(C88:H88)</f>
        <v>15</v>
      </c>
      <c r="J88" s="213" t="s">
        <v>12</v>
      </c>
      <c r="K88" s="233">
        <f>I88*$J$5</f>
        <v>1200</v>
      </c>
      <c r="L88" s="232">
        <f>K88/$E$87</f>
        <v>240</v>
      </c>
      <c r="M88" s="51" t="s">
        <v>12</v>
      </c>
      <c r="N88" s="10">
        <f>$I$88*$M$5</f>
        <v>1200</v>
      </c>
      <c r="O88" s="52">
        <f>N88/$E$87</f>
        <v>240</v>
      </c>
      <c r="P88" s="213" t="s">
        <v>12</v>
      </c>
      <c r="Q88" s="233">
        <f>$I$88*$P$5</f>
        <v>1200</v>
      </c>
      <c r="R88" s="232">
        <f>Q88/$E$87</f>
        <v>240</v>
      </c>
      <c r="S88" s="96">
        <f>AVERAGE(L88,O88,R88)</f>
        <v>240</v>
      </c>
      <c r="T88" s="34" t="s">
        <v>12</v>
      </c>
      <c r="U88" s="42" t="s">
        <v>12</v>
      </c>
    </row>
    <row r="89" spans="2:21" ht="13.5" thickBot="1" x14ac:dyDescent="0.35">
      <c r="B89" s="465" t="s">
        <v>105</v>
      </c>
      <c r="C89" s="29">
        <f>ROUND(C88*Labor!$D$3,0)</f>
        <v>0</v>
      </c>
      <c r="D89" s="29">
        <f>ROUND(D88*Labor!$D$4,0)</f>
        <v>0</v>
      </c>
      <c r="E89" s="29">
        <f>ROUND(E88*Labor!$D$5,0)</f>
        <v>0</v>
      </c>
      <c r="F89" s="29">
        <f>ROUND(F88*Labor!$D$6,0)</f>
        <v>138</v>
      </c>
      <c r="G89" s="29">
        <f>ROUND(G88*Labor!$D$7,0)</f>
        <v>157</v>
      </c>
      <c r="H89" s="29">
        <f>ROUND(H88*Labor!$D$8,0)</f>
        <v>189</v>
      </c>
      <c r="I89" s="33">
        <f>SUM(C89:H89)</f>
        <v>484</v>
      </c>
      <c r="J89" s="284">
        <f>HLOOKUP(K$2,InflationTable,2)/HLOOKUP(Labor!$B$11,InflationTable,2)*$I89</f>
        <v>1035.3915570934255</v>
      </c>
      <c r="K89" s="219">
        <f>J89*$J$5</f>
        <v>82831.324567474046</v>
      </c>
      <c r="L89" s="220">
        <f>K89/$E$87</f>
        <v>16566.264913494808</v>
      </c>
      <c r="M89" s="169">
        <f>HLOOKUP(N$2,InflationTable,2)/HLOOKUP(Labor!$B$11,InflationTable,2)*$I89</f>
        <v>1076.8072193771627</v>
      </c>
      <c r="N89" s="55">
        <f>M89*$M$5</f>
        <v>86144.57755017301</v>
      </c>
      <c r="O89" s="33">
        <f>N89/$E$87</f>
        <v>17228.915510034603</v>
      </c>
      <c r="P89" s="284">
        <f>HLOOKUP(Q$2,InflationTable,2)/HLOOKUP(Labor!$B$11,InflationTable,2)*$I89</f>
        <v>1098.3433637647058</v>
      </c>
      <c r="Q89" s="219">
        <f>P89*$P$5</f>
        <v>87867.469101176466</v>
      </c>
      <c r="R89" s="220">
        <f>Q89/$E$87</f>
        <v>17573.493820235293</v>
      </c>
      <c r="S89" s="103">
        <f>AVERAGE(L89,O89,R89)</f>
        <v>17122.891414588234</v>
      </c>
      <c r="T89" s="110" t="s">
        <v>12</v>
      </c>
      <c r="U89" s="121" t="s">
        <v>12</v>
      </c>
    </row>
    <row r="90" spans="2:21" ht="13" x14ac:dyDescent="0.3">
      <c r="B90" s="139" t="s">
        <v>66</v>
      </c>
      <c r="C90" s="36">
        <f t="shared" ref="C90:I91" si="21">C73+C75+C78+C80+C82+C85+C88</f>
        <v>0</v>
      </c>
      <c r="D90" s="36">
        <f t="shared" si="21"/>
        <v>25</v>
      </c>
      <c r="E90" s="36">
        <f t="shared" si="21"/>
        <v>25.2</v>
      </c>
      <c r="F90" s="36">
        <f t="shared" si="21"/>
        <v>48.3</v>
      </c>
      <c r="G90" s="36">
        <f t="shared" si="21"/>
        <v>47</v>
      </c>
      <c r="H90" s="36">
        <f t="shared" si="21"/>
        <v>5</v>
      </c>
      <c r="I90" s="46">
        <f t="shared" si="21"/>
        <v>150.5</v>
      </c>
      <c r="J90" s="242" t="s">
        <v>12</v>
      </c>
      <c r="K90" s="263" t="s">
        <v>12</v>
      </c>
      <c r="L90" s="264">
        <f>L88+K85+K82+K80+K78+K75+K73</f>
        <v>59275</v>
      </c>
      <c r="M90" s="75" t="s">
        <v>12</v>
      </c>
      <c r="N90" s="36" t="s">
        <v>12</v>
      </c>
      <c r="O90" s="74">
        <f>O88+N85+N82+N80+N78+N75+N73</f>
        <v>59275</v>
      </c>
      <c r="P90" s="242" t="s">
        <v>12</v>
      </c>
      <c r="Q90" s="263" t="s">
        <v>12</v>
      </c>
      <c r="R90" s="264">
        <f>R88+Q85+Q82+Q80+Q78+Q75+Q73</f>
        <v>59275</v>
      </c>
      <c r="S90" s="122">
        <f>AVERAGE(L90,O90,R90)</f>
        <v>59275</v>
      </c>
      <c r="T90" s="108"/>
      <c r="U90" s="31"/>
    </row>
    <row r="91" spans="2:21" ht="13.5" thickBot="1" x14ac:dyDescent="0.35">
      <c r="B91" s="460" t="s">
        <v>67</v>
      </c>
      <c r="C91" s="194">
        <f t="shared" si="21"/>
        <v>0</v>
      </c>
      <c r="D91" s="194">
        <f t="shared" si="21"/>
        <v>605</v>
      </c>
      <c r="E91" s="194">
        <f t="shared" si="21"/>
        <v>635</v>
      </c>
      <c r="F91" s="194">
        <f t="shared" si="21"/>
        <v>1331</v>
      </c>
      <c r="G91" s="194">
        <f t="shared" si="21"/>
        <v>1472</v>
      </c>
      <c r="H91" s="194">
        <f t="shared" si="21"/>
        <v>189</v>
      </c>
      <c r="I91" s="197">
        <f t="shared" si="21"/>
        <v>4232</v>
      </c>
      <c r="J91" s="224">
        <f>J74+J76+J79+J81+J83+J86+J89</f>
        <v>9053.2584083044967</v>
      </c>
      <c r="K91" s="265" t="s">
        <v>12</v>
      </c>
      <c r="L91" s="254">
        <f>L89+K86+K83+K81+K79+K76+K74</f>
        <v>3510445.8718339093</v>
      </c>
      <c r="M91" s="196">
        <f>M74+M76+M79+M81+M83+M86+M89</f>
        <v>9415.3887446366789</v>
      </c>
      <c r="N91" s="207" t="s">
        <v>12</v>
      </c>
      <c r="O91" s="178">
        <f>O89+N86+N83+N81+N79+N76+N74</f>
        <v>3650863.7067072666</v>
      </c>
      <c r="P91" s="224">
        <f>P74+P76+P79+P81+P83+P86+P89</f>
        <v>9603.6965195294106</v>
      </c>
      <c r="Q91" s="265" t="s">
        <v>12</v>
      </c>
      <c r="R91" s="254">
        <f>R89+Q86+Q83+Q81+Q79+Q76+Q74</f>
        <v>3723880.9808414117</v>
      </c>
      <c r="S91" s="202">
        <f>AVERAGE(L91,O91,R91)</f>
        <v>3628396.8531275294</v>
      </c>
      <c r="T91" s="200"/>
      <c r="U91" s="190"/>
    </row>
    <row r="92" spans="2:21" ht="13.5" thickTop="1" thickBot="1" x14ac:dyDescent="0.3">
      <c r="B92" s="514"/>
      <c r="C92" s="513"/>
      <c r="D92" s="513"/>
      <c r="E92" s="513"/>
      <c r="F92" s="513"/>
      <c r="G92" s="513"/>
      <c r="H92" s="513"/>
      <c r="I92" s="513"/>
      <c r="J92" s="513"/>
      <c r="K92" s="513"/>
      <c r="L92" s="513"/>
      <c r="M92" s="513"/>
      <c r="N92" s="513"/>
      <c r="O92" s="513"/>
      <c r="P92" s="513"/>
      <c r="Q92" s="513"/>
      <c r="R92" s="513"/>
      <c r="S92" s="513"/>
      <c r="T92" s="513"/>
      <c r="U92" s="515"/>
    </row>
    <row r="93" spans="2:21" ht="16" thickTop="1" x14ac:dyDescent="0.35">
      <c r="B93" s="461" t="s">
        <v>30</v>
      </c>
      <c r="F93" s="1" t="s">
        <v>6</v>
      </c>
      <c r="G93" s="1160"/>
      <c r="H93" s="1161"/>
      <c r="I93" s="1162"/>
      <c r="J93" s="2" t="s">
        <v>30</v>
      </c>
      <c r="L93" s="31"/>
      <c r="M93" s="2" t="s">
        <v>30</v>
      </c>
      <c r="O93" s="31"/>
      <c r="P93" s="2" t="s">
        <v>30</v>
      </c>
      <c r="Q93" s="61"/>
      <c r="R93" s="62"/>
      <c r="S93" s="97"/>
      <c r="T93" s="108"/>
      <c r="U93" s="31"/>
    </row>
    <row r="94" spans="2:21" ht="13" x14ac:dyDescent="0.3">
      <c r="B94" s="144"/>
      <c r="I94" s="32" t="s">
        <v>61</v>
      </c>
      <c r="J94" s="227" t="s">
        <v>61</v>
      </c>
      <c r="K94" s="1167" t="s">
        <v>57</v>
      </c>
      <c r="L94" s="1168"/>
      <c r="M94" s="50" t="s">
        <v>61</v>
      </c>
      <c r="N94" s="1177" t="s">
        <v>57</v>
      </c>
      <c r="O94" s="1181"/>
      <c r="P94" s="266" t="s">
        <v>61</v>
      </c>
      <c r="Q94" s="1176" t="s">
        <v>57</v>
      </c>
      <c r="R94" s="1184"/>
      <c r="S94" s="106"/>
      <c r="T94" s="108"/>
      <c r="U94" s="31"/>
    </row>
    <row r="95" spans="2:21" ht="13" x14ac:dyDescent="0.3">
      <c r="B95" s="462" t="s">
        <v>21</v>
      </c>
      <c r="C95" s="20" t="s">
        <v>45</v>
      </c>
      <c r="D95" s="20" t="s">
        <v>46</v>
      </c>
      <c r="E95" s="20" t="s">
        <v>47</v>
      </c>
      <c r="F95" s="20" t="s">
        <v>48</v>
      </c>
      <c r="G95" s="20" t="s">
        <v>49</v>
      </c>
      <c r="H95" s="20" t="s">
        <v>50</v>
      </c>
      <c r="I95" s="32" t="s">
        <v>13</v>
      </c>
      <c r="J95" s="210" t="s">
        <v>56</v>
      </c>
      <c r="K95" s="211" t="s">
        <v>13</v>
      </c>
      <c r="L95" s="212" t="s">
        <v>68</v>
      </c>
      <c r="M95" s="66" t="s">
        <v>56</v>
      </c>
      <c r="N95" s="20" t="s">
        <v>13</v>
      </c>
      <c r="O95" s="32" t="s">
        <v>68</v>
      </c>
      <c r="P95" s="210" t="s">
        <v>56</v>
      </c>
      <c r="Q95" s="211" t="s">
        <v>13</v>
      </c>
      <c r="R95" s="212" t="s">
        <v>68</v>
      </c>
      <c r="S95" s="98"/>
      <c r="T95" s="108"/>
      <c r="U95" s="31"/>
    </row>
    <row r="96" spans="2:21" x14ac:dyDescent="0.25">
      <c r="B96" s="464" t="s">
        <v>4</v>
      </c>
      <c r="C96" s="18">
        <v>0</v>
      </c>
      <c r="D96" s="18">
        <v>0</v>
      </c>
      <c r="E96" s="18">
        <v>0</v>
      </c>
      <c r="F96" s="18">
        <v>0</v>
      </c>
      <c r="G96" s="18">
        <v>8</v>
      </c>
      <c r="H96" s="18">
        <v>4</v>
      </c>
      <c r="I96" s="45">
        <f>SUM(C96:H96)</f>
        <v>12</v>
      </c>
      <c r="J96" s="213" t="s">
        <v>12</v>
      </c>
      <c r="K96" s="231">
        <f>I96*$L$4</f>
        <v>5244</v>
      </c>
      <c r="L96" s="239">
        <f>K96</f>
        <v>5244</v>
      </c>
      <c r="M96" s="51" t="s">
        <v>12</v>
      </c>
      <c r="N96" s="58">
        <f>$I96*O$4</f>
        <v>5244</v>
      </c>
      <c r="O96" s="52">
        <f>N96</f>
        <v>5244</v>
      </c>
      <c r="P96" s="213" t="s">
        <v>12</v>
      </c>
      <c r="Q96" s="231">
        <f>$I96*R$4</f>
        <v>5244</v>
      </c>
      <c r="R96" s="239">
        <f>Q96</f>
        <v>5244</v>
      </c>
      <c r="S96" s="96">
        <f t="shared" ref="S96:S101" si="22">AVERAGE(L96,O96,R96)</f>
        <v>5244</v>
      </c>
      <c r="T96" s="34" t="s">
        <v>12</v>
      </c>
      <c r="U96" s="42" t="s">
        <v>12</v>
      </c>
    </row>
    <row r="97" spans="2:21" ht="13.5" thickBot="1" x14ac:dyDescent="0.35">
      <c r="B97" s="465" t="s">
        <v>8</v>
      </c>
      <c r="C97" s="29">
        <f>ROUND(C96*Labor!$D$3,0)</f>
        <v>0</v>
      </c>
      <c r="D97" s="29">
        <f>ROUND(D96*Labor!$D$4,0)</f>
        <v>0</v>
      </c>
      <c r="E97" s="29">
        <f>ROUND(E96*Labor!$D$5,0)</f>
        <v>0</v>
      </c>
      <c r="F97" s="29">
        <f>ROUND(F96*Labor!$D$6,0)</f>
        <v>0</v>
      </c>
      <c r="G97" s="29">
        <f>ROUND(G96*Labor!$D$7,0)</f>
        <v>250</v>
      </c>
      <c r="H97" s="29">
        <f>ROUND(H96*Labor!$D$8,0)</f>
        <v>151</v>
      </c>
      <c r="I97" s="33">
        <f>SUM(C97:H97)</f>
        <v>401</v>
      </c>
      <c r="J97" s="284">
        <f>HLOOKUP(K$2,InflationTable,2)/HLOOKUP(Labor!$B$11,InflationTable,2)*$I97</f>
        <v>857.83474048442895</v>
      </c>
      <c r="K97" s="219">
        <f>J97*$L$4</f>
        <v>374873.78159169544</v>
      </c>
      <c r="L97" s="256">
        <f>K97</f>
        <v>374873.78159169544</v>
      </c>
      <c r="M97" s="169">
        <f>HLOOKUP(N$2,InflationTable,2)/HLOOKUP(Labor!$B$11,InflationTable,2)*$I97</f>
        <v>892.14813010380624</v>
      </c>
      <c r="N97" s="55">
        <f>M97*O$4</f>
        <v>389868.73285536334</v>
      </c>
      <c r="O97" s="33">
        <f>N97</f>
        <v>389868.73285536334</v>
      </c>
      <c r="P97" s="284">
        <f>HLOOKUP(Q$2,InflationTable,2)/HLOOKUP(Labor!$B$11,InflationTable,2)*$I97</f>
        <v>909.99109270588224</v>
      </c>
      <c r="Q97" s="219">
        <f>P97*R$4</f>
        <v>397666.10751247051</v>
      </c>
      <c r="R97" s="256">
        <f>Q97</f>
        <v>397666.10751247051</v>
      </c>
      <c r="S97" s="103">
        <f t="shared" si="22"/>
        <v>387469.54065317643</v>
      </c>
      <c r="T97" s="110" t="s">
        <v>12</v>
      </c>
      <c r="U97" s="121" t="s">
        <v>12</v>
      </c>
    </row>
    <row r="98" spans="2:21" ht="13" x14ac:dyDescent="0.3">
      <c r="B98" s="459" t="s">
        <v>104</v>
      </c>
      <c r="C98" s="290">
        <v>0</v>
      </c>
      <c r="D98" s="290">
        <v>0</v>
      </c>
      <c r="E98" s="290">
        <v>16</v>
      </c>
      <c r="F98" s="290">
        <v>8</v>
      </c>
      <c r="G98" s="290">
        <v>4</v>
      </c>
      <c r="H98" s="290">
        <v>2</v>
      </c>
      <c r="I98" s="291">
        <f>SUM(C98:H98)</f>
        <v>30</v>
      </c>
      <c r="J98" s="242" t="s">
        <v>12</v>
      </c>
      <c r="K98" s="273">
        <f>I98*$L$4</f>
        <v>13110</v>
      </c>
      <c r="L98" s="274">
        <f>K98</f>
        <v>13110</v>
      </c>
      <c r="M98" s="53" t="s">
        <v>12</v>
      </c>
      <c r="N98" s="147">
        <f>$I98*O$4</f>
        <v>13110</v>
      </c>
      <c r="O98" s="148">
        <f>N98</f>
        <v>13110</v>
      </c>
      <c r="P98" s="242" t="s">
        <v>12</v>
      </c>
      <c r="Q98" s="273">
        <f>$I98*R$4</f>
        <v>13110</v>
      </c>
      <c r="R98" s="274">
        <f>Q98</f>
        <v>13110</v>
      </c>
      <c r="S98" s="96">
        <f t="shared" si="22"/>
        <v>13110</v>
      </c>
      <c r="T98" s="34" t="s">
        <v>12</v>
      </c>
      <c r="U98" s="42" t="s">
        <v>12</v>
      </c>
    </row>
    <row r="99" spans="2:21" ht="13.5" thickBot="1" x14ac:dyDescent="0.35">
      <c r="B99" s="466" t="s">
        <v>8</v>
      </c>
      <c r="C99" s="29">
        <f>ROUND(C98*Labor!$D$3,0)</f>
        <v>0</v>
      </c>
      <c r="D99" s="29">
        <f>ROUND(D98*Labor!$D$4,0)</f>
        <v>0</v>
      </c>
      <c r="E99" s="29">
        <f>ROUND(E98*Labor!$D$5,0)</f>
        <v>404</v>
      </c>
      <c r="F99" s="29">
        <f>ROUND(F98*Labor!$D$6,0)</f>
        <v>221</v>
      </c>
      <c r="G99" s="29">
        <f>ROUND(G98*Labor!$D$7,0)</f>
        <v>125</v>
      </c>
      <c r="H99" s="29">
        <f>ROUND(H98*Labor!$D$8,0)</f>
        <v>76</v>
      </c>
      <c r="I99" s="33">
        <f>SUM(C99:H99)</f>
        <v>826</v>
      </c>
      <c r="J99" s="284">
        <f>HLOOKUP(K$2,InflationTable,2)/HLOOKUP(Labor!$B$11,InflationTable,2)*$I99</f>
        <v>1767.0112110726643</v>
      </c>
      <c r="K99" s="219">
        <f>J99*$L$4</f>
        <v>772183.8992387543</v>
      </c>
      <c r="L99" s="248">
        <f>K99</f>
        <v>772183.8992387543</v>
      </c>
      <c r="M99" s="169">
        <f>HLOOKUP(N$2,InflationTable,2)/HLOOKUP(Labor!$B$11,InflationTable,2)*$I99</f>
        <v>1837.691659515571</v>
      </c>
      <c r="N99" s="55">
        <f>M99*O$4</f>
        <v>803071.2552083045</v>
      </c>
      <c r="O99" s="33">
        <f>N99</f>
        <v>803071.2552083045</v>
      </c>
      <c r="P99" s="284">
        <f>HLOOKUP(Q$2,InflationTable,2)/HLOOKUP(Labor!$B$11,InflationTable,2)*$I99</f>
        <v>1874.4454927058821</v>
      </c>
      <c r="Q99" s="219">
        <f>P99*R$4</f>
        <v>819132.68031247042</v>
      </c>
      <c r="R99" s="248">
        <f>Q99</f>
        <v>819132.68031247042</v>
      </c>
      <c r="S99" s="103">
        <f t="shared" si="22"/>
        <v>798129.27825317637</v>
      </c>
      <c r="T99" s="110" t="s">
        <v>12</v>
      </c>
      <c r="U99" s="121" t="s">
        <v>12</v>
      </c>
    </row>
    <row r="100" spans="2:21" ht="13" x14ac:dyDescent="0.3">
      <c r="B100" s="139" t="s">
        <v>66</v>
      </c>
      <c r="C100" s="30">
        <f t="shared" ref="C100:I101" si="23">C96+C98</f>
        <v>0</v>
      </c>
      <c r="D100" s="30">
        <f t="shared" si="23"/>
        <v>0</v>
      </c>
      <c r="E100" s="30">
        <f t="shared" si="23"/>
        <v>16</v>
      </c>
      <c r="F100" s="30">
        <f t="shared" si="23"/>
        <v>8</v>
      </c>
      <c r="G100" s="30">
        <f t="shared" si="23"/>
        <v>12</v>
      </c>
      <c r="H100" s="30">
        <f t="shared" si="23"/>
        <v>6</v>
      </c>
      <c r="I100" s="39">
        <f t="shared" si="23"/>
        <v>42</v>
      </c>
      <c r="J100" s="249" t="s">
        <v>12</v>
      </c>
      <c r="K100" s="267">
        <f>K96+K98</f>
        <v>18354</v>
      </c>
      <c r="L100" s="268">
        <f>L96+L98</f>
        <v>18354</v>
      </c>
      <c r="M100" s="70" t="s">
        <v>12</v>
      </c>
      <c r="N100" s="30">
        <f>N96+N98</f>
        <v>18354</v>
      </c>
      <c r="O100" s="82">
        <f>O96+O98</f>
        <v>18354</v>
      </c>
      <c r="P100" s="249" t="s">
        <v>12</v>
      </c>
      <c r="Q100" s="267">
        <f>Q96+Q98</f>
        <v>18354</v>
      </c>
      <c r="R100" s="269">
        <f>R96+R98</f>
        <v>18354</v>
      </c>
      <c r="S100" s="96">
        <f t="shared" si="22"/>
        <v>18354</v>
      </c>
      <c r="T100" s="34" t="s">
        <v>12</v>
      </c>
      <c r="U100" s="42" t="s">
        <v>12</v>
      </c>
    </row>
    <row r="101" spans="2:21" ht="13.5" thickBot="1" x14ac:dyDescent="0.35">
      <c r="B101" s="460" t="s">
        <v>67</v>
      </c>
      <c r="C101" s="194">
        <f t="shared" si="23"/>
        <v>0</v>
      </c>
      <c r="D101" s="194">
        <f t="shared" si="23"/>
        <v>0</v>
      </c>
      <c r="E101" s="194">
        <f t="shared" si="23"/>
        <v>404</v>
      </c>
      <c r="F101" s="194">
        <f t="shared" si="23"/>
        <v>221</v>
      </c>
      <c r="G101" s="194">
        <f t="shared" si="23"/>
        <v>375</v>
      </c>
      <c r="H101" s="194">
        <f t="shared" si="23"/>
        <v>227</v>
      </c>
      <c r="I101" s="197">
        <f t="shared" si="23"/>
        <v>1227</v>
      </c>
      <c r="J101" s="224">
        <f>J97+J99</f>
        <v>2624.845951557093</v>
      </c>
      <c r="K101" s="225">
        <f>K97+K99</f>
        <v>1147057.6808304498</v>
      </c>
      <c r="L101" s="226">
        <f>L97+L99</f>
        <v>1147057.6808304498</v>
      </c>
      <c r="M101" s="196">
        <f>M97+M99</f>
        <v>2729.8397896193774</v>
      </c>
      <c r="N101" s="194">
        <f>N97+N99</f>
        <v>1192939.9880636679</v>
      </c>
      <c r="O101" s="197">
        <f>O97+O99</f>
        <v>1192939.9880636679</v>
      </c>
      <c r="P101" s="261">
        <f>P97+P99</f>
        <v>2784.4365854117641</v>
      </c>
      <c r="Q101" s="225">
        <f>Q97+Q99</f>
        <v>1216798.7878249409</v>
      </c>
      <c r="R101" s="226">
        <f>R97+R99</f>
        <v>1216798.7878249409</v>
      </c>
      <c r="S101" s="206">
        <f t="shared" si="22"/>
        <v>1185598.8189063529</v>
      </c>
      <c r="T101" s="208" t="s">
        <v>12</v>
      </c>
      <c r="U101" s="203" t="s">
        <v>12</v>
      </c>
    </row>
    <row r="102" spans="2:21" ht="13.5" thickTop="1" thickBot="1" x14ac:dyDescent="0.3">
      <c r="B102" s="144"/>
      <c r="D102" s="513"/>
      <c r="E102" s="513"/>
      <c r="F102" s="513"/>
      <c r="G102" s="513"/>
      <c r="H102" s="513"/>
      <c r="I102" s="513"/>
      <c r="J102" s="513"/>
      <c r="K102" s="513"/>
      <c r="L102" s="513"/>
      <c r="M102" s="513"/>
      <c r="N102" s="513"/>
      <c r="O102" s="513"/>
      <c r="P102" s="513"/>
      <c r="Q102" s="513"/>
      <c r="R102" s="513"/>
      <c r="S102" s="513"/>
      <c r="T102" s="513"/>
      <c r="U102" s="515"/>
    </row>
    <row r="103" spans="2:21" ht="19" thickTop="1" thickBot="1" x14ac:dyDescent="0.45">
      <c r="B103" s="456" t="s">
        <v>121</v>
      </c>
      <c r="C103" s="188" t="str">
        <f>C2</f>
        <v>NO2</v>
      </c>
      <c r="E103" s="3"/>
      <c r="F103" s="9"/>
      <c r="G103" s="3"/>
      <c r="H103" s="3"/>
      <c r="I103" s="35"/>
      <c r="J103" s="67" t="str">
        <f>J2</f>
        <v>Year 1</v>
      </c>
      <c r="K103" s="67">
        <f>K2</f>
        <v>2023</v>
      </c>
      <c r="L103" s="35"/>
      <c r="M103" s="67" t="str">
        <f>M2</f>
        <v>Year 2</v>
      </c>
      <c r="N103" s="67">
        <f>N2</f>
        <v>2024</v>
      </c>
      <c r="O103" s="35"/>
      <c r="P103" s="67" t="str">
        <f>P2</f>
        <v>Year 3</v>
      </c>
      <c r="Q103" s="67">
        <f>Q2</f>
        <v>2025</v>
      </c>
      <c r="R103" s="35"/>
      <c r="S103" s="124"/>
      <c r="T103" s="105"/>
      <c r="U103" s="468"/>
    </row>
    <row r="104" spans="2:21" ht="13.5" thickBot="1" x14ac:dyDescent="0.35">
      <c r="B104" s="144"/>
      <c r="C104" s="152" t="s">
        <v>45</v>
      </c>
      <c r="D104" s="149" t="s">
        <v>46</v>
      </c>
      <c r="E104" s="149" t="s">
        <v>47</v>
      </c>
      <c r="F104" s="160" t="s">
        <v>48</v>
      </c>
      <c r="G104" s="151" t="s">
        <v>49</v>
      </c>
      <c r="H104" s="149" t="s">
        <v>50</v>
      </c>
      <c r="I104" s="150" t="s">
        <v>13</v>
      </c>
      <c r="J104" s="270" t="s">
        <v>56</v>
      </c>
      <c r="K104" s="271" t="s">
        <v>13</v>
      </c>
      <c r="L104" s="272" t="s">
        <v>68</v>
      </c>
      <c r="M104" s="151" t="s">
        <v>56</v>
      </c>
      <c r="N104" s="149" t="s">
        <v>13</v>
      </c>
      <c r="O104" s="150" t="s">
        <v>68</v>
      </c>
      <c r="P104" s="270" t="s">
        <v>56</v>
      </c>
      <c r="Q104" s="271" t="s">
        <v>13</v>
      </c>
      <c r="R104" s="272" t="s">
        <v>68</v>
      </c>
      <c r="S104" s="152"/>
      <c r="T104" s="153"/>
      <c r="U104" s="469"/>
    </row>
    <row r="105" spans="2:21" ht="13" x14ac:dyDescent="0.3">
      <c r="B105" s="470" t="s">
        <v>97</v>
      </c>
      <c r="C105" s="155">
        <f>C15</f>
        <v>0</v>
      </c>
      <c r="D105" s="147">
        <f t="shared" ref="D105:I105" si="24">D15</f>
        <v>0</v>
      </c>
      <c r="E105" s="147">
        <f t="shared" si="24"/>
        <v>0</v>
      </c>
      <c r="F105" s="147">
        <f t="shared" si="24"/>
        <v>14</v>
      </c>
      <c r="G105" s="147">
        <f t="shared" si="24"/>
        <v>14</v>
      </c>
      <c r="H105" s="147">
        <f t="shared" si="24"/>
        <v>10</v>
      </c>
      <c r="I105" s="148">
        <f t="shared" si="24"/>
        <v>38</v>
      </c>
      <c r="J105" s="234" t="str">
        <f t="shared" ref="J105:S105" si="25">J15</f>
        <v>NA</v>
      </c>
      <c r="K105" s="273">
        <f t="shared" si="25"/>
        <v>3040</v>
      </c>
      <c r="L105" s="274">
        <f t="shared" si="25"/>
        <v>434.28571428571428</v>
      </c>
      <c r="M105" s="38" t="str">
        <f t="shared" si="25"/>
        <v>NA</v>
      </c>
      <c r="N105" s="147">
        <f t="shared" si="25"/>
        <v>3040</v>
      </c>
      <c r="O105" s="148">
        <f t="shared" si="25"/>
        <v>434.28571428571428</v>
      </c>
      <c r="P105" s="234" t="str">
        <f t="shared" si="25"/>
        <v>NA</v>
      </c>
      <c r="Q105" s="273">
        <f t="shared" si="25"/>
        <v>3040</v>
      </c>
      <c r="R105" s="274">
        <f t="shared" si="25"/>
        <v>434.28571428571428</v>
      </c>
      <c r="S105" s="148">
        <f t="shared" si="25"/>
        <v>434.28571428571428</v>
      </c>
      <c r="T105" s="31"/>
      <c r="U105" s="111"/>
    </row>
    <row r="106" spans="2:21" ht="13.5" thickBot="1" x14ac:dyDescent="0.35">
      <c r="B106" s="471" t="s">
        <v>76</v>
      </c>
      <c r="C106" s="161">
        <f>C16</f>
        <v>0</v>
      </c>
      <c r="D106" s="162">
        <f t="shared" ref="D106:I106" si="26">D16</f>
        <v>0</v>
      </c>
      <c r="E106" s="162">
        <f t="shared" si="26"/>
        <v>0</v>
      </c>
      <c r="F106" s="162">
        <f t="shared" si="26"/>
        <v>386</v>
      </c>
      <c r="G106" s="162">
        <f t="shared" si="26"/>
        <v>438</v>
      </c>
      <c r="H106" s="162">
        <f t="shared" si="26"/>
        <v>378</v>
      </c>
      <c r="I106" s="163">
        <f t="shared" si="26"/>
        <v>1202</v>
      </c>
      <c r="J106" s="275">
        <f t="shared" ref="J106:T106" si="27">J16</f>
        <v>2571.3649826989617</v>
      </c>
      <c r="K106" s="276">
        <f t="shared" si="27"/>
        <v>205709.19861591695</v>
      </c>
      <c r="L106" s="277">
        <f t="shared" si="27"/>
        <v>29387.028373702422</v>
      </c>
      <c r="M106" s="161">
        <f t="shared" si="27"/>
        <v>2674.2195820069205</v>
      </c>
      <c r="N106" s="162">
        <f t="shared" si="27"/>
        <v>213937.56656055362</v>
      </c>
      <c r="O106" s="163">
        <f t="shared" si="27"/>
        <v>30562.509508650517</v>
      </c>
      <c r="P106" s="275">
        <f t="shared" si="27"/>
        <v>2727.7039736470588</v>
      </c>
      <c r="Q106" s="276">
        <f t="shared" si="27"/>
        <v>218216.31789176469</v>
      </c>
      <c r="R106" s="277">
        <f t="shared" si="27"/>
        <v>31173.759698823527</v>
      </c>
      <c r="S106" s="163">
        <f t="shared" si="27"/>
        <v>30374.43252705882</v>
      </c>
      <c r="T106" s="164" t="str">
        <f t="shared" si="27"/>
        <v>NA</v>
      </c>
      <c r="U106" s="322" t="s">
        <v>12</v>
      </c>
    </row>
    <row r="107" spans="2:21" ht="13" x14ac:dyDescent="0.3">
      <c r="B107" s="472" t="s">
        <v>98</v>
      </c>
      <c r="C107" s="155">
        <f>C28</f>
        <v>0</v>
      </c>
      <c r="D107" s="147">
        <f t="shared" ref="D107:S107" si="28">D28</f>
        <v>8</v>
      </c>
      <c r="E107" s="147">
        <f t="shared" si="28"/>
        <v>8</v>
      </c>
      <c r="F107" s="147">
        <f t="shared" si="28"/>
        <v>4</v>
      </c>
      <c r="G107" s="147">
        <f t="shared" si="28"/>
        <v>0</v>
      </c>
      <c r="H107" s="147">
        <f t="shared" si="28"/>
        <v>0</v>
      </c>
      <c r="I107" s="148">
        <f t="shared" si="28"/>
        <v>20</v>
      </c>
      <c r="J107" s="234" t="str">
        <f t="shared" si="28"/>
        <v>NA</v>
      </c>
      <c r="K107" s="273">
        <f t="shared" si="28"/>
        <v>8827.4</v>
      </c>
      <c r="L107" s="274">
        <f t="shared" si="28"/>
        <v>1261.0571428571429</v>
      </c>
      <c r="M107" s="38" t="str">
        <f t="shared" si="28"/>
        <v>NA</v>
      </c>
      <c r="N107" s="147">
        <f t="shared" si="28"/>
        <v>8827.4</v>
      </c>
      <c r="O107" s="148">
        <f t="shared" si="28"/>
        <v>1261.0571428571429</v>
      </c>
      <c r="P107" s="234" t="str">
        <f t="shared" si="28"/>
        <v>NA</v>
      </c>
      <c r="Q107" s="273">
        <f t="shared" si="28"/>
        <v>8827.4</v>
      </c>
      <c r="R107" s="274">
        <f t="shared" si="28"/>
        <v>1261.0571428571429</v>
      </c>
      <c r="S107" s="148">
        <f t="shared" si="28"/>
        <v>1261.0571428571429</v>
      </c>
      <c r="T107" s="31"/>
      <c r="U107" s="111"/>
    </row>
    <row r="108" spans="2:21" ht="13.5" thickBot="1" x14ac:dyDescent="0.35">
      <c r="B108" s="471" t="s">
        <v>76</v>
      </c>
      <c r="C108" s="165">
        <f>C29</f>
        <v>0</v>
      </c>
      <c r="D108" s="166">
        <f t="shared" ref="D108:U108" si="29">D29</f>
        <v>194</v>
      </c>
      <c r="E108" s="166">
        <f t="shared" si="29"/>
        <v>202</v>
      </c>
      <c r="F108" s="166">
        <f t="shared" si="29"/>
        <v>110</v>
      </c>
      <c r="G108" s="166">
        <f t="shared" si="29"/>
        <v>0</v>
      </c>
      <c r="H108" s="166">
        <f t="shared" si="29"/>
        <v>0</v>
      </c>
      <c r="I108" s="167">
        <f t="shared" si="29"/>
        <v>506</v>
      </c>
      <c r="J108" s="278">
        <f t="shared" si="29"/>
        <v>1082.4548096885812</v>
      </c>
      <c r="K108" s="245">
        <f t="shared" si="29"/>
        <v>0</v>
      </c>
      <c r="L108" s="246">
        <f t="shared" si="29"/>
        <v>995471.15905604127</v>
      </c>
      <c r="M108" s="165">
        <f t="shared" si="29"/>
        <v>1125.7530020761246</v>
      </c>
      <c r="N108" s="166">
        <f t="shared" si="29"/>
        <v>0</v>
      </c>
      <c r="O108" s="167">
        <f t="shared" si="29"/>
        <v>1035290.0054182829</v>
      </c>
      <c r="P108" s="278">
        <f t="shared" si="29"/>
        <v>1148.2680621176469</v>
      </c>
      <c r="Q108" s="245">
        <f t="shared" si="29"/>
        <v>0</v>
      </c>
      <c r="R108" s="246">
        <f t="shared" si="29"/>
        <v>1055995.8055266484</v>
      </c>
      <c r="S108" s="167">
        <f t="shared" si="29"/>
        <v>70605.867489882352</v>
      </c>
      <c r="T108" s="168" t="str">
        <f t="shared" si="29"/>
        <v>NA</v>
      </c>
      <c r="U108" s="473">
        <f t="shared" si="29"/>
        <v>958313.12251044193</v>
      </c>
    </row>
    <row r="109" spans="2:21" ht="13" x14ac:dyDescent="0.3">
      <c r="B109" s="472" t="s">
        <v>96</v>
      </c>
      <c r="C109" s="156">
        <f>C38</f>
        <v>0</v>
      </c>
      <c r="D109" s="21">
        <f t="shared" ref="D109:S109" si="30">D38</f>
        <v>60</v>
      </c>
      <c r="E109" s="21">
        <f t="shared" si="30"/>
        <v>60</v>
      </c>
      <c r="F109" s="21">
        <f t="shared" si="30"/>
        <v>0</v>
      </c>
      <c r="G109" s="21">
        <f t="shared" si="30"/>
        <v>0</v>
      </c>
      <c r="H109" s="21">
        <f t="shared" si="30"/>
        <v>0</v>
      </c>
      <c r="I109" s="157">
        <f t="shared" si="30"/>
        <v>120</v>
      </c>
      <c r="J109" s="279" t="str">
        <f t="shared" si="30"/>
        <v>NA</v>
      </c>
      <c r="K109" s="280">
        <f t="shared" si="30"/>
        <v>52440</v>
      </c>
      <c r="L109" s="281">
        <f t="shared" si="30"/>
        <v>52440</v>
      </c>
      <c r="M109" s="158" t="str">
        <f t="shared" si="30"/>
        <v>NA</v>
      </c>
      <c r="N109" s="21">
        <f t="shared" si="30"/>
        <v>52440</v>
      </c>
      <c r="O109" s="157">
        <f t="shared" si="30"/>
        <v>52440</v>
      </c>
      <c r="P109" s="279" t="str">
        <f t="shared" si="30"/>
        <v>NA</v>
      </c>
      <c r="Q109" s="280">
        <f t="shared" si="30"/>
        <v>52440</v>
      </c>
      <c r="R109" s="281">
        <f t="shared" si="30"/>
        <v>52440</v>
      </c>
      <c r="S109" s="148">
        <f t="shared" si="30"/>
        <v>52440</v>
      </c>
      <c r="T109" s="159" t="str">
        <f>T21</f>
        <v>NA</v>
      </c>
      <c r="U109" s="119" t="s">
        <v>12</v>
      </c>
    </row>
    <row r="110" spans="2:21" ht="13.5" thickBot="1" x14ac:dyDescent="0.35">
      <c r="B110" s="471" t="s">
        <v>76</v>
      </c>
      <c r="C110" s="169">
        <f>C39</f>
        <v>0</v>
      </c>
      <c r="D110" s="166">
        <f t="shared" ref="D110:T110" si="31">D39</f>
        <v>60</v>
      </c>
      <c r="E110" s="166">
        <f t="shared" si="31"/>
        <v>60</v>
      </c>
      <c r="F110" s="166">
        <f t="shared" si="31"/>
        <v>0</v>
      </c>
      <c r="G110" s="166">
        <f t="shared" si="31"/>
        <v>0</v>
      </c>
      <c r="H110" s="166">
        <f t="shared" si="31"/>
        <v>0</v>
      </c>
      <c r="I110" s="167">
        <f t="shared" si="31"/>
        <v>3765</v>
      </c>
      <c r="J110" s="278">
        <f t="shared" si="31"/>
        <v>7309.9762659799471</v>
      </c>
      <c r="K110" s="245">
        <f t="shared" si="31"/>
        <v>3194459.6282332367</v>
      </c>
      <c r="L110" s="246">
        <f t="shared" si="31"/>
        <v>3194459.6282332367</v>
      </c>
      <c r="M110" s="165">
        <f t="shared" si="31"/>
        <v>7602.3753166191464</v>
      </c>
      <c r="N110" s="166">
        <f t="shared" si="31"/>
        <v>3322238.0133625669</v>
      </c>
      <c r="O110" s="167">
        <f t="shared" si="31"/>
        <v>3322238.0133625669</v>
      </c>
      <c r="P110" s="278">
        <f t="shared" si="31"/>
        <v>7754.4228229515284</v>
      </c>
      <c r="Q110" s="245">
        <f t="shared" si="31"/>
        <v>3388682.7736298176</v>
      </c>
      <c r="R110" s="246">
        <f t="shared" si="31"/>
        <v>3388682.7736298176</v>
      </c>
      <c r="S110" s="167">
        <f t="shared" si="31"/>
        <v>3301793.4717418738</v>
      </c>
      <c r="T110" s="167">
        <f t="shared" si="31"/>
        <v>436837.89060305041</v>
      </c>
      <c r="U110" s="322" t="s">
        <v>12</v>
      </c>
    </row>
    <row r="111" spans="2:21" ht="13" x14ac:dyDescent="0.3">
      <c r="B111" s="472" t="s">
        <v>99</v>
      </c>
      <c r="C111" s="156">
        <f>C50</f>
        <v>0</v>
      </c>
      <c r="D111" s="21">
        <f t="shared" ref="D111:S111" si="32">D50</f>
        <v>0</v>
      </c>
      <c r="E111" s="21">
        <f t="shared" si="32"/>
        <v>38</v>
      </c>
      <c r="F111" s="21">
        <f t="shared" si="32"/>
        <v>48</v>
      </c>
      <c r="G111" s="21">
        <f t="shared" si="32"/>
        <v>0</v>
      </c>
      <c r="H111" s="21">
        <f t="shared" si="32"/>
        <v>0</v>
      </c>
      <c r="I111" s="157">
        <f t="shared" si="32"/>
        <v>86</v>
      </c>
      <c r="J111" s="279" t="str">
        <f t="shared" si="32"/>
        <v>NA</v>
      </c>
      <c r="K111" s="280">
        <f t="shared" si="32"/>
        <v>37582</v>
      </c>
      <c r="L111" s="281">
        <f t="shared" si="32"/>
        <v>37582</v>
      </c>
      <c r="M111" s="158" t="str">
        <f t="shared" si="32"/>
        <v>NA</v>
      </c>
      <c r="N111" s="21">
        <f t="shared" si="32"/>
        <v>37582</v>
      </c>
      <c r="O111" s="157">
        <f t="shared" si="32"/>
        <v>37582</v>
      </c>
      <c r="P111" s="279" t="str">
        <f t="shared" si="32"/>
        <v>NA</v>
      </c>
      <c r="Q111" s="280">
        <f t="shared" si="32"/>
        <v>37582</v>
      </c>
      <c r="R111" s="281">
        <f t="shared" si="32"/>
        <v>37582</v>
      </c>
      <c r="S111" s="148">
        <f t="shared" si="32"/>
        <v>37582</v>
      </c>
      <c r="T111" s="31"/>
      <c r="U111" s="111"/>
    </row>
    <row r="112" spans="2:21" ht="13.5" thickBot="1" x14ac:dyDescent="0.35">
      <c r="B112" s="471" t="s">
        <v>76</v>
      </c>
      <c r="C112" s="165">
        <f>C51</f>
        <v>0</v>
      </c>
      <c r="D112" s="166">
        <f t="shared" ref="D112:T112" si="33">D51</f>
        <v>0</v>
      </c>
      <c r="E112" s="166">
        <f t="shared" si="33"/>
        <v>959</v>
      </c>
      <c r="F112" s="166">
        <f t="shared" si="33"/>
        <v>1324</v>
      </c>
      <c r="G112" s="166">
        <f t="shared" si="33"/>
        <v>0</v>
      </c>
      <c r="H112" s="166">
        <f t="shared" si="33"/>
        <v>0</v>
      </c>
      <c r="I112" s="167">
        <f t="shared" si="33"/>
        <v>3283</v>
      </c>
      <c r="J112" s="278">
        <f t="shared" si="33"/>
        <v>6092.7987753815087</v>
      </c>
      <c r="K112" s="245">
        <f t="shared" si="33"/>
        <v>2662553.0648417193</v>
      </c>
      <c r="L112" s="246">
        <f t="shared" si="33"/>
        <v>2662553.0648417193</v>
      </c>
      <c r="M112" s="169">
        <f t="shared" si="33"/>
        <v>6336.5107263967693</v>
      </c>
      <c r="N112" s="166">
        <f t="shared" si="33"/>
        <v>2769055.1874353886</v>
      </c>
      <c r="O112" s="167">
        <f t="shared" si="33"/>
        <v>2769055.1874353886</v>
      </c>
      <c r="P112" s="278">
        <f t="shared" si="33"/>
        <v>6463.2409409247048</v>
      </c>
      <c r="Q112" s="245">
        <f t="shared" si="33"/>
        <v>2824436.2911840961</v>
      </c>
      <c r="R112" s="246">
        <f t="shared" si="33"/>
        <v>2824436.2911840961</v>
      </c>
      <c r="S112" s="167">
        <f t="shared" si="33"/>
        <v>2205967.484566588</v>
      </c>
      <c r="T112" s="167">
        <f t="shared" si="33"/>
        <v>546047.36325381312</v>
      </c>
      <c r="U112" s="474" t="s">
        <v>12</v>
      </c>
    </row>
    <row r="113" spans="2:21" ht="13" x14ac:dyDescent="0.3">
      <c r="B113" s="472" t="s">
        <v>100</v>
      </c>
      <c r="C113" s="156">
        <f t="shared" ref="C113:H114" si="34">C66</f>
        <v>0</v>
      </c>
      <c r="D113" s="21">
        <f t="shared" si="34"/>
        <v>0.25</v>
      </c>
      <c r="E113" s="21">
        <f t="shared" si="34"/>
        <v>18</v>
      </c>
      <c r="F113" s="21">
        <f t="shared" si="34"/>
        <v>25</v>
      </c>
      <c r="G113" s="21">
        <f t="shared" si="34"/>
        <v>7</v>
      </c>
      <c r="H113" s="21">
        <f t="shared" si="34"/>
        <v>0</v>
      </c>
      <c r="I113" s="157">
        <f t="shared" ref="I113:R113" si="35">I66</f>
        <v>50.25</v>
      </c>
      <c r="J113" s="279" t="str">
        <f t="shared" si="35"/>
        <v>NA</v>
      </c>
      <c r="K113" s="280">
        <f t="shared" si="35"/>
        <v>21959.25</v>
      </c>
      <c r="L113" s="281">
        <f t="shared" si="35"/>
        <v>21959.25</v>
      </c>
      <c r="M113" s="158" t="str">
        <f t="shared" si="35"/>
        <v>NA</v>
      </c>
      <c r="N113" s="21">
        <f t="shared" si="35"/>
        <v>21959.25</v>
      </c>
      <c r="O113" s="157">
        <f t="shared" si="35"/>
        <v>21959.25</v>
      </c>
      <c r="P113" s="279" t="str">
        <f t="shared" si="35"/>
        <v>NA</v>
      </c>
      <c r="Q113" s="280">
        <f t="shared" si="35"/>
        <v>21959.25</v>
      </c>
      <c r="R113" s="281">
        <f t="shared" si="35"/>
        <v>21959.25</v>
      </c>
      <c r="S113" s="148">
        <f>S66</f>
        <v>21959.25</v>
      </c>
      <c r="T113" s="170" t="str">
        <f t="shared" ref="I113:U114" si="36">T66</f>
        <v>NA</v>
      </c>
      <c r="U113" s="475" t="str">
        <f t="shared" si="36"/>
        <v>NA</v>
      </c>
    </row>
    <row r="114" spans="2:21" ht="13.5" thickBot="1" x14ac:dyDescent="0.35">
      <c r="B114" s="471" t="s">
        <v>76</v>
      </c>
      <c r="C114" s="165">
        <f t="shared" si="34"/>
        <v>0</v>
      </c>
      <c r="D114" s="166">
        <f t="shared" si="34"/>
        <v>6</v>
      </c>
      <c r="E114" s="166">
        <f t="shared" si="34"/>
        <v>454</v>
      </c>
      <c r="F114" s="166">
        <f t="shared" si="34"/>
        <v>690</v>
      </c>
      <c r="G114" s="166">
        <f t="shared" si="34"/>
        <v>219</v>
      </c>
      <c r="H114" s="166">
        <f t="shared" si="34"/>
        <v>0</v>
      </c>
      <c r="I114" s="167">
        <f t="shared" si="36"/>
        <v>1369</v>
      </c>
      <c r="J114" s="278">
        <f t="shared" si="36"/>
        <v>2928.6178546712799</v>
      </c>
      <c r="K114" s="245">
        <f t="shared" si="36"/>
        <v>1279812.0024913494</v>
      </c>
      <c r="L114" s="246">
        <f t="shared" si="36"/>
        <v>1279806.0024913494</v>
      </c>
      <c r="M114" s="165">
        <f t="shared" si="36"/>
        <v>3045.7625688581315</v>
      </c>
      <c r="N114" s="166">
        <f t="shared" si="36"/>
        <v>1330998.2425910034</v>
      </c>
      <c r="O114" s="167">
        <f t="shared" si="36"/>
        <v>1330998.2425910034</v>
      </c>
      <c r="P114" s="284">
        <f t="shared" si="36"/>
        <v>3112.6778202352939</v>
      </c>
      <c r="Q114" s="245">
        <f t="shared" si="36"/>
        <v>1357631.0428753498</v>
      </c>
      <c r="R114" s="246">
        <f t="shared" si="36"/>
        <v>1363227.2914566647</v>
      </c>
      <c r="S114" s="167">
        <f t="shared" si="36"/>
        <v>1324677.178846339</v>
      </c>
      <c r="T114" s="168" t="str">
        <f t="shared" si="36"/>
        <v>NA</v>
      </c>
      <c r="U114" s="322" t="s">
        <v>12</v>
      </c>
    </row>
    <row r="115" spans="2:21" ht="13" x14ac:dyDescent="0.3">
      <c r="B115" s="472" t="s">
        <v>101</v>
      </c>
      <c r="C115" s="171">
        <f>C90</f>
        <v>0</v>
      </c>
      <c r="D115" s="172">
        <f t="shared" ref="D115:S115" si="37">D90</f>
        <v>25</v>
      </c>
      <c r="E115" s="172">
        <f t="shared" si="37"/>
        <v>25.2</v>
      </c>
      <c r="F115" s="172">
        <f t="shared" si="37"/>
        <v>48.3</v>
      </c>
      <c r="G115" s="172">
        <f t="shared" si="37"/>
        <v>47</v>
      </c>
      <c r="H115" s="172">
        <f t="shared" si="37"/>
        <v>5</v>
      </c>
      <c r="I115" s="54">
        <f t="shared" si="37"/>
        <v>150.5</v>
      </c>
      <c r="J115" s="282" t="str">
        <f t="shared" si="37"/>
        <v>NA</v>
      </c>
      <c r="K115" s="263" t="str">
        <f t="shared" si="37"/>
        <v>NA</v>
      </c>
      <c r="L115" s="243">
        <f t="shared" si="37"/>
        <v>59275</v>
      </c>
      <c r="M115" s="173" t="str">
        <f t="shared" si="37"/>
        <v>NA</v>
      </c>
      <c r="N115" s="36" t="str">
        <f t="shared" si="37"/>
        <v>NA</v>
      </c>
      <c r="O115" s="54">
        <f t="shared" si="37"/>
        <v>59275</v>
      </c>
      <c r="P115" s="282" t="str">
        <f t="shared" si="37"/>
        <v>NA</v>
      </c>
      <c r="Q115" s="263" t="str">
        <f t="shared" si="37"/>
        <v>NA</v>
      </c>
      <c r="R115" s="243">
        <f t="shared" si="37"/>
        <v>59275</v>
      </c>
      <c r="S115" s="148">
        <f t="shared" si="37"/>
        <v>59275</v>
      </c>
      <c r="T115" s="42" t="s">
        <v>12</v>
      </c>
      <c r="U115" s="119" t="s">
        <v>12</v>
      </c>
    </row>
    <row r="116" spans="2:21" ht="13.5" thickBot="1" x14ac:dyDescent="0.35">
      <c r="B116" s="471" t="s">
        <v>76</v>
      </c>
      <c r="C116" s="165">
        <f>C91</f>
        <v>0</v>
      </c>
      <c r="D116" s="166">
        <f t="shared" ref="D116:T116" si="38">D91</f>
        <v>605</v>
      </c>
      <c r="E116" s="166">
        <f t="shared" si="38"/>
        <v>635</v>
      </c>
      <c r="F116" s="166">
        <f t="shared" si="38"/>
        <v>1331</v>
      </c>
      <c r="G116" s="166">
        <f t="shared" si="38"/>
        <v>1472</v>
      </c>
      <c r="H116" s="166">
        <f t="shared" si="38"/>
        <v>189</v>
      </c>
      <c r="I116" s="167">
        <f t="shared" si="38"/>
        <v>4232</v>
      </c>
      <c r="J116" s="278">
        <f t="shared" si="38"/>
        <v>9053.2584083044967</v>
      </c>
      <c r="K116" s="283" t="str">
        <f t="shared" si="38"/>
        <v>NA</v>
      </c>
      <c r="L116" s="246">
        <f t="shared" si="38"/>
        <v>3510445.8718339093</v>
      </c>
      <c r="M116" s="169">
        <f t="shared" si="38"/>
        <v>9415.3887446366789</v>
      </c>
      <c r="N116" s="175" t="str">
        <f t="shared" si="38"/>
        <v>NA</v>
      </c>
      <c r="O116" s="167">
        <f t="shared" si="38"/>
        <v>3650863.7067072666</v>
      </c>
      <c r="P116" s="278">
        <f t="shared" si="38"/>
        <v>9603.6965195294106</v>
      </c>
      <c r="Q116" s="283" t="str">
        <f t="shared" si="38"/>
        <v>NA</v>
      </c>
      <c r="R116" s="246">
        <f t="shared" si="38"/>
        <v>3723880.9808414117</v>
      </c>
      <c r="S116" s="167">
        <f t="shared" si="38"/>
        <v>3628396.8531275294</v>
      </c>
      <c r="T116" s="167">
        <f t="shared" si="38"/>
        <v>0</v>
      </c>
      <c r="U116" s="322" t="s">
        <v>12</v>
      </c>
    </row>
    <row r="117" spans="2:21" ht="13" x14ac:dyDescent="0.3">
      <c r="B117" s="472" t="s">
        <v>102</v>
      </c>
      <c r="C117" s="156">
        <f>C100</f>
        <v>0</v>
      </c>
      <c r="D117" s="21">
        <f t="shared" ref="D117:S117" si="39">D100</f>
        <v>0</v>
      </c>
      <c r="E117" s="21">
        <f t="shared" si="39"/>
        <v>16</v>
      </c>
      <c r="F117" s="21">
        <f t="shared" si="39"/>
        <v>8</v>
      </c>
      <c r="G117" s="21">
        <f t="shared" si="39"/>
        <v>12</v>
      </c>
      <c r="H117" s="21">
        <f t="shared" si="39"/>
        <v>6</v>
      </c>
      <c r="I117" s="157">
        <f t="shared" si="39"/>
        <v>42</v>
      </c>
      <c r="J117" s="279" t="str">
        <f t="shared" si="39"/>
        <v>NA</v>
      </c>
      <c r="K117" s="280">
        <f t="shared" si="39"/>
        <v>18354</v>
      </c>
      <c r="L117" s="281">
        <f t="shared" si="39"/>
        <v>18354</v>
      </c>
      <c r="M117" s="158" t="str">
        <f t="shared" si="39"/>
        <v>NA</v>
      </c>
      <c r="N117" s="21">
        <f t="shared" si="39"/>
        <v>18354</v>
      </c>
      <c r="O117" s="157">
        <f t="shared" si="39"/>
        <v>18354</v>
      </c>
      <c r="P117" s="279" t="str">
        <f t="shared" si="39"/>
        <v>NA</v>
      </c>
      <c r="Q117" s="280">
        <f t="shared" si="39"/>
        <v>18354</v>
      </c>
      <c r="R117" s="281">
        <f t="shared" si="39"/>
        <v>18354</v>
      </c>
      <c r="S117" s="148">
        <f t="shared" si="39"/>
        <v>18354</v>
      </c>
      <c r="T117" s="42" t="s">
        <v>12</v>
      </c>
      <c r="U117" s="119" t="s">
        <v>12</v>
      </c>
    </row>
    <row r="118" spans="2:21" ht="13.5" thickBot="1" x14ac:dyDescent="0.35">
      <c r="B118" s="476" t="s">
        <v>76</v>
      </c>
      <c r="C118" s="176">
        <f>C101</f>
        <v>0</v>
      </c>
      <c r="D118" s="177">
        <f t="shared" ref="D118:T118" si="40">D101</f>
        <v>0</v>
      </c>
      <c r="E118" s="177">
        <f t="shared" si="40"/>
        <v>404</v>
      </c>
      <c r="F118" s="177">
        <f t="shared" si="40"/>
        <v>221</v>
      </c>
      <c r="G118" s="177">
        <f t="shared" si="40"/>
        <v>375</v>
      </c>
      <c r="H118" s="177">
        <f t="shared" si="40"/>
        <v>227</v>
      </c>
      <c r="I118" s="178">
        <f t="shared" si="40"/>
        <v>1227</v>
      </c>
      <c r="J118" s="252">
        <f t="shared" si="40"/>
        <v>2624.845951557093</v>
      </c>
      <c r="K118" s="253">
        <f t="shared" si="40"/>
        <v>1147057.6808304498</v>
      </c>
      <c r="L118" s="254">
        <f t="shared" si="40"/>
        <v>1147057.6808304498</v>
      </c>
      <c r="M118" s="176">
        <f t="shared" si="40"/>
        <v>2729.8397896193774</v>
      </c>
      <c r="N118" s="177">
        <f t="shared" si="40"/>
        <v>1192939.9880636679</v>
      </c>
      <c r="O118" s="178">
        <f t="shared" si="40"/>
        <v>1192939.9880636679</v>
      </c>
      <c r="P118" s="259">
        <f t="shared" si="40"/>
        <v>2784.4365854117641</v>
      </c>
      <c r="Q118" s="253">
        <f t="shared" si="40"/>
        <v>1216798.7878249409</v>
      </c>
      <c r="R118" s="254">
        <f t="shared" si="40"/>
        <v>1216798.7878249409</v>
      </c>
      <c r="S118" s="178">
        <f t="shared" si="40"/>
        <v>1185598.8189063529</v>
      </c>
      <c r="T118" s="179" t="str">
        <f t="shared" si="40"/>
        <v>NA</v>
      </c>
      <c r="U118" s="180" t="s">
        <v>12</v>
      </c>
    </row>
    <row r="119" spans="2:21" ht="18.5" thickTop="1" x14ac:dyDescent="0.4">
      <c r="B119" s="477" t="s">
        <v>13</v>
      </c>
      <c r="C119" s="88" t="s">
        <v>45</v>
      </c>
      <c r="D119" s="86" t="s">
        <v>46</v>
      </c>
      <c r="E119" s="86" t="s">
        <v>47</v>
      </c>
      <c r="F119" s="86" t="s">
        <v>48</v>
      </c>
      <c r="G119" s="86" t="s">
        <v>49</v>
      </c>
      <c r="H119" s="86" t="s">
        <v>50</v>
      </c>
      <c r="I119" s="87" t="s">
        <v>13</v>
      </c>
      <c r="J119" s="88" t="s">
        <v>56</v>
      </c>
      <c r="K119" s="86" t="s">
        <v>13</v>
      </c>
      <c r="L119" s="87" t="s">
        <v>68</v>
      </c>
      <c r="M119" s="88" t="s">
        <v>56</v>
      </c>
      <c r="N119" s="86" t="s">
        <v>13</v>
      </c>
      <c r="O119" s="87" t="s">
        <v>68</v>
      </c>
      <c r="P119" s="88" t="s">
        <v>56</v>
      </c>
      <c r="Q119" s="86" t="s">
        <v>13</v>
      </c>
      <c r="R119" s="87" t="s">
        <v>68</v>
      </c>
      <c r="S119" s="87"/>
      <c r="T119" s="31"/>
      <c r="U119" s="111"/>
    </row>
    <row r="120" spans="2:21" x14ac:dyDescent="0.25">
      <c r="B120" s="478" t="s">
        <v>75</v>
      </c>
      <c r="C120" s="154">
        <f t="shared" ref="C120:I121" si="41">C105+C107+C109+C111+C113+C115+C117</f>
        <v>0</v>
      </c>
      <c r="D120" s="58">
        <f t="shared" si="41"/>
        <v>93.25</v>
      </c>
      <c r="E120" s="58">
        <f t="shared" si="41"/>
        <v>165.2</v>
      </c>
      <c r="F120" s="58">
        <f t="shared" si="41"/>
        <v>147.30000000000001</v>
      </c>
      <c r="G120" s="58">
        <f t="shared" si="41"/>
        <v>80</v>
      </c>
      <c r="H120" s="58">
        <f t="shared" si="41"/>
        <v>21</v>
      </c>
      <c r="I120" s="57">
        <f t="shared" si="41"/>
        <v>506.75</v>
      </c>
      <c r="J120" s="285" t="s">
        <v>12</v>
      </c>
      <c r="K120" s="231">
        <f>K105+K107+K109+K111+K113+K117</f>
        <v>142202.65</v>
      </c>
      <c r="L120" s="239">
        <f>L105+L107+L109+L111+L113+L115+L117</f>
        <v>191305.59285714285</v>
      </c>
      <c r="M120" s="83" t="s">
        <v>12</v>
      </c>
      <c r="N120" s="58">
        <f>N105+N107+N109+N111+N113+N117</f>
        <v>142202.65</v>
      </c>
      <c r="O120" s="57">
        <f>O105+O107+O109+O111+O113+O115+O117</f>
        <v>191305.59285714285</v>
      </c>
      <c r="P120" s="285" t="s">
        <v>12</v>
      </c>
      <c r="Q120" s="231">
        <f>Q105+Q107+Q109+Q111+Q113+Q117</f>
        <v>142202.65</v>
      </c>
      <c r="R120" s="239">
        <f>R105+R107+R109+R111+R113+R115+R117</f>
        <v>191305.59285714285</v>
      </c>
      <c r="S120" s="141">
        <f>S105+S107+S109+S111+S113+S115+S117</f>
        <v>191305.59285714285</v>
      </c>
      <c r="T120" s="57"/>
      <c r="U120" s="113" t="s">
        <v>12</v>
      </c>
    </row>
    <row r="121" spans="2:21" s="189" customFormat="1" ht="16" thickBot="1" x14ac:dyDescent="0.4">
      <c r="B121" s="479" t="s">
        <v>76</v>
      </c>
      <c r="C121" s="480">
        <f t="shared" si="41"/>
        <v>0</v>
      </c>
      <c r="D121" s="481">
        <f t="shared" si="41"/>
        <v>865</v>
      </c>
      <c r="E121" s="481">
        <f t="shared" si="41"/>
        <v>2714</v>
      </c>
      <c r="F121" s="481">
        <f t="shared" si="41"/>
        <v>4062</v>
      </c>
      <c r="G121" s="481">
        <f t="shared" si="41"/>
        <v>2504</v>
      </c>
      <c r="H121" s="481">
        <f t="shared" si="41"/>
        <v>794</v>
      </c>
      <c r="I121" s="482">
        <f t="shared" si="41"/>
        <v>15584</v>
      </c>
      <c r="J121" s="483">
        <f>J106+J108+J110+J112+J114+J116+J118</f>
        <v>31663.317048281868</v>
      </c>
      <c r="K121" s="484">
        <f>K106+K108+K110+K112+K114+K118</f>
        <v>8489591.5750126727</v>
      </c>
      <c r="L121" s="485">
        <f>L106+L108+L110+L112+L114+L116+L118</f>
        <v>12819180.435660407</v>
      </c>
      <c r="M121" s="480">
        <f>M106+M108+M110+M112+M114+M116+M118</f>
        <v>32929.849730213151</v>
      </c>
      <c r="N121" s="486">
        <f>N106+N108+N110+N112+N114+N118</f>
        <v>8829168.9980131797</v>
      </c>
      <c r="O121" s="482">
        <f>O106+O108+O110+O112+O114+O116+O118</f>
        <v>13331947.653086826</v>
      </c>
      <c r="P121" s="487">
        <f>P106+P108+P110+P112+P114+P116+P118</f>
        <v>33594.446724817404</v>
      </c>
      <c r="Q121" s="484">
        <f>Q106+Q108+Q110+Q112+Q114+Q118</f>
        <v>9005765.2134059705</v>
      </c>
      <c r="R121" s="485">
        <f>R106+R108+R110+R112+R114+R116+R118</f>
        <v>13604195.690162402</v>
      </c>
      <c r="S121" s="488">
        <f>S106+S108+S110+S112+S114+S116+S118</f>
        <v>11747414.107205626</v>
      </c>
      <c r="T121" s="482">
        <f>SUM(T106,T108,T110,T112,T114,T116,T118)</f>
        <v>982885.25385686359</v>
      </c>
      <c r="U121" s="489">
        <f>SUM(U106,U108,U110,U112,U114,U116,U118)</f>
        <v>958313.12251044193</v>
      </c>
    </row>
  </sheetData>
  <mergeCells count="35">
    <mergeCell ref="G93:I93"/>
    <mergeCell ref="Q8:R8"/>
    <mergeCell ref="K8:L8"/>
    <mergeCell ref="N8:O8"/>
    <mergeCell ref="G53:I53"/>
    <mergeCell ref="G70:I70"/>
    <mergeCell ref="N19:O19"/>
    <mergeCell ref="G42:I42"/>
    <mergeCell ref="G41:I41"/>
    <mergeCell ref="K54:L54"/>
    <mergeCell ref="C5:I5"/>
    <mergeCell ref="G18:I18"/>
    <mergeCell ref="G31:I31"/>
    <mergeCell ref="N87:O87"/>
    <mergeCell ref="S2:T2"/>
    <mergeCell ref="Q19:R19"/>
    <mergeCell ref="G7:I7"/>
    <mergeCell ref="K19:L19"/>
    <mergeCell ref="F2:G2"/>
    <mergeCell ref="G32:I32"/>
    <mergeCell ref="K94:L94"/>
    <mergeCell ref="N32:O32"/>
    <mergeCell ref="N42:O42"/>
    <mergeCell ref="N71:O71"/>
    <mergeCell ref="N94:O94"/>
    <mergeCell ref="N54:O54"/>
    <mergeCell ref="K32:L32"/>
    <mergeCell ref="K71:L71"/>
    <mergeCell ref="K42:L42"/>
    <mergeCell ref="Q94:R94"/>
    <mergeCell ref="Q32:R32"/>
    <mergeCell ref="Q42:R42"/>
    <mergeCell ref="Q54:R54"/>
    <mergeCell ref="Q87:R87"/>
    <mergeCell ref="Q71:R71"/>
  </mergeCells>
  <phoneticPr fontId="2" type="noConversion"/>
  <dataValidations disablePrompts="1" count="1">
    <dataValidation allowBlank="1" showInputMessage="1" showErrorMessage="1" sqref="D34 D21" xr:uid="{00000000-0002-0000-0500-000000000000}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V132"/>
  <sheetViews>
    <sheetView topLeftCell="A58" zoomScaleNormal="100" workbookViewId="0">
      <selection activeCell="P74" sqref="P74:R75"/>
    </sheetView>
  </sheetViews>
  <sheetFormatPr defaultRowHeight="12.5" x14ac:dyDescent="0.25"/>
  <cols>
    <col min="1" max="1" width="1.81640625" customWidth="1"/>
    <col min="2" max="2" width="34" customWidth="1"/>
    <col min="3" max="3" width="12.81640625" customWidth="1"/>
    <col min="4" max="4" width="10.26953125" bestFit="1" customWidth="1"/>
    <col min="5" max="5" width="14.453125" bestFit="1" customWidth="1"/>
    <col min="6" max="6" width="14.7265625" style="5" customWidth="1"/>
    <col min="7" max="7" width="12.26953125" customWidth="1"/>
    <col min="8" max="8" width="11.1796875" customWidth="1"/>
    <col min="9" max="9" width="13" customWidth="1"/>
    <col min="10" max="10" width="15" customWidth="1"/>
    <col min="11" max="11" width="14.453125" customWidth="1"/>
    <col min="12" max="12" width="14.1796875" bestFit="1" customWidth="1"/>
    <col min="13" max="13" width="13.81640625" bestFit="1" customWidth="1"/>
    <col min="14" max="14" width="14.54296875" customWidth="1"/>
    <col min="15" max="15" width="14.1796875" bestFit="1" customWidth="1"/>
    <col min="16" max="16" width="12.1796875" customWidth="1"/>
    <col min="17" max="17" width="13.81640625" customWidth="1"/>
    <col min="18" max="18" width="14.1796875" bestFit="1" customWidth="1"/>
    <col min="19" max="19" width="15.453125" customWidth="1"/>
    <col min="20" max="20" width="18.453125" customWidth="1"/>
    <col min="21" max="21" width="19.26953125" bestFit="1" customWidth="1"/>
  </cols>
  <sheetData>
    <row r="1" spans="2:22" ht="7.5" customHeight="1" x14ac:dyDescent="0.25"/>
    <row r="2" spans="2:22" ht="18" x14ac:dyDescent="0.4">
      <c r="B2" s="385" t="s">
        <v>0</v>
      </c>
      <c r="C2" s="386" t="s">
        <v>80</v>
      </c>
      <c r="D2" s="4"/>
      <c r="E2" s="387" t="s">
        <v>31</v>
      </c>
      <c r="F2" s="388">
        <v>43331</v>
      </c>
      <c r="G2" s="4"/>
      <c r="H2" s="4"/>
      <c r="I2" s="37"/>
      <c r="J2" s="389" t="s">
        <v>5</v>
      </c>
      <c r="K2" s="390">
        <v>2023</v>
      </c>
      <c r="L2" s="4"/>
      <c r="M2" s="391" t="s">
        <v>10</v>
      </c>
      <c r="N2" s="392">
        <f>K2+1</f>
        <v>2024</v>
      </c>
      <c r="O2" s="4"/>
      <c r="P2" s="391" t="s">
        <v>11</v>
      </c>
      <c r="Q2" s="392">
        <f>N2+1</f>
        <v>2025</v>
      </c>
      <c r="R2" s="37"/>
      <c r="S2" s="1185" t="s">
        <v>77</v>
      </c>
      <c r="T2" s="1186"/>
      <c r="U2" s="413" t="s">
        <v>79</v>
      </c>
    </row>
    <row r="3" spans="2:22" ht="15.5" x14ac:dyDescent="0.35">
      <c r="B3" s="393"/>
      <c r="C3" s="1"/>
      <c r="D3" s="25"/>
      <c r="E3" s="2"/>
      <c r="I3" s="118" t="s">
        <v>59</v>
      </c>
      <c r="J3" s="326" t="s">
        <v>71</v>
      </c>
      <c r="L3" s="118" t="s">
        <v>69</v>
      </c>
      <c r="M3" s="326" t="s">
        <v>71</v>
      </c>
      <c r="O3" s="118" t="s">
        <v>69</v>
      </c>
      <c r="P3" s="326" t="s">
        <v>71</v>
      </c>
      <c r="R3" s="118" t="s">
        <v>69</v>
      </c>
      <c r="T3" s="130" t="s">
        <v>69</v>
      </c>
      <c r="U3" s="182"/>
    </row>
    <row r="4" spans="2:22" x14ac:dyDescent="0.25">
      <c r="B4" s="393"/>
      <c r="I4" s="43">
        <v>0.2</v>
      </c>
      <c r="J4" s="76">
        <v>103</v>
      </c>
      <c r="K4" s="348" t="s">
        <v>81</v>
      </c>
      <c r="L4" s="128">
        <v>9</v>
      </c>
      <c r="M4" s="76">
        <v>103</v>
      </c>
      <c r="N4" s="348" t="s">
        <v>81</v>
      </c>
      <c r="O4" s="128">
        <v>9</v>
      </c>
      <c r="P4" s="76">
        <v>103</v>
      </c>
      <c r="Q4" s="348" t="s">
        <v>81</v>
      </c>
      <c r="R4" s="128">
        <v>9</v>
      </c>
      <c r="S4" s="348" t="s">
        <v>81</v>
      </c>
      <c r="T4" s="85">
        <f t="shared" ref="T4:T10" si="0">AVERAGE(L4,O4,R4)</f>
        <v>9</v>
      </c>
      <c r="U4" s="182"/>
    </row>
    <row r="5" spans="2:22" ht="12.75" customHeight="1" x14ac:dyDescent="0.3">
      <c r="B5" s="394" t="s">
        <v>2</v>
      </c>
      <c r="C5" s="1187"/>
      <c r="D5" s="1188"/>
      <c r="E5" s="1188"/>
      <c r="F5" s="1188"/>
      <c r="G5" s="1188"/>
      <c r="H5" s="1188"/>
      <c r="I5" s="1189"/>
      <c r="K5" s="348" t="s">
        <v>83</v>
      </c>
      <c r="L5" s="128">
        <v>71</v>
      </c>
      <c r="N5" s="348" t="s">
        <v>83</v>
      </c>
      <c r="O5" s="128">
        <v>71</v>
      </c>
      <c r="P5" s="349"/>
      <c r="Q5" s="348" t="s">
        <v>83</v>
      </c>
      <c r="R5" s="128">
        <v>71</v>
      </c>
      <c r="S5" s="348" t="s">
        <v>83</v>
      </c>
      <c r="T5" s="85">
        <f t="shared" si="0"/>
        <v>71</v>
      </c>
      <c r="U5" s="182"/>
    </row>
    <row r="6" spans="2:22" ht="12.75" customHeight="1" x14ac:dyDescent="0.3">
      <c r="B6" s="394"/>
      <c r="C6" s="350"/>
      <c r="D6" s="350"/>
      <c r="E6" s="350"/>
      <c r="F6" s="350"/>
      <c r="G6" s="350"/>
      <c r="H6" s="350"/>
      <c r="I6" s="129"/>
      <c r="J6" s="349"/>
      <c r="K6" s="348" t="s">
        <v>84</v>
      </c>
      <c r="L6" s="128">
        <v>109</v>
      </c>
      <c r="M6" s="349"/>
      <c r="N6" s="348" t="s">
        <v>84</v>
      </c>
      <c r="O6" s="128">
        <v>109</v>
      </c>
      <c r="P6" s="349"/>
      <c r="Q6" s="348" t="s">
        <v>84</v>
      </c>
      <c r="R6" s="128">
        <v>109</v>
      </c>
      <c r="S6" s="348" t="s">
        <v>84</v>
      </c>
      <c r="T6" s="85">
        <f t="shared" si="0"/>
        <v>109</v>
      </c>
      <c r="U6" s="182"/>
    </row>
    <row r="7" spans="2:22" ht="12.75" customHeight="1" x14ac:dyDescent="0.3">
      <c r="B7" s="394"/>
      <c r="C7" s="350"/>
      <c r="D7" s="350"/>
      <c r="E7" s="350"/>
      <c r="F7" s="350"/>
      <c r="G7" s="350"/>
      <c r="H7" s="350"/>
      <c r="I7" s="129"/>
      <c r="J7" s="349"/>
      <c r="K7" s="348" t="s">
        <v>82</v>
      </c>
      <c r="L7" s="128">
        <v>352</v>
      </c>
      <c r="M7" s="349"/>
      <c r="N7" s="348" t="s">
        <v>82</v>
      </c>
      <c r="O7" s="128">
        <v>352</v>
      </c>
      <c r="P7" s="349"/>
      <c r="Q7" s="348" t="s">
        <v>82</v>
      </c>
      <c r="R7" s="128">
        <v>352</v>
      </c>
      <c r="S7" s="348" t="s">
        <v>82</v>
      </c>
      <c r="T7" s="85">
        <f t="shared" si="0"/>
        <v>352</v>
      </c>
      <c r="U7" s="182"/>
    </row>
    <row r="8" spans="2:22" ht="12.75" customHeight="1" x14ac:dyDescent="0.3">
      <c r="B8" s="394"/>
      <c r="C8" s="350"/>
      <c r="D8" s="350"/>
      <c r="E8" s="350"/>
      <c r="F8" s="350"/>
      <c r="G8" s="350"/>
      <c r="H8" s="350"/>
      <c r="I8" s="129"/>
      <c r="J8" s="349"/>
      <c r="K8" s="348" t="s">
        <v>85</v>
      </c>
      <c r="L8" s="128">
        <v>165</v>
      </c>
      <c r="M8" s="349"/>
      <c r="N8" s="348" t="s">
        <v>85</v>
      </c>
      <c r="O8" s="128">
        <v>165</v>
      </c>
      <c r="P8" s="349"/>
      <c r="Q8" s="348" t="s">
        <v>85</v>
      </c>
      <c r="R8" s="128">
        <v>165</v>
      </c>
      <c r="S8" s="348" t="s">
        <v>85</v>
      </c>
      <c r="T8" s="85">
        <f t="shared" si="0"/>
        <v>165</v>
      </c>
      <c r="V8" s="238"/>
    </row>
    <row r="9" spans="2:22" ht="12.75" customHeight="1" x14ac:dyDescent="0.3">
      <c r="B9" s="394"/>
      <c r="C9" s="350"/>
      <c r="D9" s="350"/>
      <c r="E9" s="350"/>
      <c r="F9" s="350"/>
      <c r="G9" s="350"/>
      <c r="H9" s="350"/>
      <c r="I9" s="129"/>
      <c r="J9" s="349"/>
      <c r="K9" s="348" t="s">
        <v>86</v>
      </c>
      <c r="L9" s="128">
        <v>33</v>
      </c>
      <c r="M9" s="349"/>
      <c r="N9" s="348" t="s">
        <v>86</v>
      </c>
      <c r="O9" s="128">
        <v>33</v>
      </c>
      <c r="P9" s="349"/>
      <c r="Q9" s="348" t="s">
        <v>86</v>
      </c>
      <c r="R9" s="128">
        <v>33</v>
      </c>
      <c r="S9" s="348" t="s">
        <v>86</v>
      </c>
      <c r="T9" s="85">
        <f t="shared" si="0"/>
        <v>33</v>
      </c>
      <c r="U9" s="182"/>
    </row>
    <row r="10" spans="2:22" ht="12.75" customHeight="1" thickBot="1" x14ac:dyDescent="0.35">
      <c r="B10" s="394"/>
      <c r="C10" s="350"/>
      <c r="D10" s="350"/>
      <c r="E10" s="350"/>
      <c r="F10" s="350"/>
      <c r="G10" s="350"/>
      <c r="H10" s="350"/>
      <c r="I10" s="129"/>
      <c r="J10" s="349"/>
      <c r="K10" s="348" t="s">
        <v>87</v>
      </c>
      <c r="L10" s="128">
        <v>372</v>
      </c>
      <c r="M10" s="349"/>
      <c r="N10" s="348" t="s">
        <v>87</v>
      </c>
      <c r="O10" s="128">
        <v>372</v>
      </c>
      <c r="P10" s="349"/>
      <c r="Q10" s="348" t="s">
        <v>87</v>
      </c>
      <c r="R10" s="128">
        <v>372</v>
      </c>
      <c r="S10" s="348" t="s">
        <v>87</v>
      </c>
      <c r="T10" s="131">
        <f t="shared" si="0"/>
        <v>372</v>
      </c>
      <c r="U10" s="182"/>
    </row>
    <row r="11" spans="2:22" ht="12.75" customHeight="1" x14ac:dyDescent="0.3">
      <c r="B11" s="394"/>
      <c r="C11" s="350"/>
      <c r="D11" s="350"/>
      <c r="E11" s="350"/>
      <c r="F11" s="350"/>
      <c r="G11" s="350"/>
      <c r="H11" s="350"/>
      <c r="I11" s="129"/>
      <c r="J11" s="349"/>
      <c r="K11" s="349" t="s">
        <v>89</v>
      </c>
      <c r="L11" s="138">
        <f>SUM(L4:L10)</f>
        <v>1111</v>
      </c>
      <c r="M11" s="349"/>
      <c r="N11" s="349" t="s">
        <v>88</v>
      </c>
      <c r="O11" s="133">
        <f>SUM(O4:O10)</f>
        <v>1111</v>
      </c>
      <c r="P11" s="349"/>
      <c r="Q11" s="349" t="s">
        <v>88</v>
      </c>
      <c r="R11" s="133">
        <f>SUM(R4:R10)</f>
        <v>1111</v>
      </c>
      <c r="S11" s="349" t="s">
        <v>89</v>
      </c>
      <c r="T11" s="132">
        <f>AVERAGE(L11,O11,R11)</f>
        <v>1111</v>
      </c>
      <c r="U11" s="182"/>
    </row>
    <row r="12" spans="2:22" ht="12.75" customHeight="1" x14ac:dyDescent="0.3">
      <c r="B12" s="394"/>
      <c r="C12" s="350"/>
      <c r="D12" s="350"/>
      <c r="E12" s="350"/>
      <c r="F12" s="350"/>
      <c r="G12" s="350"/>
      <c r="H12" s="350"/>
      <c r="I12" s="129"/>
      <c r="J12" s="349"/>
      <c r="K12" s="349" t="s">
        <v>144</v>
      </c>
      <c r="L12" s="438">
        <f>(L4*4/12+L5*5/12+L6*6/12+L7*7/12+L8*8/12+L9*9/12+L10)/L11</f>
        <v>0.71932193219321938</v>
      </c>
      <c r="M12" s="364"/>
      <c r="N12" s="349" t="s">
        <v>144</v>
      </c>
      <c r="O12" s="438">
        <f>(O4*4/12+O5*5/12+O6*6/12+O7*7/12+O8*8/12+O9*9/12+O10)/O11</f>
        <v>0.71932193219321938</v>
      </c>
      <c r="P12" s="364"/>
      <c r="Q12" s="349" t="s">
        <v>144</v>
      </c>
      <c r="R12" s="438">
        <f>(R4*4/12+R5*5/12+R6*6/12+R7*7/12+R8*8/12+R9*9/12+R10)/R11</f>
        <v>0.71932193219321938</v>
      </c>
      <c r="S12" s="364"/>
      <c r="T12" s="134"/>
      <c r="U12" s="182"/>
    </row>
    <row r="13" spans="2:22" ht="12.75" customHeight="1" x14ac:dyDescent="0.3">
      <c r="B13" s="394"/>
      <c r="C13" s="350"/>
      <c r="D13" s="350"/>
      <c r="E13" s="350"/>
      <c r="F13" s="350"/>
      <c r="G13" s="350"/>
      <c r="H13" s="350"/>
      <c r="I13" s="129"/>
      <c r="J13" s="349"/>
      <c r="K13" s="349" t="s">
        <v>70</v>
      </c>
      <c r="L13" s="52">
        <f>L11*$I$4</f>
        <v>222.20000000000002</v>
      </c>
      <c r="M13" s="349"/>
      <c r="N13" s="349" t="s">
        <v>70</v>
      </c>
      <c r="O13" s="52">
        <f>O11*$I$4</f>
        <v>222.20000000000002</v>
      </c>
      <c r="P13" s="349"/>
      <c r="Q13" s="349" t="s">
        <v>70</v>
      </c>
      <c r="R13" s="332">
        <f>R11*$I$4</f>
        <v>222.20000000000002</v>
      </c>
      <c r="S13" s="90" t="s">
        <v>71</v>
      </c>
      <c r="T13" s="91">
        <f>AVERAGE(J4,M4,P4)</f>
        <v>103</v>
      </c>
      <c r="U13" s="182"/>
    </row>
    <row r="14" spans="2:22" ht="18.75" customHeight="1" thickBot="1" x14ac:dyDescent="0.45">
      <c r="B14" s="395" t="s">
        <v>73</v>
      </c>
      <c r="C14" s="335"/>
      <c r="D14" s="335"/>
      <c r="E14" s="335"/>
      <c r="F14" s="336"/>
      <c r="G14" s="335"/>
      <c r="H14" s="335"/>
      <c r="I14" s="190"/>
      <c r="J14" s="337"/>
      <c r="K14" s="335"/>
      <c r="L14" s="190"/>
      <c r="M14" s="335"/>
      <c r="N14" s="335"/>
      <c r="O14" s="190"/>
      <c r="P14" s="337"/>
      <c r="Q14" s="335"/>
      <c r="R14" s="190"/>
      <c r="S14" s="339" t="s">
        <v>17</v>
      </c>
      <c r="T14" s="340" t="s">
        <v>78</v>
      </c>
      <c r="U14" s="420"/>
    </row>
    <row r="15" spans="2:22" ht="16" thickTop="1" x14ac:dyDescent="0.35">
      <c r="B15" s="396" t="s">
        <v>122</v>
      </c>
      <c r="D15" s="349" t="s">
        <v>54</v>
      </c>
      <c r="E15" s="24">
        <v>7</v>
      </c>
      <c r="F15" s="1" t="s">
        <v>6</v>
      </c>
      <c r="G15" s="1160"/>
      <c r="H15" s="1161"/>
      <c r="I15" s="1162"/>
      <c r="J15" s="2" t="s">
        <v>3</v>
      </c>
      <c r="K15" s="334"/>
      <c r="L15" s="62"/>
      <c r="M15" s="2" t="s">
        <v>3</v>
      </c>
      <c r="O15" s="31"/>
      <c r="P15" s="2" t="s">
        <v>3</v>
      </c>
      <c r="R15" s="31"/>
      <c r="S15" s="97"/>
      <c r="T15" s="338"/>
      <c r="U15" s="182"/>
    </row>
    <row r="16" spans="2:22" ht="13" x14ac:dyDescent="0.3">
      <c r="B16" s="397" t="s">
        <v>44</v>
      </c>
      <c r="C16" s="4"/>
      <c r="D16" s="4"/>
      <c r="E16" s="4"/>
      <c r="F16" s="8"/>
      <c r="G16" s="4"/>
      <c r="H16" s="4"/>
      <c r="I16" s="40" t="s">
        <v>55</v>
      </c>
      <c r="J16" s="266" t="s">
        <v>55</v>
      </c>
      <c r="K16" s="1176" t="s">
        <v>57</v>
      </c>
      <c r="L16" s="1168"/>
      <c r="M16" s="50" t="s">
        <v>55</v>
      </c>
      <c r="N16" s="1177" t="s">
        <v>57</v>
      </c>
      <c r="O16" s="1178"/>
      <c r="P16" s="227" t="s">
        <v>55</v>
      </c>
      <c r="Q16" s="1167" t="s">
        <v>57</v>
      </c>
      <c r="R16" s="1168"/>
      <c r="S16" s="100"/>
      <c r="T16" s="118"/>
      <c r="U16" s="442"/>
    </row>
    <row r="17" spans="2:21" ht="13" x14ac:dyDescent="0.3">
      <c r="B17" s="398" t="s">
        <v>53</v>
      </c>
      <c r="C17" s="20" t="s">
        <v>45</v>
      </c>
      <c r="D17" s="20" t="s">
        <v>46</v>
      </c>
      <c r="E17" s="20" t="s">
        <v>47</v>
      </c>
      <c r="F17" s="20" t="s">
        <v>48</v>
      </c>
      <c r="G17" s="20" t="s">
        <v>49</v>
      </c>
      <c r="H17" s="20" t="s">
        <v>50</v>
      </c>
      <c r="I17" s="40" t="s">
        <v>13</v>
      </c>
      <c r="J17" s="210" t="s">
        <v>56</v>
      </c>
      <c r="K17" s="211" t="s">
        <v>13</v>
      </c>
      <c r="L17" s="212" t="s">
        <v>68</v>
      </c>
      <c r="M17" s="66" t="s">
        <v>56</v>
      </c>
      <c r="N17" s="20" t="s">
        <v>13</v>
      </c>
      <c r="O17" s="32" t="s">
        <v>68</v>
      </c>
      <c r="P17" s="211" t="s">
        <v>56</v>
      </c>
      <c r="Q17" s="211" t="s">
        <v>13</v>
      </c>
      <c r="R17" s="212" t="s">
        <v>68</v>
      </c>
      <c r="S17" s="98"/>
      <c r="T17" s="44"/>
      <c r="U17" s="423"/>
    </row>
    <row r="18" spans="2:21" x14ac:dyDescent="0.25">
      <c r="B18" s="399" t="s">
        <v>51</v>
      </c>
      <c r="C18" s="18">
        <v>0</v>
      </c>
      <c r="D18" s="18">
        <v>0</v>
      </c>
      <c r="E18" s="18">
        <v>0</v>
      </c>
      <c r="F18" s="18">
        <v>10</v>
      </c>
      <c r="G18" s="18">
        <v>10</v>
      </c>
      <c r="H18" s="18">
        <v>10</v>
      </c>
      <c r="I18" s="41">
        <f>SUM(C18:H18)</f>
        <v>30</v>
      </c>
      <c r="J18" s="213" t="s">
        <v>12</v>
      </c>
      <c r="K18" s="233">
        <f>I18*$J$4</f>
        <v>3090</v>
      </c>
      <c r="L18" s="232">
        <f>K18/$E$15</f>
        <v>441.42857142857144</v>
      </c>
      <c r="M18" s="51" t="s">
        <v>12</v>
      </c>
      <c r="N18" s="351">
        <f>I18*$M$4</f>
        <v>3090</v>
      </c>
      <c r="O18" s="57">
        <f>N18/$E$15</f>
        <v>441.42857142857144</v>
      </c>
      <c r="P18" s="213" t="s">
        <v>12</v>
      </c>
      <c r="Q18" s="352">
        <f>$I18*$P$4</f>
        <v>3090</v>
      </c>
      <c r="R18" s="239">
        <f>Q18/$E$15</f>
        <v>441.42857142857144</v>
      </c>
      <c r="S18" s="96">
        <f>AVERAGE(L18,O18,R18)</f>
        <v>441.42857142857139</v>
      </c>
      <c r="T18" s="94" t="s">
        <v>12</v>
      </c>
      <c r="U18" s="187" t="s">
        <v>12</v>
      </c>
    </row>
    <row r="19" spans="2:21" s="1" customFormat="1" ht="13.5" thickBot="1" x14ac:dyDescent="0.35">
      <c r="B19" s="400" t="s">
        <v>52</v>
      </c>
      <c r="C19" s="310">
        <f>ROUND(C18*Labor!$D$3,0)</f>
        <v>0</v>
      </c>
      <c r="D19" s="310">
        <f>ROUND(D18*Labor!$D$4,0)</f>
        <v>0</v>
      </c>
      <c r="E19" s="310">
        <f>ROUND(E18*Labor!$D$5,0)</f>
        <v>0</v>
      </c>
      <c r="F19" s="310">
        <f>ROUND(F18*Labor!$D$6,0)</f>
        <v>276</v>
      </c>
      <c r="G19" s="310">
        <f>ROUND(G18*Labor!$D$7,0)</f>
        <v>313</v>
      </c>
      <c r="H19" s="310">
        <f>ROUND(H18*Labor!$D$8,0)</f>
        <v>378</v>
      </c>
      <c r="I19" s="311">
        <f>SUM(C19:H19)</f>
        <v>967</v>
      </c>
      <c r="J19" s="284">
        <f>HLOOKUP(K$2,InflationTable,2)/HLOOKUP(Labor!$B$11,InflationTable,2)*$I19</f>
        <v>2068.6438754325259</v>
      </c>
      <c r="K19" s="245">
        <f>J19*$J$4</f>
        <v>213070.31916955017</v>
      </c>
      <c r="L19" s="246">
        <f>K19/$E$15</f>
        <v>30438.617024221454</v>
      </c>
      <c r="M19" s="169">
        <f>HLOOKUP(N$2,InflationTable,2)/HLOOKUP(Labor!$B$11,InflationTable,2)*$I19</f>
        <v>2151.3896304498271</v>
      </c>
      <c r="N19" s="166">
        <f>M19*$J$4</f>
        <v>221593.13193633218</v>
      </c>
      <c r="O19" s="167">
        <f>N19/$E$15</f>
        <v>31656.161705190312</v>
      </c>
      <c r="P19" s="284">
        <f>HLOOKUP(Q$2,InflationTable,2)/HLOOKUP(Labor!$B$11,InflationTable,2)*$I19</f>
        <v>2194.4174230588233</v>
      </c>
      <c r="Q19" s="245">
        <f>P19*$J$4</f>
        <v>226024.99457505881</v>
      </c>
      <c r="R19" s="246">
        <f>Q19/$E$15</f>
        <v>32289.284939294117</v>
      </c>
      <c r="S19" s="169">
        <f>AVERAGE(L19,O19,R19)</f>
        <v>31461.354556235296</v>
      </c>
      <c r="T19" s="174" t="s">
        <v>12</v>
      </c>
      <c r="U19" s="183" t="s">
        <v>12</v>
      </c>
    </row>
    <row r="20" spans="2:21" ht="13" x14ac:dyDescent="0.3">
      <c r="B20" s="401" t="s">
        <v>7</v>
      </c>
      <c r="H20" s="6"/>
      <c r="I20" s="31"/>
      <c r="J20" s="330"/>
      <c r="K20" s="330"/>
      <c r="L20" s="331"/>
      <c r="O20" s="31"/>
      <c r="P20" s="330"/>
      <c r="Q20" s="330"/>
      <c r="R20" s="331"/>
      <c r="S20" s="97"/>
      <c r="T20" s="31"/>
      <c r="U20" s="182"/>
    </row>
    <row r="21" spans="2:21" x14ac:dyDescent="0.25">
      <c r="B21" s="399" t="s">
        <v>51</v>
      </c>
      <c r="C21" s="18">
        <v>0</v>
      </c>
      <c r="D21" s="18">
        <v>0</v>
      </c>
      <c r="E21" s="18">
        <v>0</v>
      </c>
      <c r="F21" s="18">
        <v>4</v>
      </c>
      <c r="G21" s="18">
        <v>4</v>
      </c>
      <c r="H21" s="18">
        <v>0</v>
      </c>
      <c r="I21" s="41">
        <f>SUM(C21:H21)</f>
        <v>8</v>
      </c>
      <c r="J21" s="213" t="s">
        <v>12</v>
      </c>
      <c r="K21" s="233">
        <f>I21*$J$4</f>
        <v>824</v>
      </c>
      <c r="L21" s="232">
        <f>K21/$E$15</f>
        <v>117.71428571428571</v>
      </c>
      <c r="M21" s="51" t="s">
        <v>12</v>
      </c>
      <c r="N21" s="10">
        <f>I21*$M$4</f>
        <v>824</v>
      </c>
      <c r="O21" s="52">
        <f>N21/$E$15</f>
        <v>117.71428571428571</v>
      </c>
      <c r="P21" s="213" t="s">
        <v>12</v>
      </c>
      <c r="Q21" s="241">
        <f>$I21*$P$4</f>
        <v>824</v>
      </c>
      <c r="R21" s="232">
        <f>Q21/$E$15</f>
        <v>117.71428571428571</v>
      </c>
      <c r="S21" s="96">
        <f>AVERAGE(L21,O21,R21)</f>
        <v>117.71428571428571</v>
      </c>
      <c r="T21" s="94" t="s">
        <v>12</v>
      </c>
      <c r="U21" s="187" t="s">
        <v>12</v>
      </c>
    </row>
    <row r="22" spans="2:21" s="1" customFormat="1" ht="13.5" thickBot="1" x14ac:dyDescent="0.35">
      <c r="B22" s="400" t="s">
        <v>52</v>
      </c>
      <c r="C22" s="310">
        <f>ROUND(C21*Labor!$D$3,0)</f>
        <v>0</v>
      </c>
      <c r="D22" s="310">
        <f>ROUND(D21*Labor!$D$4,0)</f>
        <v>0</v>
      </c>
      <c r="E22" s="310">
        <f>ROUND(E21*Labor!$D$5,0)</f>
        <v>0</v>
      </c>
      <c r="F22" s="310">
        <f>ROUND(F21*Labor!$D$6,0)</f>
        <v>110</v>
      </c>
      <c r="G22" s="310">
        <f>ROUND(G21*Labor!$D$7,0)</f>
        <v>125</v>
      </c>
      <c r="H22" s="310">
        <f>ROUND(H21*Labor!$D$8,0)</f>
        <v>0</v>
      </c>
      <c r="I22" s="311">
        <f>SUM(C22:H22)</f>
        <v>235</v>
      </c>
      <c r="J22" s="284">
        <f>HLOOKUP(K$2,InflationTable,2)/HLOOKUP(Labor!$B$11,InflationTable,2)*$I22</f>
        <v>502.72110726643592</v>
      </c>
      <c r="K22" s="245">
        <f>J22*$J$4</f>
        <v>51780.274048442901</v>
      </c>
      <c r="L22" s="246">
        <f>K22/$E$15</f>
        <v>7397.1820069204141</v>
      </c>
      <c r="M22" s="169">
        <f>HLOOKUP(N$2,InflationTable,2)/HLOOKUP(Labor!$B$11,InflationTable,2)*$I22</f>
        <v>522.82995155709341</v>
      </c>
      <c r="N22" s="166">
        <f>M22*$J$4</f>
        <v>53851.485010380624</v>
      </c>
      <c r="O22" s="167">
        <f>N22/$E$15</f>
        <v>7693.0692871972324</v>
      </c>
      <c r="P22" s="284">
        <f>HLOOKUP(Q$2,InflationTable,2)/HLOOKUP(Labor!$B$11,InflationTable,2)*$I22</f>
        <v>533.28655058823529</v>
      </c>
      <c r="Q22" s="245">
        <f>P22*$J$4</f>
        <v>54928.514710588235</v>
      </c>
      <c r="R22" s="246">
        <f>Q22/$E$15</f>
        <v>7846.9306729411765</v>
      </c>
      <c r="S22" s="169">
        <f>AVERAGE(L22,O22,R22)</f>
        <v>7645.727322352941</v>
      </c>
      <c r="T22" s="174" t="s">
        <v>12</v>
      </c>
      <c r="U22" s="183" t="s">
        <v>12</v>
      </c>
    </row>
    <row r="23" spans="2:21" ht="13" x14ac:dyDescent="0.3">
      <c r="B23" s="328" t="s">
        <v>66</v>
      </c>
      <c r="C23" s="28">
        <f t="shared" ref="C23:I24" si="1">C18+C21</f>
        <v>0</v>
      </c>
      <c r="D23" s="28">
        <f t="shared" si="1"/>
        <v>0</v>
      </c>
      <c r="E23" s="28">
        <f t="shared" si="1"/>
        <v>0</v>
      </c>
      <c r="F23" s="28">
        <f t="shared" si="1"/>
        <v>14</v>
      </c>
      <c r="G23" s="28">
        <f t="shared" si="1"/>
        <v>14</v>
      </c>
      <c r="H23" s="28">
        <f t="shared" si="1"/>
        <v>10</v>
      </c>
      <c r="I23" s="42">
        <f t="shared" si="1"/>
        <v>38</v>
      </c>
      <c r="J23" s="234" t="s">
        <v>12</v>
      </c>
      <c r="K23" s="235">
        <f>K18+K21</f>
        <v>3914</v>
      </c>
      <c r="L23" s="236">
        <f>L18+L21</f>
        <v>559.14285714285711</v>
      </c>
      <c r="M23" s="53" t="s">
        <v>12</v>
      </c>
      <c r="N23">
        <f>I23*$M$4</f>
        <v>3914</v>
      </c>
      <c r="O23" s="54">
        <f>N23/$E$15</f>
        <v>559.14285714285711</v>
      </c>
      <c r="P23" s="242" t="s">
        <v>12</v>
      </c>
      <c r="Q23" s="352">
        <f>$I23*$P$4</f>
        <v>3914</v>
      </c>
      <c r="R23" s="243">
        <f>Q23/$E$15</f>
        <v>559.14285714285711</v>
      </c>
      <c r="S23" s="104">
        <f>AVERAGE(L23,O23,R23)</f>
        <v>559.14285714285711</v>
      </c>
      <c r="T23" s="42" t="s">
        <v>12</v>
      </c>
      <c r="U23" s="185" t="s">
        <v>12</v>
      </c>
    </row>
    <row r="24" spans="2:21" s="1" customFormat="1" ht="13.5" thickBot="1" x14ac:dyDescent="0.35">
      <c r="B24" s="402" t="s">
        <v>67</v>
      </c>
      <c r="C24" s="194">
        <f t="shared" si="1"/>
        <v>0</v>
      </c>
      <c r="D24" s="194">
        <f t="shared" si="1"/>
        <v>0</v>
      </c>
      <c r="E24" s="194">
        <f t="shared" si="1"/>
        <v>0</v>
      </c>
      <c r="F24" s="194">
        <f t="shared" si="1"/>
        <v>386</v>
      </c>
      <c r="G24" s="194">
        <f t="shared" si="1"/>
        <v>438</v>
      </c>
      <c r="H24" s="194">
        <f t="shared" si="1"/>
        <v>378</v>
      </c>
      <c r="I24" s="195">
        <f t="shared" si="1"/>
        <v>1202</v>
      </c>
      <c r="J24" s="224">
        <f>J19+J22</f>
        <v>2571.3649826989617</v>
      </c>
      <c r="K24" s="225">
        <f>K19+K22</f>
        <v>264850.5932179931</v>
      </c>
      <c r="L24" s="226">
        <f>L19+L22</f>
        <v>37835.799031141869</v>
      </c>
      <c r="M24" s="333">
        <f>M19+M22</f>
        <v>2674.2195820069205</v>
      </c>
      <c r="N24" s="194">
        <f>N19+N22</f>
        <v>275444.61694671283</v>
      </c>
      <c r="O24" s="197">
        <f>O19+O22</f>
        <v>39349.230992387544</v>
      </c>
      <c r="P24" s="224">
        <f>P19+P22</f>
        <v>2727.7039736470588</v>
      </c>
      <c r="Q24" s="253">
        <f>P24*$P$4</f>
        <v>280953.50928564707</v>
      </c>
      <c r="R24" s="254">
        <f>Q24/$E$15</f>
        <v>40136.215612235297</v>
      </c>
      <c r="S24" s="206">
        <f>AVERAGE(L24,O24,R24)</f>
        <v>39107.081878588237</v>
      </c>
      <c r="T24" s="203" t="s">
        <v>12</v>
      </c>
      <c r="U24" s="186" t="s">
        <v>12</v>
      </c>
    </row>
    <row r="25" spans="2:21" ht="13.5" thickTop="1" thickBot="1" x14ac:dyDescent="0.3">
      <c r="F25"/>
    </row>
    <row r="26" spans="2:21" ht="16" thickTop="1" x14ac:dyDescent="0.35">
      <c r="B26" s="403" t="s">
        <v>16</v>
      </c>
      <c r="C26" s="341"/>
      <c r="D26" s="349" t="s">
        <v>54</v>
      </c>
      <c r="E26" s="59">
        <v>7</v>
      </c>
      <c r="F26" s="1" t="s">
        <v>6</v>
      </c>
      <c r="G26" s="1160"/>
      <c r="H26" s="1161"/>
      <c r="I26" s="1162"/>
      <c r="J26" s="2" t="s">
        <v>16</v>
      </c>
      <c r="L26" s="62"/>
      <c r="M26" s="2" t="s">
        <v>16</v>
      </c>
      <c r="O26" s="31"/>
      <c r="P26" s="2" t="s">
        <v>16</v>
      </c>
      <c r="R26" s="62"/>
      <c r="S26" s="97"/>
      <c r="T26" s="31"/>
      <c r="U26" s="414"/>
    </row>
    <row r="27" spans="2:21" ht="13" x14ac:dyDescent="0.3">
      <c r="B27" s="393"/>
      <c r="C27" s="20" t="s">
        <v>60</v>
      </c>
      <c r="D27" s="20" t="s">
        <v>62</v>
      </c>
      <c r="F27"/>
      <c r="H27" s="4"/>
      <c r="I27" s="37"/>
      <c r="J27" s="227" t="s">
        <v>61</v>
      </c>
      <c r="K27" s="1167" t="s">
        <v>57</v>
      </c>
      <c r="L27" s="1168"/>
      <c r="M27" s="50" t="s">
        <v>61</v>
      </c>
      <c r="N27" s="1177" t="s">
        <v>57</v>
      </c>
      <c r="O27" s="1178"/>
      <c r="P27" s="228" t="s">
        <v>61</v>
      </c>
      <c r="Q27" s="1167" t="s">
        <v>57</v>
      </c>
      <c r="R27" s="1168"/>
      <c r="S27" s="106"/>
      <c r="T27" s="31"/>
      <c r="U27" s="182"/>
    </row>
    <row r="28" spans="2:21" ht="13" x14ac:dyDescent="0.3">
      <c r="B28" s="22" t="s">
        <v>58</v>
      </c>
      <c r="C28" s="20"/>
      <c r="D28" s="20"/>
      <c r="E28" s="7"/>
      <c r="F28" s="61"/>
      <c r="G28" s="61"/>
      <c r="H28" s="61"/>
      <c r="I28" s="62"/>
      <c r="J28" s="210" t="s">
        <v>56</v>
      </c>
      <c r="K28" s="211" t="s">
        <v>13</v>
      </c>
      <c r="L28" s="212" t="s">
        <v>68</v>
      </c>
      <c r="M28" s="66" t="s">
        <v>56</v>
      </c>
      <c r="N28" s="20" t="s">
        <v>13</v>
      </c>
      <c r="O28" s="32" t="s">
        <v>68</v>
      </c>
      <c r="P28" s="210" t="s">
        <v>56</v>
      </c>
      <c r="Q28" s="211" t="s">
        <v>13</v>
      </c>
      <c r="R28" s="212" t="s">
        <v>68</v>
      </c>
      <c r="S28" s="98"/>
      <c r="T28" s="31"/>
      <c r="U28" s="182"/>
    </row>
    <row r="29" spans="2:21" s="1" customFormat="1" ht="13" x14ac:dyDescent="0.3">
      <c r="B29" s="404" t="s">
        <v>14</v>
      </c>
      <c r="C29" s="317">
        <f>VLOOKUP(C$2,Monitor_Costs,2,FALSE)</f>
        <v>11000</v>
      </c>
      <c r="D29" s="20">
        <f>VLOOKUP(C2,Monitor_Costs,3,FALSE)</f>
        <v>2019</v>
      </c>
      <c r="E29" s="373"/>
      <c r="F29" s="50"/>
      <c r="G29" s="374"/>
      <c r="H29" s="374"/>
      <c r="I29" s="379"/>
      <c r="J29" s="229">
        <f>HLOOKUP(K$2,InflationTable,2)/HLOOKUP($D29,InflationTable,2)*$C29</f>
        <v>13298.083691826359</v>
      </c>
      <c r="K29" s="315">
        <f>J29*$L$11</f>
        <v>14774170.981619086</v>
      </c>
      <c r="L29" s="316">
        <f>K29/$E$26</f>
        <v>2110595.8545170124</v>
      </c>
      <c r="M29" s="23">
        <f>HLOOKUP(N$2,InflationTable,2)/HLOOKUP($D29,InflationTable,2)*$C29</f>
        <v>13830.007039499413</v>
      </c>
      <c r="N29" s="317">
        <f>M29*$L$11</f>
        <v>15365137.820883848</v>
      </c>
      <c r="O29" s="318">
        <f>N29/$E$26</f>
        <v>2195019.6886976925</v>
      </c>
      <c r="P29" s="229">
        <f>HLOOKUP(Q$2,InflationTable,2)/HLOOKUP($D29,InflationTable,2)*$C29</f>
        <v>14106.607180289402</v>
      </c>
      <c r="Q29" s="315">
        <f>P29*$R$11</f>
        <v>15672440.577301526</v>
      </c>
      <c r="R29" s="316">
        <f>Q29/$E$26</f>
        <v>2238920.0824716468</v>
      </c>
      <c r="S29" s="376" t="s">
        <v>12</v>
      </c>
      <c r="T29" s="313" t="s">
        <v>12</v>
      </c>
      <c r="U29" s="415">
        <f>AVERAGE(L29,O29,R29)</f>
        <v>2181511.8752287836</v>
      </c>
    </row>
    <row r="30" spans="2:21" s="1" customFormat="1" ht="13.5" thickBot="1" x14ac:dyDescent="0.35">
      <c r="B30" s="405" t="s">
        <v>15</v>
      </c>
      <c r="C30" s="381"/>
      <c r="D30" s="381"/>
      <c r="E30" s="381"/>
      <c r="F30" s="382"/>
      <c r="G30" s="381"/>
      <c r="H30" s="381"/>
      <c r="I30" s="305"/>
      <c r="J30" s="306"/>
      <c r="K30" s="245">
        <f>J29*$L$13</f>
        <v>2954834.1963238171</v>
      </c>
      <c r="L30" s="246">
        <f>K30/$E$26</f>
        <v>422119.17090340244</v>
      </c>
      <c r="M30" s="381"/>
      <c r="N30" s="166">
        <f>M29*$L$13</f>
        <v>3073027.5641767699</v>
      </c>
      <c r="O30" s="167">
        <f>N30/$E$26</f>
        <v>439003.93773953855</v>
      </c>
      <c r="P30" s="383"/>
      <c r="Q30" s="245">
        <f>P29*$L$13</f>
        <v>3134488.1154603055</v>
      </c>
      <c r="R30" s="246">
        <f>Q30/$E$26</f>
        <v>447784.01649432938</v>
      </c>
      <c r="S30" s="384" t="s">
        <v>12</v>
      </c>
      <c r="T30" s="174" t="s">
        <v>12</v>
      </c>
      <c r="U30" s="184">
        <f>AVERAGE(L30,O30,R30)</f>
        <v>436302.37504575681</v>
      </c>
    </row>
    <row r="31" spans="2:21" ht="13" x14ac:dyDescent="0.3">
      <c r="B31" s="401" t="s">
        <v>17</v>
      </c>
      <c r="C31" s="86" t="s">
        <v>45</v>
      </c>
      <c r="D31" s="86" t="s">
        <v>46</v>
      </c>
      <c r="E31" s="86" t="s">
        <v>47</v>
      </c>
      <c r="F31" s="86" t="s">
        <v>48</v>
      </c>
      <c r="G31" s="86" t="s">
        <v>49</v>
      </c>
      <c r="H31" s="86" t="s">
        <v>50</v>
      </c>
      <c r="I31" s="145" t="s">
        <v>74</v>
      </c>
      <c r="J31" s="518"/>
      <c r="K31" s="518"/>
      <c r="L31" s="524"/>
      <c r="M31" s="88"/>
      <c r="N31" s="86"/>
      <c r="O31" s="87"/>
      <c r="P31" s="293"/>
      <c r="Q31" s="293"/>
      <c r="R31" s="296"/>
      <c r="S31" s="100"/>
      <c r="T31" s="31"/>
      <c r="U31" s="182"/>
    </row>
    <row r="32" spans="2:21" ht="13" x14ac:dyDescent="0.3">
      <c r="B32" s="406" t="s">
        <v>142</v>
      </c>
      <c r="C32" s="27">
        <v>0</v>
      </c>
      <c r="D32" s="18">
        <v>0</v>
      </c>
      <c r="E32" s="18">
        <v>0</v>
      </c>
      <c r="F32" s="18">
        <v>4</v>
      </c>
      <c r="G32" s="18">
        <v>0</v>
      </c>
      <c r="H32" s="18">
        <v>0</v>
      </c>
      <c r="I32" s="41">
        <f>SUM(C32:H32)</f>
        <v>4</v>
      </c>
      <c r="J32" s="213" t="s">
        <v>12</v>
      </c>
      <c r="K32" s="231">
        <f>I32*($L$11+$L$13)</f>
        <v>5332.8</v>
      </c>
      <c r="L32" s="232">
        <f>K32/$E$26</f>
        <v>761.82857142857142</v>
      </c>
      <c r="M32" s="51" t="s">
        <v>12</v>
      </c>
      <c r="N32" s="58">
        <f>$I$32*($O$11+$O$13)</f>
        <v>5332.8</v>
      </c>
      <c r="O32" s="52">
        <f>N32/$E$26</f>
        <v>761.82857142857142</v>
      </c>
      <c r="P32" s="213" t="s">
        <v>12</v>
      </c>
      <c r="Q32" s="231">
        <f>$I$32*($R$11+$R$13)</f>
        <v>5332.8</v>
      </c>
      <c r="R32" s="232">
        <f>Q32/$E$26</f>
        <v>761.82857142857142</v>
      </c>
      <c r="S32" s="123">
        <f>AVERAGE(L32,O32,R32)</f>
        <v>761.82857142857154</v>
      </c>
      <c r="T32" s="94" t="s">
        <v>12</v>
      </c>
      <c r="U32" s="187" t="s">
        <v>12</v>
      </c>
    </row>
    <row r="33" spans="2:21" s="1" customFormat="1" ht="13.5" thickBot="1" x14ac:dyDescent="0.35">
      <c r="B33" s="400" t="s">
        <v>8</v>
      </c>
      <c r="C33" s="319">
        <f>ROUND(C32*Labor!$D$3,0)</f>
        <v>0</v>
      </c>
      <c r="D33" s="310">
        <f>ROUND(D32*Labor!$D$4,0)</f>
        <v>0</v>
      </c>
      <c r="E33" s="310">
        <f>ROUND(E32*Labor!$D$5,0)</f>
        <v>0</v>
      </c>
      <c r="F33" s="310">
        <f>ROUND(F32*Labor!$D$6,0)</f>
        <v>110</v>
      </c>
      <c r="G33" s="310">
        <f>ROUND(G32*Labor!$D$7,0)</f>
        <v>0</v>
      </c>
      <c r="H33" s="310">
        <f>ROUND(H32*Labor!$D$8,0)</f>
        <v>0</v>
      </c>
      <c r="I33" s="311">
        <f>SUM(C33:H33)</f>
        <v>110</v>
      </c>
      <c r="J33" s="284">
        <f>HLOOKUP(K$2,InflationTable,2)/HLOOKUP(Labor!$B$11,InflationTable,2)*$I33</f>
        <v>235.31626297577853</v>
      </c>
      <c r="K33" s="245">
        <f>J33*($L$11+$L$13)</f>
        <v>313723.64179930795</v>
      </c>
      <c r="L33" s="246">
        <f>K33/$E$26</f>
        <v>44817.663114186849</v>
      </c>
      <c r="M33" s="169">
        <f>HLOOKUP(N$2,InflationTable,2)/HLOOKUP(Labor!$B$11,InflationTable,2)*$I33</f>
        <v>244.72891349480972</v>
      </c>
      <c r="N33" s="166">
        <f>M33*$L$11</f>
        <v>271893.82289273362</v>
      </c>
      <c r="O33" s="167">
        <f>N33/$E$26</f>
        <v>38841.974698961945</v>
      </c>
      <c r="P33" s="284">
        <f>HLOOKUP(Q$2,InflationTable,2)/HLOOKUP(Labor!$B$11,InflationTable,2)*$I33</f>
        <v>249.62349176470585</v>
      </c>
      <c r="Q33" s="245">
        <f>P33*$R$11</f>
        <v>277331.6993505882</v>
      </c>
      <c r="R33" s="246">
        <f>Q33/$E$26</f>
        <v>39618.814192941172</v>
      </c>
      <c r="S33" s="321">
        <f>AVERAGE(L33,O33,R33)</f>
        <v>41092.817335363325</v>
      </c>
      <c r="T33" s="174" t="s">
        <v>12</v>
      </c>
      <c r="U33" s="183" t="s">
        <v>12</v>
      </c>
    </row>
    <row r="34" spans="2:21" ht="13" x14ac:dyDescent="0.3">
      <c r="B34" s="401" t="s">
        <v>143</v>
      </c>
      <c r="C34" s="290">
        <v>0</v>
      </c>
      <c r="D34" s="302">
        <v>8</v>
      </c>
      <c r="E34" s="302">
        <v>8</v>
      </c>
      <c r="F34" s="302">
        <v>0</v>
      </c>
      <c r="G34" s="302">
        <v>0</v>
      </c>
      <c r="H34" s="302">
        <v>0</v>
      </c>
      <c r="I34" s="303">
        <f>SUM(C34:H34)</f>
        <v>16</v>
      </c>
      <c r="J34" s="242" t="s">
        <v>12</v>
      </c>
      <c r="K34" s="280">
        <f>I34*$L$11</f>
        <v>17776</v>
      </c>
      <c r="L34" s="243">
        <f>K34/$E$26</f>
        <v>2539.4285714285716</v>
      </c>
      <c r="M34" s="53" t="s">
        <v>12</v>
      </c>
      <c r="N34" s="147">
        <f>I34*$O$11</f>
        <v>17776</v>
      </c>
      <c r="O34" s="54">
        <f>N34/$E$26</f>
        <v>2539.4285714285716</v>
      </c>
      <c r="P34" s="242" t="s">
        <v>12</v>
      </c>
      <c r="Q34" s="273">
        <f>$I34*R$11</f>
        <v>17776</v>
      </c>
      <c r="R34" s="243">
        <f>Q34/$E$26</f>
        <v>2539.4285714285716</v>
      </c>
      <c r="S34" s="104">
        <f>AVERAGE(L34,O34,R34)</f>
        <v>2539.4285714285716</v>
      </c>
      <c r="T34" s="42" t="s">
        <v>12</v>
      </c>
      <c r="U34" s="185" t="s">
        <v>12</v>
      </c>
    </row>
    <row r="35" spans="2:21" s="1" customFormat="1" ht="13.5" thickBot="1" x14ac:dyDescent="0.35">
      <c r="B35" s="407" t="s">
        <v>8</v>
      </c>
      <c r="C35" s="310">
        <f>ROUND(C34*Labor!$D$3,0)</f>
        <v>0</v>
      </c>
      <c r="D35" s="310">
        <f>ROUND(D34*Labor!$D$4,0)</f>
        <v>194</v>
      </c>
      <c r="E35" s="310">
        <f>ROUND(E34*Labor!$D$5,0)</f>
        <v>202</v>
      </c>
      <c r="F35" s="310">
        <f>ROUND(F34*Labor!$D$6,0)</f>
        <v>0</v>
      </c>
      <c r="G35" s="310">
        <f>ROUND(G34*Labor!$D$7,0)</f>
        <v>0</v>
      </c>
      <c r="H35" s="310">
        <f>ROUND(H34*Labor!$D$8,0)</f>
        <v>0</v>
      </c>
      <c r="I35" s="311">
        <f>SUM(C35:H35)</f>
        <v>396</v>
      </c>
      <c r="J35" s="284">
        <f>HLOOKUP(K$2,InflationTable,2)/HLOOKUP(Labor!$B$11,InflationTable,2)*$I35</f>
        <v>847.13854671280274</v>
      </c>
      <c r="K35" s="245">
        <f>J35*$L$11</f>
        <v>941170.9253979238</v>
      </c>
      <c r="L35" s="246">
        <f>K35/$E$26</f>
        <v>134452.98934256056</v>
      </c>
      <c r="M35" s="169">
        <f>HLOOKUP(N$2,InflationTable,2)/HLOOKUP(Labor!$B$11,InflationTable,2)*$I35</f>
        <v>881.02408858131491</v>
      </c>
      <c r="N35" s="166">
        <f>M35*$O$11</f>
        <v>978817.76241384086</v>
      </c>
      <c r="O35" s="167">
        <f>N35/$E$26</f>
        <v>139831.10891626298</v>
      </c>
      <c r="P35" s="284">
        <f>HLOOKUP(Q$2,InflationTable,2)/HLOOKUP(Labor!$B$11,InflationTable,2)*$I35</f>
        <v>898.64457035294106</v>
      </c>
      <c r="Q35" s="245">
        <f>P35*$R$11</f>
        <v>998394.11766211747</v>
      </c>
      <c r="R35" s="246">
        <f>Q35/$E$26</f>
        <v>142627.73109458821</v>
      </c>
      <c r="S35" s="169">
        <f>AVERAGE(L35,O35,R35)</f>
        <v>138970.60978447055</v>
      </c>
      <c r="T35" s="323" t="s">
        <v>12</v>
      </c>
      <c r="U35" s="183" t="s">
        <v>12</v>
      </c>
    </row>
    <row r="36" spans="2:21" ht="13" x14ac:dyDescent="0.3">
      <c r="B36" s="328" t="s">
        <v>66</v>
      </c>
      <c r="C36" s="28">
        <f t="shared" ref="C36:I36" si="2">C32+C34</f>
        <v>0</v>
      </c>
      <c r="D36" s="28">
        <f t="shared" si="2"/>
        <v>8</v>
      </c>
      <c r="E36" s="28">
        <f t="shared" si="2"/>
        <v>8</v>
      </c>
      <c r="F36" s="28">
        <f t="shared" si="2"/>
        <v>4</v>
      </c>
      <c r="G36" s="28">
        <f t="shared" si="2"/>
        <v>0</v>
      </c>
      <c r="H36" s="28">
        <f t="shared" si="2"/>
        <v>0</v>
      </c>
      <c r="I36" s="42">
        <f t="shared" si="2"/>
        <v>20</v>
      </c>
      <c r="J36" s="234" t="s">
        <v>12</v>
      </c>
      <c r="K36" s="235">
        <f>K32+K34</f>
        <v>23108.799999999999</v>
      </c>
      <c r="L36" s="236">
        <f>L32+L34</f>
        <v>3301.2571428571428</v>
      </c>
      <c r="M36" s="38" t="s">
        <v>12</v>
      </c>
      <c r="N36" s="28">
        <f>N32+N34</f>
        <v>23108.799999999999</v>
      </c>
      <c r="O36" s="34">
        <f>O32+O34</f>
        <v>3301.2571428571428</v>
      </c>
      <c r="P36" s="234" t="s">
        <v>12</v>
      </c>
      <c r="Q36" s="235">
        <f>Q32+Q34</f>
        <v>23108.799999999999</v>
      </c>
      <c r="R36" s="236">
        <f>R32+R34</f>
        <v>3301.2571428571428</v>
      </c>
      <c r="S36" s="142">
        <f>AVERAGE(L36,O36,R36)</f>
        <v>3301.2571428571428</v>
      </c>
      <c r="T36" s="42" t="s">
        <v>12</v>
      </c>
      <c r="U36" s="185" t="s">
        <v>12</v>
      </c>
    </row>
    <row r="37" spans="2:21" s="1" customFormat="1" ht="13.5" thickBot="1" x14ac:dyDescent="0.35">
      <c r="B37" s="402" t="s">
        <v>67</v>
      </c>
      <c r="C37" s="194">
        <f t="shared" ref="C37:J37" si="3">C35+C33</f>
        <v>0</v>
      </c>
      <c r="D37" s="194">
        <f t="shared" si="3"/>
        <v>194</v>
      </c>
      <c r="E37" s="194">
        <f t="shared" si="3"/>
        <v>202</v>
      </c>
      <c r="F37" s="194">
        <f t="shared" si="3"/>
        <v>110</v>
      </c>
      <c r="G37" s="194">
        <f t="shared" si="3"/>
        <v>0</v>
      </c>
      <c r="H37" s="194">
        <f t="shared" si="3"/>
        <v>0</v>
      </c>
      <c r="I37" s="195">
        <f t="shared" si="3"/>
        <v>506</v>
      </c>
      <c r="J37" s="261">
        <f t="shared" si="3"/>
        <v>1082.4548096885812</v>
      </c>
      <c r="K37" s="237"/>
      <c r="L37" s="226">
        <f>L35+L33+L30+L29</f>
        <v>2711985.6778771621</v>
      </c>
      <c r="M37" s="196">
        <f>M35+M33</f>
        <v>1125.7530020761246</v>
      </c>
      <c r="N37" s="201"/>
      <c r="O37" s="197">
        <f>O35+O33+O30+O29</f>
        <v>2812696.7100524558</v>
      </c>
      <c r="P37" s="224">
        <f>P35+P33</f>
        <v>1148.2680621176469</v>
      </c>
      <c r="Q37" s="237"/>
      <c r="R37" s="226">
        <f>R35+R33+R30+R29</f>
        <v>2868950.6442535054</v>
      </c>
      <c r="S37" s="202">
        <f>SUM(S35,S33)</f>
        <v>180063.42711983388</v>
      </c>
      <c r="T37" s="203" t="s">
        <v>12</v>
      </c>
      <c r="U37" s="416">
        <f>SUM(U29:U30)</f>
        <v>2617814.2502745404</v>
      </c>
    </row>
    <row r="38" spans="2:21" ht="13.5" thickTop="1" thickBot="1" x14ac:dyDescent="0.3">
      <c r="F38"/>
    </row>
    <row r="39" spans="2:21" ht="15.5" x14ac:dyDescent="0.35">
      <c r="B39" s="443" t="s">
        <v>146</v>
      </c>
      <c r="F39" s="1" t="s">
        <v>6</v>
      </c>
      <c r="G39" s="1169"/>
      <c r="H39" s="1170"/>
      <c r="I39" s="1171"/>
      <c r="J39" s="68" t="s">
        <v>22</v>
      </c>
      <c r="L39" s="62"/>
      <c r="M39" s="68" t="s">
        <v>22</v>
      </c>
      <c r="O39" s="31"/>
      <c r="P39" s="68" t="s">
        <v>22</v>
      </c>
      <c r="R39" s="31"/>
      <c r="S39" s="99"/>
      <c r="T39" s="31"/>
      <c r="U39" s="182"/>
    </row>
    <row r="40" spans="2:21" ht="13" x14ac:dyDescent="0.3">
      <c r="B40" s="393"/>
      <c r="F40" s="1"/>
      <c r="G40" s="1163"/>
      <c r="H40" s="1163"/>
      <c r="I40" s="1164"/>
      <c r="J40" s="227" t="s">
        <v>61</v>
      </c>
      <c r="K40" s="1182" t="s">
        <v>57</v>
      </c>
      <c r="L40" s="1183"/>
      <c r="M40" s="50" t="s">
        <v>61</v>
      </c>
      <c r="N40" s="1177" t="s">
        <v>57</v>
      </c>
      <c r="O40" s="1178"/>
      <c r="P40" s="227" t="s">
        <v>61</v>
      </c>
      <c r="Q40" s="1167" t="s">
        <v>57</v>
      </c>
      <c r="R40" s="1168"/>
      <c r="S40" s="106"/>
      <c r="T40" s="31"/>
      <c r="U40" s="182"/>
    </row>
    <row r="41" spans="2:21" ht="13" x14ac:dyDescent="0.3">
      <c r="B41" s="408" t="s">
        <v>18</v>
      </c>
      <c r="C41" s="20" t="s">
        <v>60</v>
      </c>
      <c r="D41" s="20" t="s">
        <v>62</v>
      </c>
      <c r="E41" s="7"/>
      <c r="F41" s="61"/>
      <c r="G41" s="61"/>
      <c r="H41" s="61"/>
      <c r="I41" s="31"/>
      <c r="J41" s="211" t="s">
        <v>56</v>
      </c>
      <c r="K41" s="211" t="s">
        <v>13</v>
      </c>
      <c r="L41" s="212" t="s">
        <v>68</v>
      </c>
      <c r="M41" s="66" t="s">
        <v>56</v>
      </c>
      <c r="N41" s="20" t="s">
        <v>13</v>
      </c>
      <c r="O41" s="32" t="s">
        <v>68</v>
      </c>
      <c r="P41" s="210" t="s">
        <v>56</v>
      </c>
      <c r="Q41" s="211" t="s">
        <v>13</v>
      </c>
      <c r="R41" s="212" t="s">
        <v>68</v>
      </c>
      <c r="S41" s="98"/>
      <c r="T41" s="31"/>
      <c r="U41" s="182"/>
    </row>
    <row r="42" spans="2:21" s="1" customFormat="1" ht="13.5" thickBot="1" x14ac:dyDescent="0.35">
      <c r="B42" s="328"/>
      <c r="C42" s="317">
        <f>VLOOKUP(C$2,Monitor_Costs,4,FALSE)</f>
        <v>800</v>
      </c>
      <c r="D42" s="20">
        <f>VLOOKUP(C$2,Monitor_Costs,5,FALSE)</f>
        <v>2019</v>
      </c>
      <c r="F42" s="326"/>
      <c r="H42" s="378"/>
      <c r="I42" s="32"/>
      <c r="J42" s="229">
        <f>HLOOKUP(K$2,InflationTable,2)/HLOOKUP($D42,InflationTable,2)*$C42</f>
        <v>967.13335940555339</v>
      </c>
      <c r="K42" s="245">
        <f>J42*($L$11)</f>
        <v>1074485.1622995699</v>
      </c>
      <c r="L42" s="316">
        <f>K42</f>
        <v>1074485.1622995699</v>
      </c>
      <c r="M42" s="23">
        <f>HLOOKUP(N$2,InflationTable,2)/HLOOKUP($D42,InflationTable,2)*$C42</f>
        <v>1005.8186937817756</v>
      </c>
      <c r="N42" s="317">
        <f>M42*O$11</f>
        <v>1117464.5687915527</v>
      </c>
      <c r="O42" s="318">
        <f>N42</f>
        <v>1117464.5687915527</v>
      </c>
      <c r="P42" s="229">
        <f>HLOOKUP(Q$2,InflationTable,2)/HLOOKUP($D42,InflationTable,2)*$C42</f>
        <v>1025.9350676574111</v>
      </c>
      <c r="Q42" s="315">
        <f>P42*R$11</f>
        <v>1139813.8601673837</v>
      </c>
      <c r="R42" s="316">
        <f>Q42</f>
        <v>1139813.8601673837</v>
      </c>
      <c r="S42" s="376" t="s">
        <v>12</v>
      </c>
      <c r="T42" s="314">
        <f>AVERAGE(L42,O42,R42)</f>
        <v>1110587.8637528354</v>
      </c>
      <c r="U42" s="417" t="s">
        <v>12</v>
      </c>
    </row>
    <row r="43" spans="2:21" ht="13" x14ac:dyDescent="0.3">
      <c r="B43" s="393"/>
      <c r="C43" s="20" t="s">
        <v>45</v>
      </c>
      <c r="D43" s="20" t="s">
        <v>46</v>
      </c>
      <c r="E43" s="20" t="s">
        <v>47</v>
      </c>
      <c r="F43" s="20" t="s">
        <v>48</v>
      </c>
      <c r="G43" s="20" t="s">
        <v>49</v>
      </c>
      <c r="H43" s="20" t="s">
        <v>50</v>
      </c>
      <c r="I43" s="40" t="s">
        <v>74</v>
      </c>
      <c r="J43" s="211"/>
      <c r="K43" s="211"/>
      <c r="L43" s="212"/>
      <c r="M43" s="66"/>
      <c r="N43" s="20"/>
      <c r="O43" s="32"/>
      <c r="P43" s="211"/>
      <c r="Q43" s="211"/>
      <c r="R43" s="212"/>
      <c r="S43" s="95"/>
      <c r="T43" s="31"/>
      <c r="U43" s="182"/>
    </row>
    <row r="44" spans="2:21" ht="13" x14ac:dyDescent="0.3">
      <c r="B44" s="408" t="s">
        <v>141</v>
      </c>
      <c r="C44" s="18">
        <v>0</v>
      </c>
      <c r="D44" s="18">
        <v>60</v>
      </c>
      <c r="E44" s="18">
        <v>60</v>
      </c>
      <c r="F44" s="18">
        <v>0</v>
      </c>
      <c r="G44" s="18">
        <v>0</v>
      </c>
      <c r="H44" s="18">
        <v>0</v>
      </c>
      <c r="I44" s="41">
        <f>SUM(C44:H44)</f>
        <v>120</v>
      </c>
      <c r="J44" s="247" t="s">
        <v>12</v>
      </c>
      <c r="K44" s="231">
        <f>$I44*L$11*L$12</f>
        <v>95900.000000000015</v>
      </c>
      <c r="L44" s="239">
        <f>K44</f>
        <v>95900.000000000015</v>
      </c>
      <c r="M44" s="51" t="s">
        <v>12</v>
      </c>
      <c r="N44" s="58">
        <f>$I44*O$11*O$12</f>
        <v>95900.000000000015</v>
      </c>
      <c r="O44" s="57">
        <f>N44</f>
        <v>95900.000000000015</v>
      </c>
      <c r="P44" s="247" t="s">
        <v>12</v>
      </c>
      <c r="Q44" s="231">
        <f>$I44*R$11*R$12</f>
        <v>95900.000000000015</v>
      </c>
      <c r="R44" s="239">
        <f>Q44</f>
        <v>95900.000000000015</v>
      </c>
      <c r="S44" s="96">
        <f>AVERAGE(L44,O44,R44)</f>
        <v>95900.000000000015</v>
      </c>
      <c r="T44" s="94" t="s">
        <v>12</v>
      </c>
      <c r="U44" s="187" t="s">
        <v>12</v>
      </c>
    </row>
    <row r="45" spans="2:21" s="1" customFormat="1" ht="13.5" thickBot="1" x14ac:dyDescent="0.35">
      <c r="B45" s="400" t="s">
        <v>8</v>
      </c>
      <c r="C45" s="310">
        <f>ROUND(C44*Labor!$D$3,0)</f>
        <v>0</v>
      </c>
      <c r="D45" s="310">
        <f>ROUND(D44*Labor!$D$4,0)</f>
        <v>1452</v>
      </c>
      <c r="E45" s="310">
        <f>ROUND(E44*Labor!$D$5,0)</f>
        <v>1513</v>
      </c>
      <c r="F45" s="310">
        <f>ROUND(F44*Labor!$D$6,0)</f>
        <v>0</v>
      </c>
      <c r="G45" s="310">
        <f>ROUND(G44*Labor!$D$7,0)</f>
        <v>0</v>
      </c>
      <c r="H45" s="310">
        <f>ROUND(H44*Labor!$D$8,0)</f>
        <v>0</v>
      </c>
      <c r="I45" s="311">
        <f>SUM(C45:H45)</f>
        <v>2965</v>
      </c>
      <c r="J45" s="284">
        <f>HLOOKUP(K$2,InflationTable,2)/HLOOKUP(Labor!$B$11,InflationTable,2)*$I45</f>
        <v>6342.842906574394</v>
      </c>
      <c r="K45" s="245">
        <f>J45*L$11</f>
        <v>7046898.469204152</v>
      </c>
      <c r="L45" s="320">
        <f>K45</f>
        <v>7046898.469204152</v>
      </c>
      <c r="M45" s="169">
        <f>HLOOKUP(N$2,InflationTable,2)/HLOOKUP(Labor!$B$11,InflationTable,2)*$I45</f>
        <v>6596.5566228373709</v>
      </c>
      <c r="N45" s="166">
        <f>M45*O$11</f>
        <v>7328774.4079723191</v>
      </c>
      <c r="O45" s="167">
        <f>N45</f>
        <v>7328774.4079723191</v>
      </c>
      <c r="P45" s="284">
        <f>HLOOKUP(Q$2,InflationTable,2)/HLOOKUP(Labor!$B$11,InflationTable,2)*$I45</f>
        <v>6728.4877552941171</v>
      </c>
      <c r="Q45" s="245">
        <f>P45*R$11</f>
        <v>7475349.8961317642</v>
      </c>
      <c r="R45" s="320">
        <f>Q45</f>
        <v>7475349.8961317642</v>
      </c>
      <c r="S45" s="169">
        <f>AVERAGE(L45,O45,R45)</f>
        <v>7283674.2577694124</v>
      </c>
      <c r="T45" s="323" t="s">
        <v>12</v>
      </c>
      <c r="U45" s="183" t="s">
        <v>12</v>
      </c>
    </row>
    <row r="46" spans="2:21" ht="13" x14ac:dyDescent="0.3">
      <c r="B46" s="328" t="s">
        <v>66</v>
      </c>
      <c r="C46" s="30">
        <f t="shared" ref="C46:I46" si="4">C44</f>
        <v>0</v>
      </c>
      <c r="D46" s="30">
        <f t="shared" si="4"/>
        <v>60</v>
      </c>
      <c r="E46" s="30">
        <f t="shared" si="4"/>
        <v>60</v>
      </c>
      <c r="F46" s="30">
        <f t="shared" si="4"/>
        <v>0</v>
      </c>
      <c r="G46" s="30">
        <f t="shared" si="4"/>
        <v>0</v>
      </c>
      <c r="H46" s="30">
        <f t="shared" si="4"/>
        <v>0</v>
      </c>
      <c r="I46" s="44">
        <f t="shared" si="4"/>
        <v>120</v>
      </c>
      <c r="J46" s="255" t="s">
        <v>12</v>
      </c>
      <c r="K46" s="250">
        <f>K44</f>
        <v>95900.000000000015</v>
      </c>
      <c r="L46" s="251">
        <f>L44</f>
        <v>95900.000000000015</v>
      </c>
      <c r="M46" s="70" t="s">
        <v>12</v>
      </c>
      <c r="N46" s="69">
        <f>N44</f>
        <v>95900.000000000015</v>
      </c>
      <c r="O46" s="78">
        <f>O44</f>
        <v>95900.000000000015</v>
      </c>
      <c r="P46" s="249" t="s">
        <v>12</v>
      </c>
      <c r="Q46" s="250">
        <f>Q44</f>
        <v>95900.000000000015</v>
      </c>
      <c r="R46" s="251">
        <f>R44</f>
        <v>95900.000000000015</v>
      </c>
      <c r="S46" s="78">
        <f>S44</f>
        <v>95900.000000000015</v>
      </c>
      <c r="T46" s="42" t="s">
        <v>12</v>
      </c>
      <c r="U46" s="185" t="s">
        <v>12</v>
      </c>
    </row>
    <row r="47" spans="2:21" ht="13.5" thickBot="1" x14ac:dyDescent="0.35">
      <c r="B47" s="402" t="s">
        <v>67</v>
      </c>
      <c r="C47" s="354">
        <f t="shared" ref="C47:H47" si="5">C46</f>
        <v>0</v>
      </c>
      <c r="D47" s="354">
        <f t="shared" si="5"/>
        <v>60</v>
      </c>
      <c r="E47" s="354">
        <f t="shared" si="5"/>
        <v>60</v>
      </c>
      <c r="F47" s="354">
        <f t="shared" si="5"/>
        <v>0</v>
      </c>
      <c r="G47" s="354">
        <f t="shared" si="5"/>
        <v>0</v>
      </c>
      <c r="H47" s="354">
        <f t="shared" si="5"/>
        <v>0</v>
      </c>
      <c r="I47" s="372">
        <f>I45+C42</f>
        <v>3765</v>
      </c>
      <c r="J47" s="1075">
        <f t="shared" ref="J47:R47" si="6">J45+J42</f>
        <v>7309.9762659799471</v>
      </c>
      <c r="K47" s="366">
        <f t="shared" si="6"/>
        <v>8121383.6315037217</v>
      </c>
      <c r="L47" s="361">
        <f t="shared" si="6"/>
        <v>8121383.6315037217</v>
      </c>
      <c r="M47" s="367">
        <f t="shared" si="6"/>
        <v>7602.3753166191464</v>
      </c>
      <c r="N47" s="368">
        <f>N45+N42</f>
        <v>8446238.9767638724</v>
      </c>
      <c r="O47" s="362">
        <f t="shared" si="6"/>
        <v>8446238.9767638724</v>
      </c>
      <c r="P47" s="369">
        <f t="shared" si="6"/>
        <v>7754.4228229515284</v>
      </c>
      <c r="Q47" s="366">
        <f>Q45+Q42</f>
        <v>8615163.7562991474</v>
      </c>
      <c r="R47" s="361">
        <f t="shared" si="6"/>
        <v>8615163.7562991474</v>
      </c>
      <c r="S47" s="370">
        <f>S45</f>
        <v>7283674.2577694124</v>
      </c>
      <c r="T47" s="371">
        <f>T42</f>
        <v>1110587.8637528354</v>
      </c>
      <c r="U47" s="418" t="s">
        <v>12</v>
      </c>
    </row>
    <row r="48" spans="2:21" ht="13.5" thickTop="1" thickBot="1" x14ac:dyDescent="0.3">
      <c r="B48" s="447"/>
      <c r="C48" s="447"/>
      <c r="D48" s="447"/>
      <c r="E48" s="447"/>
      <c r="F48" s="447"/>
      <c r="G48" s="447"/>
      <c r="H48" s="447"/>
      <c r="I48" s="447"/>
      <c r="J48" s="447"/>
      <c r="K48" s="447"/>
      <c r="L48" s="447"/>
      <c r="M48" s="447"/>
      <c r="N48" s="447"/>
      <c r="O48" s="447"/>
      <c r="P48" s="447"/>
      <c r="Q48" s="447"/>
      <c r="R48" s="447"/>
      <c r="S48" s="447"/>
      <c r="T48" s="447"/>
      <c r="U48" s="447"/>
    </row>
    <row r="49" spans="2:21" ht="15.5" x14ac:dyDescent="0.35">
      <c r="B49" s="396" t="s">
        <v>147</v>
      </c>
      <c r="F49" s="1" t="s">
        <v>6</v>
      </c>
      <c r="G49" s="1160"/>
      <c r="H49" s="1161"/>
      <c r="I49" s="1162"/>
      <c r="J49" s="2" t="s">
        <v>24</v>
      </c>
      <c r="L49" s="62"/>
      <c r="M49" s="2" t="s">
        <v>24</v>
      </c>
      <c r="O49" s="31"/>
      <c r="P49" s="2" t="s">
        <v>24</v>
      </c>
      <c r="R49" s="31"/>
      <c r="S49" s="97"/>
      <c r="T49" s="31"/>
      <c r="U49" s="182"/>
    </row>
    <row r="50" spans="2:21" ht="13" x14ac:dyDescent="0.3">
      <c r="B50" s="393"/>
      <c r="F50" s="1"/>
      <c r="G50" s="1163"/>
      <c r="H50" s="1163"/>
      <c r="I50" s="1164"/>
      <c r="J50" s="227" t="s">
        <v>61</v>
      </c>
      <c r="K50" s="1167" t="s">
        <v>57</v>
      </c>
      <c r="L50" s="1168"/>
      <c r="M50" s="50" t="s">
        <v>61</v>
      </c>
      <c r="N50" s="1177" t="s">
        <v>57</v>
      </c>
      <c r="O50" s="1178"/>
      <c r="P50" s="227" t="s">
        <v>61</v>
      </c>
      <c r="Q50" s="1167" t="s">
        <v>57</v>
      </c>
      <c r="R50" s="1168"/>
      <c r="S50" s="106"/>
      <c r="T50" s="31"/>
      <c r="U50" s="182"/>
    </row>
    <row r="51" spans="2:21" ht="13" x14ac:dyDescent="0.3">
      <c r="B51" s="408" t="s">
        <v>19</v>
      </c>
      <c r="C51" s="20" t="s">
        <v>60</v>
      </c>
      <c r="D51" s="20" t="s">
        <v>62</v>
      </c>
      <c r="E51" s="7"/>
      <c r="F51" s="61"/>
      <c r="G51" s="61"/>
      <c r="H51" s="61"/>
      <c r="I51" s="62"/>
      <c r="J51" s="210" t="s">
        <v>56</v>
      </c>
      <c r="K51" s="211" t="s">
        <v>13</v>
      </c>
      <c r="L51" s="212" t="s">
        <v>68</v>
      </c>
      <c r="M51" s="66" t="s">
        <v>56</v>
      </c>
      <c r="N51" s="20" t="s">
        <v>13</v>
      </c>
      <c r="O51" s="32" t="s">
        <v>68</v>
      </c>
      <c r="P51" s="210" t="s">
        <v>56</v>
      </c>
      <c r="Q51" s="211" t="s">
        <v>13</v>
      </c>
      <c r="R51" s="212" t="s">
        <v>68</v>
      </c>
      <c r="S51" s="98"/>
      <c r="T51" s="62"/>
      <c r="U51" s="182"/>
    </row>
    <row r="52" spans="2:21" s="1" customFormat="1" ht="13" x14ac:dyDescent="0.3">
      <c r="B52" s="328"/>
      <c r="C52" s="317">
        <f>VLOOKUP(C$2,Monitor_Costs,6,FALSE)</f>
        <v>1000</v>
      </c>
      <c r="D52" s="20">
        <f>VLOOKUP(C$2,Monitor_Costs,7,FALSE)</f>
        <v>2019</v>
      </c>
      <c r="E52" s="373"/>
      <c r="F52" s="50"/>
      <c r="G52" s="374"/>
      <c r="H52" s="374"/>
      <c r="I52" s="375"/>
      <c r="J52" s="229">
        <f>HLOOKUP(K$2,InflationTable,2)/HLOOKUP($D52,InflationTable,2)*$C52</f>
        <v>1208.9166992569417</v>
      </c>
      <c r="K52" s="315">
        <f>J52*L$11</f>
        <v>1343106.4528744621</v>
      </c>
      <c r="L52" s="316">
        <f>K52</f>
        <v>1343106.4528744621</v>
      </c>
      <c r="M52" s="23">
        <f>HLOOKUP(N$2,InflationTable,2)/HLOOKUP($D52,InflationTable,2)*$C52</f>
        <v>1257.2733672272193</v>
      </c>
      <c r="N52" s="317">
        <f>M52*O$11</f>
        <v>1396830.7109894406</v>
      </c>
      <c r="O52" s="318">
        <f>N52</f>
        <v>1396830.7109894406</v>
      </c>
      <c r="P52" s="229">
        <f>HLOOKUP(Q$2,InflationTable,2)/HLOOKUP($D52,InflationTable,2)*$C52</f>
        <v>1282.4188345717637</v>
      </c>
      <c r="Q52" s="315">
        <f>P52*R$11</f>
        <v>1424767.3252092295</v>
      </c>
      <c r="R52" s="316">
        <f>Q52</f>
        <v>1424767.3252092295</v>
      </c>
      <c r="S52" s="376" t="s">
        <v>12</v>
      </c>
      <c r="T52" s="377">
        <f>AVERAGE(L52,O52,R52)</f>
        <v>1388234.8296910441</v>
      </c>
      <c r="U52" s="417" t="s">
        <v>12</v>
      </c>
    </row>
    <row r="53" spans="2:21" ht="13" x14ac:dyDescent="0.3">
      <c r="B53" s="393"/>
      <c r="C53" s="20" t="s">
        <v>45</v>
      </c>
      <c r="D53" s="20" t="s">
        <v>46</v>
      </c>
      <c r="E53" s="20" t="s">
        <v>47</v>
      </c>
      <c r="F53" s="20" t="s">
        <v>48</v>
      </c>
      <c r="G53" s="20" t="s">
        <v>49</v>
      </c>
      <c r="H53" s="20" t="s">
        <v>50</v>
      </c>
      <c r="I53" s="40" t="s">
        <v>74</v>
      </c>
      <c r="J53" s="210"/>
      <c r="K53" s="211"/>
      <c r="L53" s="212"/>
      <c r="M53" s="66"/>
      <c r="N53" s="20"/>
      <c r="O53" s="32"/>
      <c r="P53" s="210"/>
      <c r="Q53" s="211"/>
      <c r="R53" s="212"/>
      <c r="S53" s="109"/>
      <c r="T53" s="42"/>
      <c r="U53" s="182"/>
    </row>
    <row r="54" spans="2:21" ht="13" x14ac:dyDescent="0.3">
      <c r="B54" s="408" t="s">
        <v>140</v>
      </c>
      <c r="C54" s="18">
        <v>0</v>
      </c>
      <c r="D54" s="18">
        <v>6</v>
      </c>
      <c r="E54" s="18">
        <v>3</v>
      </c>
      <c r="F54" s="18">
        <v>3</v>
      </c>
      <c r="G54" s="18">
        <v>0</v>
      </c>
      <c r="H54" s="18">
        <v>0</v>
      </c>
      <c r="I54" s="45">
        <f>SUM(C54:H54)</f>
        <v>12</v>
      </c>
      <c r="J54" s="213" t="s">
        <v>12</v>
      </c>
      <c r="K54" s="231">
        <f>$I54*L$11*L$12</f>
        <v>9590</v>
      </c>
      <c r="L54" s="239">
        <f>K54</f>
        <v>9590</v>
      </c>
      <c r="M54" s="51" t="s">
        <v>12</v>
      </c>
      <c r="N54" s="58">
        <f>$I54*O$11*O$12</f>
        <v>9590</v>
      </c>
      <c r="O54" s="57">
        <f>N54</f>
        <v>9590</v>
      </c>
      <c r="P54" s="213" t="s">
        <v>12</v>
      </c>
      <c r="Q54" s="231">
        <f>$I54*R$11*R$12</f>
        <v>9590</v>
      </c>
      <c r="R54" s="239">
        <f>Q54</f>
        <v>9590</v>
      </c>
      <c r="S54" s="96">
        <f>AVERAGE(L54,O54,R54)</f>
        <v>9590</v>
      </c>
      <c r="T54" s="94" t="s">
        <v>12</v>
      </c>
      <c r="U54" s="187" t="s">
        <v>12</v>
      </c>
    </row>
    <row r="55" spans="2:21" s="1" customFormat="1" ht="13.5" thickBot="1" x14ac:dyDescent="0.35">
      <c r="B55" s="400" t="s">
        <v>8</v>
      </c>
      <c r="C55" s="310">
        <f>ROUND(C54*Labor!$D$3,0)</f>
        <v>0</v>
      </c>
      <c r="D55" s="310">
        <f>ROUND(D54*Labor!$D$4,0)</f>
        <v>145</v>
      </c>
      <c r="E55" s="310">
        <f>ROUND(E54*Labor!$D$5,0)</f>
        <v>76</v>
      </c>
      <c r="F55" s="310">
        <f>ROUND(F54*Labor!$D$6,0)</f>
        <v>83</v>
      </c>
      <c r="G55" s="310">
        <f>ROUND(G54*Labor!$D$7,0)</f>
        <v>0</v>
      </c>
      <c r="H55" s="310">
        <f>ROUND(H54*Labor!$D$8,0)</f>
        <v>0</v>
      </c>
      <c r="I55" s="167">
        <f>SUM(C55:H55)</f>
        <v>304</v>
      </c>
      <c r="J55" s="284">
        <f>HLOOKUP(K$2,InflationTable,2)/HLOOKUP(Labor!$B$11,InflationTable,2)*$I55</f>
        <v>650.32858131487887</v>
      </c>
      <c r="K55" s="245">
        <f>J55*L$11</f>
        <v>722515.05384083046</v>
      </c>
      <c r="L55" s="246">
        <f>K55</f>
        <v>722515.05384083046</v>
      </c>
      <c r="M55" s="169">
        <f>HLOOKUP(N$2,InflationTable,2)/HLOOKUP(Labor!$B$11,InflationTable,2)*$I55</f>
        <v>676.3417245674741</v>
      </c>
      <c r="N55" s="166">
        <f>M55*O$11</f>
        <v>751415.65599446371</v>
      </c>
      <c r="O55" s="167">
        <f>N55</f>
        <v>751415.65599446371</v>
      </c>
      <c r="P55" s="284">
        <f>HLOOKUP(Q$2,InflationTable,2)/HLOOKUP(Labor!$B$11,InflationTable,2)*$I55</f>
        <v>689.86855905882339</v>
      </c>
      <c r="Q55" s="315">
        <f>P55*R$11</f>
        <v>766443.96911435283</v>
      </c>
      <c r="R55" s="316">
        <f>Q55</f>
        <v>766443.96911435283</v>
      </c>
      <c r="S55" s="312">
        <f>AVERAGE(L55,O55,R55)</f>
        <v>746791.55964988237</v>
      </c>
      <c r="T55" s="313" t="s">
        <v>12</v>
      </c>
      <c r="U55" s="417" t="s">
        <v>12</v>
      </c>
    </row>
    <row r="56" spans="2:21" ht="13" x14ac:dyDescent="0.3">
      <c r="B56" s="409" t="s">
        <v>139</v>
      </c>
      <c r="C56" s="290">
        <v>0</v>
      </c>
      <c r="D56" s="290">
        <v>16</v>
      </c>
      <c r="E56" s="290">
        <v>8</v>
      </c>
      <c r="F56" s="290">
        <v>32</v>
      </c>
      <c r="G56" s="290">
        <v>0</v>
      </c>
      <c r="H56" s="290">
        <v>0</v>
      </c>
      <c r="I56" s="291">
        <f>SUM(C56:H56)</f>
        <v>56</v>
      </c>
      <c r="J56" s="242" t="s">
        <v>12</v>
      </c>
      <c r="K56" s="273">
        <f>$I56*L$11*L$12</f>
        <v>44753.333333333336</v>
      </c>
      <c r="L56" s="274">
        <f>K56</f>
        <v>44753.333333333336</v>
      </c>
      <c r="M56" s="53" t="s">
        <v>12</v>
      </c>
      <c r="N56" s="147">
        <f>$I56*O$11*O$12</f>
        <v>44753.333333333336</v>
      </c>
      <c r="O56" s="148">
        <f>N56</f>
        <v>44753.333333333336</v>
      </c>
      <c r="P56" s="213" t="s">
        <v>12</v>
      </c>
      <c r="Q56" s="231">
        <f>$I56*R$11*R$12</f>
        <v>44753.333333333336</v>
      </c>
      <c r="R56" s="239">
        <f>Q56</f>
        <v>44753.333333333336</v>
      </c>
      <c r="S56" s="96">
        <f>AVERAGE(L56,O56,R56)</f>
        <v>44753.333333333336</v>
      </c>
      <c r="T56" s="94" t="s">
        <v>12</v>
      </c>
      <c r="U56" s="187" t="s">
        <v>12</v>
      </c>
    </row>
    <row r="57" spans="2:21" s="1" customFormat="1" ht="13.5" thickBot="1" x14ac:dyDescent="0.35">
      <c r="B57" s="407" t="s">
        <v>8</v>
      </c>
      <c r="C57" s="310">
        <f>ROUND(C56*Labor!$D$3,0)</f>
        <v>0</v>
      </c>
      <c r="D57" s="310">
        <f>ROUND(D56*Labor!$D$4,0)</f>
        <v>387</v>
      </c>
      <c r="E57" s="310">
        <f>ROUND(E56*Labor!$D$5,0)</f>
        <v>202</v>
      </c>
      <c r="F57" s="310">
        <f>ROUND(F56*Labor!$D$6,0)</f>
        <v>882</v>
      </c>
      <c r="G57" s="310">
        <f>ROUND(G56*Labor!$D$7,0)</f>
        <v>0</v>
      </c>
      <c r="H57" s="310">
        <f>ROUND(H56*Labor!$D$8,0)</f>
        <v>0</v>
      </c>
      <c r="I57" s="167">
        <f>SUM(C57:H57)</f>
        <v>1471</v>
      </c>
      <c r="J57" s="284">
        <f>HLOOKUP(K$2,InflationTable,2)/HLOOKUP(Labor!$B$11,InflationTable,2)*$I57</f>
        <v>3146.8202076124567</v>
      </c>
      <c r="K57" s="245">
        <f>J57*L$11</f>
        <v>3496117.2506574392</v>
      </c>
      <c r="L57" s="246">
        <f>K57</f>
        <v>3496117.2506574392</v>
      </c>
      <c r="M57" s="169">
        <f>HLOOKUP(N$2,InflationTable,2)/HLOOKUP(Labor!$B$11,InflationTable,2)*$I57</f>
        <v>3272.6930159169551</v>
      </c>
      <c r="N57" s="166">
        <f>M57*O$11</f>
        <v>3635961.9406837369</v>
      </c>
      <c r="O57" s="167">
        <f>N57</f>
        <v>3635961.9406837369</v>
      </c>
      <c r="P57" s="284">
        <f>HLOOKUP(Q$2,InflationTable,2)/HLOOKUP(Labor!$B$11,InflationTable,2)*$I57</f>
        <v>3338.1468762352938</v>
      </c>
      <c r="Q57" s="245">
        <f>P57*R$11</f>
        <v>3708681.1794974115</v>
      </c>
      <c r="R57" s="246">
        <f>Q57</f>
        <v>3708681.1794974115</v>
      </c>
      <c r="S57" s="169">
        <f>AVERAGE(L57,O57,R57)</f>
        <v>3613586.7902795295</v>
      </c>
      <c r="T57" s="174" t="s">
        <v>12</v>
      </c>
      <c r="U57" s="183" t="s">
        <v>12</v>
      </c>
    </row>
    <row r="58" spans="2:21" ht="13" x14ac:dyDescent="0.3">
      <c r="B58" s="328" t="s">
        <v>66</v>
      </c>
      <c r="C58" s="30">
        <f t="shared" ref="C58:I58" si="7">C54+C56</f>
        <v>0</v>
      </c>
      <c r="D58" s="30">
        <f t="shared" si="7"/>
        <v>22</v>
      </c>
      <c r="E58" s="30">
        <f t="shared" si="7"/>
        <v>11</v>
      </c>
      <c r="F58" s="30">
        <f t="shared" si="7"/>
        <v>35</v>
      </c>
      <c r="G58" s="30">
        <f t="shared" si="7"/>
        <v>0</v>
      </c>
      <c r="H58" s="30">
        <f t="shared" si="7"/>
        <v>0</v>
      </c>
      <c r="I58" s="39">
        <f t="shared" si="7"/>
        <v>68</v>
      </c>
      <c r="J58" s="249" t="s">
        <v>12</v>
      </c>
      <c r="K58" s="257">
        <f>K54+K56</f>
        <v>54343.333333333336</v>
      </c>
      <c r="L58" s="258">
        <f>L54+L56</f>
        <v>54343.333333333336</v>
      </c>
      <c r="M58" s="70" t="s">
        <v>12</v>
      </c>
      <c r="N58" s="71">
        <f>N54+N56</f>
        <v>54343.333333333336</v>
      </c>
      <c r="O58" s="79">
        <f>O54+O56</f>
        <v>54343.333333333336</v>
      </c>
      <c r="P58" s="249" t="s">
        <v>12</v>
      </c>
      <c r="Q58" s="257">
        <f>Q54+Q56</f>
        <v>54343.333333333336</v>
      </c>
      <c r="R58" s="258">
        <f>R54+R56</f>
        <v>54343.333333333336</v>
      </c>
      <c r="S58" s="96">
        <f>AVERAGE(L58,O58,R58)</f>
        <v>54343.333333333336</v>
      </c>
      <c r="T58" s="42" t="s">
        <v>12</v>
      </c>
      <c r="U58" s="419" t="s">
        <v>12</v>
      </c>
    </row>
    <row r="59" spans="2:21" s="1" customFormat="1" ht="13.5" thickBot="1" x14ac:dyDescent="0.35">
      <c r="B59" s="402" t="s">
        <v>67</v>
      </c>
      <c r="C59" s="194">
        <f t="shared" ref="C59:H59" si="8">C55+C57</f>
        <v>0</v>
      </c>
      <c r="D59" s="194">
        <f t="shared" si="8"/>
        <v>532</v>
      </c>
      <c r="E59" s="194">
        <f t="shared" si="8"/>
        <v>278</v>
      </c>
      <c r="F59" s="194">
        <f t="shared" si="8"/>
        <v>965</v>
      </c>
      <c r="G59" s="194">
        <f t="shared" si="8"/>
        <v>0</v>
      </c>
      <c r="H59" s="194">
        <f t="shared" si="8"/>
        <v>0</v>
      </c>
      <c r="I59" s="178">
        <f>I57+I55+C52</f>
        <v>2775</v>
      </c>
      <c r="J59" s="259">
        <f t="shared" ref="J59:R59" si="9">J57+J55+J52</f>
        <v>5006.0654881842775</v>
      </c>
      <c r="K59" s="253">
        <f t="shared" si="9"/>
        <v>5561738.7573727323</v>
      </c>
      <c r="L59" s="254">
        <f t="shared" si="9"/>
        <v>5561738.7573727323</v>
      </c>
      <c r="M59" s="176">
        <f t="shared" si="9"/>
        <v>5206.3081077116485</v>
      </c>
      <c r="N59" s="177">
        <f t="shared" si="9"/>
        <v>5784208.3076676419</v>
      </c>
      <c r="O59" s="178">
        <f t="shared" si="9"/>
        <v>5784208.3076676419</v>
      </c>
      <c r="P59" s="252">
        <f t="shared" si="9"/>
        <v>5310.4342698658811</v>
      </c>
      <c r="Q59" s="253">
        <f t="shared" si="9"/>
        <v>5899892.4738209937</v>
      </c>
      <c r="R59" s="254">
        <f t="shared" si="9"/>
        <v>5899892.4738209937</v>
      </c>
      <c r="S59" s="206">
        <f>S57+S55</f>
        <v>4360378.3499294119</v>
      </c>
      <c r="T59" s="205">
        <f>T52</f>
        <v>1388234.8296910441</v>
      </c>
      <c r="U59" s="186" t="s">
        <v>12</v>
      </c>
    </row>
    <row r="60" spans="2:21" ht="13.5" thickTop="1" thickBot="1" x14ac:dyDescent="0.3">
      <c r="B60" s="447"/>
      <c r="C60" s="447"/>
      <c r="D60" s="447"/>
      <c r="E60" s="447"/>
      <c r="F60" s="447"/>
      <c r="G60" s="447"/>
      <c r="H60" s="447"/>
      <c r="I60" s="447"/>
      <c r="J60" s="447"/>
      <c r="K60" s="447"/>
      <c r="L60" s="447"/>
      <c r="M60" s="447"/>
      <c r="N60" s="447"/>
      <c r="O60" s="447"/>
      <c r="P60" s="447"/>
      <c r="Q60" s="447"/>
      <c r="R60" s="447"/>
      <c r="S60" s="447"/>
      <c r="T60" s="447"/>
      <c r="U60" s="447"/>
    </row>
    <row r="61" spans="2:21" ht="15.5" x14ac:dyDescent="0.35">
      <c r="B61" s="396" t="s">
        <v>148</v>
      </c>
      <c r="F61" s="1" t="s">
        <v>6</v>
      </c>
      <c r="G61" s="1160"/>
      <c r="H61" s="1161"/>
      <c r="I61" s="1162"/>
      <c r="J61" s="2" t="s">
        <v>26</v>
      </c>
      <c r="L61" s="31"/>
      <c r="M61" s="199" t="s">
        <v>26</v>
      </c>
      <c r="P61" s="199" t="s">
        <v>26</v>
      </c>
      <c r="R61" s="31"/>
      <c r="S61" s="97"/>
      <c r="T61" s="31"/>
      <c r="U61" s="182"/>
    </row>
    <row r="62" spans="2:21" ht="13" x14ac:dyDescent="0.3">
      <c r="B62" s="393"/>
      <c r="I62" s="32" t="s">
        <v>61</v>
      </c>
      <c r="J62" s="227" t="s">
        <v>61</v>
      </c>
      <c r="K62" s="1167" t="s">
        <v>57</v>
      </c>
      <c r="L62" s="1168"/>
      <c r="M62" s="50" t="s">
        <v>61</v>
      </c>
      <c r="N62" s="1177" t="s">
        <v>57</v>
      </c>
      <c r="O62" s="1178"/>
      <c r="P62" s="227" t="s">
        <v>61</v>
      </c>
      <c r="Q62" s="1167" t="s">
        <v>57</v>
      </c>
      <c r="R62" s="1168"/>
      <c r="S62" s="106"/>
      <c r="T62" s="31"/>
      <c r="U62" s="182"/>
    </row>
    <row r="63" spans="2:21" ht="13" x14ac:dyDescent="0.3">
      <c r="B63" s="408" t="s">
        <v>27</v>
      </c>
      <c r="C63" s="20" t="s">
        <v>45</v>
      </c>
      <c r="D63" s="20" t="s">
        <v>46</v>
      </c>
      <c r="E63" s="20" t="s">
        <v>47</v>
      </c>
      <c r="F63" s="20" t="s">
        <v>48</v>
      </c>
      <c r="G63" s="20" t="s">
        <v>49</v>
      </c>
      <c r="H63" s="20" t="s">
        <v>50</v>
      </c>
      <c r="I63" s="32" t="s">
        <v>13</v>
      </c>
      <c r="J63" s="210" t="s">
        <v>56</v>
      </c>
      <c r="K63" s="211" t="s">
        <v>13</v>
      </c>
      <c r="L63" s="212" t="s">
        <v>68</v>
      </c>
      <c r="M63" s="66" t="s">
        <v>56</v>
      </c>
      <c r="N63" s="20" t="s">
        <v>13</v>
      </c>
      <c r="O63" s="32" t="s">
        <v>68</v>
      </c>
      <c r="P63" s="210" t="s">
        <v>56</v>
      </c>
      <c r="Q63" s="211" t="s">
        <v>13</v>
      </c>
      <c r="R63" s="212" t="s">
        <v>68</v>
      </c>
      <c r="S63" s="98"/>
      <c r="T63" s="31"/>
      <c r="U63" s="182"/>
    </row>
    <row r="64" spans="2:21" x14ac:dyDescent="0.25">
      <c r="B64" s="410" t="s">
        <v>4</v>
      </c>
      <c r="C64" s="18">
        <v>0</v>
      </c>
      <c r="D64" s="18">
        <v>6</v>
      </c>
      <c r="E64" s="18">
        <v>3</v>
      </c>
      <c r="F64" s="18">
        <v>3</v>
      </c>
      <c r="G64" s="18">
        <v>2</v>
      </c>
      <c r="H64" s="18">
        <v>0</v>
      </c>
      <c r="I64" s="45">
        <f t="shared" ref="I64:I72" si="10">SUM(C64:H64)</f>
        <v>14</v>
      </c>
      <c r="J64" s="213" t="s">
        <v>12</v>
      </c>
      <c r="K64" s="231">
        <f>$I64*L$11*L$12</f>
        <v>11188.333333333334</v>
      </c>
      <c r="L64" s="239">
        <f t="shared" ref="L64:L72" si="11">K64</f>
        <v>11188.333333333334</v>
      </c>
      <c r="M64" s="51" t="s">
        <v>12</v>
      </c>
      <c r="N64" s="58">
        <f>$I64*O$11*O$12</f>
        <v>11188.333333333334</v>
      </c>
      <c r="O64" s="57">
        <f t="shared" ref="O64:O73" si="12">N64</f>
        <v>11188.333333333334</v>
      </c>
      <c r="P64" s="213" t="s">
        <v>12</v>
      </c>
      <c r="Q64" s="231">
        <f>$I64*R$11*R$12</f>
        <v>11188.333333333334</v>
      </c>
      <c r="R64" s="239">
        <f t="shared" ref="R64:R73" si="13">Q64</f>
        <v>11188.333333333334</v>
      </c>
      <c r="S64" s="96">
        <f t="shared" ref="S64:S75" si="14">AVERAGE(L64,O64,R64)</f>
        <v>11188.333333333334</v>
      </c>
      <c r="T64" s="94" t="s">
        <v>12</v>
      </c>
      <c r="U64" s="187" t="s">
        <v>12</v>
      </c>
    </row>
    <row r="65" spans="2:21" s="1" customFormat="1" ht="13.5" thickBot="1" x14ac:dyDescent="0.35">
      <c r="B65" s="400" t="s">
        <v>8</v>
      </c>
      <c r="C65" s="310">
        <f>ROUND(C64*Labor!$D$3,0)</f>
        <v>0</v>
      </c>
      <c r="D65" s="310">
        <f>ROUND(D64*Labor!$D$4,0)</f>
        <v>145</v>
      </c>
      <c r="E65" s="310">
        <f>ROUND(E64*Labor!$D$5,0)</f>
        <v>76</v>
      </c>
      <c r="F65" s="310">
        <f>ROUND(F64*Labor!$D$6,0)</f>
        <v>83</v>
      </c>
      <c r="G65" s="310">
        <f>ROUND(G64*Labor!$D$7,0)</f>
        <v>63</v>
      </c>
      <c r="H65" s="310">
        <f>ROUND(H64*Labor!$D$8,0)</f>
        <v>0</v>
      </c>
      <c r="I65" s="167">
        <f t="shared" si="10"/>
        <v>367</v>
      </c>
      <c r="J65" s="284">
        <f>HLOOKUP(K$2,InflationTable,2)/HLOOKUP(Labor!$B$11,InflationTable,2)*$I65</f>
        <v>785.10062283737022</v>
      </c>
      <c r="K65" s="245">
        <f>J65*L$11</f>
        <v>872246.79197231831</v>
      </c>
      <c r="L65" s="246">
        <f t="shared" si="11"/>
        <v>872246.79197231831</v>
      </c>
      <c r="M65" s="169">
        <f>HLOOKUP(N$2,InflationTable,2)/HLOOKUP(Labor!$B$11,InflationTable,2)*$I65</f>
        <v>816.50464775086516</v>
      </c>
      <c r="N65" s="166">
        <f>M65*O$11</f>
        <v>907136.66365121119</v>
      </c>
      <c r="O65" s="167">
        <f t="shared" si="12"/>
        <v>907136.66365121119</v>
      </c>
      <c r="P65" s="284">
        <f>HLOOKUP(Q$2,InflationTable,2)/HLOOKUP(Labor!$B$11,InflationTable,2)*$I65</f>
        <v>832.83474070588227</v>
      </c>
      <c r="Q65" s="245">
        <f>P65*R$11</f>
        <v>925279.39692423516</v>
      </c>
      <c r="R65" s="246">
        <f t="shared" si="13"/>
        <v>925279.39692423516</v>
      </c>
      <c r="S65" s="169">
        <f t="shared" si="14"/>
        <v>901554.28418258822</v>
      </c>
      <c r="T65" s="174" t="s">
        <v>12</v>
      </c>
      <c r="U65" s="183" t="s">
        <v>12</v>
      </c>
    </row>
    <row r="66" spans="2:21" ht="13" x14ac:dyDescent="0.3">
      <c r="B66" s="401" t="s">
        <v>138</v>
      </c>
      <c r="C66" s="290">
        <v>0</v>
      </c>
      <c r="D66" s="290">
        <v>1</v>
      </c>
      <c r="E66" s="290">
        <v>2</v>
      </c>
      <c r="F66" s="290">
        <v>4</v>
      </c>
      <c r="G66" s="290">
        <v>2</v>
      </c>
      <c r="H66" s="290">
        <v>0</v>
      </c>
      <c r="I66" s="291">
        <f t="shared" si="10"/>
        <v>9</v>
      </c>
      <c r="J66" s="242" t="s">
        <v>12</v>
      </c>
      <c r="K66" s="273">
        <f>$I66*L$11*L$12</f>
        <v>7192.5000000000009</v>
      </c>
      <c r="L66" s="274">
        <f t="shared" si="11"/>
        <v>7192.5000000000009</v>
      </c>
      <c r="M66" s="53" t="s">
        <v>12</v>
      </c>
      <c r="N66" s="147">
        <f>$I66*O$11*O$12</f>
        <v>7192.5000000000009</v>
      </c>
      <c r="O66" s="148">
        <f t="shared" si="12"/>
        <v>7192.5000000000009</v>
      </c>
      <c r="P66" s="242" t="s">
        <v>12</v>
      </c>
      <c r="Q66" s="273">
        <f>$I66*R$11*R$12</f>
        <v>7192.5000000000009</v>
      </c>
      <c r="R66" s="274">
        <f t="shared" si="13"/>
        <v>7192.5000000000009</v>
      </c>
      <c r="S66" s="104">
        <f t="shared" si="14"/>
        <v>7192.5000000000009</v>
      </c>
      <c r="T66" s="42" t="s">
        <v>12</v>
      </c>
      <c r="U66" s="185" t="s">
        <v>12</v>
      </c>
    </row>
    <row r="67" spans="2:21" s="1" customFormat="1" ht="13.5" thickBot="1" x14ac:dyDescent="0.35">
      <c r="B67" s="400" t="s">
        <v>8</v>
      </c>
      <c r="C67" s="310">
        <f>ROUND(C66*Labor!$D$3,0)</f>
        <v>0</v>
      </c>
      <c r="D67" s="310">
        <f>ROUND(D66*Labor!$D$4,0)</f>
        <v>24</v>
      </c>
      <c r="E67" s="310">
        <f>ROUND(E66*Labor!$D$5,0)</f>
        <v>50</v>
      </c>
      <c r="F67" s="310">
        <f>ROUND(F66*Labor!$D$6,0)</f>
        <v>110</v>
      </c>
      <c r="G67" s="310">
        <f>ROUND(G66*Labor!$D$7,0)</f>
        <v>63</v>
      </c>
      <c r="H67" s="310">
        <f>ROUND(H66*Labor!$D$8,0)</f>
        <v>0</v>
      </c>
      <c r="I67" s="167">
        <f t="shared" si="10"/>
        <v>247</v>
      </c>
      <c r="J67" s="284">
        <f>HLOOKUP(K$2,InflationTable,2)/HLOOKUP(Labor!$B$11,InflationTable,2)*$I67</f>
        <v>528.39197231833907</v>
      </c>
      <c r="K67" s="245">
        <f>J67*L$11</f>
        <v>587043.48124567466</v>
      </c>
      <c r="L67" s="246">
        <f t="shared" si="11"/>
        <v>587043.48124567466</v>
      </c>
      <c r="M67" s="169">
        <f>HLOOKUP(N$2,InflationTable,2)/HLOOKUP(Labor!$B$11,InflationTable,2)*$I67</f>
        <v>549.52765121107268</v>
      </c>
      <c r="N67" s="166">
        <f>M67*O$11</f>
        <v>610525.22049550177</v>
      </c>
      <c r="O67" s="167">
        <f t="shared" si="12"/>
        <v>610525.22049550177</v>
      </c>
      <c r="P67" s="284">
        <f>HLOOKUP(Q$2,InflationTable,2)/HLOOKUP(Labor!$B$11,InflationTable,2)*$I67</f>
        <v>560.51820423529409</v>
      </c>
      <c r="Q67" s="245">
        <f>P67*R$11</f>
        <v>622735.72490541171</v>
      </c>
      <c r="R67" s="246">
        <f t="shared" si="13"/>
        <v>622735.72490541171</v>
      </c>
      <c r="S67" s="169">
        <f t="shared" si="14"/>
        <v>606768.14221552934</v>
      </c>
      <c r="T67" s="174" t="s">
        <v>12</v>
      </c>
      <c r="U67" s="183" t="s">
        <v>12</v>
      </c>
    </row>
    <row r="68" spans="2:21" ht="13" x14ac:dyDescent="0.3">
      <c r="B68" s="401" t="s">
        <v>137</v>
      </c>
      <c r="C68" s="290">
        <v>0</v>
      </c>
      <c r="D68" s="290">
        <v>0</v>
      </c>
      <c r="E68" s="290">
        <v>4</v>
      </c>
      <c r="F68" s="290">
        <v>8</v>
      </c>
      <c r="G68" s="290">
        <v>0</v>
      </c>
      <c r="H68" s="290">
        <v>0</v>
      </c>
      <c r="I68" s="291">
        <f t="shared" si="10"/>
        <v>12</v>
      </c>
      <c r="J68" s="242" t="s">
        <v>12</v>
      </c>
      <c r="K68" s="273">
        <f>$I68*L$11*L$12</f>
        <v>9590</v>
      </c>
      <c r="L68" s="274">
        <f t="shared" si="11"/>
        <v>9590</v>
      </c>
      <c r="M68" s="53" t="s">
        <v>12</v>
      </c>
      <c r="N68" s="147">
        <f>$I68*O$11*O$12</f>
        <v>9590</v>
      </c>
      <c r="O68" s="148">
        <f t="shared" si="12"/>
        <v>9590</v>
      </c>
      <c r="P68" s="242" t="s">
        <v>12</v>
      </c>
      <c r="Q68" s="273">
        <f>$I68*R$11*R$12</f>
        <v>9590</v>
      </c>
      <c r="R68" s="274">
        <f t="shared" si="13"/>
        <v>9590</v>
      </c>
      <c r="S68" s="104">
        <f t="shared" si="14"/>
        <v>9590</v>
      </c>
      <c r="T68" s="42" t="s">
        <v>12</v>
      </c>
      <c r="U68" s="185" t="s">
        <v>12</v>
      </c>
    </row>
    <row r="69" spans="2:21" s="1" customFormat="1" ht="13.5" thickBot="1" x14ac:dyDescent="0.35">
      <c r="B69" s="400" t="s">
        <v>8</v>
      </c>
      <c r="C69" s="310">
        <f>ROUND(C68*Labor!$D$3,0)</f>
        <v>0</v>
      </c>
      <c r="D69" s="310">
        <f>ROUND(D68*Labor!$D$4,0)</f>
        <v>0</v>
      </c>
      <c r="E69" s="310">
        <f>ROUND(E68*Labor!$D$5,0)</f>
        <v>101</v>
      </c>
      <c r="F69" s="310">
        <f>ROUND(F68*Labor!$D$6,0)</f>
        <v>221</v>
      </c>
      <c r="G69" s="310">
        <f>ROUND(G68*Labor!$D$7,0)</f>
        <v>0</v>
      </c>
      <c r="H69" s="310">
        <f>ROUND(H68*Labor!$D$8,0)</f>
        <v>0</v>
      </c>
      <c r="I69" s="167">
        <f t="shared" si="10"/>
        <v>322</v>
      </c>
      <c r="J69" s="284">
        <f>HLOOKUP(K$2,InflationTable,2)/HLOOKUP(Labor!$B$11,InflationTable,2)*$I69</f>
        <v>688.83487889273351</v>
      </c>
      <c r="K69" s="245">
        <f>J69*L$11</f>
        <v>765295.55044982699</v>
      </c>
      <c r="L69" s="246">
        <f t="shared" si="11"/>
        <v>765295.55044982699</v>
      </c>
      <c r="M69" s="169">
        <f>HLOOKUP(N$2,InflationTable,2)/HLOOKUP(Labor!$B$11,InflationTable,2)*$I69</f>
        <v>716.38827404844301</v>
      </c>
      <c r="N69" s="166">
        <f>M69*O$11</f>
        <v>795907.37246782018</v>
      </c>
      <c r="O69" s="167">
        <f t="shared" si="12"/>
        <v>795907.37246782018</v>
      </c>
      <c r="P69" s="284">
        <f>HLOOKUP(Q$2,InflationTable,2)/HLOOKUP(Labor!$B$11,InflationTable,2)*$I69</f>
        <v>730.71603952941166</v>
      </c>
      <c r="Q69" s="245">
        <f>P69*R$11</f>
        <v>811825.51991717634</v>
      </c>
      <c r="R69" s="246">
        <f t="shared" si="13"/>
        <v>811825.51991717634</v>
      </c>
      <c r="S69" s="169">
        <f t="shared" si="14"/>
        <v>791009.48094494117</v>
      </c>
      <c r="T69" s="174" t="s">
        <v>12</v>
      </c>
      <c r="U69" s="183" t="s">
        <v>12</v>
      </c>
    </row>
    <row r="70" spans="2:21" ht="13" x14ac:dyDescent="0.3">
      <c r="B70" s="401" t="s">
        <v>136</v>
      </c>
      <c r="C70" s="290">
        <v>0</v>
      </c>
      <c r="D70" s="290">
        <v>1</v>
      </c>
      <c r="E70" s="290">
        <v>1</v>
      </c>
      <c r="F70" s="290">
        <v>2</v>
      </c>
      <c r="G70" s="290">
        <v>0</v>
      </c>
      <c r="H70" s="290">
        <v>0</v>
      </c>
      <c r="I70" s="291">
        <f t="shared" si="10"/>
        <v>4</v>
      </c>
      <c r="J70" s="242" t="s">
        <v>12</v>
      </c>
      <c r="K70" s="273">
        <f>$I70*L$11*L$12</f>
        <v>3196.666666666667</v>
      </c>
      <c r="L70" s="274">
        <f t="shared" si="11"/>
        <v>3196.666666666667</v>
      </c>
      <c r="M70" s="53" t="s">
        <v>12</v>
      </c>
      <c r="N70" s="147">
        <f>$I70*O$11*O$12</f>
        <v>3196.666666666667</v>
      </c>
      <c r="O70" s="148">
        <f t="shared" si="12"/>
        <v>3196.666666666667</v>
      </c>
      <c r="P70" s="242" t="s">
        <v>12</v>
      </c>
      <c r="Q70" s="273">
        <f>$I70*R$11*R$12</f>
        <v>3196.666666666667</v>
      </c>
      <c r="R70" s="274">
        <f t="shared" si="13"/>
        <v>3196.666666666667</v>
      </c>
      <c r="S70" s="104">
        <f t="shared" si="14"/>
        <v>3196.6666666666665</v>
      </c>
      <c r="T70" s="42" t="s">
        <v>12</v>
      </c>
      <c r="U70" s="185" t="s">
        <v>12</v>
      </c>
    </row>
    <row r="71" spans="2:21" s="1" customFormat="1" ht="13.5" thickBot="1" x14ac:dyDescent="0.35">
      <c r="B71" s="400" t="s">
        <v>8</v>
      </c>
      <c r="C71" s="310">
        <f>ROUND(C70*Labor!$D$3,0)</f>
        <v>0</v>
      </c>
      <c r="D71" s="310">
        <f>ROUND(D70*Labor!$D$4,0)</f>
        <v>24</v>
      </c>
      <c r="E71" s="310">
        <f>ROUND(E70*Labor!$D$5,0)</f>
        <v>25</v>
      </c>
      <c r="F71" s="310">
        <f>ROUND(F70*Labor!$D$6,0)</f>
        <v>55</v>
      </c>
      <c r="G71" s="310">
        <f>ROUND(G70*Labor!$D$7,0)</f>
        <v>0</v>
      </c>
      <c r="H71" s="310">
        <f>ROUND(H70*Labor!$D$8,0)</f>
        <v>0</v>
      </c>
      <c r="I71" s="167">
        <f t="shared" si="10"/>
        <v>104</v>
      </c>
      <c r="J71" s="284">
        <f>HLOOKUP(K$2,InflationTable,2)/HLOOKUP(Labor!$B$11,InflationTable,2)*$I71</f>
        <v>222.48083044982698</v>
      </c>
      <c r="K71" s="245">
        <f>J71*L$11</f>
        <v>247176.20262975778</v>
      </c>
      <c r="L71" s="246">
        <f t="shared" si="11"/>
        <v>247176.20262975778</v>
      </c>
      <c r="M71" s="169">
        <f>HLOOKUP(N$2,InflationTable,2)/HLOOKUP(Labor!$B$11,InflationTable,2)*$I71</f>
        <v>231.38006366782008</v>
      </c>
      <c r="N71" s="166">
        <f>M71*O$11</f>
        <v>257063.25073494812</v>
      </c>
      <c r="O71" s="167">
        <f t="shared" si="12"/>
        <v>257063.25073494812</v>
      </c>
      <c r="P71" s="284">
        <f>HLOOKUP(Q$2,InflationTable,2)/HLOOKUP(Labor!$B$11,InflationTable,2)*$I71</f>
        <v>236.00766494117644</v>
      </c>
      <c r="Q71" s="245">
        <f>P71*R$11</f>
        <v>262204.51574964705</v>
      </c>
      <c r="R71" s="246">
        <f t="shared" si="13"/>
        <v>262204.51574964705</v>
      </c>
      <c r="S71" s="169">
        <f t="shared" si="14"/>
        <v>255481.32303811764</v>
      </c>
      <c r="T71" s="323" t="s">
        <v>12</v>
      </c>
      <c r="U71" s="183" t="s">
        <v>12</v>
      </c>
    </row>
    <row r="72" spans="2:21" s="1" customFormat="1" ht="13" x14ac:dyDescent="0.3">
      <c r="B72" s="1095" t="s">
        <v>377</v>
      </c>
      <c r="C72" s="1100">
        <v>0</v>
      </c>
      <c r="D72" s="1100">
        <v>0.25</v>
      </c>
      <c r="E72" s="1100">
        <v>0</v>
      </c>
      <c r="F72" s="1100">
        <v>0</v>
      </c>
      <c r="G72" s="1100">
        <v>0</v>
      </c>
      <c r="H72" s="1100">
        <v>0</v>
      </c>
      <c r="I72" s="291">
        <f t="shared" si="10"/>
        <v>0.25</v>
      </c>
      <c r="J72" s="242" t="s">
        <v>12</v>
      </c>
      <c r="K72" s="273">
        <f>I72*$L$11</f>
        <v>277.75</v>
      </c>
      <c r="L72" s="274">
        <f t="shared" si="11"/>
        <v>277.75</v>
      </c>
      <c r="M72" s="53" t="s">
        <v>12</v>
      </c>
      <c r="N72" s="147">
        <f>$I$72*$O$11</f>
        <v>277.75</v>
      </c>
      <c r="O72" s="148">
        <f t="shared" si="12"/>
        <v>277.75</v>
      </c>
      <c r="P72" s="242" t="s">
        <v>12</v>
      </c>
      <c r="Q72" s="273">
        <f>$I$72*$R$11</f>
        <v>277.75</v>
      </c>
      <c r="R72" s="274">
        <f t="shared" si="13"/>
        <v>277.75</v>
      </c>
      <c r="S72" s="104">
        <f t="shared" si="14"/>
        <v>277.75</v>
      </c>
      <c r="T72" s="42" t="s">
        <v>12</v>
      </c>
      <c r="U72" s="119" t="s">
        <v>12</v>
      </c>
    </row>
    <row r="73" spans="2:21" s="1" customFormat="1" ht="13.5" thickBot="1" x14ac:dyDescent="0.35">
      <c r="B73" s="465" t="s">
        <v>8</v>
      </c>
      <c r="C73" s="1101">
        <f>ROUND(C72*Labor!$D$3,0)</f>
        <v>0</v>
      </c>
      <c r="D73" s="1101">
        <f>ROUND(D72*Labor!$D$3,0)</f>
        <v>6</v>
      </c>
      <c r="E73" s="1101">
        <f>ROUND(E72*Labor!$D$3,0)</f>
        <v>0</v>
      </c>
      <c r="F73" s="1101">
        <f>ROUND(F72*Labor!$D$3,0)</f>
        <v>0</v>
      </c>
      <c r="G73" s="1101">
        <f>ROUND(G72*Labor!$D$3,0)</f>
        <v>0</v>
      </c>
      <c r="H73" s="1101">
        <f>ROUND(H72*Labor!$D$3,0)</f>
        <v>0</v>
      </c>
      <c r="I73" s="1094">
        <f>SUM(C73:H73)</f>
        <v>6</v>
      </c>
      <c r="J73" s="284">
        <f>HLOOKUP(K$2,InflationTable,2)/HLOOKUP(Labor!$B$11,InflationTable,2)*$I73</f>
        <v>12.835432525951557</v>
      </c>
      <c r="K73" s="245">
        <f>J73*L$11</f>
        <v>14260.165536332181</v>
      </c>
      <c r="L73" s="320">
        <f>K73</f>
        <v>14260.165536332181</v>
      </c>
      <c r="M73" s="169">
        <f>HLOOKUP(N$2,InflationTable,2)/HLOOKUP(Labor!$B$11,InflationTable,2)*$I73</f>
        <v>13.348849826989621</v>
      </c>
      <c r="N73" s="55">
        <f>M73*$O$11</f>
        <v>14830.572157785469</v>
      </c>
      <c r="O73" s="77">
        <f t="shared" si="12"/>
        <v>14830.572157785469</v>
      </c>
      <c r="P73" s="284">
        <f>HLOOKUP(Q$2,InflationTable,2)/HLOOKUP(Labor!$B$11,InflationTable,2)*$I73</f>
        <v>13.61582682352941</v>
      </c>
      <c r="Q73" s="219">
        <f>P73*$R$11</f>
        <v>15127.183600941175</v>
      </c>
      <c r="R73" s="256">
        <f t="shared" si="13"/>
        <v>15127.183600941175</v>
      </c>
      <c r="S73" s="103">
        <f t="shared" si="14"/>
        <v>14739.307098352941</v>
      </c>
      <c r="T73" s="110" t="s">
        <v>12</v>
      </c>
      <c r="U73" s="115" t="s">
        <v>12</v>
      </c>
    </row>
    <row r="74" spans="2:21" ht="13" x14ac:dyDescent="0.3">
      <c r="B74" s="328" t="s">
        <v>66</v>
      </c>
      <c r="C74" s="30">
        <f t="shared" ref="C74:I75" si="15">C64+C66+C68+C70</f>
        <v>0</v>
      </c>
      <c r="D74" s="30">
        <f t="shared" si="15"/>
        <v>8</v>
      </c>
      <c r="E74" s="30">
        <f t="shared" si="15"/>
        <v>10</v>
      </c>
      <c r="F74" s="30">
        <f t="shared" si="15"/>
        <v>17</v>
      </c>
      <c r="G74" s="30">
        <f t="shared" si="15"/>
        <v>4</v>
      </c>
      <c r="H74" s="30">
        <f t="shared" si="15"/>
        <v>0</v>
      </c>
      <c r="I74" s="39">
        <f t="shared" si="15"/>
        <v>39</v>
      </c>
      <c r="J74" s="249" t="s">
        <v>12</v>
      </c>
      <c r="K74" s="235">
        <f>K64+K66+K68+K70+K72</f>
        <v>31445.250000000004</v>
      </c>
      <c r="L74" s="260">
        <f>L64+L66+L68+L70+L72</f>
        <v>31445.250000000004</v>
      </c>
      <c r="M74" s="70" t="s">
        <v>12</v>
      </c>
      <c r="N74" s="28">
        <f>N64+N66+N68+N70+N72</f>
        <v>31445.250000000004</v>
      </c>
      <c r="O74" s="81">
        <f>O64+O66+O68+O70+O72</f>
        <v>31445.250000000004</v>
      </c>
      <c r="P74" s="249" t="s">
        <v>12</v>
      </c>
      <c r="Q74" s="235">
        <f>Q64+Q66+Q68+Q70+Q72</f>
        <v>31445.250000000004</v>
      </c>
      <c r="R74" s="260">
        <f>R64+R66+R68+R70+R72</f>
        <v>31445.250000000004</v>
      </c>
      <c r="S74" s="104">
        <f t="shared" si="14"/>
        <v>31445.250000000004</v>
      </c>
      <c r="T74" s="42" t="s">
        <v>12</v>
      </c>
      <c r="U74" s="185" t="s">
        <v>12</v>
      </c>
    </row>
    <row r="75" spans="2:21" s="1" customFormat="1" ht="13.5" thickBot="1" x14ac:dyDescent="0.35">
      <c r="B75" s="402" t="s">
        <v>67</v>
      </c>
      <c r="C75" s="194">
        <f t="shared" si="15"/>
        <v>0</v>
      </c>
      <c r="D75" s="194">
        <f t="shared" si="15"/>
        <v>193</v>
      </c>
      <c r="E75" s="194">
        <f t="shared" si="15"/>
        <v>252</v>
      </c>
      <c r="F75" s="194">
        <f t="shared" si="15"/>
        <v>469</v>
      </c>
      <c r="G75" s="194">
        <f t="shared" si="15"/>
        <v>126</v>
      </c>
      <c r="H75" s="194">
        <f t="shared" si="15"/>
        <v>0</v>
      </c>
      <c r="I75" s="197">
        <f t="shared" si="15"/>
        <v>1040</v>
      </c>
      <c r="J75" s="261">
        <f>J65+J67+J69+J71+J73</f>
        <v>2237.6437370242215</v>
      </c>
      <c r="K75" s="225">
        <f>K65+K67+K69+K71+K73</f>
        <v>2486022.1918339096</v>
      </c>
      <c r="L75" s="226">
        <f>L65+L67+L69+L71+L73</f>
        <v>2486022.1918339096</v>
      </c>
      <c r="M75" s="196">
        <f>M65+M67+M69+M71+M73</f>
        <v>2327.1494865051905</v>
      </c>
      <c r="N75" s="194">
        <f>N65+N67+N69+N71+N73</f>
        <v>2585463.0795072666</v>
      </c>
      <c r="O75" s="197">
        <f>O65+O67+O69+O71+O73</f>
        <v>2585463.0795072666</v>
      </c>
      <c r="P75" s="261">
        <f>P65+P67+P69+P71+P73</f>
        <v>2373.6924762352937</v>
      </c>
      <c r="Q75" s="225">
        <f>Q65+Q67+Q69+Q71+Q73</f>
        <v>2637172.3410974112</v>
      </c>
      <c r="R75" s="226">
        <f>R65+R67+R69+R71+R73</f>
        <v>2637172.3410974112</v>
      </c>
      <c r="S75" s="206">
        <f t="shared" si="14"/>
        <v>2569552.5374795292</v>
      </c>
      <c r="T75" s="203" t="s">
        <v>12</v>
      </c>
      <c r="U75" s="186" t="s">
        <v>12</v>
      </c>
    </row>
    <row r="76" spans="2:21" s="1" customFormat="1" ht="13.5" thickTop="1" x14ac:dyDescent="0.3">
      <c r="C76" s="517"/>
      <c r="D76" s="517"/>
      <c r="E76" s="517"/>
      <c r="F76" s="517"/>
      <c r="G76" s="517"/>
      <c r="H76" s="517"/>
      <c r="I76" s="517"/>
      <c r="J76" s="517"/>
      <c r="K76" s="517"/>
      <c r="L76" s="517"/>
      <c r="M76" s="517"/>
      <c r="N76" s="517"/>
      <c r="O76" s="517"/>
      <c r="P76" s="517"/>
      <c r="Q76" s="517"/>
      <c r="R76" s="517"/>
      <c r="S76" s="520"/>
      <c r="T76" s="521"/>
      <c r="U76" s="521"/>
    </row>
    <row r="77" spans="2:21" ht="13" thickBot="1" x14ac:dyDescent="0.3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2:21" ht="15.5" x14ac:dyDescent="0.35">
      <c r="B78" s="396" t="s">
        <v>149</v>
      </c>
      <c r="F78" s="1" t="s">
        <v>6</v>
      </c>
      <c r="G78" s="1160"/>
      <c r="H78" s="1161"/>
      <c r="I78" s="1162"/>
      <c r="J78" s="2" t="s">
        <v>28</v>
      </c>
      <c r="L78" s="31"/>
      <c r="M78" s="2" t="s">
        <v>28</v>
      </c>
      <c r="O78" s="31"/>
      <c r="P78" s="2" t="s">
        <v>28</v>
      </c>
      <c r="R78" s="31"/>
      <c r="S78" s="97"/>
      <c r="T78" s="108"/>
      <c r="U78" s="182"/>
    </row>
    <row r="79" spans="2:21" ht="13" x14ac:dyDescent="0.3">
      <c r="B79" s="393"/>
      <c r="I79" s="32" t="s">
        <v>61</v>
      </c>
      <c r="J79" s="227" t="s">
        <v>61</v>
      </c>
      <c r="K79" s="1167" t="s">
        <v>57</v>
      </c>
      <c r="L79" s="1168"/>
      <c r="M79" s="50" t="s">
        <v>61</v>
      </c>
      <c r="N79" s="1177" t="s">
        <v>57</v>
      </c>
      <c r="O79" s="1181"/>
      <c r="P79" s="266" t="s">
        <v>61</v>
      </c>
      <c r="Q79" s="1167" t="s">
        <v>57</v>
      </c>
      <c r="R79" s="1168"/>
      <c r="S79" s="101"/>
      <c r="T79" s="108"/>
      <c r="U79" s="182"/>
    </row>
    <row r="80" spans="2:21" ht="13" x14ac:dyDescent="0.3">
      <c r="B80" s="393"/>
      <c r="C80" s="20" t="s">
        <v>45</v>
      </c>
      <c r="D80" s="20" t="s">
        <v>46</v>
      </c>
      <c r="E80" s="20" t="s">
        <v>47</v>
      </c>
      <c r="F80" s="20" t="s">
        <v>48</v>
      </c>
      <c r="G80" s="20" t="s">
        <v>49</v>
      </c>
      <c r="H80" s="20" t="s">
        <v>50</v>
      </c>
      <c r="I80" s="32" t="s">
        <v>13</v>
      </c>
      <c r="J80" s="210" t="s">
        <v>56</v>
      </c>
      <c r="K80" s="211" t="s">
        <v>13</v>
      </c>
      <c r="L80" s="212" t="s">
        <v>68</v>
      </c>
      <c r="M80" s="66" t="s">
        <v>56</v>
      </c>
      <c r="N80" s="20" t="s">
        <v>13</v>
      </c>
      <c r="O80" s="32" t="s">
        <v>68</v>
      </c>
      <c r="P80" s="210" t="s">
        <v>56</v>
      </c>
      <c r="Q80" s="211" t="s">
        <v>13</v>
      </c>
      <c r="R80" s="212" t="s">
        <v>68</v>
      </c>
      <c r="S80" s="95"/>
      <c r="T80" s="108"/>
      <c r="U80" s="182"/>
    </row>
    <row r="81" spans="2:21" ht="13" x14ac:dyDescent="0.3">
      <c r="B81" s="397" t="s">
        <v>132</v>
      </c>
      <c r="C81" s="18">
        <v>0</v>
      </c>
      <c r="D81" s="18">
        <v>0</v>
      </c>
      <c r="E81" s="18">
        <v>0</v>
      </c>
      <c r="F81" s="18">
        <v>20</v>
      </c>
      <c r="G81" s="18">
        <v>16</v>
      </c>
      <c r="H81" s="18">
        <v>0</v>
      </c>
      <c r="I81" s="45">
        <f>SUM(C81:H81)</f>
        <v>36</v>
      </c>
      <c r="J81" s="213" t="s">
        <v>12</v>
      </c>
      <c r="K81" s="231">
        <f>$I81*L$11*L$12</f>
        <v>28770.000000000004</v>
      </c>
      <c r="L81" s="239">
        <f>K81</f>
        <v>28770.000000000004</v>
      </c>
      <c r="M81" s="51" t="s">
        <v>12</v>
      </c>
      <c r="N81" s="58">
        <f>$I$81*$O$11*O$12</f>
        <v>28770.000000000004</v>
      </c>
      <c r="O81" s="57">
        <f>N81</f>
        <v>28770.000000000004</v>
      </c>
      <c r="P81" s="213" t="s">
        <v>12</v>
      </c>
      <c r="Q81" s="231">
        <f>$I$81*R$11*R$12</f>
        <v>28770.000000000004</v>
      </c>
      <c r="R81" s="239">
        <f>Q81</f>
        <v>28770.000000000004</v>
      </c>
      <c r="S81" s="96">
        <f>AVERAGE(L81,O81,R81)</f>
        <v>28770.000000000004</v>
      </c>
      <c r="T81" s="34" t="s">
        <v>12</v>
      </c>
      <c r="U81" s="185" t="s">
        <v>12</v>
      </c>
    </row>
    <row r="82" spans="2:21" s="1" customFormat="1" ht="13.5" thickBot="1" x14ac:dyDescent="0.35">
      <c r="B82" s="407" t="s">
        <v>8</v>
      </c>
      <c r="C82" s="310">
        <f>ROUND(C81*Labor!$D$3,0)</f>
        <v>0</v>
      </c>
      <c r="D82" s="310">
        <f>ROUND(D81*Labor!$D$4,0)</f>
        <v>0</v>
      </c>
      <c r="E82" s="310">
        <f>ROUND(E81*Labor!$D$5,0)</f>
        <v>0</v>
      </c>
      <c r="F82" s="310">
        <f>ROUND(F81*Labor!$D$6,0)</f>
        <v>551</v>
      </c>
      <c r="G82" s="310">
        <f>ROUND(G81*Labor!$D$7,0)</f>
        <v>501</v>
      </c>
      <c r="H82" s="310">
        <f>ROUND(H81*Labor!$D$8,0)</f>
        <v>0</v>
      </c>
      <c r="I82" s="167">
        <f>SUM(C82:H82)</f>
        <v>1052</v>
      </c>
      <c r="J82" s="284">
        <f>HLOOKUP(K$2,InflationTable,2)/HLOOKUP(Labor!$B$11,InflationTable,2)*$I82</f>
        <v>2250.4791695501726</v>
      </c>
      <c r="K82" s="245">
        <f>J82*L$11</f>
        <v>2500282.357370242</v>
      </c>
      <c r="L82" s="246">
        <f>K82</f>
        <v>2500282.357370242</v>
      </c>
      <c r="M82" s="169">
        <f>HLOOKUP(N$2,InflationTable,2)/HLOOKUP(Labor!$B$11,InflationTable,2)*$I82</f>
        <v>2340.4983363321803</v>
      </c>
      <c r="N82" s="166">
        <f>M82*$O$11</f>
        <v>2600293.6516650524</v>
      </c>
      <c r="O82" s="167">
        <f>N82</f>
        <v>2600293.6516650524</v>
      </c>
      <c r="P82" s="284">
        <f>HLOOKUP(Q$2,InflationTable,2)/HLOOKUP(Labor!$B$11,InflationTable,2)*$I82</f>
        <v>2387.3083030588232</v>
      </c>
      <c r="Q82" s="245">
        <f>P82*$R$11</f>
        <v>2652299.5246983524</v>
      </c>
      <c r="R82" s="246">
        <f>Q82</f>
        <v>2652299.5246983524</v>
      </c>
      <c r="S82" s="169">
        <f>AVERAGE(L82,O82,R82)</f>
        <v>2584291.8445778824</v>
      </c>
      <c r="T82" s="323" t="s">
        <v>12</v>
      </c>
      <c r="U82" s="183" t="s">
        <v>12</v>
      </c>
    </row>
    <row r="83" spans="2:21" ht="13" x14ac:dyDescent="0.3">
      <c r="B83" s="401" t="s">
        <v>133</v>
      </c>
      <c r="C83" s="290">
        <v>0</v>
      </c>
      <c r="D83" s="290">
        <v>26</v>
      </c>
      <c r="E83" s="290">
        <v>0</v>
      </c>
      <c r="F83" s="290">
        <v>0</v>
      </c>
      <c r="G83" s="290">
        <v>0</v>
      </c>
      <c r="H83" s="290">
        <v>0</v>
      </c>
      <c r="I83" s="291">
        <f>SUM(C83:H83)</f>
        <v>26</v>
      </c>
      <c r="J83" s="242" t="s">
        <v>12</v>
      </c>
      <c r="K83" s="273">
        <f>$I83*L$11*L$12</f>
        <v>20778.333333333336</v>
      </c>
      <c r="L83" s="274">
        <f>K83</f>
        <v>20778.333333333336</v>
      </c>
      <c r="M83" s="53" t="s">
        <v>12</v>
      </c>
      <c r="N83" s="147">
        <f>$I$83*$O$11*O$12</f>
        <v>20778.333333333336</v>
      </c>
      <c r="O83" s="148">
        <f>N83</f>
        <v>20778.333333333336</v>
      </c>
      <c r="P83" s="242" t="s">
        <v>12</v>
      </c>
      <c r="Q83" s="273">
        <f>$I$83*R$11*R$12</f>
        <v>20778.333333333336</v>
      </c>
      <c r="R83" s="274">
        <f>Q83</f>
        <v>20778.333333333336</v>
      </c>
      <c r="S83" s="104">
        <f>AVERAGE(L83,O83,R83)</f>
        <v>20778.333333333336</v>
      </c>
      <c r="T83" s="34" t="s">
        <v>12</v>
      </c>
      <c r="U83" s="185" t="s">
        <v>12</v>
      </c>
    </row>
    <row r="84" spans="2:21" s="1" customFormat="1" ht="13.5" thickBot="1" x14ac:dyDescent="0.35">
      <c r="B84" s="407" t="s">
        <v>8</v>
      </c>
      <c r="C84" s="310">
        <f>ROUND(C83*Labor!$D$3,0)</f>
        <v>0</v>
      </c>
      <c r="D84" s="310">
        <f>ROUND(D83*Labor!$D$4,0)</f>
        <v>629</v>
      </c>
      <c r="E84" s="310">
        <f>ROUND(E83*Labor!$D$5,0)</f>
        <v>0</v>
      </c>
      <c r="F84" s="310">
        <f>ROUND(F83*Labor!$D$6,0)</f>
        <v>0</v>
      </c>
      <c r="G84" s="310">
        <f>ROUND(G83*Labor!$D$7,0)</f>
        <v>0</v>
      </c>
      <c r="H84" s="310">
        <f>ROUND(H83*Labor!$D$8,0)</f>
        <v>0</v>
      </c>
      <c r="I84" s="167">
        <f>SUM(C84:H84)</f>
        <v>629</v>
      </c>
      <c r="J84" s="284">
        <f>HLOOKUP(K$2,InflationTable,2)/HLOOKUP(Labor!$B$11,InflationTable,2)*$I84</f>
        <v>1345.5811764705882</v>
      </c>
      <c r="K84" s="245">
        <f>J84*L$11</f>
        <v>1494940.6870588234</v>
      </c>
      <c r="L84" s="246">
        <f>K84</f>
        <v>1494940.6870588234</v>
      </c>
      <c r="M84" s="169">
        <f>HLOOKUP(N$2,InflationTable,2)/HLOOKUP(Labor!$B$11,InflationTable,2)*$I84</f>
        <v>1399.4044235294118</v>
      </c>
      <c r="N84" s="166">
        <f>M84*$O$11</f>
        <v>1554738.3145411764</v>
      </c>
      <c r="O84" s="167">
        <f>N84</f>
        <v>1554738.3145411764</v>
      </c>
      <c r="P84" s="284">
        <f>HLOOKUP(Q$2,InflationTable,2)/HLOOKUP(Labor!$B$11,InflationTable,2)*$I84</f>
        <v>1427.3925119999999</v>
      </c>
      <c r="Q84" s="245">
        <f>P84*$R$11</f>
        <v>1585833.0808319999</v>
      </c>
      <c r="R84" s="246">
        <f>Q84</f>
        <v>1585833.0808319999</v>
      </c>
      <c r="S84" s="169">
        <f>AVERAGE(L84,O84,R84)</f>
        <v>1545170.6941440001</v>
      </c>
      <c r="T84" s="323" t="s">
        <v>12</v>
      </c>
      <c r="U84" s="183" t="s">
        <v>12</v>
      </c>
    </row>
    <row r="85" spans="2:21" ht="13" x14ac:dyDescent="0.3">
      <c r="B85" s="401" t="s">
        <v>20</v>
      </c>
      <c r="C85" s="86" t="s">
        <v>45</v>
      </c>
      <c r="D85" s="86" t="s">
        <v>46</v>
      </c>
      <c r="E85" s="86" t="s">
        <v>47</v>
      </c>
      <c r="F85" s="86" t="s">
        <v>48</v>
      </c>
      <c r="G85" s="86" t="s">
        <v>49</v>
      </c>
      <c r="H85" s="86" t="s">
        <v>50</v>
      </c>
      <c r="I85" s="87" t="s">
        <v>13</v>
      </c>
      <c r="J85" s="292"/>
      <c r="K85" s="293"/>
      <c r="L85" s="296"/>
      <c r="M85" s="88"/>
      <c r="N85" s="86"/>
      <c r="O85" s="87"/>
      <c r="P85" s="292"/>
      <c r="Q85" s="293"/>
      <c r="R85" s="296"/>
      <c r="S85" s="98"/>
      <c r="T85" s="108"/>
      <c r="U85" s="182"/>
    </row>
    <row r="86" spans="2:21" x14ac:dyDescent="0.25">
      <c r="B86" s="398" t="s">
        <v>4</v>
      </c>
      <c r="C86" s="18">
        <v>0</v>
      </c>
      <c r="D86" s="18">
        <v>0</v>
      </c>
      <c r="E86" s="18">
        <v>0</v>
      </c>
      <c r="F86" s="18">
        <v>2</v>
      </c>
      <c r="G86" s="18">
        <v>2</v>
      </c>
      <c r="H86" s="18">
        <v>0</v>
      </c>
      <c r="I86" s="45">
        <f t="shared" ref="I86:I91" si="16">SUM(C86:H86)</f>
        <v>4</v>
      </c>
      <c r="J86" s="213" t="s">
        <v>12</v>
      </c>
      <c r="K86" s="231">
        <f>$I86*L$11*L$12</f>
        <v>3196.666666666667</v>
      </c>
      <c r="L86" s="239">
        <f t="shared" ref="L86:L91" si="17">K86</f>
        <v>3196.666666666667</v>
      </c>
      <c r="M86" s="51" t="s">
        <v>12</v>
      </c>
      <c r="N86" s="58">
        <f>$I86*$O$11*O$12</f>
        <v>3196.666666666667</v>
      </c>
      <c r="O86" s="57">
        <f t="shared" ref="O86:O91" si="18">N86</f>
        <v>3196.666666666667</v>
      </c>
      <c r="P86" s="213" t="s">
        <v>12</v>
      </c>
      <c r="Q86" s="231">
        <f>$I86*R$11*R$12</f>
        <v>3196.666666666667</v>
      </c>
      <c r="R86" s="239">
        <f t="shared" ref="R86:R91" si="19">Q86</f>
        <v>3196.666666666667</v>
      </c>
      <c r="S86" s="96">
        <f t="shared" ref="S86:S91" si="20">AVERAGE(L86,O86,R86)</f>
        <v>3196.6666666666665</v>
      </c>
      <c r="T86" s="34" t="s">
        <v>12</v>
      </c>
      <c r="U86" s="185" t="s">
        <v>12</v>
      </c>
    </row>
    <row r="87" spans="2:21" s="1" customFormat="1" ht="13.5" thickBot="1" x14ac:dyDescent="0.35">
      <c r="B87" s="407" t="s">
        <v>8</v>
      </c>
      <c r="C87" s="310">
        <f>ROUND(C86*Labor!$D$3,0)</f>
        <v>0</v>
      </c>
      <c r="D87" s="310">
        <f>ROUND(D86*Labor!$D$4,0)</f>
        <v>0</v>
      </c>
      <c r="E87" s="310">
        <f>ROUND(E86*Labor!$D$5,0)</f>
        <v>0</v>
      </c>
      <c r="F87" s="310">
        <f>ROUND(F86*Labor!$D$6,0)</f>
        <v>55</v>
      </c>
      <c r="G87" s="310">
        <f>ROUND(G86*Labor!$D$7,0)</f>
        <v>63</v>
      </c>
      <c r="H87" s="310">
        <f>ROUND(H86*Labor!$D$8,0)</f>
        <v>0</v>
      </c>
      <c r="I87" s="167">
        <f t="shared" si="16"/>
        <v>118</v>
      </c>
      <c r="J87" s="284">
        <f>HLOOKUP(K$2,InflationTable,2)/HLOOKUP(Labor!$B$11,InflationTable,2)*$I87</f>
        <v>252.4301730103806</v>
      </c>
      <c r="K87" s="245">
        <f>J87*L$11</f>
        <v>280449.92221453285</v>
      </c>
      <c r="L87" s="246">
        <f t="shared" si="17"/>
        <v>280449.92221453285</v>
      </c>
      <c r="M87" s="169">
        <f>HLOOKUP(N$2,InflationTable,2)/HLOOKUP(Labor!$B$11,InflationTable,2)*$I87</f>
        <v>262.52737993079586</v>
      </c>
      <c r="N87" s="166">
        <f>M87*$O$11</f>
        <v>291667.91910311423</v>
      </c>
      <c r="O87" s="167">
        <f t="shared" si="18"/>
        <v>291667.91910311423</v>
      </c>
      <c r="P87" s="284">
        <f>HLOOKUP(Q$2,InflationTable,2)/HLOOKUP(Labor!$B$11,InflationTable,2)*$I87</f>
        <v>267.77792752941173</v>
      </c>
      <c r="Q87" s="245">
        <f>P87*$R$11</f>
        <v>297501.27748517646</v>
      </c>
      <c r="R87" s="246">
        <f t="shared" si="19"/>
        <v>297501.27748517646</v>
      </c>
      <c r="S87" s="169">
        <f t="shared" si="20"/>
        <v>289873.03960094118</v>
      </c>
      <c r="T87" s="323" t="s">
        <v>12</v>
      </c>
      <c r="U87" s="183" t="s">
        <v>12</v>
      </c>
    </row>
    <row r="88" spans="2:21" ht="13" x14ac:dyDescent="0.3">
      <c r="B88" s="401" t="s">
        <v>134</v>
      </c>
      <c r="C88" s="290">
        <v>0</v>
      </c>
      <c r="D88" s="290">
        <v>1</v>
      </c>
      <c r="E88" s="290">
        <v>1</v>
      </c>
      <c r="F88" s="290">
        <v>2</v>
      </c>
      <c r="G88" s="290">
        <v>1</v>
      </c>
      <c r="H88" s="290">
        <v>0</v>
      </c>
      <c r="I88" s="291">
        <f t="shared" si="16"/>
        <v>5</v>
      </c>
      <c r="J88" s="242" t="s">
        <v>12</v>
      </c>
      <c r="K88" s="273">
        <f>$I88*L$11</f>
        <v>5555</v>
      </c>
      <c r="L88" s="274">
        <f t="shared" si="17"/>
        <v>5555</v>
      </c>
      <c r="M88" s="53" t="s">
        <v>12</v>
      </c>
      <c r="N88" s="147">
        <f>$I88*$O$11</f>
        <v>5555</v>
      </c>
      <c r="O88" s="148">
        <f t="shared" si="18"/>
        <v>5555</v>
      </c>
      <c r="P88" s="242" t="s">
        <v>12</v>
      </c>
      <c r="Q88" s="273">
        <f>$I88*$R$11</f>
        <v>5555</v>
      </c>
      <c r="R88" s="274">
        <f t="shared" si="19"/>
        <v>5555</v>
      </c>
      <c r="S88" s="104">
        <f t="shared" si="20"/>
        <v>5555</v>
      </c>
      <c r="T88" s="34" t="s">
        <v>12</v>
      </c>
      <c r="U88" s="185" t="s">
        <v>12</v>
      </c>
    </row>
    <row r="89" spans="2:21" s="1" customFormat="1" ht="13.5" thickBot="1" x14ac:dyDescent="0.35">
      <c r="B89" s="407" t="s">
        <v>8</v>
      </c>
      <c r="C89" s="310">
        <f>ROUND(C88*Labor!$D$3,0)</f>
        <v>0</v>
      </c>
      <c r="D89" s="310">
        <f>ROUND(D88*Labor!$D$4,0)</f>
        <v>24</v>
      </c>
      <c r="E89" s="310">
        <f>ROUND(E88*Labor!$D$5,0)</f>
        <v>25</v>
      </c>
      <c r="F89" s="310">
        <f>ROUND(F88*Labor!$D$6,0)</f>
        <v>55</v>
      </c>
      <c r="G89" s="310">
        <f>ROUND(G88*Labor!$D$7,0)</f>
        <v>31</v>
      </c>
      <c r="H89" s="310">
        <f>ROUND(H88*Labor!$D$8,0)</f>
        <v>0</v>
      </c>
      <c r="I89" s="167">
        <f t="shared" si="16"/>
        <v>135</v>
      </c>
      <c r="J89" s="284">
        <f>HLOOKUP(K$2,InflationTable,2)/HLOOKUP(Labor!$B$11,InflationTable,2)*$I89</f>
        <v>288.79723183391002</v>
      </c>
      <c r="K89" s="245">
        <f>J89*L$11</f>
        <v>320853.72456747404</v>
      </c>
      <c r="L89" s="246">
        <f t="shared" si="17"/>
        <v>320853.72456747404</v>
      </c>
      <c r="M89" s="169">
        <f>HLOOKUP(N$2,InflationTable,2)/HLOOKUP(Labor!$B$11,InflationTable,2)*$I89</f>
        <v>300.34912110726646</v>
      </c>
      <c r="N89" s="166">
        <f>M89*$O$11</f>
        <v>333687.87355017301</v>
      </c>
      <c r="O89" s="167">
        <f t="shared" si="18"/>
        <v>333687.87355017301</v>
      </c>
      <c r="P89" s="284">
        <f>HLOOKUP(Q$2,InflationTable,2)/HLOOKUP(Labor!$B$11,InflationTable,2)*$I89</f>
        <v>306.35610352941171</v>
      </c>
      <c r="Q89" s="315">
        <f>P89*$R$11</f>
        <v>340361.63102117641</v>
      </c>
      <c r="R89" s="316">
        <f t="shared" si="19"/>
        <v>340361.63102117641</v>
      </c>
      <c r="S89" s="312">
        <f t="shared" si="20"/>
        <v>331634.40971294115</v>
      </c>
      <c r="T89" s="363" t="s">
        <v>12</v>
      </c>
      <c r="U89" s="417" t="s">
        <v>12</v>
      </c>
    </row>
    <row r="90" spans="2:21" ht="13" x14ac:dyDescent="0.3">
      <c r="B90" s="401" t="s">
        <v>135</v>
      </c>
      <c r="C90" s="290">
        <v>0</v>
      </c>
      <c r="D90" s="290">
        <v>0</v>
      </c>
      <c r="E90" s="290">
        <v>0</v>
      </c>
      <c r="F90" s="290">
        <v>3</v>
      </c>
      <c r="G90" s="290">
        <v>2</v>
      </c>
      <c r="H90" s="290">
        <v>0</v>
      </c>
      <c r="I90" s="291">
        <f t="shared" si="16"/>
        <v>5</v>
      </c>
      <c r="J90" s="242" t="s">
        <v>12</v>
      </c>
      <c r="K90" s="273">
        <f>I90*$L$11*L$12</f>
        <v>3995.8333333333335</v>
      </c>
      <c r="L90" s="274">
        <f t="shared" si="17"/>
        <v>3995.8333333333335</v>
      </c>
      <c r="M90" s="53" t="s">
        <v>12</v>
      </c>
      <c r="N90" s="147">
        <f>$I90*$O$11*O$12</f>
        <v>3995.8333333333335</v>
      </c>
      <c r="O90" s="148">
        <f t="shared" si="18"/>
        <v>3995.8333333333335</v>
      </c>
      <c r="P90" s="213" t="s">
        <v>12</v>
      </c>
      <c r="Q90" s="231">
        <f>$I90*$R$11*R$12</f>
        <v>3995.8333333333335</v>
      </c>
      <c r="R90" s="239">
        <f t="shared" si="19"/>
        <v>3995.8333333333335</v>
      </c>
      <c r="S90" s="96">
        <f t="shared" si="20"/>
        <v>3995.8333333333335</v>
      </c>
      <c r="T90" s="34" t="s">
        <v>12</v>
      </c>
      <c r="U90" s="185" t="s">
        <v>12</v>
      </c>
    </row>
    <row r="91" spans="2:21" s="1" customFormat="1" ht="13.5" thickBot="1" x14ac:dyDescent="0.35">
      <c r="B91" s="407" t="s">
        <v>8</v>
      </c>
      <c r="C91" s="310">
        <f>ROUND(C90*Labor!$D$3,0)</f>
        <v>0</v>
      </c>
      <c r="D91" s="310">
        <f>ROUND(D90*Labor!$D$4,0)</f>
        <v>0</v>
      </c>
      <c r="E91" s="310">
        <f>ROUND(E90*Labor!$D$5,0)</f>
        <v>0</v>
      </c>
      <c r="F91" s="310">
        <f>ROUND(F90*Labor!$D$6,0)</f>
        <v>83</v>
      </c>
      <c r="G91" s="310">
        <f>ROUND(G90*Labor!$D$7,0)</f>
        <v>63</v>
      </c>
      <c r="H91" s="310">
        <f>ROUND(H90*Labor!$D$8,0)</f>
        <v>0</v>
      </c>
      <c r="I91" s="167">
        <f t="shared" si="16"/>
        <v>146</v>
      </c>
      <c r="J91" s="284">
        <f>HLOOKUP(K$2,InflationTable,2)/HLOOKUP(Labor!$B$11,InflationTable,2)*$I91</f>
        <v>312.32885813148789</v>
      </c>
      <c r="K91" s="439">
        <f>J91*L$11</f>
        <v>346997.36138408305</v>
      </c>
      <c r="L91" s="246">
        <f t="shared" si="17"/>
        <v>346997.36138408305</v>
      </c>
      <c r="M91" s="169">
        <f>HLOOKUP(N$2,InflationTable,2)/HLOOKUP(Labor!$B$11,InflationTable,2)*$I91</f>
        <v>324.82201245674742</v>
      </c>
      <c r="N91" s="166">
        <f>M91*$O$11</f>
        <v>360877.25583944638</v>
      </c>
      <c r="O91" s="167">
        <f t="shared" si="18"/>
        <v>360877.25583944638</v>
      </c>
      <c r="P91" s="284">
        <f>HLOOKUP(Q$2,InflationTable,2)/HLOOKUP(Labor!$B$11,InflationTable,2)*$I91</f>
        <v>331.31845270588229</v>
      </c>
      <c r="Q91" s="245">
        <f>P91*$R$11</f>
        <v>368094.80095623521</v>
      </c>
      <c r="R91" s="246">
        <f t="shared" si="19"/>
        <v>368094.80095623521</v>
      </c>
      <c r="S91" s="169">
        <f t="shared" si="20"/>
        <v>358656.4727265882</v>
      </c>
      <c r="T91" s="323" t="s">
        <v>12</v>
      </c>
      <c r="U91" s="183" t="s">
        <v>12</v>
      </c>
    </row>
    <row r="92" spans="2:21" ht="13" x14ac:dyDescent="0.3">
      <c r="B92" s="393"/>
      <c r="C92" s="30"/>
      <c r="D92" s="30"/>
      <c r="E92" s="30"/>
      <c r="F92" s="30"/>
      <c r="G92" s="30"/>
      <c r="H92" s="30"/>
      <c r="I92" s="87" t="s">
        <v>55</v>
      </c>
      <c r="J92" s="209"/>
      <c r="K92" s="1176"/>
      <c r="L92" s="1184"/>
      <c r="M92" s="130"/>
      <c r="N92" s="1179"/>
      <c r="O92" s="1180"/>
      <c r="P92" s="209"/>
      <c r="Q92" s="1176"/>
      <c r="R92" s="1184"/>
      <c r="S92" s="139"/>
      <c r="T92" s="108"/>
      <c r="U92" s="182"/>
    </row>
    <row r="93" spans="2:21" ht="13" x14ac:dyDescent="0.3">
      <c r="B93" s="408" t="s">
        <v>29</v>
      </c>
      <c r="C93" s="20" t="s">
        <v>45</v>
      </c>
      <c r="D93" s="20" t="s">
        <v>46</v>
      </c>
      <c r="E93" s="20" t="s">
        <v>47</v>
      </c>
      <c r="F93" s="20" t="s">
        <v>48</v>
      </c>
      <c r="G93" s="20" t="s">
        <v>49</v>
      </c>
      <c r="H93" s="20" t="s">
        <v>50</v>
      </c>
      <c r="I93" s="32" t="s">
        <v>17</v>
      </c>
      <c r="J93" s="210"/>
      <c r="K93" s="211"/>
      <c r="L93" s="212"/>
      <c r="M93" s="66"/>
      <c r="N93" s="20"/>
      <c r="O93" s="32"/>
      <c r="P93" s="210"/>
      <c r="Q93" s="211"/>
      <c r="R93" s="212"/>
      <c r="S93" s="95"/>
      <c r="T93" s="108"/>
      <c r="U93" s="182"/>
    </row>
    <row r="94" spans="2:21" x14ac:dyDescent="0.25">
      <c r="B94" s="410" t="s">
        <v>63</v>
      </c>
      <c r="C94" s="18">
        <v>0</v>
      </c>
      <c r="D94" s="18">
        <v>0</v>
      </c>
      <c r="E94" s="18">
        <v>0.2</v>
      </c>
      <c r="F94" s="18">
        <v>0.3</v>
      </c>
      <c r="G94" s="18">
        <v>0</v>
      </c>
      <c r="H94" s="18">
        <v>0</v>
      </c>
      <c r="I94" s="45">
        <f>SUM(C94:H94)</f>
        <v>0.5</v>
      </c>
      <c r="J94" s="213" t="s">
        <v>12</v>
      </c>
      <c r="K94" s="262">
        <f>I94*$J$4</f>
        <v>51.5</v>
      </c>
      <c r="L94" s="239">
        <f>K94</f>
        <v>51.5</v>
      </c>
      <c r="M94" s="51" t="s">
        <v>12</v>
      </c>
      <c r="N94" s="73">
        <f>$I94*M$4</f>
        <v>51.5</v>
      </c>
      <c r="O94" s="57">
        <f>N94</f>
        <v>51.5</v>
      </c>
      <c r="P94" s="213" t="s">
        <v>12</v>
      </c>
      <c r="Q94" s="262">
        <f>$I94*P$4</f>
        <v>51.5</v>
      </c>
      <c r="R94" s="239">
        <f>Q94</f>
        <v>51.5</v>
      </c>
      <c r="S94" s="123">
        <f>AVERAGE(L94,O94,R94)</f>
        <v>51.5</v>
      </c>
      <c r="T94" s="34" t="s">
        <v>12</v>
      </c>
      <c r="U94" s="185" t="s">
        <v>12</v>
      </c>
    </row>
    <row r="95" spans="2:21" s="1" customFormat="1" ht="13.5" thickBot="1" x14ac:dyDescent="0.35">
      <c r="B95" s="400" t="s">
        <v>64</v>
      </c>
      <c r="C95" s="310">
        <f>ROUND(C94*Labor!$D$3,0)</f>
        <v>0</v>
      </c>
      <c r="D95" s="310">
        <f>ROUND(D94*Labor!$D$4,0)</f>
        <v>0</v>
      </c>
      <c r="E95" s="310">
        <f>ROUND(E94*Labor!$D$5,0)</f>
        <v>5</v>
      </c>
      <c r="F95" s="310">
        <f>ROUND(F94*Labor!$D$6,0)</f>
        <v>8</v>
      </c>
      <c r="G95" s="310">
        <f>ROUND(G94*Labor!$D$7,0)</f>
        <v>0</v>
      </c>
      <c r="H95" s="310">
        <f>ROUND(H94*Labor!$D$8,0)</f>
        <v>0</v>
      </c>
      <c r="I95" s="167">
        <f>SUM(C95:H95)</f>
        <v>13</v>
      </c>
      <c r="J95" s="284">
        <f>HLOOKUP(K$2,InflationTable,2)/HLOOKUP(Labor!$B$11,InflationTable,2)*$I95</f>
        <v>27.810103806228373</v>
      </c>
      <c r="K95" s="245">
        <f>J95*$J$4</f>
        <v>2864.4406920415222</v>
      </c>
      <c r="L95" s="246">
        <f>K95</f>
        <v>2864.4406920415222</v>
      </c>
      <c r="M95" s="169">
        <f>HLOOKUP(N$2,InflationTable,2)/HLOOKUP(Labor!$B$11,InflationTable,2)*$I95</f>
        <v>28.92250795847751</v>
      </c>
      <c r="N95" s="166">
        <f>M95*$M$4</f>
        <v>2979.0183197231836</v>
      </c>
      <c r="O95" s="167">
        <f>N95</f>
        <v>2979.0183197231836</v>
      </c>
      <c r="P95" s="284">
        <f>HLOOKUP(Q$2,InflationTable,2)/HLOOKUP(Labor!$B$11,InflationTable,2)*$I95</f>
        <v>29.500958117647055</v>
      </c>
      <c r="Q95" s="245">
        <f>P95*$P$4</f>
        <v>3038.5986861176466</v>
      </c>
      <c r="R95" s="246">
        <f>Q95</f>
        <v>3038.5986861176466</v>
      </c>
      <c r="S95" s="321">
        <f>AVERAGE(L95,O95,R95)</f>
        <v>2960.6858992941175</v>
      </c>
      <c r="T95" s="323" t="s">
        <v>12</v>
      </c>
      <c r="U95" s="183" t="s">
        <v>12</v>
      </c>
    </row>
    <row r="96" spans="2:21" ht="13" x14ac:dyDescent="0.3">
      <c r="B96" s="393"/>
      <c r="C96" s="5"/>
      <c r="D96" s="349" t="s">
        <v>54</v>
      </c>
      <c r="E96" s="24">
        <v>5</v>
      </c>
      <c r="I96" s="87" t="s">
        <v>55</v>
      </c>
      <c r="J96" s="209"/>
      <c r="K96" s="1176"/>
      <c r="L96" s="1184"/>
      <c r="M96" s="130"/>
      <c r="N96" s="1179"/>
      <c r="O96" s="1180"/>
      <c r="P96" s="209"/>
      <c r="Q96" s="1176"/>
      <c r="R96" s="1184"/>
      <c r="S96" s="139"/>
      <c r="T96" s="108"/>
      <c r="U96" s="182"/>
    </row>
    <row r="97" spans="2:21" ht="13" x14ac:dyDescent="0.3">
      <c r="B97" s="408" t="s">
        <v>65</v>
      </c>
      <c r="C97" s="20" t="s">
        <v>45</v>
      </c>
      <c r="D97" s="20" t="s">
        <v>46</v>
      </c>
      <c r="E97" s="20" t="s">
        <v>47</v>
      </c>
      <c r="F97" s="20" t="s">
        <v>48</v>
      </c>
      <c r="G97" s="20" t="s">
        <v>49</v>
      </c>
      <c r="H97" s="20" t="s">
        <v>50</v>
      </c>
      <c r="I97" s="32" t="s">
        <v>17</v>
      </c>
      <c r="J97" s="210"/>
      <c r="K97" s="211"/>
      <c r="L97" s="212"/>
      <c r="M97" s="66"/>
      <c r="N97" s="20"/>
      <c r="O97" s="32"/>
      <c r="P97" s="210"/>
      <c r="Q97" s="211"/>
      <c r="R97" s="212"/>
      <c r="S97" s="95"/>
      <c r="T97" s="108"/>
      <c r="U97" s="182"/>
    </row>
    <row r="98" spans="2:21" x14ac:dyDescent="0.25">
      <c r="B98" s="410" t="s">
        <v>63</v>
      </c>
      <c r="C98" s="18">
        <v>0</v>
      </c>
      <c r="D98" s="18">
        <v>0</v>
      </c>
      <c r="E98" s="18">
        <v>0</v>
      </c>
      <c r="F98" s="18">
        <v>5</v>
      </c>
      <c r="G98" s="18">
        <v>5</v>
      </c>
      <c r="H98" s="18">
        <v>5</v>
      </c>
      <c r="I98" s="45">
        <f>SUM(C98:H98)</f>
        <v>15</v>
      </c>
      <c r="J98" s="213" t="s">
        <v>12</v>
      </c>
      <c r="K98" s="233">
        <f>I98*$J$4</f>
        <v>1545</v>
      </c>
      <c r="L98" s="232">
        <f>K98/$E$96</f>
        <v>309</v>
      </c>
      <c r="M98" s="51" t="s">
        <v>12</v>
      </c>
      <c r="N98" s="10">
        <f>$I$98*$M$4</f>
        <v>1545</v>
      </c>
      <c r="O98" s="52">
        <f>N98/$E$96</f>
        <v>309</v>
      </c>
      <c r="P98" s="213" t="s">
        <v>12</v>
      </c>
      <c r="Q98" s="233">
        <f>$I$98*$P$4</f>
        <v>1545</v>
      </c>
      <c r="R98" s="232">
        <f>Q98/$E$96</f>
        <v>309</v>
      </c>
      <c r="S98" s="96">
        <f>AVERAGE(L98,O98,R98)</f>
        <v>309</v>
      </c>
      <c r="T98" s="34" t="s">
        <v>12</v>
      </c>
      <c r="U98" s="185" t="s">
        <v>12</v>
      </c>
    </row>
    <row r="99" spans="2:21" s="1" customFormat="1" ht="13.5" thickBot="1" x14ac:dyDescent="0.35">
      <c r="B99" s="400" t="s">
        <v>64</v>
      </c>
      <c r="C99" s="310">
        <f>ROUND(C98*Labor!$D$3,0)</f>
        <v>0</v>
      </c>
      <c r="D99" s="310">
        <f>ROUND(D98*Labor!$D$4,0)</f>
        <v>0</v>
      </c>
      <c r="E99" s="310">
        <f>ROUND(E98*Labor!$D$5,0)</f>
        <v>0</v>
      </c>
      <c r="F99" s="310">
        <f>ROUND(F98*Labor!$D$6,0)</f>
        <v>138</v>
      </c>
      <c r="G99" s="310">
        <f>ROUND(G98*Labor!$D$7,0)</f>
        <v>157</v>
      </c>
      <c r="H99" s="310">
        <f>ROUND(H98*Labor!$D$8,0)</f>
        <v>189</v>
      </c>
      <c r="I99" s="167">
        <f>SUM(C99:H99)</f>
        <v>484</v>
      </c>
      <c r="J99" s="284">
        <f>HLOOKUP(K$2,InflationTable,2)/HLOOKUP(Labor!$B$11,InflationTable,2)*$I99</f>
        <v>1035.3915570934255</v>
      </c>
      <c r="K99" s="245">
        <f>J99*$J$4</f>
        <v>106645.33038062282</v>
      </c>
      <c r="L99" s="246">
        <f>K99/$E$96</f>
        <v>21329.066076124564</v>
      </c>
      <c r="M99" s="169">
        <f>HLOOKUP(N$2,InflationTable,2)/HLOOKUP(Labor!$B$11,InflationTable,2)*$I99</f>
        <v>1076.8072193771627</v>
      </c>
      <c r="N99" s="166">
        <f>M99*$M$4</f>
        <v>110911.14359584775</v>
      </c>
      <c r="O99" s="167">
        <f>N99</f>
        <v>110911.14359584775</v>
      </c>
      <c r="P99" s="284">
        <f>HLOOKUP(Q$2,InflationTable,2)/HLOOKUP(Labor!$B$11,InflationTable,2)*$I99</f>
        <v>1098.3433637647058</v>
      </c>
      <c r="Q99" s="245">
        <f>P99*$P$4</f>
        <v>113129.3664677647</v>
      </c>
      <c r="R99" s="246">
        <f>Q99</f>
        <v>113129.3664677647</v>
      </c>
      <c r="S99" s="169">
        <f>AVERAGE(L99,O99,R99)</f>
        <v>81789.858713245674</v>
      </c>
      <c r="T99" s="323" t="s">
        <v>12</v>
      </c>
      <c r="U99" s="183" t="s">
        <v>12</v>
      </c>
    </row>
    <row r="100" spans="2:21" ht="13" x14ac:dyDescent="0.3">
      <c r="B100" s="328" t="s">
        <v>66</v>
      </c>
      <c r="C100" s="36">
        <f t="shared" ref="C100:I101" si="21">C81+C83+C86+C88+C90+C94+C98</f>
        <v>0</v>
      </c>
      <c r="D100" s="36">
        <f t="shared" si="21"/>
        <v>27</v>
      </c>
      <c r="E100" s="36">
        <f t="shared" si="21"/>
        <v>1.2</v>
      </c>
      <c r="F100" s="36">
        <f t="shared" si="21"/>
        <v>32.299999999999997</v>
      </c>
      <c r="G100" s="36">
        <f t="shared" si="21"/>
        <v>26</v>
      </c>
      <c r="H100" s="36">
        <f t="shared" si="21"/>
        <v>5</v>
      </c>
      <c r="I100" s="46">
        <f t="shared" si="21"/>
        <v>91.5</v>
      </c>
      <c r="J100" s="242" t="s">
        <v>12</v>
      </c>
      <c r="K100" s="263" t="s">
        <v>12</v>
      </c>
      <c r="L100" s="264">
        <f>L98+L94+L90+L88+L86+L83+L81</f>
        <v>62656.333333333343</v>
      </c>
      <c r="M100" s="75" t="s">
        <v>12</v>
      </c>
      <c r="N100" s="36" t="s">
        <v>12</v>
      </c>
      <c r="O100" s="74">
        <f>O98+O94+O90+O88+O86+O83+O81</f>
        <v>62656.333333333343</v>
      </c>
      <c r="P100" s="242" t="s">
        <v>12</v>
      </c>
      <c r="Q100" s="263" t="s">
        <v>12</v>
      </c>
      <c r="R100" s="264">
        <f>R98+R94+R90+R88+R86+R83+R81</f>
        <v>62656.333333333343</v>
      </c>
      <c r="S100" s="143">
        <f>AVERAGE(L100,O100,R100)</f>
        <v>62656.333333333343</v>
      </c>
      <c r="T100" s="108"/>
      <c r="U100" s="182"/>
    </row>
    <row r="101" spans="2:21" s="1" customFormat="1" ht="13.5" thickBot="1" x14ac:dyDescent="0.35">
      <c r="B101" s="402" t="s">
        <v>67</v>
      </c>
      <c r="C101" s="194">
        <f t="shared" si="21"/>
        <v>0</v>
      </c>
      <c r="D101" s="194">
        <f t="shared" si="21"/>
        <v>653</v>
      </c>
      <c r="E101" s="194">
        <f t="shared" si="21"/>
        <v>30</v>
      </c>
      <c r="F101" s="194">
        <f t="shared" si="21"/>
        <v>890</v>
      </c>
      <c r="G101" s="194">
        <f t="shared" si="21"/>
        <v>815</v>
      </c>
      <c r="H101" s="194">
        <f t="shared" si="21"/>
        <v>189</v>
      </c>
      <c r="I101" s="197">
        <f t="shared" si="21"/>
        <v>2577</v>
      </c>
      <c r="J101" s="261">
        <f>J82+J84+J87+J89+J91+J95+J99</f>
        <v>5512.8182698961937</v>
      </c>
      <c r="K101" s="261">
        <f>K82+K84+K87+K89+K91+K95+K99</f>
        <v>5053033.8236678196</v>
      </c>
      <c r="L101" s="261">
        <f>L82+L84+L87+L89+L91+L95+L99</f>
        <v>4967717.5593633214</v>
      </c>
      <c r="M101" s="196">
        <f>M82+M84+M87+M89+M91+M95+M99</f>
        <v>5733.3310006920419</v>
      </c>
      <c r="N101" s="196">
        <f>N82+N84+N87+N89+N91+N95+N99</f>
        <v>5255155.1766145332</v>
      </c>
      <c r="O101" s="178">
        <f>O99+N95+N91+N89+N87+N84+N82</f>
        <v>5255155.1766145332</v>
      </c>
      <c r="P101" s="261">
        <f>P82+P84+P87+P89+P91+P95+P99</f>
        <v>5847.9976207058817</v>
      </c>
      <c r="Q101" s="261">
        <f>Q82+Q84+Q87+Q89+Q91+Q95+Q99</f>
        <v>5360258.2801468223</v>
      </c>
      <c r="R101" s="254">
        <f>R99+Q95+Q91+Q89+Q87+Q84+Q82</f>
        <v>5360258.2801468223</v>
      </c>
      <c r="S101" s="202">
        <f>AVERAGE(L101,O101,R101)</f>
        <v>5194377.0053748926</v>
      </c>
      <c r="T101" s="440"/>
      <c r="U101" s="441"/>
    </row>
    <row r="102" spans="2:21" ht="13.5" thickTop="1" thickBot="1" x14ac:dyDescent="0.3">
      <c r="B102" s="447"/>
      <c r="C102" s="447"/>
      <c r="D102" s="447"/>
      <c r="E102" s="447"/>
      <c r="F102" s="447"/>
      <c r="G102" s="447"/>
      <c r="H102" s="447"/>
      <c r="I102" s="447"/>
      <c r="J102" s="447"/>
      <c r="K102" s="447"/>
      <c r="L102" s="447"/>
      <c r="M102" s="447"/>
      <c r="N102" s="447"/>
      <c r="O102" s="447"/>
      <c r="P102" s="447"/>
      <c r="Q102" s="447"/>
      <c r="R102" s="447"/>
      <c r="S102" s="447"/>
      <c r="T102" s="447"/>
      <c r="U102" s="447"/>
    </row>
    <row r="103" spans="2:21" ht="15.5" x14ac:dyDescent="0.35">
      <c r="B103" s="396" t="s">
        <v>150</v>
      </c>
      <c r="F103" s="1" t="s">
        <v>6</v>
      </c>
      <c r="G103" s="1160"/>
      <c r="H103" s="1161"/>
      <c r="I103" s="1162"/>
      <c r="J103" s="2" t="s">
        <v>30</v>
      </c>
      <c r="L103" s="31"/>
      <c r="M103" s="2" t="s">
        <v>30</v>
      </c>
      <c r="O103" s="31"/>
      <c r="P103" s="2" t="s">
        <v>30</v>
      </c>
      <c r="Q103" s="61"/>
      <c r="R103" s="62"/>
      <c r="S103" s="97"/>
      <c r="T103" s="108"/>
      <c r="U103" s="182"/>
    </row>
    <row r="104" spans="2:21" ht="13" x14ac:dyDescent="0.3">
      <c r="B104" s="393"/>
      <c r="I104" s="32" t="s">
        <v>61</v>
      </c>
      <c r="J104" s="227" t="s">
        <v>61</v>
      </c>
      <c r="K104" s="1167" t="s">
        <v>57</v>
      </c>
      <c r="L104" s="1168"/>
      <c r="M104" s="50" t="s">
        <v>61</v>
      </c>
      <c r="N104" s="1177" t="s">
        <v>57</v>
      </c>
      <c r="O104" s="1181"/>
      <c r="P104" s="266" t="s">
        <v>61</v>
      </c>
      <c r="Q104" s="1176" t="s">
        <v>57</v>
      </c>
      <c r="R104" s="1184"/>
      <c r="S104" s="106"/>
      <c r="T104" s="108"/>
      <c r="U104" s="182"/>
    </row>
    <row r="105" spans="2:21" ht="13" x14ac:dyDescent="0.3">
      <c r="B105" s="393"/>
      <c r="C105" s="20" t="s">
        <v>45</v>
      </c>
      <c r="D105" s="20" t="s">
        <v>46</v>
      </c>
      <c r="E105" s="20" t="s">
        <v>47</v>
      </c>
      <c r="F105" s="20" t="s">
        <v>48</v>
      </c>
      <c r="G105" s="20" t="s">
        <v>49</v>
      </c>
      <c r="H105" s="20" t="s">
        <v>50</v>
      </c>
      <c r="I105" s="32" t="s">
        <v>13</v>
      </c>
      <c r="J105" s="210" t="s">
        <v>56</v>
      </c>
      <c r="K105" s="211" t="s">
        <v>13</v>
      </c>
      <c r="L105" s="212" t="s">
        <v>68</v>
      </c>
      <c r="M105" s="66" t="s">
        <v>56</v>
      </c>
      <c r="N105" s="20" t="s">
        <v>13</v>
      </c>
      <c r="O105" s="32" t="s">
        <v>68</v>
      </c>
      <c r="P105" s="210" t="s">
        <v>56</v>
      </c>
      <c r="Q105" s="211" t="s">
        <v>13</v>
      </c>
      <c r="R105" s="212" t="s">
        <v>68</v>
      </c>
      <c r="S105" s="98"/>
      <c r="T105" s="108"/>
      <c r="U105" s="182"/>
    </row>
    <row r="106" spans="2:21" ht="13" x14ac:dyDescent="0.3">
      <c r="B106" s="408" t="s">
        <v>130</v>
      </c>
      <c r="C106" s="18">
        <v>0</v>
      </c>
      <c r="D106" s="18">
        <v>0</v>
      </c>
      <c r="E106" s="18">
        <v>0</v>
      </c>
      <c r="F106" s="18">
        <v>0</v>
      </c>
      <c r="G106" s="18">
        <v>8</v>
      </c>
      <c r="H106" s="18">
        <v>4</v>
      </c>
      <c r="I106" s="45">
        <f>SUM(C106:H106)</f>
        <v>12</v>
      </c>
      <c r="J106" s="213" t="s">
        <v>12</v>
      </c>
      <c r="K106" s="231">
        <f>I106*$L$11*L$12</f>
        <v>9590</v>
      </c>
      <c r="L106" s="239">
        <f>K106</f>
        <v>9590</v>
      </c>
      <c r="M106" s="51" t="s">
        <v>12</v>
      </c>
      <c r="N106" s="58">
        <f>$I106*O$11*O$12</f>
        <v>9590</v>
      </c>
      <c r="O106" s="57">
        <f>N106</f>
        <v>9590</v>
      </c>
      <c r="P106" s="213" t="s">
        <v>12</v>
      </c>
      <c r="Q106" s="231">
        <f>$I106*R$11*R$12</f>
        <v>9590</v>
      </c>
      <c r="R106" s="239">
        <f>Q106</f>
        <v>9590</v>
      </c>
      <c r="S106" s="96">
        <f t="shared" ref="S106:S111" si="22">AVERAGE(L106,O106,R106)</f>
        <v>9590</v>
      </c>
      <c r="T106" s="34" t="s">
        <v>12</v>
      </c>
      <c r="U106" s="185" t="s">
        <v>12</v>
      </c>
    </row>
    <row r="107" spans="2:21" s="1" customFormat="1" ht="13.5" thickBot="1" x14ac:dyDescent="0.35">
      <c r="B107" s="400" t="s">
        <v>8</v>
      </c>
      <c r="C107" s="310">
        <f>ROUND(C106*Labor!$D$3,0)</f>
        <v>0</v>
      </c>
      <c r="D107" s="310">
        <f>ROUND(D106*Labor!$D$4,0)</f>
        <v>0</v>
      </c>
      <c r="E107" s="310">
        <f>ROUND(E106*Labor!$D$5,0)</f>
        <v>0</v>
      </c>
      <c r="F107" s="310">
        <f>ROUND(F106*Labor!$D$6,0)</f>
        <v>0</v>
      </c>
      <c r="G107" s="310">
        <f>ROUND(G106*Labor!$D$7,0)</f>
        <v>250</v>
      </c>
      <c r="H107" s="310">
        <f>ROUND(H106*Labor!$D$8,0)</f>
        <v>151</v>
      </c>
      <c r="I107" s="167">
        <f>SUM(C107:H107)</f>
        <v>401</v>
      </c>
      <c r="J107" s="284">
        <f>HLOOKUP(K$2,InflationTable,2)/HLOOKUP(Labor!$B$11,InflationTable,2)*$I107</f>
        <v>857.83474048442895</v>
      </c>
      <c r="K107" s="245">
        <f>J107*$L$11</f>
        <v>953054.39667820057</v>
      </c>
      <c r="L107" s="246">
        <f>K107</f>
        <v>953054.39667820057</v>
      </c>
      <c r="M107" s="169">
        <f>HLOOKUP(N$2,InflationTable,2)/HLOOKUP(Labor!$B$11,InflationTable,2)*$I107</f>
        <v>892.14813010380624</v>
      </c>
      <c r="N107" s="166">
        <f>M107*O$11</f>
        <v>991176.57254532876</v>
      </c>
      <c r="O107" s="167">
        <f>N107</f>
        <v>991176.57254532876</v>
      </c>
      <c r="P107" s="284">
        <f>HLOOKUP(Q$2,InflationTable,2)/HLOOKUP(Labor!$B$11,InflationTable,2)*$I107</f>
        <v>909.99109270588224</v>
      </c>
      <c r="Q107" s="245">
        <f>P107*R$11</f>
        <v>1011000.1039962352</v>
      </c>
      <c r="R107" s="246">
        <f>Q107</f>
        <v>1011000.1039962352</v>
      </c>
      <c r="S107" s="169">
        <f t="shared" si="22"/>
        <v>985077.02440658817</v>
      </c>
      <c r="T107" s="323" t="s">
        <v>12</v>
      </c>
      <c r="U107" s="183" t="s">
        <v>12</v>
      </c>
    </row>
    <row r="108" spans="2:21" ht="13" x14ac:dyDescent="0.3">
      <c r="B108" s="401" t="s">
        <v>131</v>
      </c>
      <c r="C108" s="18">
        <v>0</v>
      </c>
      <c r="D108" s="18">
        <v>0</v>
      </c>
      <c r="E108" s="18">
        <v>16</v>
      </c>
      <c r="F108" s="18">
        <v>8</v>
      </c>
      <c r="G108" s="18">
        <v>4</v>
      </c>
      <c r="H108" s="18">
        <v>2</v>
      </c>
      <c r="I108" s="45">
        <f>SUM(C108:H108)</f>
        <v>30</v>
      </c>
      <c r="J108" s="213" t="s">
        <v>12</v>
      </c>
      <c r="K108" s="231">
        <f>I108*$L$11*L$12</f>
        <v>23975.000000000004</v>
      </c>
      <c r="L108" s="239">
        <f>K108</f>
        <v>23975.000000000004</v>
      </c>
      <c r="M108" s="51" t="s">
        <v>12</v>
      </c>
      <c r="N108" s="58">
        <f>$I108*O$11*O$12</f>
        <v>23975.000000000004</v>
      </c>
      <c r="O108" s="57">
        <f>N108</f>
        <v>23975.000000000004</v>
      </c>
      <c r="P108" s="213" t="s">
        <v>12</v>
      </c>
      <c r="Q108" s="231">
        <f>$I108*R$11*R$12</f>
        <v>23975.000000000004</v>
      </c>
      <c r="R108" s="239">
        <f>Q108</f>
        <v>23975.000000000004</v>
      </c>
      <c r="S108" s="96">
        <f t="shared" si="22"/>
        <v>23975.000000000004</v>
      </c>
      <c r="T108" s="34" t="s">
        <v>12</v>
      </c>
      <c r="U108" s="185" t="s">
        <v>12</v>
      </c>
    </row>
    <row r="109" spans="2:21" s="1" customFormat="1" ht="13.5" thickBot="1" x14ac:dyDescent="0.35">
      <c r="B109" s="407" t="s">
        <v>8</v>
      </c>
      <c r="C109" s="310">
        <f>ROUND(C108*Labor!$D$3,0)</f>
        <v>0</v>
      </c>
      <c r="D109" s="310">
        <f>ROUND(D108*Labor!$D$4,0)</f>
        <v>0</v>
      </c>
      <c r="E109" s="310">
        <f>ROUND(E108*Labor!$D$5,0)</f>
        <v>404</v>
      </c>
      <c r="F109" s="310">
        <f>ROUND(F108*Labor!$D$6,0)</f>
        <v>221</v>
      </c>
      <c r="G109" s="310">
        <f>ROUND(G108*Labor!$D$7,0)</f>
        <v>125</v>
      </c>
      <c r="H109" s="310">
        <f>ROUND(H108*Labor!$D$8,0)</f>
        <v>76</v>
      </c>
      <c r="I109" s="167">
        <f>SUM(C109:H109)</f>
        <v>826</v>
      </c>
      <c r="J109" s="284">
        <f>HLOOKUP(K$2,InflationTable,2)/HLOOKUP(Labor!$B$11,InflationTable,2)*$I109</f>
        <v>1767.0112110726643</v>
      </c>
      <c r="K109" s="245">
        <f>J109*$L$11</f>
        <v>1963149.4555017301</v>
      </c>
      <c r="L109" s="320">
        <f>K109</f>
        <v>1963149.4555017301</v>
      </c>
      <c r="M109" s="169">
        <f>HLOOKUP(N$2,InflationTable,2)/HLOOKUP(Labor!$B$11,InflationTable,2)*$I109</f>
        <v>1837.691659515571</v>
      </c>
      <c r="N109" s="166">
        <f>M109*O$11</f>
        <v>2041675.4337217994</v>
      </c>
      <c r="O109" s="167">
        <f>N109</f>
        <v>2041675.4337217994</v>
      </c>
      <c r="P109" s="284">
        <f>HLOOKUP(Q$2,InflationTable,2)/HLOOKUP(Labor!$B$11,InflationTable,2)*$I109</f>
        <v>1874.4454927058821</v>
      </c>
      <c r="Q109" s="245">
        <f>P109*R$11</f>
        <v>2082508.942396235</v>
      </c>
      <c r="R109" s="320">
        <f>Q109</f>
        <v>2082508.942396235</v>
      </c>
      <c r="S109" s="169">
        <f t="shared" si="22"/>
        <v>2029111.2772065883</v>
      </c>
      <c r="T109" s="363" t="s">
        <v>12</v>
      </c>
      <c r="U109" s="417" t="s">
        <v>12</v>
      </c>
    </row>
    <row r="110" spans="2:21" ht="13" x14ac:dyDescent="0.3">
      <c r="B110" s="328" t="s">
        <v>66</v>
      </c>
      <c r="C110" s="30">
        <f t="shared" ref="C110:I111" si="23">C106+C108</f>
        <v>0</v>
      </c>
      <c r="D110" s="30">
        <f t="shared" si="23"/>
        <v>0</v>
      </c>
      <c r="E110" s="30">
        <f t="shared" si="23"/>
        <v>16</v>
      </c>
      <c r="F110" s="30">
        <f t="shared" si="23"/>
        <v>8</v>
      </c>
      <c r="G110" s="30">
        <f t="shared" si="23"/>
        <v>12</v>
      </c>
      <c r="H110" s="30">
        <f t="shared" si="23"/>
        <v>6</v>
      </c>
      <c r="I110" s="39">
        <f t="shared" si="23"/>
        <v>42</v>
      </c>
      <c r="J110" s="249" t="s">
        <v>12</v>
      </c>
      <c r="K110" s="235">
        <f>K106+K108</f>
        <v>33565</v>
      </c>
      <c r="L110" s="260">
        <f>L106+L108</f>
        <v>33565</v>
      </c>
      <c r="M110" s="70" t="s">
        <v>12</v>
      </c>
      <c r="N110" s="28">
        <f>N106+N108</f>
        <v>33565</v>
      </c>
      <c r="O110" s="81">
        <f>O106+O108</f>
        <v>33565</v>
      </c>
      <c r="P110" s="249" t="s">
        <v>12</v>
      </c>
      <c r="Q110" s="235">
        <f>Q106+Q108</f>
        <v>33565</v>
      </c>
      <c r="R110" s="268">
        <f>R106+R108</f>
        <v>33565</v>
      </c>
      <c r="S110" s="96">
        <f t="shared" si="22"/>
        <v>33565</v>
      </c>
      <c r="T110" s="34" t="s">
        <v>12</v>
      </c>
      <c r="U110" s="185" t="s">
        <v>12</v>
      </c>
    </row>
    <row r="111" spans="2:21" ht="13.5" thickBot="1" x14ac:dyDescent="0.35">
      <c r="B111" s="402" t="s">
        <v>67</v>
      </c>
      <c r="C111" s="354">
        <f t="shared" si="23"/>
        <v>0</v>
      </c>
      <c r="D111" s="354">
        <f t="shared" si="23"/>
        <v>0</v>
      </c>
      <c r="E111" s="354">
        <f t="shared" si="23"/>
        <v>404</v>
      </c>
      <c r="F111" s="354">
        <f t="shared" si="23"/>
        <v>221</v>
      </c>
      <c r="G111" s="354">
        <f t="shared" si="23"/>
        <v>375</v>
      </c>
      <c r="H111" s="354">
        <f t="shared" si="23"/>
        <v>227</v>
      </c>
      <c r="I111" s="355">
        <f t="shared" si="23"/>
        <v>1227</v>
      </c>
      <c r="J111" s="356">
        <f>J107+J109</f>
        <v>2624.845951557093</v>
      </c>
      <c r="K111" s="357">
        <f>K107+K109</f>
        <v>2916203.8521799305</v>
      </c>
      <c r="L111" s="358">
        <f>L107+L109</f>
        <v>2916203.8521799305</v>
      </c>
      <c r="M111" s="359">
        <f>M107+M109</f>
        <v>2729.8397896193774</v>
      </c>
      <c r="N111" s="354">
        <f>N107+N109</f>
        <v>3032852.006267128</v>
      </c>
      <c r="O111" s="355">
        <f>O107+O109</f>
        <v>3032852.006267128</v>
      </c>
      <c r="P111" s="356">
        <f>P107+P109</f>
        <v>2784.4365854117641</v>
      </c>
      <c r="Q111" s="357">
        <f>Q107+Q109</f>
        <v>3093509.0463924701</v>
      </c>
      <c r="R111" s="358">
        <f>R107+R109</f>
        <v>3093509.0463924701</v>
      </c>
      <c r="S111" s="370">
        <f t="shared" si="22"/>
        <v>3014188.3016131762</v>
      </c>
      <c r="T111" s="360" t="s">
        <v>12</v>
      </c>
      <c r="U111" s="418" t="s">
        <v>12</v>
      </c>
    </row>
    <row r="112" spans="2:21" ht="13" thickTop="1" x14ac:dyDescent="0.25">
      <c r="F112"/>
    </row>
    <row r="113" spans="2:21" ht="18.5" thickBot="1" x14ac:dyDescent="0.45">
      <c r="B113" s="411" t="s">
        <v>121</v>
      </c>
      <c r="C113" s="67" t="str">
        <f>C2</f>
        <v>O3</v>
      </c>
      <c r="D113" s="3"/>
      <c r="E113" s="3"/>
      <c r="F113" s="9"/>
      <c r="G113" s="3"/>
      <c r="H113" s="3"/>
      <c r="I113" s="35"/>
      <c r="J113" s="67" t="str">
        <f>J2</f>
        <v>Year 1</v>
      </c>
      <c r="K113" s="67">
        <f>K2</f>
        <v>2023</v>
      </c>
      <c r="L113" s="35"/>
      <c r="M113" s="67" t="str">
        <f>M2</f>
        <v>Year 2</v>
      </c>
      <c r="N113" s="67">
        <f>N2</f>
        <v>2024</v>
      </c>
      <c r="O113" s="35"/>
      <c r="P113" s="67" t="str">
        <f>P2</f>
        <v>Year 3</v>
      </c>
      <c r="Q113" s="67">
        <f>Q2</f>
        <v>2025</v>
      </c>
      <c r="R113" s="35"/>
      <c r="S113" s="124"/>
      <c r="T113" s="105"/>
      <c r="U113" s="181"/>
    </row>
    <row r="114" spans="2:21" ht="13.5" thickBot="1" x14ac:dyDescent="0.35">
      <c r="B114" s="412"/>
      <c r="C114" s="149" t="s">
        <v>45</v>
      </c>
      <c r="D114" s="149" t="s">
        <v>46</v>
      </c>
      <c r="E114" s="149" t="s">
        <v>47</v>
      </c>
      <c r="F114" s="149" t="s">
        <v>48</v>
      </c>
      <c r="G114" s="149" t="s">
        <v>49</v>
      </c>
      <c r="H114" s="149" t="s">
        <v>50</v>
      </c>
      <c r="I114" s="150" t="s">
        <v>13</v>
      </c>
      <c r="J114" s="353" t="s">
        <v>56</v>
      </c>
      <c r="K114" s="271" t="s">
        <v>13</v>
      </c>
      <c r="L114" s="272" t="s">
        <v>68</v>
      </c>
      <c r="M114" s="151" t="s">
        <v>56</v>
      </c>
      <c r="N114" s="149" t="s">
        <v>13</v>
      </c>
      <c r="O114" s="150" t="s">
        <v>68</v>
      </c>
      <c r="P114" s="270" t="s">
        <v>56</v>
      </c>
      <c r="Q114" s="271" t="s">
        <v>13</v>
      </c>
      <c r="R114" s="296" t="s">
        <v>68</v>
      </c>
      <c r="S114" s="98"/>
      <c r="T114" s="31"/>
      <c r="U114" s="421"/>
    </row>
    <row r="115" spans="2:21" ht="13" x14ac:dyDescent="0.3">
      <c r="B115" s="401" t="s">
        <v>129</v>
      </c>
      <c r="C115" s="147">
        <f t="shared" ref="C115:S115" si="24">C23</f>
        <v>0</v>
      </c>
      <c r="D115" s="147">
        <f t="shared" si="24"/>
        <v>0</v>
      </c>
      <c r="E115" s="147">
        <f t="shared" si="24"/>
        <v>0</v>
      </c>
      <c r="F115" s="147">
        <f t="shared" si="24"/>
        <v>14</v>
      </c>
      <c r="G115" s="147">
        <f t="shared" si="24"/>
        <v>14</v>
      </c>
      <c r="H115" s="147">
        <f t="shared" si="24"/>
        <v>10</v>
      </c>
      <c r="I115" s="148">
        <f t="shared" si="24"/>
        <v>38</v>
      </c>
      <c r="J115" s="234" t="str">
        <f t="shared" si="24"/>
        <v>NA</v>
      </c>
      <c r="K115" s="273">
        <f t="shared" si="24"/>
        <v>3914</v>
      </c>
      <c r="L115" s="274">
        <f t="shared" si="24"/>
        <v>559.14285714285711</v>
      </c>
      <c r="M115" s="38" t="str">
        <f t="shared" si="24"/>
        <v>NA</v>
      </c>
      <c r="N115" s="147">
        <f t="shared" si="24"/>
        <v>3914</v>
      </c>
      <c r="O115" s="148">
        <f t="shared" si="24"/>
        <v>559.14285714285711</v>
      </c>
      <c r="P115" s="234" t="str">
        <f t="shared" si="24"/>
        <v>NA</v>
      </c>
      <c r="Q115" s="273">
        <f t="shared" si="24"/>
        <v>3914</v>
      </c>
      <c r="R115" s="239">
        <f t="shared" si="24"/>
        <v>559.14285714285711</v>
      </c>
      <c r="S115" s="57">
        <f t="shared" si="24"/>
        <v>559.14285714285711</v>
      </c>
      <c r="T115" s="31"/>
      <c r="U115" s="182"/>
    </row>
    <row r="116" spans="2:21" s="1" customFormat="1" ht="13.5" thickBot="1" x14ac:dyDescent="0.35">
      <c r="B116" s="405" t="s">
        <v>76</v>
      </c>
      <c r="C116" s="162">
        <f t="shared" ref="C116:S116" si="25">C24</f>
        <v>0</v>
      </c>
      <c r="D116" s="162">
        <f t="shared" si="25"/>
        <v>0</v>
      </c>
      <c r="E116" s="162">
        <f t="shared" si="25"/>
        <v>0</v>
      </c>
      <c r="F116" s="162">
        <f t="shared" si="25"/>
        <v>386</v>
      </c>
      <c r="G116" s="162">
        <f t="shared" si="25"/>
        <v>438</v>
      </c>
      <c r="H116" s="162">
        <f t="shared" si="25"/>
        <v>378</v>
      </c>
      <c r="I116" s="163">
        <f t="shared" si="25"/>
        <v>1202</v>
      </c>
      <c r="J116" s="275">
        <f t="shared" si="25"/>
        <v>2571.3649826989617</v>
      </c>
      <c r="K116" s="276">
        <f t="shared" si="25"/>
        <v>264850.5932179931</v>
      </c>
      <c r="L116" s="277">
        <f t="shared" si="25"/>
        <v>37835.799031141869</v>
      </c>
      <c r="M116" s="161">
        <f t="shared" si="25"/>
        <v>2674.2195820069205</v>
      </c>
      <c r="N116" s="162">
        <f t="shared" si="25"/>
        <v>275444.61694671283</v>
      </c>
      <c r="O116" s="163">
        <f t="shared" si="25"/>
        <v>39349.230992387544</v>
      </c>
      <c r="P116" s="275">
        <f t="shared" si="25"/>
        <v>2727.7039736470588</v>
      </c>
      <c r="Q116" s="276">
        <f t="shared" si="25"/>
        <v>280953.50928564707</v>
      </c>
      <c r="R116" s="345">
        <f t="shared" si="25"/>
        <v>40136.215612235297</v>
      </c>
      <c r="S116" s="342">
        <f t="shared" si="25"/>
        <v>39107.081878588237</v>
      </c>
      <c r="T116" s="343" t="str">
        <f>T24</f>
        <v>NA</v>
      </c>
      <c r="U116" s="422" t="s">
        <v>12</v>
      </c>
    </row>
    <row r="117" spans="2:21" ht="13" x14ac:dyDescent="0.3">
      <c r="B117" s="401" t="s">
        <v>123</v>
      </c>
      <c r="C117" s="147">
        <f t="shared" ref="C117:S117" si="26">C36</f>
        <v>0</v>
      </c>
      <c r="D117" s="147">
        <f t="shared" si="26"/>
        <v>8</v>
      </c>
      <c r="E117" s="147">
        <f t="shared" si="26"/>
        <v>8</v>
      </c>
      <c r="F117" s="147">
        <f t="shared" si="26"/>
        <v>4</v>
      </c>
      <c r="G117" s="147">
        <f t="shared" si="26"/>
        <v>0</v>
      </c>
      <c r="H117" s="147">
        <f t="shared" si="26"/>
        <v>0</v>
      </c>
      <c r="I117" s="148">
        <f t="shared" si="26"/>
        <v>20</v>
      </c>
      <c r="J117" s="234" t="str">
        <f t="shared" si="26"/>
        <v>NA</v>
      </c>
      <c r="K117" s="273">
        <f t="shared" si="26"/>
        <v>23108.799999999999</v>
      </c>
      <c r="L117" s="274">
        <f t="shared" si="26"/>
        <v>3301.2571428571428</v>
      </c>
      <c r="M117" s="38" t="str">
        <f t="shared" si="26"/>
        <v>NA</v>
      </c>
      <c r="N117" s="147">
        <f t="shared" si="26"/>
        <v>23108.799999999999</v>
      </c>
      <c r="O117" s="148">
        <f t="shared" si="26"/>
        <v>3301.2571428571428</v>
      </c>
      <c r="P117" s="234" t="str">
        <f t="shared" si="26"/>
        <v>NA</v>
      </c>
      <c r="Q117" s="273">
        <f t="shared" si="26"/>
        <v>23108.799999999999</v>
      </c>
      <c r="R117" s="239">
        <f t="shared" si="26"/>
        <v>3301.2571428571428</v>
      </c>
      <c r="S117" s="57">
        <f t="shared" si="26"/>
        <v>3301.2571428571428</v>
      </c>
      <c r="T117" s="31"/>
      <c r="U117" s="423"/>
    </row>
    <row r="118" spans="2:21" s="1" customFormat="1" ht="13.5" thickBot="1" x14ac:dyDescent="0.35">
      <c r="B118" s="405" t="s">
        <v>76</v>
      </c>
      <c r="C118" s="166">
        <f t="shared" ref="C118:S118" si="27">C37</f>
        <v>0</v>
      </c>
      <c r="D118" s="166">
        <f t="shared" si="27"/>
        <v>194</v>
      </c>
      <c r="E118" s="166">
        <f t="shared" si="27"/>
        <v>202</v>
      </c>
      <c r="F118" s="166">
        <f t="shared" si="27"/>
        <v>110</v>
      </c>
      <c r="G118" s="166">
        <f t="shared" si="27"/>
        <v>0</v>
      </c>
      <c r="H118" s="166">
        <f t="shared" si="27"/>
        <v>0</v>
      </c>
      <c r="I118" s="167">
        <f t="shared" si="27"/>
        <v>506</v>
      </c>
      <c r="J118" s="278">
        <f t="shared" si="27"/>
        <v>1082.4548096885812</v>
      </c>
      <c r="K118" s="245">
        <f t="shared" si="27"/>
        <v>0</v>
      </c>
      <c r="L118" s="246">
        <f t="shared" si="27"/>
        <v>2711985.6778771621</v>
      </c>
      <c r="M118" s="165">
        <f t="shared" si="27"/>
        <v>1125.7530020761246</v>
      </c>
      <c r="N118" s="166">
        <f t="shared" si="27"/>
        <v>0</v>
      </c>
      <c r="O118" s="167">
        <f t="shared" si="27"/>
        <v>2812696.7100524558</v>
      </c>
      <c r="P118" s="278">
        <f t="shared" si="27"/>
        <v>1148.2680621176469</v>
      </c>
      <c r="Q118" s="245">
        <f t="shared" si="27"/>
        <v>0</v>
      </c>
      <c r="R118" s="316">
        <f t="shared" si="27"/>
        <v>2868950.6442535054</v>
      </c>
      <c r="S118" s="318">
        <f t="shared" si="27"/>
        <v>180063.42711983388</v>
      </c>
      <c r="T118" s="344" t="str">
        <f>T37</f>
        <v>NA</v>
      </c>
      <c r="U118" s="415">
        <f>U37</f>
        <v>2617814.2502745404</v>
      </c>
    </row>
    <row r="119" spans="2:21" ht="13" x14ac:dyDescent="0.3">
      <c r="B119" s="409" t="s">
        <v>125</v>
      </c>
      <c r="C119" s="21">
        <f t="shared" ref="C119:S119" si="28">C46</f>
        <v>0</v>
      </c>
      <c r="D119" s="21">
        <f t="shared" si="28"/>
        <v>60</v>
      </c>
      <c r="E119" s="21">
        <f t="shared" si="28"/>
        <v>60</v>
      </c>
      <c r="F119" s="21">
        <f t="shared" si="28"/>
        <v>0</v>
      </c>
      <c r="G119" s="21">
        <f t="shared" si="28"/>
        <v>0</v>
      </c>
      <c r="H119" s="21">
        <f t="shared" si="28"/>
        <v>0</v>
      </c>
      <c r="I119" s="157">
        <f t="shared" si="28"/>
        <v>120</v>
      </c>
      <c r="J119" s="279" t="str">
        <f t="shared" si="28"/>
        <v>NA</v>
      </c>
      <c r="K119" s="280">
        <f t="shared" si="28"/>
        <v>95900.000000000015</v>
      </c>
      <c r="L119" s="281">
        <f t="shared" si="28"/>
        <v>95900.000000000015</v>
      </c>
      <c r="M119" s="158" t="str">
        <f t="shared" si="28"/>
        <v>NA</v>
      </c>
      <c r="N119" s="21">
        <f t="shared" si="28"/>
        <v>95900.000000000015</v>
      </c>
      <c r="O119" s="157">
        <f t="shared" si="28"/>
        <v>95900.000000000015</v>
      </c>
      <c r="P119" s="279" t="str">
        <f t="shared" si="28"/>
        <v>NA</v>
      </c>
      <c r="Q119" s="280">
        <f t="shared" si="28"/>
        <v>95900.000000000015</v>
      </c>
      <c r="R119" s="346">
        <f t="shared" si="28"/>
        <v>95900.000000000015</v>
      </c>
      <c r="S119" s="56">
        <f t="shared" si="28"/>
        <v>95900.000000000015</v>
      </c>
      <c r="T119" s="125" t="str">
        <f>T29</f>
        <v>NA</v>
      </c>
      <c r="U119" s="187" t="s">
        <v>12</v>
      </c>
    </row>
    <row r="120" spans="2:21" s="1" customFormat="1" ht="13.5" thickBot="1" x14ac:dyDescent="0.35">
      <c r="B120" s="405" t="s">
        <v>76</v>
      </c>
      <c r="C120" s="166">
        <f t="shared" ref="C120:S120" si="29">C47</f>
        <v>0</v>
      </c>
      <c r="D120" s="166">
        <f t="shared" si="29"/>
        <v>60</v>
      </c>
      <c r="E120" s="166">
        <f t="shared" si="29"/>
        <v>60</v>
      </c>
      <c r="F120" s="166">
        <f t="shared" si="29"/>
        <v>0</v>
      </c>
      <c r="G120" s="166">
        <f t="shared" si="29"/>
        <v>0</v>
      </c>
      <c r="H120" s="166">
        <f t="shared" si="29"/>
        <v>0</v>
      </c>
      <c r="I120" s="167">
        <f t="shared" si="29"/>
        <v>3765</v>
      </c>
      <c r="J120" s="278">
        <f t="shared" si="29"/>
        <v>7309.9762659799471</v>
      </c>
      <c r="K120" s="245">
        <f t="shared" si="29"/>
        <v>8121383.6315037217</v>
      </c>
      <c r="L120" s="246">
        <f t="shared" si="29"/>
        <v>8121383.6315037217</v>
      </c>
      <c r="M120" s="165">
        <f t="shared" si="29"/>
        <v>7602.3753166191464</v>
      </c>
      <c r="N120" s="166">
        <f t="shared" si="29"/>
        <v>8446238.9767638724</v>
      </c>
      <c r="O120" s="167">
        <f t="shared" si="29"/>
        <v>8446238.9767638724</v>
      </c>
      <c r="P120" s="278">
        <f t="shared" si="29"/>
        <v>7754.4228229515284</v>
      </c>
      <c r="Q120" s="245">
        <f t="shared" si="29"/>
        <v>8615163.7562991474</v>
      </c>
      <c r="R120" s="316">
        <f t="shared" si="29"/>
        <v>8615163.7562991474</v>
      </c>
      <c r="S120" s="318">
        <f t="shared" si="29"/>
        <v>7283674.2577694124</v>
      </c>
      <c r="T120" s="318">
        <f>T47</f>
        <v>1110587.8637528354</v>
      </c>
      <c r="U120" s="417" t="s">
        <v>12</v>
      </c>
    </row>
    <row r="121" spans="2:21" ht="13" x14ac:dyDescent="0.3">
      <c r="B121" s="401" t="s">
        <v>124</v>
      </c>
      <c r="C121" s="21">
        <f t="shared" ref="C121:S121" si="30">C58</f>
        <v>0</v>
      </c>
      <c r="D121" s="21">
        <f t="shared" si="30"/>
        <v>22</v>
      </c>
      <c r="E121" s="21">
        <f t="shared" si="30"/>
        <v>11</v>
      </c>
      <c r="F121" s="21">
        <f t="shared" si="30"/>
        <v>35</v>
      </c>
      <c r="G121" s="21">
        <f t="shared" si="30"/>
        <v>0</v>
      </c>
      <c r="H121" s="21">
        <f t="shared" si="30"/>
        <v>0</v>
      </c>
      <c r="I121" s="157">
        <f t="shared" si="30"/>
        <v>68</v>
      </c>
      <c r="J121" s="279" t="str">
        <f t="shared" si="30"/>
        <v>NA</v>
      </c>
      <c r="K121" s="280">
        <f t="shared" si="30"/>
        <v>54343.333333333336</v>
      </c>
      <c r="L121" s="281">
        <f t="shared" si="30"/>
        <v>54343.333333333336</v>
      </c>
      <c r="M121" s="158" t="str">
        <f t="shared" si="30"/>
        <v>NA</v>
      </c>
      <c r="N121" s="21">
        <f t="shared" si="30"/>
        <v>54343.333333333336</v>
      </c>
      <c r="O121" s="157">
        <f t="shared" si="30"/>
        <v>54343.333333333336</v>
      </c>
      <c r="P121" s="279" t="str">
        <f t="shared" si="30"/>
        <v>NA</v>
      </c>
      <c r="Q121" s="280">
        <f t="shared" si="30"/>
        <v>54343.333333333336</v>
      </c>
      <c r="R121" s="346">
        <f t="shared" si="30"/>
        <v>54343.333333333336</v>
      </c>
      <c r="S121" s="56">
        <f t="shared" si="30"/>
        <v>54343.333333333336</v>
      </c>
      <c r="T121" s="31"/>
      <c r="U121" s="182"/>
    </row>
    <row r="122" spans="2:21" s="1" customFormat="1" ht="13.5" thickBot="1" x14ac:dyDescent="0.35">
      <c r="B122" s="405" t="s">
        <v>76</v>
      </c>
      <c r="C122" s="166">
        <f t="shared" ref="C122:S122" si="31">C59</f>
        <v>0</v>
      </c>
      <c r="D122" s="166">
        <f t="shared" si="31"/>
        <v>532</v>
      </c>
      <c r="E122" s="166">
        <f t="shared" si="31"/>
        <v>278</v>
      </c>
      <c r="F122" s="166">
        <f t="shared" si="31"/>
        <v>965</v>
      </c>
      <c r="G122" s="166">
        <f t="shared" si="31"/>
        <v>0</v>
      </c>
      <c r="H122" s="166">
        <f t="shared" si="31"/>
        <v>0</v>
      </c>
      <c r="I122" s="167">
        <f t="shared" si="31"/>
        <v>2775</v>
      </c>
      <c r="J122" s="278">
        <f t="shared" si="31"/>
        <v>5006.0654881842775</v>
      </c>
      <c r="K122" s="245">
        <f t="shared" si="31"/>
        <v>5561738.7573727323</v>
      </c>
      <c r="L122" s="246">
        <f t="shared" si="31"/>
        <v>5561738.7573727323</v>
      </c>
      <c r="M122" s="165">
        <f t="shared" si="31"/>
        <v>5206.3081077116485</v>
      </c>
      <c r="N122" s="166">
        <f t="shared" si="31"/>
        <v>5784208.3076676419</v>
      </c>
      <c r="O122" s="167">
        <f t="shared" si="31"/>
        <v>5784208.3076676419</v>
      </c>
      <c r="P122" s="278">
        <f t="shared" si="31"/>
        <v>5310.4342698658811</v>
      </c>
      <c r="Q122" s="245">
        <f t="shared" si="31"/>
        <v>5899892.4738209937</v>
      </c>
      <c r="R122" s="316">
        <f t="shared" si="31"/>
        <v>5899892.4738209937</v>
      </c>
      <c r="S122" s="318">
        <f t="shared" si="31"/>
        <v>4360378.3499294119</v>
      </c>
      <c r="T122" s="318">
        <f>T59</f>
        <v>1388234.8296910441</v>
      </c>
      <c r="U122" s="422" t="s">
        <v>12</v>
      </c>
    </row>
    <row r="123" spans="2:21" ht="13" x14ac:dyDescent="0.3">
      <c r="B123" s="401" t="s">
        <v>126</v>
      </c>
      <c r="C123" s="21">
        <f t="shared" ref="C123:U123" si="32">C74</f>
        <v>0</v>
      </c>
      <c r="D123" s="21">
        <f t="shared" si="32"/>
        <v>8</v>
      </c>
      <c r="E123" s="21">
        <f t="shared" si="32"/>
        <v>10</v>
      </c>
      <c r="F123" s="21">
        <f t="shared" si="32"/>
        <v>17</v>
      </c>
      <c r="G123" s="21">
        <f t="shared" si="32"/>
        <v>4</v>
      </c>
      <c r="H123" s="21">
        <f t="shared" si="32"/>
        <v>0</v>
      </c>
      <c r="I123" s="157">
        <f t="shared" si="32"/>
        <v>39</v>
      </c>
      <c r="J123" s="279" t="str">
        <f t="shared" si="32"/>
        <v>NA</v>
      </c>
      <c r="K123" s="280">
        <f t="shared" si="32"/>
        <v>31445.250000000004</v>
      </c>
      <c r="L123" s="281">
        <f t="shared" si="32"/>
        <v>31445.250000000004</v>
      </c>
      <c r="M123" s="158" t="str">
        <f t="shared" si="32"/>
        <v>NA</v>
      </c>
      <c r="N123" s="21">
        <f t="shared" si="32"/>
        <v>31445.250000000004</v>
      </c>
      <c r="O123" s="157">
        <f t="shared" si="32"/>
        <v>31445.250000000004</v>
      </c>
      <c r="P123" s="279" t="str">
        <f t="shared" si="32"/>
        <v>NA</v>
      </c>
      <c r="Q123" s="280">
        <f t="shared" si="32"/>
        <v>31445.250000000004</v>
      </c>
      <c r="R123" s="346">
        <f t="shared" si="32"/>
        <v>31445.250000000004</v>
      </c>
      <c r="S123" s="56">
        <f t="shared" si="32"/>
        <v>31445.250000000004</v>
      </c>
      <c r="T123" s="126" t="str">
        <f t="shared" si="32"/>
        <v>NA</v>
      </c>
      <c r="U123" s="424" t="str">
        <f t="shared" si="32"/>
        <v>NA</v>
      </c>
    </row>
    <row r="124" spans="2:21" s="1" customFormat="1" ht="13.5" thickBot="1" x14ac:dyDescent="0.35">
      <c r="B124" s="405" t="s">
        <v>76</v>
      </c>
      <c r="C124" s="166">
        <f t="shared" ref="C124:T124" si="33">C75</f>
        <v>0</v>
      </c>
      <c r="D124" s="166">
        <f t="shared" si="33"/>
        <v>193</v>
      </c>
      <c r="E124" s="166">
        <f t="shared" si="33"/>
        <v>252</v>
      </c>
      <c r="F124" s="166">
        <f t="shared" si="33"/>
        <v>469</v>
      </c>
      <c r="G124" s="166">
        <f t="shared" si="33"/>
        <v>126</v>
      </c>
      <c r="H124" s="166">
        <f t="shared" si="33"/>
        <v>0</v>
      </c>
      <c r="I124" s="167">
        <f t="shared" si="33"/>
        <v>1040</v>
      </c>
      <c r="J124" s="278">
        <f t="shared" si="33"/>
        <v>2237.6437370242215</v>
      </c>
      <c r="K124" s="245">
        <f t="shared" si="33"/>
        <v>2486022.1918339096</v>
      </c>
      <c r="L124" s="246">
        <f t="shared" si="33"/>
        <v>2486022.1918339096</v>
      </c>
      <c r="M124" s="165">
        <f t="shared" si="33"/>
        <v>2327.1494865051905</v>
      </c>
      <c r="N124" s="166">
        <f t="shared" si="33"/>
        <v>2585463.0795072666</v>
      </c>
      <c r="O124" s="167">
        <f t="shared" si="33"/>
        <v>2585463.0795072666</v>
      </c>
      <c r="P124" s="278">
        <f t="shared" si="33"/>
        <v>2373.6924762352937</v>
      </c>
      <c r="Q124" s="245">
        <f t="shared" si="33"/>
        <v>2637172.3410974112</v>
      </c>
      <c r="R124" s="316">
        <f t="shared" si="33"/>
        <v>2637172.3410974112</v>
      </c>
      <c r="S124" s="318">
        <f t="shared" si="33"/>
        <v>2569552.5374795292</v>
      </c>
      <c r="T124" s="344" t="str">
        <f t="shared" si="33"/>
        <v>NA</v>
      </c>
      <c r="U124" s="422" t="s">
        <v>12</v>
      </c>
    </row>
    <row r="125" spans="2:21" ht="13" x14ac:dyDescent="0.3">
      <c r="B125" s="401" t="s">
        <v>127</v>
      </c>
      <c r="C125" s="172">
        <f t="shared" ref="C125:S125" si="34">C100</f>
        <v>0</v>
      </c>
      <c r="D125" s="172">
        <f t="shared" si="34"/>
        <v>27</v>
      </c>
      <c r="E125" s="172">
        <f t="shared" si="34"/>
        <v>1.2</v>
      </c>
      <c r="F125" s="172">
        <f t="shared" si="34"/>
        <v>32.299999999999997</v>
      </c>
      <c r="G125" s="172">
        <f t="shared" si="34"/>
        <v>26</v>
      </c>
      <c r="H125" s="172">
        <f t="shared" si="34"/>
        <v>5</v>
      </c>
      <c r="I125" s="54">
        <f t="shared" si="34"/>
        <v>91.5</v>
      </c>
      <c r="J125" s="282" t="str">
        <f t="shared" si="34"/>
        <v>NA</v>
      </c>
      <c r="K125" s="263" t="str">
        <f t="shared" si="34"/>
        <v>NA</v>
      </c>
      <c r="L125" s="243">
        <f t="shared" si="34"/>
        <v>62656.333333333343</v>
      </c>
      <c r="M125" s="173" t="str">
        <f t="shared" si="34"/>
        <v>NA</v>
      </c>
      <c r="N125" s="36" t="str">
        <f t="shared" si="34"/>
        <v>NA</v>
      </c>
      <c r="O125" s="54">
        <f t="shared" si="34"/>
        <v>62656.333333333343</v>
      </c>
      <c r="P125" s="282" t="str">
        <f t="shared" si="34"/>
        <v>NA</v>
      </c>
      <c r="Q125" s="263" t="str">
        <f t="shared" si="34"/>
        <v>NA</v>
      </c>
      <c r="R125" s="232">
        <f t="shared" si="34"/>
        <v>62656.333333333343</v>
      </c>
      <c r="S125" s="52">
        <f t="shared" si="34"/>
        <v>62656.333333333343</v>
      </c>
      <c r="T125" s="42" t="s">
        <v>12</v>
      </c>
      <c r="U125" s="185" t="s">
        <v>12</v>
      </c>
    </row>
    <row r="126" spans="2:21" s="1" customFormat="1" ht="13.5" thickBot="1" x14ac:dyDescent="0.35">
      <c r="B126" s="405" t="s">
        <v>76</v>
      </c>
      <c r="C126" s="166">
        <f t="shared" ref="C126:S126" si="35">C101</f>
        <v>0</v>
      </c>
      <c r="D126" s="166">
        <f t="shared" si="35"/>
        <v>653</v>
      </c>
      <c r="E126" s="166">
        <f t="shared" si="35"/>
        <v>30</v>
      </c>
      <c r="F126" s="166">
        <f t="shared" si="35"/>
        <v>890</v>
      </c>
      <c r="G126" s="166">
        <f t="shared" si="35"/>
        <v>815</v>
      </c>
      <c r="H126" s="166">
        <f t="shared" si="35"/>
        <v>189</v>
      </c>
      <c r="I126" s="167">
        <f t="shared" si="35"/>
        <v>2577</v>
      </c>
      <c r="J126" s="278">
        <f t="shared" si="35"/>
        <v>5512.8182698961937</v>
      </c>
      <c r="K126" s="283">
        <f t="shared" si="35"/>
        <v>5053033.8236678196</v>
      </c>
      <c r="L126" s="246">
        <f t="shared" si="35"/>
        <v>4967717.5593633214</v>
      </c>
      <c r="M126" s="165">
        <f t="shared" si="35"/>
        <v>5733.3310006920419</v>
      </c>
      <c r="N126" s="175">
        <f t="shared" si="35"/>
        <v>5255155.1766145332</v>
      </c>
      <c r="O126" s="167">
        <f t="shared" si="35"/>
        <v>5255155.1766145332</v>
      </c>
      <c r="P126" s="278">
        <f t="shared" si="35"/>
        <v>5847.9976207058817</v>
      </c>
      <c r="Q126" s="283">
        <f t="shared" si="35"/>
        <v>5360258.2801468223</v>
      </c>
      <c r="R126" s="316">
        <f t="shared" si="35"/>
        <v>5360258.2801468223</v>
      </c>
      <c r="S126" s="318">
        <f t="shared" si="35"/>
        <v>5194377.0053748926</v>
      </c>
      <c r="T126" s="318">
        <f>T101</f>
        <v>0</v>
      </c>
      <c r="U126" s="422" t="s">
        <v>12</v>
      </c>
    </row>
    <row r="127" spans="2:21" ht="13" x14ac:dyDescent="0.3">
      <c r="B127" s="401" t="s">
        <v>128</v>
      </c>
      <c r="C127" s="21">
        <f t="shared" ref="C127:S127" si="36">C110</f>
        <v>0</v>
      </c>
      <c r="D127" s="21">
        <f t="shared" si="36"/>
        <v>0</v>
      </c>
      <c r="E127" s="21">
        <f t="shared" si="36"/>
        <v>16</v>
      </c>
      <c r="F127" s="21">
        <f t="shared" si="36"/>
        <v>8</v>
      </c>
      <c r="G127" s="21">
        <f t="shared" si="36"/>
        <v>12</v>
      </c>
      <c r="H127" s="21">
        <f t="shared" si="36"/>
        <v>6</v>
      </c>
      <c r="I127" s="157">
        <f t="shared" si="36"/>
        <v>42</v>
      </c>
      <c r="J127" s="279" t="str">
        <f t="shared" si="36"/>
        <v>NA</v>
      </c>
      <c r="K127" s="280">
        <f t="shared" si="36"/>
        <v>33565</v>
      </c>
      <c r="L127" s="281">
        <f t="shared" si="36"/>
        <v>33565</v>
      </c>
      <c r="M127" s="158" t="str">
        <f t="shared" si="36"/>
        <v>NA</v>
      </c>
      <c r="N127" s="21">
        <f t="shared" si="36"/>
        <v>33565</v>
      </c>
      <c r="O127" s="157">
        <f t="shared" si="36"/>
        <v>33565</v>
      </c>
      <c r="P127" s="279" t="str">
        <f t="shared" si="36"/>
        <v>NA</v>
      </c>
      <c r="Q127" s="280">
        <f t="shared" si="36"/>
        <v>33565</v>
      </c>
      <c r="R127" s="346">
        <f t="shared" si="36"/>
        <v>33565</v>
      </c>
      <c r="S127" s="56">
        <f t="shared" si="36"/>
        <v>33565</v>
      </c>
      <c r="T127" s="42" t="s">
        <v>12</v>
      </c>
      <c r="U127" s="185" t="s">
        <v>12</v>
      </c>
    </row>
    <row r="128" spans="2:21" ht="13" thickBot="1" x14ac:dyDescent="0.3">
      <c r="B128" s="434" t="s">
        <v>76</v>
      </c>
      <c r="C128" s="84">
        <f t="shared" ref="C128:S128" si="37">C111</f>
        <v>0</v>
      </c>
      <c r="D128" s="84">
        <f t="shared" si="37"/>
        <v>0</v>
      </c>
      <c r="E128" s="84">
        <f t="shared" si="37"/>
        <v>404</v>
      </c>
      <c r="F128" s="84">
        <f t="shared" si="37"/>
        <v>221</v>
      </c>
      <c r="G128" s="84">
        <f t="shared" si="37"/>
        <v>375</v>
      </c>
      <c r="H128" s="84">
        <f t="shared" si="37"/>
        <v>227</v>
      </c>
      <c r="I128" s="77">
        <f t="shared" si="37"/>
        <v>1227</v>
      </c>
      <c r="J128" s="347">
        <f t="shared" si="37"/>
        <v>2624.845951557093</v>
      </c>
      <c r="K128" s="295">
        <f t="shared" si="37"/>
        <v>2916203.8521799305</v>
      </c>
      <c r="L128" s="256">
        <f t="shared" si="37"/>
        <v>2916203.8521799305</v>
      </c>
      <c r="M128" s="89">
        <f t="shared" si="37"/>
        <v>2729.8397896193774</v>
      </c>
      <c r="N128" s="84">
        <f t="shared" si="37"/>
        <v>3032852.006267128</v>
      </c>
      <c r="O128" s="77">
        <f t="shared" si="37"/>
        <v>3032852.006267128</v>
      </c>
      <c r="P128" s="347">
        <f t="shared" si="37"/>
        <v>2784.4365854117641</v>
      </c>
      <c r="Q128" s="295">
        <f t="shared" si="37"/>
        <v>3093509.0463924701</v>
      </c>
      <c r="R128" s="256">
        <f t="shared" si="37"/>
        <v>3093509.0463924701</v>
      </c>
      <c r="S128" s="77">
        <f t="shared" si="37"/>
        <v>3014188.3016131762</v>
      </c>
      <c r="T128" s="127" t="str">
        <f>T111</f>
        <v>NA</v>
      </c>
      <c r="U128" s="425" t="s">
        <v>12</v>
      </c>
    </row>
    <row r="129" spans="2:21" ht="15.5" x14ac:dyDescent="0.35">
      <c r="B129" s="435" t="s">
        <v>13</v>
      </c>
      <c r="C129" s="86" t="s">
        <v>45</v>
      </c>
      <c r="D129" s="86" t="s">
        <v>46</v>
      </c>
      <c r="E129" s="86" t="s">
        <v>47</v>
      </c>
      <c r="F129" s="86" t="s">
        <v>48</v>
      </c>
      <c r="G129" s="86" t="s">
        <v>49</v>
      </c>
      <c r="H129" s="86" t="s">
        <v>50</v>
      </c>
      <c r="I129" s="87" t="s">
        <v>13</v>
      </c>
      <c r="J129" s="88" t="s">
        <v>56</v>
      </c>
      <c r="K129" s="86" t="s">
        <v>13</v>
      </c>
      <c r="L129" s="87" t="s">
        <v>68</v>
      </c>
      <c r="M129" s="88" t="s">
        <v>56</v>
      </c>
      <c r="N129" s="86" t="s">
        <v>13</v>
      </c>
      <c r="O129" s="87" t="s">
        <v>68</v>
      </c>
      <c r="P129" s="88" t="s">
        <v>56</v>
      </c>
      <c r="Q129" s="86" t="s">
        <v>13</v>
      </c>
      <c r="R129" s="87" t="s">
        <v>68</v>
      </c>
      <c r="S129" s="87"/>
      <c r="T129" s="31"/>
      <c r="U129" s="182"/>
    </row>
    <row r="130" spans="2:21" x14ac:dyDescent="0.25">
      <c r="B130" s="436" t="s">
        <v>75</v>
      </c>
      <c r="C130" s="58">
        <f t="shared" ref="C130:I131" si="38">C115+C117+C119+C121+C123+C125+C127</f>
        <v>0</v>
      </c>
      <c r="D130" s="58">
        <f t="shared" si="38"/>
        <v>125</v>
      </c>
      <c r="E130" s="58">
        <f t="shared" si="38"/>
        <v>106.2</v>
      </c>
      <c r="F130" s="58">
        <f t="shared" si="38"/>
        <v>110.3</v>
      </c>
      <c r="G130" s="58">
        <f t="shared" si="38"/>
        <v>56</v>
      </c>
      <c r="H130" s="58">
        <f t="shared" si="38"/>
        <v>21</v>
      </c>
      <c r="I130" s="57">
        <f t="shared" si="38"/>
        <v>418.5</v>
      </c>
      <c r="J130" s="285" t="s">
        <v>12</v>
      </c>
      <c r="K130" s="231">
        <f>K115+K117+K119+K121+K123+K127</f>
        <v>242276.38333333336</v>
      </c>
      <c r="L130" s="239">
        <f>L115+L117+L119+L121+L123+L125+L127</f>
        <v>281770.31666666665</v>
      </c>
      <c r="M130" s="83" t="s">
        <v>12</v>
      </c>
      <c r="N130" s="58">
        <f>N115+N117+N119+N121+N123+N127</f>
        <v>242276.38333333336</v>
      </c>
      <c r="O130" s="57">
        <f>O115+O117+O119+O121+O123+O125+O127</f>
        <v>281770.31666666665</v>
      </c>
      <c r="P130" s="285" t="s">
        <v>12</v>
      </c>
      <c r="Q130" s="231">
        <f>Q115+Q117+Q119+Q121+Q123+Q127</f>
        <v>242276.38333333336</v>
      </c>
      <c r="R130" s="239">
        <f>R115+R117+R119+R121+R123+R125+R127</f>
        <v>281770.31666666665</v>
      </c>
      <c r="S130" s="57">
        <f>S115+S117+S119+S121+S123+S125+S127</f>
        <v>281770.31666666665</v>
      </c>
      <c r="T130" s="57"/>
      <c r="U130" s="187" t="s">
        <v>12</v>
      </c>
    </row>
    <row r="131" spans="2:21" s="2" customFormat="1" ht="16" thickBot="1" x14ac:dyDescent="0.4">
      <c r="B131" s="437" t="s">
        <v>76</v>
      </c>
      <c r="C131" s="426">
        <f t="shared" si="38"/>
        <v>0</v>
      </c>
      <c r="D131" s="426">
        <f t="shared" si="38"/>
        <v>1632</v>
      </c>
      <c r="E131" s="426">
        <f t="shared" si="38"/>
        <v>1226</v>
      </c>
      <c r="F131" s="426">
        <f t="shared" si="38"/>
        <v>3041</v>
      </c>
      <c r="G131" s="426">
        <f t="shared" si="38"/>
        <v>1754</v>
      </c>
      <c r="H131" s="426">
        <f t="shared" si="38"/>
        <v>794</v>
      </c>
      <c r="I131" s="427">
        <f t="shared" si="38"/>
        <v>13092</v>
      </c>
      <c r="J131" s="428">
        <f>J116+J118+J120+J122+J124+J126+J128</f>
        <v>26345.169505029276</v>
      </c>
      <c r="K131" s="429">
        <f>K116+K118+K120+K122+K124+K128</f>
        <v>19350199.026108287</v>
      </c>
      <c r="L131" s="430">
        <f>L116+L118+L120+L122+L124+L126+L128</f>
        <v>26802887.469161917</v>
      </c>
      <c r="M131" s="431">
        <f>M116+M118+M120+M122+M124+M126+M128</f>
        <v>27398.976285230448</v>
      </c>
      <c r="N131" s="432">
        <f>N116+N118+N120+N122+N124+N128</f>
        <v>20124206.987152617</v>
      </c>
      <c r="O131" s="427">
        <f>O116+O118+O120+O122+O124+O126+O128</f>
        <v>27955963.487865284</v>
      </c>
      <c r="P131" s="428">
        <f>P116+P118+P120+P122+P124+P126+P128</f>
        <v>27946.955810935055</v>
      </c>
      <c r="Q131" s="429">
        <f>Q116+Q118+Q120+Q122+Q124+Q128</f>
        <v>20526691.12689567</v>
      </c>
      <c r="R131" s="430">
        <f>R116+R118+R120+R122+R124+R126+R128</f>
        <v>28515082.757622588</v>
      </c>
      <c r="S131" s="444">
        <f>S116+S118+S120+S122+S124+S126+S128</f>
        <v>22641340.961164847</v>
      </c>
      <c r="T131" s="427">
        <f>SUM(T116,T118,T120,T122,T124,T126,T128)</f>
        <v>2498822.6934438795</v>
      </c>
      <c r="U131" s="433">
        <f>SUM(U116,U118,U120,U122,U124,U126,U128)</f>
        <v>2617814.2502745404</v>
      </c>
    </row>
    <row r="132" spans="2:21" ht="16" thickTop="1" x14ac:dyDescent="0.35">
      <c r="B132" s="189" t="s">
        <v>145</v>
      </c>
    </row>
  </sheetData>
  <mergeCells count="38">
    <mergeCell ref="Q104:R104"/>
    <mergeCell ref="Q40:R40"/>
    <mergeCell ref="Q50:R50"/>
    <mergeCell ref="Q62:R62"/>
    <mergeCell ref="Q96:R96"/>
    <mergeCell ref="Q79:R79"/>
    <mergeCell ref="Q92:R92"/>
    <mergeCell ref="N40:O40"/>
    <mergeCell ref="N50:O50"/>
    <mergeCell ref="N92:O92"/>
    <mergeCell ref="N79:O79"/>
    <mergeCell ref="N104:O104"/>
    <mergeCell ref="N62:O62"/>
    <mergeCell ref="N96:O96"/>
    <mergeCell ref="G39:I39"/>
    <mergeCell ref="K104:L104"/>
    <mergeCell ref="K50:L50"/>
    <mergeCell ref="G103:I103"/>
    <mergeCell ref="K92:L92"/>
    <mergeCell ref="K79:L79"/>
    <mergeCell ref="K40:L40"/>
    <mergeCell ref="G40:I40"/>
    <mergeCell ref="G50:I50"/>
    <mergeCell ref="G49:I49"/>
    <mergeCell ref="K62:L62"/>
    <mergeCell ref="K96:L96"/>
    <mergeCell ref="G61:I61"/>
    <mergeCell ref="G78:I78"/>
    <mergeCell ref="S2:T2"/>
    <mergeCell ref="Q27:R27"/>
    <mergeCell ref="G15:I15"/>
    <mergeCell ref="K27:L27"/>
    <mergeCell ref="C5:I5"/>
    <mergeCell ref="G26:I26"/>
    <mergeCell ref="Q16:R16"/>
    <mergeCell ref="K16:L16"/>
    <mergeCell ref="N16:O16"/>
    <mergeCell ref="N27:O27"/>
  </mergeCells>
  <phoneticPr fontId="2" type="noConversion"/>
  <dataValidations disablePrompts="1" count="1">
    <dataValidation allowBlank="1" showInputMessage="1" showErrorMessage="1" sqref="D42 D29" xr:uid="{00000000-0002-0000-0600-000000000000}"/>
  </dataValidations>
  <pageMargins left="0.25" right="0.21" top="0.64" bottom="0.56999999999999995" header="0.5" footer="0.5"/>
  <pageSetup scale="43" fitToHeight="25" orientation="landscape" r:id="rId1"/>
  <headerFooter alignWithMargins="0"/>
  <rowBreaks count="1" manualBreakCount="1">
    <brk id="7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73"/>
  <sheetViews>
    <sheetView topLeftCell="G86" zoomScaleNormal="100" workbookViewId="0">
      <selection activeCell="S108" sqref="S108"/>
    </sheetView>
  </sheetViews>
  <sheetFormatPr defaultRowHeight="12.5" x14ac:dyDescent="0.25"/>
  <cols>
    <col min="1" max="1" width="1.1796875" customWidth="1"/>
    <col min="2" max="2" width="32.26953125" customWidth="1"/>
    <col min="3" max="3" width="12.81640625" customWidth="1"/>
    <col min="4" max="4" width="10.453125" bestFit="1" customWidth="1"/>
    <col min="5" max="5" width="11.26953125" customWidth="1"/>
    <col min="6" max="6" width="9.7265625" style="5" customWidth="1"/>
    <col min="7" max="7" width="9.81640625" bestFit="1" customWidth="1"/>
    <col min="8" max="8" width="10" bestFit="1" customWidth="1"/>
    <col min="9" max="9" width="13.26953125" customWidth="1"/>
    <col min="10" max="10" width="15" customWidth="1"/>
    <col min="11" max="11" width="14.453125" customWidth="1"/>
    <col min="12" max="12" width="14.7265625" bestFit="1" customWidth="1"/>
    <col min="13" max="13" width="15.54296875" customWidth="1"/>
    <col min="14" max="14" width="14.54296875" customWidth="1"/>
    <col min="15" max="15" width="14.453125" customWidth="1"/>
    <col min="16" max="16" width="15" customWidth="1"/>
    <col min="17" max="17" width="13.81640625" customWidth="1"/>
    <col min="18" max="18" width="14" customWidth="1"/>
    <col min="19" max="19" width="14.54296875" customWidth="1"/>
    <col min="20" max="20" width="14" customWidth="1"/>
    <col min="21" max="21" width="13.26953125" bestFit="1" customWidth="1"/>
  </cols>
  <sheetData>
    <row r="1" spans="1:21" ht="4.5" customHeight="1" thickBot="1" x14ac:dyDescent="0.3">
      <c r="B1" s="335"/>
      <c r="C1" s="335"/>
      <c r="D1" s="335"/>
      <c r="E1" s="335"/>
      <c r="F1" s="336"/>
      <c r="G1" s="335"/>
      <c r="H1" s="335"/>
      <c r="I1" s="335"/>
      <c r="J1" s="335"/>
      <c r="K1" s="335"/>
      <c r="L1" s="335"/>
      <c r="M1" s="335"/>
    </row>
    <row r="2" spans="1:21" ht="18.5" thickTop="1" x14ac:dyDescent="0.4">
      <c r="A2" s="510"/>
      <c r="B2" s="494" t="s">
        <v>0</v>
      </c>
      <c r="C2" s="491" t="s">
        <v>164</v>
      </c>
      <c r="E2" s="326" t="s">
        <v>31</v>
      </c>
      <c r="F2" s="1172">
        <v>43331</v>
      </c>
      <c r="G2" s="1173"/>
      <c r="J2" s="492" t="s">
        <v>5</v>
      </c>
      <c r="K2" s="493">
        <v>2023</v>
      </c>
      <c r="M2" s="490" t="s">
        <v>10</v>
      </c>
      <c r="N2" s="452">
        <f>K2+1</f>
        <v>2024</v>
      </c>
      <c r="O2" s="451"/>
      <c r="P2" s="453" t="s">
        <v>11</v>
      </c>
      <c r="Q2" s="452">
        <f>N2+1</f>
        <v>2025</v>
      </c>
      <c r="R2" s="454"/>
      <c r="S2" s="1165" t="s">
        <v>77</v>
      </c>
      <c r="T2" s="1166"/>
      <c r="U2" s="850" t="s">
        <v>79</v>
      </c>
    </row>
    <row r="3" spans="1:21" ht="13" x14ac:dyDescent="0.3">
      <c r="A3" s="510"/>
      <c r="F3"/>
      <c r="I3" s="891" t="s">
        <v>216</v>
      </c>
      <c r="J3" s="1" t="s">
        <v>211</v>
      </c>
      <c r="K3" s="498" t="s">
        <v>212</v>
      </c>
      <c r="L3" s="17">
        <v>39</v>
      </c>
      <c r="M3" s="1" t="s">
        <v>211</v>
      </c>
      <c r="N3" s="498" t="s">
        <v>212</v>
      </c>
      <c r="O3" s="17">
        <v>39</v>
      </c>
      <c r="P3" s="1" t="s">
        <v>211</v>
      </c>
      <c r="Q3" s="498" t="s">
        <v>212</v>
      </c>
      <c r="R3" s="17">
        <v>39</v>
      </c>
      <c r="T3" s="31"/>
      <c r="U3" s="510"/>
    </row>
    <row r="4" spans="1:21" ht="13" x14ac:dyDescent="0.3">
      <c r="A4" s="510"/>
      <c r="F4"/>
      <c r="I4" s="43">
        <v>3.5000000000000003E-2</v>
      </c>
      <c r="J4" s="1" t="s">
        <v>69</v>
      </c>
      <c r="K4" s="638" t="s">
        <v>213</v>
      </c>
      <c r="L4" s="17">
        <v>0</v>
      </c>
      <c r="M4" s="1" t="s">
        <v>69</v>
      </c>
      <c r="N4" s="638" t="s">
        <v>213</v>
      </c>
      <c r="O4" s="17">
        <v>0</v>
      </c>
      <c r="P4" s="1" t="s">
        <v>69</v>
      </c>
      <c r="Q4" s="638" t="s">
        <v>213</v>
      </c>
      <c r="R4" s="17">
        <v>0</v>
      </c>
      <c r="T4" s="31"/>
      <c r="U4" s="510"/>
    </row>
    <row r="5" spans="1:21" ht="13.5" thickBot="1" x14ac:dyDescent="0.3">
      <c r="A5" s="510"/>
      <c r="B5" s="495" t="s">
        <v>2</v>
      </c>
      <c r="C5" s="1174"/>
      <c r="D5" s="1175"/>
      <c r="E5" s="1175"/>
      <c r="F5" s="1175"/>
      <c r="G5" s="1175"/>
      <c r="H5" s="1175"/>
      <c r="I5" s="1191"/>
      <c r="K5" s="638" t="s">
        <v>214</v>
      </c>
      <c r="L5" s="17">
        <v>30</v>
      </c>
      <c r="N5" s="638" t="s">
        <v>214</v>
      </c>
      <c r="O5" s="17">
        <v>30</v>
      </c>
      <c r="Q5" s="638" t="s">
        <v>214</v>
      </c>
      <c r="R5" s="17">
        <v>30</v>
      </c>
      <c r="T5" s="31"/>
      <c r="U5" s="510"/>
    </row>
    <row r="6" spans="1:21" ht="13.5" thickTop="1" x14ac:dyDescent="0.3">
      <c r="A6" s="510"/>
      <c r="F6"/>
      <c r="I6" s="31"/>
      <c r="J6" s="326" t="s">
        <v>71</v>
      </c>
      <c r="K6" s="639" t="s">
        <v>215</v>
      </c>
      <c r="L6" s="17">
        <v>126</v>
      </c>
      <c r="M6" s="326" t="s">
        <v>71</v>
      </c>
      <c r="N6" s="639" t="s">
        <v>215</v>
      </c>
      <c r="O6" s="17">
        <v>126</v>
      </c>
      <c r="P6" s="326" t="s">
        <v>71</v>
      </c>
      <c r="Q6" s="639" t="s">
        <v>215</v>
      </c>
      <c r="R6" s="17">
        <v>126</v>
      </c>
      <c r="T6" s="31"/>
      <c r="U6" s="510"/>
    </row>
    <row r="7" spans="1:21" x14ac:dyDescent="0.25">
      <c r="A7" s="510"/>
      <c r="F7"/>
      <c r="I7" s="31"/>
      <c r="J7" s="894">
        <v>113</v>
      </c>
      <c r="K7" s="498" t="s">
        <v>218</v>
      </c>
      <c r="L7" s="17">
        <f>ROUND(SUM(L3:L6)*0.1,0)</f>
        <v>20</v>
      </c>
      <c r="M7" s="894">
        <v>113</v>
      </c>
      <c r="N7" s="498" t="s">
        <v>218</v>
      </c>
      <c r="O7" s="17">
        <f>ROUND(SUM(O3:O6)*0.1,0)</f>
        <v>20</v>
      </c>
      <c r="P7" s="894">
        <v>113</v>
      </c>
      <c r="Q7" s="498" t="s">
        <v>218</v>
      </c>
      <c r="R7" s="17">
        <f>ROUND(SUM(R3:R6)*0.1,0)</f>
        <v>20</v>
      </c>
      <c r="T7" s="31"/>
      <c r="U7" s="510"/>
    </row>
    <row r="8" spans="1:21" ht="13" x14ac:dyDescent="0.3">
      <c r="A8" s="510"/>
      <c r="I8" s="31"/>
      <c r="K8" s="349" t="s">
        <v>13</v>
      </c>
      <c r="L8" s="56">
        <f>SUM(L3:L7)</f>
        <v>215</v>
      </c>
      <c r="N8" s="349" t="s">
        <v>13</v>
      </c>
      <c r="O8" s="56">
        <f>SUM(O3:O7)</f>
        <v>215</v>
      </c>
      <c r="Q8" s="349" t="s">
        <v>13</v>
      </c>
      <c r="R8" s="56">
        <f>SUM(R3:R7)</f>
        <v>215</v>
      </c>
      <c r="S8" s="349" t="s">
        <v>13</v>
      </c>
      <c r="T8" s="85">
        <f>AVERAGE(L8,O8,R8)</f>
        <v>215</v>
      </c>
      <c r="U8" s="510"/>
    </row>
    <row r="9" spans="1:21" ht="13" x14ac:dyDescent="0.3">
      <c r="A9" s="510"/>
      <c r="I9" s="31"/>
      <c r="K9" s="349" t="s">
        <v>166</v>
      </c>
      <c r="L9" s="37">
        <f>L3*4+L4*3+L5*2+L6+L7</f>
        <v>362</v>
      </c>
      <c r="N9" s="349" t="s">
        <v>166</v>
      </c>
      <c r="O9" s="37">
        <f>O3*4+O4*3+O5*2+O6+O7</f>
        <v>362</v>
      </c>
      <c r="Q9" s="349" t="s">
        <v>166</v>
      </c>
      <c r="R9" s="37">
        <f>R3*4+R4*3+R5*2+R6+R7</f>
        <v>362</v>
      </c>
      <c r="S9" s="349" t="s">
        <v>166</v>
      </c>
      <c r="T9" s="85">
        <f>AVERAGE(L9,O9,R9)</f>
        <v>362</v>
      </c>
      <c r="U9" s="510"/>
    </row>
    <row r="10" spans="1:21" ht="12.75" customHeight="1" thickBot="1" x14ac:dyDescent="0.35">
      <c r="A10" s="510"/>
      <c r="I10" s="31"/>
      <c r="K10" s="349" t="s">
        <v>70</v>
      </c>
      <c r="L10" s="288">
        <f>L9*$I$4</f>
        <v>12.670000000000002</v>
      </c>
      <c r="N10" s="349" t="s">
        <v>70</v>
      </c>
      <c r="O10" s="288">
        <f>O9*$I$4</f>
        <v>12.670000000000002</v>
      </c>
      <c r="Q10" s="349" t="s">
        <v>70</v>
      </c>
      <c r="R10" s="288">
        <f>R9*$I$4</f>
        <v>12.670000000000002</v>
      </c>
      <c r="S10" s="90" t="s">
        <v>70</v>
      </c>
      <c r="T10" s="640">
        <f>AVERAGE(L10,O10,R10)</f>
        <v>12.670000000000002</v>
      </c>
      <c r="U10" s="510"/>
    </row>
    <row r="11" spans="1:21" ht="12.75" customHeight="1" thickTop="1" x14ac:dyDescent="0.3">
      <c r="A11" s="510"/>
      <c r="B11" s="495"/>
      <c r="F11"/>
      <c r="I11" s="31"/>
      <c r="K11" s="349" t="s">
        <v>144</v>
      </c>
      <c r="L11" s="641">
        <f>(L3+L4/2+L5/3+L6/6)/L8</f>
        <v>0.32558139534883723</v>
      </c>
      <c r="N11" s="349" t="s">
        <v>144</v>
      </c>
      <c r="O11" s="641">
        <f>(O3+O4/2+O5/3+O6/6)/O8</f>
        <v>0.32558139534883723</v>
      </c>
      <c r="Q11" s="349" t="s">
        <v>144</v>
      </c>
      <c r="R11" s="641">
        <f>(R3+R4/2+R5/3+R6/6)/R8</f>
        <v>0.32558139534883723</v>
      </c>
      <c r="S11" s="90"/>
      <c r="T11" s="682"/>
      <c r="U11" s="510"/>
    </row>
    <row r="12" spans="1:21" ht="12.75" customHeight="1" x14ac:dyDescent="0.3">
      <c r="A12" s="510"/>
      <c r="B12" s="495"/>
      <c r="F12"/>
      <c r="I12" s="31"/>
      <c r="K12" s="349" t="s">
        <v>217</v>
      </c>
      <c r="L12" s="17">
        <v>465</v>
      </c>
      <c r="N12" s="349" t="s">
        <v>217</v>
      </c>
      <c r="O12" s="17">
        <v>465</v>
      </c>
      <c r="Q12" s="349" t="s">
        <v>217</v>
      </c>
      <c r="R12" s="17">
        <v>465</v>
      </c>
      <c r="S12" s="349" t="s">
        <v>167</v>
      </c>
      <c r="T12" s="1076">
        <f>AVERAGE(L12,O12,R12)</f>
        <v>465</v>
      </c>
      <c r="U12" s="510"/>
    </row>
    <row r="13" spans="1:21" ht="12.75" customHeight="1" x14ac:dyDescent="0.3">
      <c r="A13" s="510"/>
      <c r="B13" s="495"/>
      <c r="F13"/>
      <c r="I13" s="31"/>
      <c r="K13" s="349" t="s">
        <v>70</v>
      </c>
      <c r="L13" s="52">
        <f>L12*$I$4</f>
        <v>16.275000000000002</v>
      </c>
      <c r="N13" s="349" t="s">
        <v>70</v>
      </c>
      <c r="O13" s="52">
        <f>O12*$I$4</f>
        <v>16.275000000000002</v>
      </c>
      <c r="Q13" s="349" t="s">
        <v>70</v>
      </c>
      <c r="R13" s="52">
        <f>R12*$I$4</f>
        <v>16.275000000000002</v>
      </c>
      <c r="S13" s="90" t="s">
        <v>70</v>
      </c>
      <c r="T13" s="640">
        <f>AVERAGE(L13,O13,R13)</f>
        <v>16.275000000000002</v>
      </c>
      <c r="U13" s="510"/>
    </row>
    <row r="14" spans="1:21" ht="12.75" customHeight="1" thickBot="1" x14ac:dyDescent="0.35">
      <c r="A14" s="510"/>
      <c r="B14" s="495"/>
      <c r="C14" s="335"/>
      <c r="D14" s="335"/>
      <c r="E14" s="335"/>
      <c r="F14" s="335"/>
      <c r="G14" s="335"/>
      <c r="H14" s="335"/>
      <c r="I14" s="190"/>
      <c r="J14" s="335"/>
      <c r="K14" s="287" t="s">
        <v>337</v>
      </c>
      <c r="L14" s="904">
        <f>L8+L12</f>
        <v>680</v>
      </c>
      <c r="M14" s="335"/>
      <c r="N14" s="287" t="s">
        <v>337</v>
      </c>
      <c r="O14" s="904">
        <f>O8+O12</f>
        <v>680</v>
      </c>
      <c r="P14" s="335"/>
      <c r="Q14" s="287" t="s">
        <v>337</v>
      </c>
      <c r="R14" s="904">
        <f>R8+R12</f>
        <v>680</v>
      </c>
      <c r="S14" s="905" t="s">
        <v>337</v>
      </c>
      <c r="T14" s="893">
        <f>AVERAGE(L14,O14,R14)</f>
        <v>680</v>
      </c>
      <c r="U14" s="510"/>
    </row>
    <row r="15" spans="1:21" ht="30" customHeight="1" thickTop="1" thickBot="1" x14ac:dyDescent="0.45">
      <c r="A15" s="510"/>
      <c r="B15" s="496" t="s">
        <v>73</v>
      </c>
      <c r="C15" s="3"/>
      <c r="D15" s="3"/>
      <c r="E15" s="3"/>
      <c r="F15" s="9"/>
      <c r="G15" s="3"/>
      <c r="H15" s="3"/>
      <c r="I15" s="35"/>
      <c r="K15" s="3"/>
      <c r="L15" s="35"/>
      <c r="N15" s="3"/>
      <c r="O15" s="35"/>
      <c r="Q15" s="3"/>
      <c r="R15" s="35"/>
      <c r="S15" s="562" t="s">
        <v>17</v>
      </c>
      <c r="T15" s="892" t="s">
        <v>103</v>
      </c>
      <c r="U15" s="181"/>
    </row>
    <row r="16" spans="1:21" ht="15.5" x14ac:dyDescent="0.35">
      <c r="A16" s="510"/>
      <c r="B16" s="48" t="s">
        <v>3</v>
      </c>
      <c r="C16" s="193"/>
      <c r="D16" s="349" t="s">
        <v>54</v>
      </c>
      <c r="E16" s="24">
        <v>7</v>
      </c>
      <c r="F16" s="1" t="s">
        <v>6</v>
      </c>
      <c r="G16" s="1169"/>
      <c r="H16" s="1170"/>
      <c r="I16" s="1171"/>
      <c r="J16" s="72" t="s">
        <v>3</v>
      </c>
      <c r="K16" s="146"/>
      <c r="L16" s="62"/>
      <c r="M16" s="48" t="s">
        <v>3</v>
      </c>
      <c r="O16" s="31"/>
      <c r="P16" s="48" t="s">
        <v>3</v>
      </c>
      <c r="R16" s="62"/>
      <c r="S16" s="768"/>
      <c r="T16" s="92"/>
      <c r="U16" s="421"/>
    </row>
    <row r="17" spans="1:21" ht="13" x14ac:dyDescent="0.3">
      <c r="A17" s="510"/>
      <c r="B17" s="497" t="s">
        <v>44</v>
      </c>
      <c r="C17" s="4"/>
      <c r="D17" s="4"/>
      <c r="E17" s="4"/>
      <c r="F17" s="8"/>
      <c r="G17" s="4"/>
      <c r="H17" s="4"/>
      <c r="I17" s="40" t="s">
        <v>55</v>
      </c>
      <c r="J17" s="209" t="s">
        <v>55</v>
      </c>
      <c r="K17" s="1176" t="s">
        <v>57</v>
      </c>
      <c r="L17" s="1168"/>
      <c r="M17" s="50" t="s">
        <v>55</v>
      </c>
      <c r="N17" s="1177" t="s">
        <v>57</v>
      </c>
      <c r="O17" s="1178"/>
      <c r="P17" s="227" t="s">
        <v>55</v>
      </c>
      <c r="Q17" s="1167" t="s">
        <v>57</v>
      </c>
      <c r="R17" s="1168"/>
      <c r="S17" s="100"/>
      <c r="T17" s="118"/>
      <c r="U17" s="851"/>
    </row>
    <row r="18" spans="1:21" ht="13" x14ac:dyDescent="0.3">
      <c r="A18" s="510"/>
      <c r="B18" s="498" t="s">
        <v>53</v>
      </c>
      <c r="C18" s="20" t="s">
        <v>45</v>
      </c>
      <c r="D18" s="20" t="s">
        <v>46</v>
      </c>
      <c r="E18" s="20" t="s">
        <v>47</v>
      </c>
      <c r="F18" s="20" t="s">
        <v>48</v>
      </c>
      <c r="G18" s="20" t="s">
        <v>49</v>
      </c>
      <c r="H18" s="20" t="s">
        <v>50</v>
      </c>
      <c r="I18" s="40" t="s">
        <v>13</v>
      </c>
      <c r="J18" s="210" t="s">
        <v>56</v>
      </c>
      <c r="K18" s="211" t="s">
        <v>13</v>
      </c>
      <c r="L18" s="212" t="s">
        <v>68</v>
      </c>
      <c r="M18" s="66" t="s">
        <v>56</v>
      </c>
      <c r="N18" s="20" t="s">
        <v>13</v>
      </c>
      <c r="O18" s="32" t="s">
        <v>68</v>
      </c>
      <c r="P18" s="211" t="s">
        <v>56</v>
      </c>
      <c r="Q18" s="211" t="s">
        <v>13</v>
      </c>
      <c r="R18" s="212" t="s">
        <v>68</v>
      </c>
      <c r="S18" s="98"/>
      <c r="T18" s="44"/>
      <c r="U18" s="423"/>
    </row>
    <row r="19" spans="1:21" x14ac:dyDescent="0.25">
      <c r="A19" s="510"/>
      <c r="B19" s="499" t="s">
        <v>51</v>
      </c>
      <c r="C19" s="18">
        <v>0</v>
      </c>
      <c r="D19" s="18">
        <v>0</v>
      </c>
      <c r="E19" s="18">
        <v>0</v>
      </c>
      <c r="F19" s="18">
        <v>10</v>
      </c>
      <c r="G19" s="18">
        <v>10</v>
      </c>
      <c r="H19" s="18">
        <v>10</v>
      </c>
      <c r="I19" s="41">
        <f>SUM(C19:H19)</f>
        <v>30</v>
      </c>
      <c r="J19" s="213" t="s">
        <v>12</v>
      </c>
      <c r="K19" s="836">
        <f>$I19*J$7</f>
        <v>3390</v>
      </c>
      <c r="L19" s="215">
        <f>K19/$E$16</f>
        <v>484.28571428571428</v>
      </c>
      <c r="M19" s="51" t="s">
        <v>12</v>
      </c>
      <c r="N19" s="837">
        <f>$I19*M$7</f>
        <v>3390</v>
      </c>
      <c r="O19" s="57">
        <f>N19/$E$16</f>
        <v>484.28571428571428</v>
      </c>
      <c r="P19" s="213" t="s">
        <v>12</v>
      </c>
      <c r="Q19" s="352">
        <f>$I19*$M$10</f>
        <v>0</v>
      </c>
      <c r="R19" s="239">
        <f>Q19/$E$16</f>
        <v>0</v>
      </c>
      <c r="S19" s="96">
        <f>AVERAGE(L19,O19,R19)</f>
        <v>322.85714285714283</v>
      </c>
      <c r="T19" s="94" t="s">
        <v>12</v>
      </c>
      <c r="U19" s="852" t="s">
        <v>12</v>
      </c>
    </row>
    <row r="20" spans="1:21" s="1" customFormat="1" ht="13.5" thickBot="1" x14ac:dyDescent="0.35">
      <c r="A20" s="511"/>
      <c r="B20" s="327" t="s">
        <v>52</v>
      </c>
      <c r="C20" s="20">
        <f>ROUND(C19*Labor!$D$3,0)</f>
        <v>0</v>
      </c>
      <c r="D20" s="20">
        <f>ROUND(D19*Labor!$D$4,0)</f>
        <v>0</v>
      </c>
      <c r="E20" s="20">
        <f>ROUND(E19*Labor!$D$5,0)</f>
        <v>0</v>
      </c>
      <c r="F20" s="20">
        <f>ROUND(F19*Labor!$D$6,0)</f>
        <v>276</v>
      </c>
      <c r="G20" s="20">
        <f>ROUND(G19*Labor!$D$7,0)</f>
        <v>313</v>
      </c>
      <c r="H20" s="20">
        <f>ROUND(H19*Labor!$D$8,0)</f>
        <v>378</v>
      </c>
      <c r="I20" s="314">
        <f>SUM(C20:H20)</f>
        <v>967</v>
      </c>
      <c r="J20" s="284">
        <f>HLOOKUP(K$2,InflationTable,2)/HLOOKUP(Labor!$B$11,InflationTable,2)*$I20</f>
        <v>2068.6438754325259</v>
      </c>
      <c r="K20" s="315">
        <f>J20*$J$7</f>
        <v>233756.75792387541</v>
      </c>
      <c r="L20" s="316">
        <f>K20/$E$16</f>
        <v>33393.822560553628</v>
      </c>
      <c r="M20" s="169">
        <f>HLOOKUP(N$2,InflationTable,2)/HLOOKUP(Labor!$B$11,InflationTable,2)*$I20</f>
        <v>2151.3896304498271</v>
      </c>
      <c r="N20" s="317">
        <f>M20*$J$7</f>
        <v>243107.02824083046</v>
      </c>
      <c r="O20" s="318">
        <f>N20/$E$16</f>
        <v>34729.575462975779</v>
      </c>
      <c r="P20" s="284">
        <f>HLOOKUP(Q$2,InflationTable,2)/HLOOKUP(Labor!$B$11,InflationTable,2)*$I20</f>
        <v>2194.4174230588233</v>
      </c>
      <c r="Q20" s="315">
        <f>P20*$J$7</f>
        <v>247969.16880564703</v>
      </c>
      <c r="R20" s="316">
        <f>Q20/$E$16</f>
        <v>35424.166972235289</v>
      </c>
      <c r="S20" s="312">
        <f>AVERAGE(L20,O20,R20)</f>
        <v>34515.854998588235</v>
      </c>
      <c r="T20" s="313" t="s">
        <v>12</v>
      </c>
      <c r="U20" s="853" t="s">
        <v>12</v>
      </c>
    </row>
    <row r="21" spans="1:21" ht="13" x14ac:dyDescent="0.3">
      <c r="A21" s="510"/>
      <c r="B21" s="1" t="s">
        <v>7</v>
      </c>
      <c r="H21" s="6"/>
      <c r="I21" s="31"/>
      <c r="J21" s="216"/>
      <c r="K21" s="216"/>
      <c r="L21" s="217"/>
      <c r="O21" s="37"/>
      <c r="P21" s="330"/>
      <c r="Q21" s="330"/>
      <c r="R21" s="240"/>
      <c r="S21" s="97"/>
      <c r="T21" s="31"/>
      <c r="U21" s="510"/>
    </row>
    <row r="22" spans="1:21" x14ac:dyDescent="0.25">
      <c r="A22" s="510"/>
      <c r="B22" s="499" t="s">
        <v>51</v>
      </c>
      <c r="C22" s="18">
        <v>0</v>
      </c>
      <c r="D22" s="18">
        <v>6</v>
      </c>
      <c r="E22" s="18">
        <v>2</v>
      </c>
      <c r="F22" s="18">
        <v>2</v>
      </c>
      <c r="G22" s="18">
        <v>0</v>
      </c>
      <c r="H22" s="18">
        <v>0</v>
      </c>
      <c r="I22" s="41">
        <f>SUM(C22:H22)</f>
        <v>10</v>
      </c>
      <c r="J22" s="213" t="s">
        <v>12</v>
      </c>
      <c r="K22" s="836">
        <f>$I22*J$7</f>
        <v>1130</v>
      </c>
      <c r="L22" s="215">
        <f>K22/$E$16</f>
        <v>161.42857142857142</v>
      </c>
      <c r="M22" s="51" t="s">
        <v>12</v>
      </c>
      <c r="N22" s="837">
        <f>$I22*M$7</f>
        <v>1130</v>
      </c>
      <c r="O22" s="52">
        <f>N22/$E$16</f>
        <v>161.42857142857142</v>
      </c>
      <c r="P22" s="213" t="s">
        <v>12</v>
      </c>
      <c r="Q22" s="836">
        <f>$I22*P$7</f>
        <v>1130</v>
      </c>
      <c r="R22" s="232">
        <f>Q22/$E$16</f>
        <v>161.42857142857142</v>
      </c>
      <c r="S22" s="96">
        <f>AVERAGE(L22,O22,R22)</f>
        <v>161.42857142857142</v>
      </c>
      <c r="T22" s="94" t="s">
        <v>12</v>
      </c>
      <c r="U22" s="852" t="s">
        <v>12</v>
      </c>
    </row>
    <row r="23" spans="1:21" s="1" customFormat="1" ht="13.5" thickBot="1" x14ac:dyDescent="0.35">
      <c r="A23" s="511"/>
      <c r="B23" s="500" t="s">
        <v>52</v>
      </c>
      <c r="C23" s="310">
        <f>ROUND(C22*Labor!$D$3,0)</f>
        <v>0</v>
      </c>
      <c r="D23" s="310">
        <f>ROUND(D22*Labor!$D$4,0)</f>
        <v>145</v>
      </c>
      <c r="E23" s="310">
        <f>ROUND(E22*Labor!$D$5,0)</f>
        <v>50</v>
      </c>
      <c r="F23" s="310">
        <f>ROUND(F22*Labor!$D$6,0)</f>
        <v>55</v>
      </c>
      <c r="G23" s="310">
        <f>ROUND(G22*Labor!$D$7,0)</f>
        <v>0</v>
      </c>
      <c r="H23" s="310">
        <f>ROUND(H22*Labor!$D$8,0)</f>
        <v>0</v>
      </c>
      <c r="I23" s="311">
        <f>SUM(C23:H23)</f>
        <v>250</v>
      </c>
      <c r="J23" s="284">
        <f>HLOOKUP(K$2,InflationTable,2)/HLOOKUP(Labor!$B$11,InflationTable,2)*$I23</f>
        <v>534.80968858131484</v>
      </c>
      <c r="K23" s="245">
        <f>J23*$J$7</f>
        <v>60433.494809688578</v>
      </c>
      <c r="L23" s="246">
        <f>K23/$E$16</f>
        <v>8633.3564013840823</v>
      </c>
      <c r="M23" s="169">
        <f>HLOOKUP(N$2,InflationTable,2)/HLOOKUP(Labor!$B$11,InflationTable,2)*$I23</f>
        <v>556.2020761245675</v>
      </c>
      <c r="N23" s="166">
        <f>M23*$J$7</f>
        <v>62850.834602076124</v>
      </c>
      <c r="O23" s="167">
        <f>N23/$E$16</f>
        <v>8978.690657439447</v>
      </c>
      <c r="P23" s="284">
        <f>HLOOKUP(Q$2,InflationTable,2)/HLOOKUP(Labor!$B$11,InflationTable,2)*$I23</f>
        <v>567.32611764705871</v>
      </c>
      <c r="Q23" s="245">
        <f>P23*$J$7</f>
        <v>64107.85129411763</v>
      </c>
      <c r="R23" s="246">
        <f>Q23/$E$16</f>
        <v>9158.2644705882321</v>
      </c>
      <c r="S23" s="169">
        <f>AVERAGE(L23,O23,R23)</f>
        <v>8923.4371764705866</v>
      </c>
      <c r="T23" s="174" t="s">
        <v>12</v>
      </c>
      <c r="U23" s="854" t="s">
        <v>12</v>
      </c>
    </row>
    <row r="24" spans="1:21" ht="13" x14ac:dyDescent="0.3">
      <c r="A24" s="510"/>
      <c r="B24" s="501" t="s">
        <v>66</v>
      </c>
      <c r="C24" s="28">
        <f t="shared" ref="C24:I25" si="0">C19+C22</f>
        <v>0</v>
      </c>
      <c r="D24" s="28">
        <f t="shared" si="0"/>
        <v>6</v>
      </c>
      <c r="E24" s="28">
        <f t="shared" si="0"/>
        <v>2</v>
      </c>
      <c r="F24" s="28">
        <f t="shared" si="0"/>
        <v>12</v>
      </c>
      <c r="G24" s="28">
        <f t="shared" si="0"/>
        <v>10</v>
      </c>
      <c r="H24" s="28">
        <f t="shared" si="0"/>
        <v>10</v>
      </c>
      <c r="I24" s="42">
        <f t="shared" si="0"/>
        <v>40</v>
      </c>
      <c r="J24" s="221" t="s">
        <v>12</v>
      </c>
      <c r="K24" s="222">
        <f>K19+K22</f>
        <v>4520</v>
      </c>
      <c r="L24" s="223">
        <f>L19+L22</f>
        <v>645.71428571428567</v>
      </c>
      <c r="M24" s="53" t="s">
        <v>12</v>
      </c>
      <c r="N24" s="838">
        <f>N19+N22</f>
        <v>4520</v>
      </c>
      <c r="O24" s="54">
        <f>N24/$E$16</f>
        <v>645.71428571428567</v>
      </c>
      <c r="P24" s="242" t="s">
        <v>12</v>
      </c>
      <c r="Q24" s="222">
        <f>Q19+Q22</f>
        <v>1130</v>
      </c>
      <c r="R24" s="243">
        <f>Q24/$E$16</f>
        <v>161.42857142857142</v>
      </c>
      <c r="S24" s="104">
        <f>AVERAGE(L24,O24,R24)</f>
        <v>484.28571428571422</v>
      </c>
      <c r="T24" s="42" t="s">
        <v>12</v>
      </c>
      <c r="U24" s="863" t="s">
        <v>12</v>
      </c>
    </row>
    <row r="25" spans="1:21" ht="13.5" thickBot="1" x14ac:dyDescent="0.35">
      <c r="A25" s="510"/>
      <c r="B25" s="502" t="s">
        <v>67</v>
      </c>
      <c r="C25" s="194">
        <f t="shared" si="0"/>
        <v>0</v>
      </c>
      <c r="D25" s="194">
        <f t="shared" si="0"/>
        <v>145</v>
      </c>
      <c r="E25" s="194">
        <f t="shared" si="0"/>
        <v>50</v>
      </c>
      <c r="F25" s="194">
        <f t="shared" si="0"/>
        <v>331</v>
      </c>
      <c r="G25" s="194">
        <f t="shared" si="0"/>
        <v>313</v>
      </c>
      <c r="H25" s="194">
        <f t="shared" si="0"/>
        <v>378</v>
      </c>
      <c r="I25" s="195">
        <f t="shared" si="0"/>
        <v>1217</v>
      </c>
      <c r="J25" s="224">
        <f>J20+J23</f>
        <v>2603.4535640138406</v>
      </c>
      <c r="K25" s="225">
        <f>K20+K23</f>
        <v>294190.252733564</v>
      </c>
      <c r="L25" s="226">
        <f>L20+L23</f>
        <v>42027.178961937709</v>
      </c>
      <c r="M25" s="196">
        <f>M20+M23</f>
        <v>2707.5917065743947</v>
      </c>
      <c r="N25" s="194">
        <f>N20+N23</f>
        <v>305957.86284290662</v>
      </c>
      <c r="O25" s="197">
        <f>O20+O23</f>
        <v>43708.266120415225</v>
      </c>
      <c r="P25" s="244">
        <f>P20+P23</f>
        <v>2761.743540705882</v>
      </c>
      <c r="Q25" s="225">
        <f>Q20+Q23</f>
        <v>312077.02009976469</v>
      </c>
      <c r="R25" s="226">
        <f>R20+R23</f>
        <v>44582.431442823523</v>
      </c>
      <c r="S25" s="169">
        <f>AVERAGE(L25,O25,R25)</f>
        <v>43439.292175058821</v>
      </c>
      <c r="T25" s="174" t="s">
        <v>12</v>
      </c>
      <c r="U25" s="854" t="s">
        <v>12</v>
      </c>
    </row>
    <row r="26" spans="1:21" ht="13.5" thickTop="1" thickBot="1" x14ac:dyDescent="0.3">
      <c r="A26" s="510"/>
      <c r="B26" s="512"/>
      <c r="C26" s="513"/>
      <c r="D26" s="513"/>
      <c r="E26" s="513"/>
      <c r="F26" s="513"/>
      <c r="G26" s="513"/>
      <c r="H26" s="513"/>
      <c r="I26" s="513"/>
      <c r="J26" s="513"/>
      <c r="K26" s="513"/>
      <c r="L26" s="513"/>
      <c r="M26" s="513"/>
      <c r="N26" s="335"/>
      <c r="O26" s="335"/>
      <c r="P26" s="335"/>
      <c r="Q26" s="335"/>
      <c r="R26" s="335"/>
      <c r="S26" s="335"/>
      <c r="T26" s="335"/>
      <c r="U26" s="335"/>
    </row>
    <row r="27" spans="1:21" ht="16" thickTop="1" x14ac:dyDescent="0.35">
      <c r="A27" s="510"/>
      <c r="B27" s="2" t="s">
        <v>16</v>
      </c>
      <c r="C27" s="61"/>
      <c r="D27" s="349" t="s">
        <v>54</v>
      </c>
      <c r="E27" s="59">
        <v>7</v>
      </c>
      <c r="F27" s="1" t="s">
        <v>6</v>
      </c>
      <c r="G27" s="1160"/>
      <c r="H27" s="1161"/>
      <c r="I27" s="1162"/>
      <c r="J27" s="2" t="s">
        <v>16</v>
      </c>
      <c r="L27" s="62"/>
      <c r="M27" s="2" t="s">
        <v>16</v>
      </c>
      <c r="O27" s="31"/>
      <c r="P27" s="2" t="s">
        <v>16</v>
      </c>
      <c r="R27" s="62"/>
      <c r="S27" s="97"/>
      <c r="T27" s="31"/>
      <c r="U27" s="182"/>
    </row>
    <row r="28" spans="1:21" ht="13" x14ac:dyDescent="0.3">
      <c r="A28" s="510"/>
      <c r="C28" s="86" t="s">
        <v>60</v>
      </c>
      <c r="D28" s="20" t="s">
        <v>62</v>
      </c>
      <c r="F28"/>
      <c r="H28" s="4"/>
      <c r="I28" s="37"/>
      <c r="J28" s="227" t="s">
        <v>61</v>
      </c>
      <c r="K28" s="1167" t="s">
        <v>57</v>
      </c>
      <c r="L28" s="1168"/>
      <c r="M28" s="50" t="s">
        <v>61</v>
      </c>
      <c r="N28" s="1177" t="s">
        <v>57</v>
      </c>
      <c r="O28" s="1178"/>
      <c r="P28" s="266" t="s">
        <v>61</v>
      </c>
      <c r="Q28" s="1190" t="s">
        <v>57</v>
      </c>
      <c r="R28" s="1168"/>
      <c r="S28" s="106"/>
      <c r="T28" s="31"/>
      <c r="U28" s="182"/>
    </row>
    <row r="29" spans="1:21" ht="13" x14ac:dyDescent="0.3">
      <c r="A29" s="510"/>
      <c r="B29" s="503" t="s">
        <v>58</v>
      </c>
      <c r="C29" s="20"/>
      <c r="D29" s="20"/>
      <c r="E29" s="7"/>
      <c r="F29" s="61"/>
      <c r="G29" s="61"/>
      <c r="H29" s="61"/>
      <c r="I29" s="62"/>
      <c r="J29" s="210" t="s">
        <v>56</v>
      </c>
      <c r="K29" s="211" t="s">
        <v>13</v>
      </c>
      <c r="L29" s="212" t="s">
        <v>68</v>
      </c>
      <c r="M29" s="66" t="s">
        <v>56</v>
      </c>
      <c r="N29" s="20" t="s">
        <v>13</v>
      </c>
      <c r="O29" s="32" t="s">
        <v>68</v>
      </c>
      <c r="P29" s="210" t="s">
        <v>56</v>
      </c>
      <c r="Q29" s="211" t="s">
        <v>13</v>
      </c>
      <c r="R29" s="212" t="s">
        <v>68</v>
      </c>
      <c r="S29" s="98"/>
      <c r="T29" s="31"/>
      <c r="U29" s="182"/>
    </row>
    <row r="30" spans="1:21" s="1" customFormat="1" ht="13" x14ac:dyDescent="0.3">
      <c r="A30" s="511"/>
      <c r="B30" s="559" t="s">
        <v>14</v>
      </c>
      <c r="C30" s="317">
        <f>VLOOKUP(C$2,Monitor_Costs,2,FALSE)</f>
        <v>5500</v>
      </c>
      <c r="D30" s="20">
        <f>VLOOKUP(C$2,Monitor_Costs,3,FALSE)</f>
        <v>2019</v>
      </c>
      <c r="E30" s="373"/>
      <c r="F30" s="50"/>
      <c r="G30" s="374"/>
      <c r="H30" s="374"/>
      <c r="I30" s="379"/>
      <c r="J30" s="229">
        <f>HLOOKUP(K$2,InflationTable,2)/HLOOKUP($D30,InflationTable,2)*$C30</f>
        <v>6649.0418459131797</v>
      </c>
      <c r="K30" s="315">
        <f>J30*$L$8</f>
        <v>1429543.9968713336</v>
      </c>
      <c r="L30" s="316">
        <f>K30/$E$27</f>
        <v>204220.57098161909</v>
      </c>
      <c r="M30" s="23">
        <f>HLOOKUP(N$2,InflationTable,2)/HLOOKUP($D30,InflationTable,2)*$C30</f>
        <v>6915.0035197497064</v>
      </c>
      <c r="N30" s="317">
        <f>M30*$L$8</f>
        <v>1486725.7567461869</v>
      </c>
      <c r="O30" s="365">
        <f>N30/$E$27</f>
        <v>212389.39382088385</v>
      </c>
      <c r="P30" s="229">
        <f>HLOOKUP(Q$2,InflationTable,2)/HLOOKUP($D30,InflationTable,2)*$C30</f>
        <v>7053.303590144701</v>
      </c>
      <c r="Q30" s="315">
        <f>P30*$L$8</f>
        <v>1516460.2718811107</v>
      </c>
      <c r="R30" s="316">
        <f>Q30/$E$27</f>
        <v>216637.18169730154</v>
      </c>
      <c r="S30" s="376" t="s">
        <v>12</v>
      </c>
      <c r="T30" s="313" t="s">
        <v>12</v>
      </c>
      <c r="U30" s="415">
        <f>AVERAGE(L30,O30,R30)</f>
        <v>211082.38216660148</v>
      </c>
    </row>
    <row r="31" spans="1:21" s="1" customFormat="1" ht="13.5" thickBot="1" x14ac:dyDescent="0.35">
      <c r="A31" s="511"/>
      <c r="B31" s="560" t="s">
        <v>15</v>
      </c>
      <c r="C31" s="899"/>
      <c r="D31" s="655"/>
      <c r="E31" s="655"/>
      <c r="F31" s="130"/>
      <c r="G31" s="655"/>
      <c r="H31" s="655"/>
      <c r="I31" s="40"/>
      <c r="J31" s="227"/>
      <c r="K31" s="315">
        <f>J30*$L$10</f>
        <v>84243.360187719998</v>
      </c>
      <c r="L31" s="316">
        <f>K31/$E$27</f>
        <v>12034.765741102858</v>
      </c>
      <c r="M31" s="655"/>
      <c r="N31" s="317">
        <f>M30*$L$10</f>
        <v>87613.094595228788</v>
      </c>
      <c r="O31" s="624">
        <f>N31/$E$27</f>
        <v>12516.15637074697</v>
      </c>
      <c r="P31" s="903"/>
      <c r="Q31" s="315">
        <f>P30*$L$10</f>
        <v>89365.35648713338</v>
      </c>
      <c r="R31" s="316">
        <f>Q31/$E$27</f>
        <v>12766.479498161911</v>
      </c>
      <c r="S31" s="376" t="s">
        <v>12</v>
      </c>
      <c r="T31" s="313" t="s">
        <v>12</v>
      </c>
      <c r="U31" s="415">
        <f>AVERAGE(L31,O31,R31)</f>
        <v>12439.133870003912</v>
      </c>
    </row>
    <row r="32" spans="1:21" s="1" customFormat="1" ht="13" x14ac:dyDescent="0.3">
      <c r="A32" s="511"/>
      <c r="B32" s="559" t="s">
        <v>168</v>
      </c>
      <c r="C32" s="623">
        <f>VLOOKUP(C$2,Monitor_Costs,11,FALSE)</f>
        <v>17600</v>
      </c>
      <c r="D32" s="86">
        <f>VLOOKUP(C$2,Monitor_Costs,12,FALSE)</f>
        <v>2019</v>
      </c>
      <c r="E32" s="899"/>
      <c r="F32" s="130"/>
      <c r="G32" s="655"/>
      <c r="H32" s="655"/>
      <c r="I32" s="379"/>
      <c r="J32" s="229">
        <f>HLOOKUP(K$2,InflationTable,2)/HLOOKUP($D32,InflationTable,2)*$C32</f>
        <v>21276.933906922175</v>
      </c>
      <c r="K32" s="621">
        <f>J32*$L$12</f>
        <v>9893774.2667188123</v>
      </c>
      <c r="L32" s="622">
        <f>K32/$E$27</f>
        <v>1413396.3238169733</v>
      </c>
      <c r="M32" s="23">
        <f>HLOOKUP(N$2,InflationTable,2)/HLOOKUP($D32,InflationTable,2)*$C32</f>
        <v>22128.01126319906</v>
      </c>
      <c r="N32" s="623">
        <f>M32*$L$12</f>
        <v>10289525.237387562</v>
      </c>
      <c r="O32" s="555">
        <f>N32/$E$27</f>
        <v>1469932.1767696517</v>
      </c>
      <c r="P32" s="229">
        <f>HLOOKUP(Q$2,InflationTable,2)/HLOOKUP($D32,InflationTable,2)*$C32</f>
        <v>22570.571488463043</v>
      </c>
      <c r="Q32" s="621">
        <f>P32*$L$12</f>
        <v>10495315.742135314</v>
      </c>
      <c r="R32" s="622">
        <f>Q32/$E$27</f>
        <v>1499330.820305045</v>
      </c>
      <c r="S32" s="627" t="s">
        <v>12</v>
      </c>
      <c r="T32" s="901" t="s">
        <v>12</v>
      </c>
      <c r="U32" s="902">
        <f>AVERAGE(L32,O32,R32)</f>
        <v>1460886.4402972234</v>
      </c>
    </row>
    <row r="33" spans="1:21" s="1" customFormat="1" ht="13.5" thickBot="1" x14ac:dyDescent="0.35">
      <c r="A33" s="511"/>
      <c r="B33" s="560" t="s">
        <v>169</v>
      </c>
      <c r="C33" s="166"/>
      <c r="D33" s="310"/>
      <c r="E33" s="381"/>
      <c r="F33" s="382"/>
      <c r="G33" s="381"/>
      <c r="H33" s="381"/>
      <c r="I33" s="305"/>
      <c r="J33" s="306"/>
      <c r="K33" s="245">
        <f>J32*$L$13</f>
        <v>346282.09933515842</v>
      </c>
      <c r="L33" s="246">
        <f>K33/$E$27</f>
        <v>49468.871333594063</v>
      </c>
      <c r="M33" s="561"/>
      <c r="N33" s="166">
        <f>M32*$L$13</f>
        <v>360133.38330856472</v>
      </c>
      <c r="O33" s="167">
        <f>N33/$E$27</f>
        <v>51447.626186937814</v>
      </c>
      <c r="P33" s="564"/>
      <c r="Q33" s="245">
        <f>P32*$L$13</f>
        <v>367336.05097473611</v>
      </c>
      <c r="R33" s="246">
        <f>Q33/$E$27</f>
        <v>52476.578710676586</v>
      </c>
      <c r="S33" s="384" t="s">
        <v>12</v>
      </c>
      <c r="T33" s="174" t="s">
        <v>12</v>
      </c>
      <c r="U33" s="184">
        <f>AVERAGE(L33,O33,R33)</f>
        <v>51131.025410402821</v>
      </c>
    </row>
    <row r="34" spans="1:21" s="1" customFormat="1" ht="13.5" thickBot="1" x14ac:dyDescent="0.35">
      <c r="A34" s="511"/>
      <c r="B34" s="349" t="s">
        <v>174</v>
      </c>
      <c r="C34" s="623">
        <f>VLOOKUP(C$2,Monitor_Costs,14,FALSE)</f>
        <v>2000</v>
      </c>
      <c r="D34" s="86">
        <f>VLOOKUP(C$2,Monitor_Costs,15,FALSE)</f>
        <v>2019</v>
      </c>
      <c r="F34" s="326"/>
      <c r="I34" s="118"/>
      <c r="J34" s="229">
        <f>HLOOKUP(K$2,InflationTable,2)/HLOOKUP($D34,InflationTable,2)*$C34</f>
        <v>2417.8333985138834</v>
      </c>
      <c r="K34" s="895">
        <f>$J34*L$14</f>
        <v>1644126.7109894408</v>
      </c>
      <c r="L34" s="896">
        <f>K34/$E$27</f>
        <v>234875.24442706298</v>
      </c>
      <c r="M34" s="23">
        <f>HLOOKUP(N$2,InflationTable,2)/HLOOKUP($D34,InflationTable,2)*$C34</f>
        <v>2514.5467344544386</v>
      </c>
      <c r="N34" s="897">
        <f>$J34*O$14</f>
        <v>1644126.7109894408</v>
      </c>
      <c r="O34" s="898">
        <f>N34/$E$27</f>
        <v>234875.24442706298</v>
      </c>
      <c r="P34" s="229">
        <f>HLOOKUP(Q$2,InflationTable,2)/HLOOKUP($D34,InflationTable,2)*$C34</f>
        <v>2564.8376691435274</v>
      </c>
      <c r="Q34" s="895">
        <f>$J34*R$14</f>
        <v>1644126.7109894408</v>
      </c>
      <c r="R34" s="896">
        <f>Q34/$E$27</f>
        <v>234875.24442706298</v>
      </c>
      <c r="S34" s="384" t="s">
        <v>12</v>
      </c>
      <c r="T34" s="174" t="s">
        <v>12</v>
      </c>
      <c r="U34" s="184">
        <f>AVERAGE(L34,O34,R34)</f>
        <v>234875.24442706295</v>
      </c>
    </row>
    <row r="35" spans="1:21" ht="13" x14ac:dyDescent="0.3">
      <c r="A35" s="510"/>
      <c r="B35" s="1" t="s">
        <v>17</v>
      </c>
      <c r="C35" s="86" t="s">
        <v>45</v>
      </c>
      <c r="D35" s="86" t="s">
        <v>46</v>
      </c>
      <c r="E35" s="86" t="s">
        <v>47</v>
      </c>
      <c r="F35" s="86" t="s">
        <v>48</v>
      </c>
      <c r="G35" s="86" t="s">
        <v>49</v>
      </c>
      <c r="H35" s="86" t="s">
        <v>50</v>
      </c>
      <c r="I35" s="145" t="s">
        <v>74</v>
      </c>
      <c r="J35" s="292"/>
      <c r="K35" s="293"/>
      <c r="L35" s="296"/>
      <c r="M35" s="88"/>
      <c r="N35" s="86"/>
      <c r="O35" s="87"/>
      <c r="P35" s="293"/>
      <c r="Q35" s="293"/>
      <c r="R35" s="296"/>
      <c r="S35" s="100"/>
      <c r="T35" s="31"/>
      <c r="U35" s="182"/>
    </row>
    <row r="36" spans="1:21" ht="13" x14ac:dyDescent="0.3">
      <c r="A36" s="510"/>
      <c r="B36" s="506" t="s">
        <v>119</v>
      </c>
      <c r="C36" s="27">
        <v>0</v>
      </c>
      <c r="D36" s="18">
        <v>0</v>
      </c>
      <c r="E36" s="18">
        <v>4</v>
      </c>
      <c r="F36" s="18">
        <v>0</v>
      </c>
      <c r="G36" s="18">
        <v>0</v>
      </c>
      <c r="H36" s="18">
        <v>0</v>
      </c>
      <c r="I36" s="41">
        <f>SUM(C36:H36)</f>
        <v>4</v>
      </c>
      <c r="J36" s="213" t="s">
        <v>12</v>
      </c>
      <c r="K36" s="231">
        <f>$I36*(L$8+L$10+L$12+L$13)</f>
        <v>2835.78</v>
      </c>
      <c r="L36" s="232">
        <f>K36/$E$27</f>
        <v>405.11142857142858</v>
      </c>
      <c r="M36" s="51" t="s">
        <v>12</v>
      </c>
      <c r="N36" s="58">
        <f>$I36*(O$8+O$10+O$12+O$13)</f>
        <v>2835.78</v>
      </c>
      <c r="O36" s="52">
        <f>N36/$E$27</f>
        <v>405.11142857142858</v>
      </c>
      <c r="P36" s="213" t="s">
        <v>12</v>
      </c>
      <c r="Q36" s="231">
        <f>$I36*(R$8+R$10+R$12+R$13)</f>
        <v>2835.78</v>
      </c>
      <c r="R36" s="232">
        <f>Q36/$E$27</f>
        <v>405.11142857142858</v>
      </c>
      <c r="S36" s="96">
        <f>AVERAGE(L36,O36,R36)</f>
        <v>405.11142857142858</v>
      </c>
      <c r="T36" s="94" t="s">
        <v>12</v>
      </c>
      <c r="U36" s="187" t="s">
        <v>12</v>
      </c>
    </row>
    <row r="37" spans="1:21" s="1" customFormat="1" ht="13.5" thickBot="1" x14ac:dyDescent="0.35">
      <c r="A37" s="511"/>
      <c r="B37" s="500" t="s">
        <v>8</v>
      </c>
      <c r="C37" s="319">
        <f>ROUND(C36*Labor!$D$3,0)</f>
        <v>0</v>
      </c>
      <c r="D37" s="310">
        <f>ROUND(D36*Labor!$D$4,0)</f>
        <v>0</v>
      </c>
      <c r="E37" s="310">
        <f>ROUND(E36*Labor!$D$5,0)</f>
        <v>101</v>
      </c>
      <c r="F37" s="310">
        <f>ROUND(F36*Labor!$D$6,0)</f>
        <v>0</v>
      </c>
      <c r="G37" s="310">
        <f>ROUND(G36*Labor!$D$7,0)</f>
        <v>0</v>
      </c>
      <c r="H37" s="310">
        <f>ROUND(H36*Labor!$D$8,0)</f>
        <v>0</v>
      </c>
      <c r="I37" s="311">
        <f>SUM(C37:H37)</f>
        <v>101</v>
      </c>
      <c r="J37" s="284">
        <f>HLOOKUP(K$2,InflationTable,2)/HLOOKUP(Labor!$B$11,InflationTable,2)*$I37</f>
        <v>216.06311418685118</v>
      </c>
      <c r="K37" s="245">
        <f>J37*(L$8+L$10+L$12+L$13)</f>
        <v>153176.86448719722</v>
      </c>
      <c r="L37" s="246">
        <f>K37/$E$27</f>
        <v>21882.409212456747</v>
      </c>
      <c r="M37" s="169">
        <f>HLOOKUP(N$2,InflationTable,2)/HLOOKUP(Labor!$B$11,InflationTable,2)*$I37</f>
        <v>224.70563875432526</v>
      </c>
      <c r="N37" s="166">
        <f>M37*(O$8+O$10+O$12+O$13)</f>
        <v>159303.93906668512</v>
      </c>
      <c r="O37" s="167">
        <f>N37/$E$27</f>
        <v>22757.705580955018</v>
      </c>
      <c r="P37" s="284">
        <f>HLOOKUP(Q$2,InflationTable,2)/HLOOKUP(Labor!$B$11,InflationTable,2)*$I37</f>
        <v>229.19975152941174</v>
      </c>
      <c r="Q37" s="245">
        <f>P37*(R$8+R$10+R$12+R$13)</f>
        <v>162490.01784801882</v>
      </c>
      <c r="R37" s="246">
        <f>Q37/$E$27</f>
        <v>23212.859692574119</v>
      </c>
      <c r="S37" s="169">
        <f>AVERAGE(L37,O37,R37)</f>
        <v>22617.658161995292</v>
      </c>
      <c r="T37" s="174" t="s">
        <v>12</v>
      </c>
      <c r="U37" s="183" t="s">
        <v>12</v>
      </c>
    </row>
    <row r="38" spans="1:21" s="1" customFormat="1" ht="13.5" thickBot="1" x14ac:dyDescent="0.35">
      <c r="A38" s="511"/>
      <c r="B38" s="1" t="s">
        <v>177</v>
      </c>
      <c r="C38" s="557"/>
      <c r="D38" s="548"/>
      <c r="E38" s="548"/>
      <c r="F38" s="548"/>
      <c r="G38" s="548"/>
      <c r="H38" s="548"/>
      <c r="I38" s="549"/>
      <c r="J38" s="550"/>
      <c r="K38" s="551"/>
      <c r="L38" s="552"/>
      <c r="M38" s="553"/>
      <c r="N38" s="554"/>
      <c r="O38" s="555"/>
      <c r="P38" s="550"/>
      <c r="Q38" s="551"/>
      <c r="R38" s="552"/>
      <c r="S38" s="558"/>
      <c r="T38" s="556"/>
      <c r="U38" s="856"/>
    </row>
    <row r="39" spans="1:21" ht="13" x14ac:dyDescent="0.3">
      <c r="A39" s="510"/>
      <c r="B39" s="1" t="s">
        <v>176</v>
      </c>
      <c r="C39" s="290">
        <v>0</v>
      </c>
      <c r="D39" s="302">
        <v>4</v>
      </c>
      <c r="E39" s="302">
        <v>0</v>
      </c>
      <c r="F39" s="302">
        <v>0</v>
      </c>
      <c r="G39" s="302">
        <v>0</v>
      </c>
      <c r="H39" s="302">
        <v>0</v>
      </c>
      <c r="I39" s="303">
        <f>SUM(C39:H39)</f>
        <v>4</v>
      </c>
      <c r="J39" s="242" t="s">
        <v>12</v>
      </c>
      <c r="K39" s="280">
        <f>I39*$L$8</f>
        <v>860</v>
      </c>
      <c r="L39" s="243">
        <f>K39/$E$27</f>
        <v>122.85714285714286</v>
      </c>
      <c r="M39" s="53" t="s">
        <v>12</v>
      </c>
      <c r="N39" s="147">
        <f>I39*$O$8</f>
        <v>860</v>
      </c>
      <c r="O39" s="54">
        <f>N39/$E$27</f>
        <v>122.85714285714286</v>
      </c>
      <c r="P39" s="242" t="s">
        <v>12</v>
      </c>
      <c r="Q39" s="273">
        <f>$I39*$O$8</f>
        <v>860</v>
      </c>
      <c r="R39" s="304">
        <f>Q39/$E$27</f>
        <v>122.85714285714286</v>
      </c>
      <c r="S39" s="104">
        <f>AVERAGE(L39,O39,R39)</f>
        <v>122.85714285714285</v>
      </c>
      <c r="T39" s="42" t="s">
        <v>12</v>
      </c>
      <c r="U39" s="185" t="s">
        <v>12</v>
      </c>
    </row>
    <row r="40" spans="1:21" s="1" customFormat="1" ht="13.5" thickBot="1" x14ac:dyDescent="0.35">
      <c r="A40" s="511"/>
      <c r="B40" s="507" t="s">
        <v>8</v>
      </c>
      <c r="C40" s="310">
        <f>ROUND(C39*Labor!$D$3,0)</f>
        <v>0</v>
      </c>
      <c r="D40" s="310">
        <f>ROUND(D39*Labor!$D$4,0)</f>
        <v>97</v>
      </c>
      <c r="E40" s="310">
        <f>ROUND(E39*Labor!$D$5,0)</f>
        <v>0</v>
      </c>
      <c r="F40" s="310">
        <f>ROUND(F39*Labor!$D$6,0)</f>
        <v>0</v>
      </c>
      <c r="G40" s="310">
        <f>ROUND(G39*Labor!$D$7,0)</f>
        <v>0</v>
      </c>
      <c r="H40" s="310">
        <f>ROUND(H39*Labor!$D$8,0)</f>
        <v>0</v>
      </c>
      <c r="I40" s="311">
        <f>SUM(C40:H40)</f>
        <v>97</v>
      </c>
      <c r="J40" s="284">
        <f>HLOOKUP(K$2,InflationTable,2)/HLOOKUP(Labor!$B$11,InflationTable,2)*$I40</f>
        <v>207.50615916955016</v>
      </c>
      <c r="K40" s="245">
        <f>J40*$L$8</f>
        <v>44613.824221453287</v>
      </c>
      <c r="L40" s="246">
        <f>K40/$E$27</f>
        <v>6373.4034602076126</v>
      </c>
      <c r="M40" s="169">
        <f>HLOOKUP(N$2,InflationTable,2)/HLOOKUP(Labor!$B$11,InflationTable,2)*$I40</f>
        <v>215.80640553633219</v>
      </c>
      <c r="N40" s="166">
        <f>M40*$O$8</f>
        <v>46398.377190311425</v>
      </c>
      <c r="O40" s="167">
        <f>N40/$E$27</f>
        <v>6628.3395986159176</v>
      </c>
      <c r="P40" s="284">
        <f>HLOOKUP(Q$2,InflationTable,2)/HLOOKUP(Labor!$B$11,InflationTable,2)*$I40</f>
        <v>220.12253364705879</v>
      </c>
      <c r="Q40" s="245">
        <f>P40*$R$8</f>
        <v>47326.344734117636</v>
      </c>
      <c r="R40" s="246">
        <f>Q40/$E$27</f>
        <v>6760.906390588234</v>
      </c>
      <c r="S40" s="169">
        <f>AVERAGE(L40,O40,R40)</f>
        <v>6587.5498164705887</v>
      </c>
      <c r="T40" s="323" t="s">
        <v>12</v>
      </c>
      <c r="U40" s="183" t="s">
        <v>12</v>
      </c>
    </row>
    <row r="41" spans="1:21" ht="13" x14ac:dyDescent="0.3">
      <c r="A41" s="510"/>
      <c r="B41" s="1" t="s">
        <v>175</v>
      </c>
      <c r="C41" s="290">
        <v>0</v>
      </c>
      <c r="D41" s="302">
        <v>0</v>
      </c>
      <c r="E41" s="302">
        <v>0</v>
      </c>
      <c r="F41" s="302">
        <v>10</v>
      </c>
      <c r="G41" s="302">
        <v>0</v>
      </c>
      <c r="H41" s="302">
        <v>0</v>
      </c>
      <c r="I41" s="303">
        <f>SUM(C41:H41)</f>
        <v>10</v>
      </c>
      <c r="J41" s="242" t="s">
        <v>12</v>
      </c>
      <c r="K41" s="280">
        <f>$I41*L$12</f>
        <v>4650</v>
      </c>
      <c r="L41" s="243">
        <f>K41/$E$27</f>
        <v>664.28571428571433</v>
      </c>
      <c r="M41" s="53" t="s">
        <v>12</v>
      </c>
      <c r="N41" s="21">
        <f>$I41*O$12</f>
        <v>4650</v>
      </c>
      <c r="O41" s="54">
        <f>N41/$E$27</f>
        <v>664.28571428571433</v>
      </c>
      <c r="P41" s="242" t="s">
        <v>12</v>
      </c>
      <c r="Q41" s="280">
        <f>$I41*R$12</f>
        <v>4650</v>
      </c>
      <c r="R41" s="304">
        <f>Q41/$E$27</f>
        <v>664.28571428571433</v>
      </c>
      <c r="S41" s="104">
        <f>AVERAGE(L41,O41,R41)</f>
        <v>664.28571428571433</v>
      </c>
      <c r="T41" s="42" t="s">
        <v>12</v>
      </c>
      <c r="U41" s="185" t="s">
        <v>12</v>
      </c>
    </row>
    <row r="42" spans="1:21" s="1" customFormat="1" ht="13.5" thickBot="1" x14ac:dyDescent="0.35">
      <c r="A42" s="511"/>
      <c r="B42" s="507" t="s">
        <v>8</v>
      </c>
      <c r="C42" s="310">
        <f>ROUND(C41*Labor!$D$3,0)</f>
        <v>0</v>
      </c>
      <c r="D42" s="310">
        <f>ROUND(D41*Labor!$D$4,0)</f>
        <v>0</v>
      </c>
      <c r="E42" s="310">
        <f>ROUND(E41*Labor!$D$5,0)</f>
        <v>0</v>
      </c>
      <c r="F42" s="310">
        <f>ROUND(F41*Labor!$D$6,0)</f>
        <v>276</v>
      </c>
      <c r="G42" s="310">
        <f>ROUND(G41*Labor!$D$7,0)</f>
        <v>0</v>
      </c>
      <c r="H42" s="310">
        <f>ROUND(H41*Labor!$D$8,0)</f>
        <v>0</v>
      </c>
      <c r="I42" s="311">
        <f>SUM(C42:H42)</f>
        <v>276</v>
      </c>
      <c r="J42" s="284">
        <f>HLOOKUP(K$2,InflationTable,2)/HLOOKUP(Labor!$B$11,InflationTable,2)*$I42</f>
        <v>590.42989619377158</v>
      </c>
      <c r="K42" s="245">
        <f>J42*$L$12</f>
        <v>274549.90173010377</v>
      </c>
      <c r="L42" s="246">
        <f>K42/$E$27</f>
        <v>39221.414532871968</v>
      </c>
      <c r="M42" s="169">
        <f>HLOOKUP(N$2,InflationTable,2)/HLOOKUP(Labor!$B$11,InflationTable,2)*$I42</f>
        <v>614.04709204152255</v>
      </c>
      <c r="N42" s="166">
        <f>M42*$L$12</f>
        <v>285531.897799308</v>
      </c>
      <c r="O42" s="167">
        <f>N42/$E$27</f>
        <v>40790.271114186857</v>
      </c>
      <c r="P42" s="284">
        <f>HLOOKUP(Q$2,InflationTable,2)/HLOOKUP(Labor!$B$11,InflationTable,2)*$I42</f>
        <v>626.32803388235288</v>
      </c>
      <c r="Q42" s="245">
        <f>P42*$L$12</f>
        <v>291242.53575529408</v>
      </c>
      <c r="R42" s="246">
        <f>Q42/$E$27</f>
        <v>41606.07653647058</v>
      </c>
      <c r="S42" s="169">
        <f>AVERAGE(L42,O42,R42)</f>
        <v>40539.254061176471</v>
      </c>
      <c r="T42" s="323" t="s">
        <v>12</v>
      </c>
      <c r="U42" s="183" t="s">
        <v>12</v>
      </c>
    </row>
    <row r="43" spans="1:21" ht="13" x14ac:dyDescent="0.3">
      <c r="A43" s="510"/>
      <c r="B43" s="501" t="s">
        <v>66</v>
      </c>
      <c r="C43" s="28">
        <f t="shared" ref="C43:I43" si="1">C36+C39</f>
        <v>0</v>
      </c>
      <c r="D43" s="28">
        <f t="shared" si="1"/>
        <v>4</v>
      </c>
      <c r="E43" s="28">
        <f t="shared" si="1"/>
        <v>4</v>
      </c>
      <c r="F43" s="28">
        <f t="shared" si="1"/>
        <v>0</v>
      </c>
      <c r="G43" s="28">
        <f t="shared" si="1"/>
        <v>0</v>
      </c>
      <c r="H43" s="28">
        <f t="shared" si="1"/>
        <v>0</v>
      </c>
      <c r="I43" s="42">
        <f t="shared" si="1"/>
        <v>8</v>
      </c>
      <c r="J43" s="234" t="s">
        <v>12</v>
      </c>
      <c r="K43" s="235">
        <f>K36+K39</f>
        <v>3695.78</v>
      </c>
      <c r="L43" s="236">
        <f>L36+L39+L41</f>
        <v>1192.2542857142857</v>
      </c>
      <c r="M43" s="38" t="s">
        <v>12</v>
      </c>
      <c r="N43" s="28">
        <f>N36+N39</f>
        <v>3695.78</v>
      </c>
      <c r="O43" s="34">
        <f>O36+O39+O41</f>
        <v>1192.2542857142857</v>
      </c>
      <c r="P43" s="234" t="s">
        <v>12</v>
      </c>
      <c r="Q43" s="235">
        <f>Q36+Q39</f>
        <v>3695.78</v>
      </c>
      <c r="R43" s="236">
        <f>R36+R39+R41</f>
        <v>1192.2542857142857</v>
      </c>
      <c r="S43" s="104">
        <f>AVERAGE(L43,O43,R43)</f>
        <v>1192.2542857142857</v>
      </c>
      <c r="T43" s="42" t="s">
        <v>12</v>
      </c>
      <c r="U43" s="857" t="s">
        <v>12</v>
      </c>
    </row>
    <row r="44" spans="1:21" ht="13.5" thickBot="1" x14ac:dyDescent="0.35">
      <c r="A44" s="510"/>
      <c r="B44" s="502" t="s">
        <v>67</v>
      </c>
      <c r="C44" s="194">
        <f t="shared" ref="C44:I44" si="2">C40+C37</f>
        <v>0</v>
      </c>
      <c r="D44" s="194">
        <f t="shared" si="2"/>
        <v>97</v>
      </c>
      <c r="E44" s="194">
        <f t="shared" si="2"/>
        <v>101</v>
      </c>
      <c r="F44" s="194">
        <f t="shared" si="2"/>
        <v>0</v>
      </c>
      <c r="G44" s="194">
        <f t="shared" si="2"/>
        <v>0</v>
      </c>
      <c r="H44" s="194">
        <f t="shared" si="2"/>
        <v>0</v>
      </c>
      <c r="I44" s="195">
        <f t="shared" si="2"/>
        <v>198</v>
      </c>
      <c r="J44" s="224">
        <f>J30+J32+J34+J37+J40+J42</f>
        <v>31357.80832089941</v>
      </c>
      <c r="K44" s="224">
        <f>K30+K32+K34+K37+K40+K42</f>
        <v>13439785.565018341</v>
      </c>
      <c r="L44" s="226">
        <f>L42+L40+L37+L30+L31+L32+L33+L34</f>
        <v>1981473.0035058884</v>
      </c>
      <c r="M44" s="196">
        <f>M30+M32+M34+M37+M40+M42</f>
        <v>32612.120653735379</v>
      </c>
      <c r="N44" s="196">
        <f>N30+N32+N34+N37+N40+N42</f>
        <v>13911611.919179494</v>
      </c>
      <c r="O44" s="197">
        <f>O42+O40+O37+O30+O31+O32+O33+O34</f>
        <v>2051336.9138690413</v>
      </c>
      <c r="P44" s="224">
        <f>P30+P32+P34+P37+P40+P42</f>
        <v>33264.363066810096</v>
      </c>
      <c r="Q44" s="224">
        <f>Q30+Q32+Q34+Q37+Q40+Q42</f>
        <v>14156961.623343294</v>
      </c>
      <c r="R44" s="226">
        <f>R42+R40+R37+R30+R31+R32+R33+R34</f>
        <v>2087666.147257881</v>
      </c>
      <c r="S44" s="206">
        <f>S37+S40+S42</f>
        <v>69744.462039642356</v>
      </c>
      <c r="T44" s="203" t="s">
        <v>12</v>
      </c>
      <c r="U44" s="416">
        <f>SUM(U30:U34)</f>
        <v>1970414.2261712947</v>
      </c>
    </row>
    <row r="45" spans="1:21" ht="13.5" thickTop="1" thickBot="1" x14ac:dyDescent="0.3">
      <c r="B45" s="513"/>
      <c r="C45" s="513"/>
      <c r="D45" s="513"/>
      <c r="E45" s="513"/>
      <c r="F45" s="513"/>
      <c r="G45" s="513"/>
      <c r="H45" s="513"/>
      <c r="I45" s="513"/>
      <c r="J45" s="513"/>
      <c r="K45" s="513"/>
      <c r="L45" s="513"/>
      <c r="M45" s="513"/>
      <c r="N45" s="513"/>
      <c r="O45" s="513"/>
      <c r="P45" s="513"/>
      <c r="Q45" s="513"/>
      <c r="R45" s="513"/>
      <c r="S45" s="513"/>
      <c r="T45" s="513"/>
      <c r="U45" s="513"/>
    </row>
    <row r="46" spans="1:21" ht="16" thickTop="1" x14ac:dyDescent="0.35">
      <c r="A46" s="510"/>
      <c r="B46" s="508" t="s">
        <v>155</v>
      </c>
      <c r="F46" s="1" t="s">
        <v>6</v>
      </c>
      <c r="G46" s="1160"/>
      <c r="H46" s="1161"/>
      <c r="I46" s="1162"/>
      <c r="J46" s="198" t="s">
        <v>22</v>
      </c>
      <c r="L46" s="62"/>
      <c r="M46" s="198" t="s">
        <v>22</v>
      </c>
      <c r="O46" s="31"/>
      <c r="P46" s="198" t="s">
        <v>22</v>
      </c>
      <c r="R46" s="31"/>
      <c r="S46" s="97"/>
      <c r="T46" s="31"/>
      <c r="U46" s="182"/>
    </row>
    <row r="47" spans="1:21" ht="13" x14ac:dyDescent="0.3">
      <c r="A47" s="510"/>
      <c r="F47" s="1"/>
      <c r="G47" s="1163"/>
      <c r="H47" s="1163"/>
      <c r="I47" s="1164"/>
      <c r="J47" s="227" t="s">
        <v>61</v>
      </c>
      <c r="K47" s="1182" t="s">
        <v>57</v>
      </c>
      <c r="L47" s="1183"/>
      <c r="M47" s="50" t="s">
        <v>61</v>
      </c>
      <c r="N47" s="1177" t="s">
        <v>57</v>
      </c>
      <c r="O47" s="1178"/>
      <c r="P47" s="227" t="s">
        <v>61</v>
      </c>
      <c r="Q47" s="1167" t="s">
        <v>57</v>
      </c>
      <c r="R47" s="1168"/>
      <c r="S47" s="106"/>
      <c r="T47" s="31"/>
      <c r="U47" s="182"/>
    </row>
    <row r="48" spans="1:21" ht="13" x14ac:dyDescent="0.3">
      <c r="A48" s="510"/>
      <c r="B48" s="506" t="s">
        <v>18</v>
      </c>
      <c r="C48" s="20" t="s">
        <v>60</v>
      </c>
      <c r="D48" s="20" t="s">
        <v>62</v>
      </c>
      <c r="E48" s="7"/>
      <c r="F48" s="61"/>
      <c r="G48" s="61"/>
      <c r="H48" s="61"/>
      <c r="I48" s="31"/>
      <c r="J48" s="211" t="s">
        <v>56</v>
      </c>
      <c r="K48" s="211" t="s">
        <v>13</v>
      </c>
      <c r="L48" s="212" t="s">
        <v>68</v>
      </c>
      <c r="M48" s="66" t="s">
        <v>56</v>
      </c>
      <c r="N48" s="20" t="s">
        <v>13</v>
      </c>
      <c r="O48" s="32" t="s">
        <v>68</v>
      </c>
      <c r="P48" s="210" t="s">
        <v>56</v>
      </c>
      <c r="Q48" s="211" t="s">
        <v>13</v>
      </c>
      <c r="R48" s="212" t="s">
        <v>68</v>
      </c>
      <c r="S48" s="98"/>
      <c r="T48" s="31"/>
      <c r="U48" s="182"/>
    </row>
    <row r="49" spans="1:21" ht="13" x14ac:dyDescent="0.3">
      <c r="B49" s="909" t="str">
        <f>VLOOKUP($C$2,Monitor_Costs,16,FALSE)</f>
        <v>Filters</v>
      </c>
      <c r="C49" s="23">
        <f>VLOOKUP($C$2,Monitor_Costs,17,FALSE)</f>
        <v>1033.2</v>
      </c>
      <c r="D49" s="19">
        <f>VLOOKUP(C$2,Monitor_Costs,18,FALSE)</f>
        <v>2019</v>
      </c>
      <c r="E49" s="65"/>
      <c r="F49" s="64"/>
      <c r="G49" s="65"/>
      <c r="H49" s="65"/>
      <c r="I49" s="40"/>
      <c r="J49" s="229">
        <f>HLOOKUP(K$2,InflationTable,2)/HLOOKUP($D49,InflationTable,2)*$C49</f>
        <v>1249.0527336722723</v>
      </c>
      <c r="K49" s="229">
        <f>J49*$L$9</f>
        <v>452157.08958936256</v>
      </c>
      <c r="L49" s="230">
        <f>K49</f>
        <v>452157.08958936256</v>
      </c>
      <c r="M49" s="23">
        <f>HLOOKUP(N$2,InflationTable,2)/HLOOKUP($D49,InflationTable,2)*$C49</f>
        <v>1299.0148430191632</v>
      </c>
      <c r="N49" s="23">
        <f>M49*$L$9</f>
        <v>470243.37317293708</v>
      </c>
      <c r="O49" s="23">
        <f>N49</f>
        <v>470243.37317293708</v>
      </c>
      <c r="P49" s="229">
        <f>HLOOKUP(Q$2,InflationTable,2)/HLOOKUP($D49,InflationTable,2)*$C49</f>
        <v>1324.9951398795463</v>
      </c>
      <c r="Q49" s="229">
        <f>P49*$L$9</f>
        <v>479648.24063639576</v>
      </c>
      <c r="R49" s="230">
        <f>Q49</f>
        <v>479648.24063639576</v>
      </c>
      <c r="S49" s="102" t="s">
        <v>12</v>
      </c>
      <c r="T49" s="910">
        <f>AVERAGE(L49,O49,R49)</f>
        <v>467349.56779956515</v>
      </c>
      <c r="U49" s="187" t="s">
        <v>12</v>
      </c>
    </row>
    <row r="50" spans="1:21" ht="13" x14ac:dyDescent="0.3">
      <c r="A50" s="510"/>
      <c r="B50" s="909" t="str">
        <f>VLOOKUP($C$2,Monitor_Costs,19,FALSE)</f>
        <v>Filter Tape</v>
      </c>
      <c r="C50" s="23">
        <f>VLOOKUP($C$2,Monitor_Costs,20,FALSE)</f>
        <v>500</v>
      </c>
      <c r="D50" s="19">
        <f>VLOOKUP(C$2,Monitor_Costs,21,FALSE)</f>
        <v>2019</v>
      </c>
      <c r="E50" s="65"/>
      <c r="F50" s="64"/>
      <c r="G50" s="65"/>
      <c r="H50" s="65"/>
      <c r="I50" s="40"/>
      <c r="J50" s="229">
        <f>HLOOKUP(K$2,InflationTable,2)/HLOOKUP($D50,InflationTable,2)*$C50</f>
        <v>604.45834962847084</v>
      </c>
      <c r="K50" s="229">
        <f>J50*L$12</f>
        <v>281073.13257723895</v>
      </c>
      <c r="L50" s="230">
        <f>K50</f>
        <v>281073.13257723895</v>
      </c>
      <c r="M50" s="23">
        <f>HLOOKUP(N$2,InflationTable,2)/HLOOKUP($D50,InflationTable,2)*$C50</f>
        <v>628.63668361360965</v>
      </c>
      <c r="N50" s="23">
        <f>M50*O$12</f>
        <v>292316.0578803285</v>
      </c>
      <c r="O50" s="592">
        <f>N50</f>
        <v>292316.0578803285</v>
      </c>
      <c r="P50" s="229">
        <f>HLOOKUP(Q$2,InflationTable,2)/HLOOKUP($D50,InflationTable,2)*$C50</f>
        <v>641.20941728588184</v>
      </c>
      <c r="Q50" s="229">
        <f>P50*R$12</f>
        <v>298162.37903793505</v>
      </c>
      <c r="R50" s="230">
        <f>Q50</f>
        <v>298162.37903793505</v>
      </c>
      <c r="S50" s="102" t="s">
        <v>12</v>
      </c>
      <c r="T50" s="910">
        <f>AVERAGE(L50,O50,R50)</f>
        <v>290517.18983183417</v>
      </c>
      <c r="U50" s="187" t="s">
        <v>12</v>
      </c>
    </row>
    <row r="51" spans="1:21" ht="13.5" thickBot="1" x14ac:dyDescent="0.35">
      <c r="A51" s="510"/>
      <c r="B51" s="906" t="str">
        <f>VLOOKUP($C$2,Monitor_Costs,22,FALSE)</f>
        <v>Laboratory Service</v>
      </c>
      <c r="C51" s="535">
        <f>VLOOKUP($C$2,Monitor_Costs,23,FALSE)</f>
        <v>85.714285714285708</v>
      </c>
      <c r="D51" s="536">
        <f>VLOOKUP(C$2,Monitor_Costs,24,FALSE)</f>
        <v>2019</v>
      </c>
      <c r="E51" s="3"/>
      <c r="F51" s="9"/>
      <c r="G51" s="3"/>
      <c r="H51" s="3"/>
      <c r="I51" s="305"/>
      <c r="J51" s="229">
        <f>HLOOKUP(K$2,InflationTable,2)/HLOOKUP($D51,InflationTable,2)*$C51</f>
        <v>103.62143136488072</v>
      </c>
      <c r="K51" s="907">
        <f>J51*L$9</f>
        <v>37510.958154086824</v>
      </c>
      <c r="L51" s="908">
        <f>K51</f>
        <v>37510.958154086824</v>
      </c>
      <c r="M51" s="23">
        <f>HLOOKUP(N$2,InflationTable,2)/HLOOKUP($D51,InflationTable,2)*$C51</f>
        <v>107.76628861947594</v>
      </c>
      <c r="N51" s="535">
        <f>M51*O$9</f>
        <v>39011.396480250289</v>
      </c>
      <c r="O51" s="307">
        <f>N51</f>
        <v>39011.396480250289</v>
      </c>
      <c r="P51" s="229">
        <f>HLOOKUP(Q$2,InflationTable,2)/HLOOKUP($D51,InflationTable,2)*$C51</f>
        <v>109.92161439186546</v>
      </c>
      <c r="Q51" s="907">
        <f>P51*R$9</f>
        <v>39791.6244098553</v>
      </c>
      <c r="R51" s="908">
        <f>Q51</f>
        <v>39791.6244098553</v>
      </c>
      <c r="S51" s="529" t="s">
        <v>12</v>
      </c>
      <c r="T51" s="911" t="s">
        <v>12</v>
      </c>
      <c r="U51" s="912">
        <f>AVERAGE(L51,O51,R51)</f>
        <v>38771.32634806414</v>
      </c>
    </row>
    <row r="52" spans="1:21" ht="13" x14ac:dyDescent="0.3">
      <c r="A52" s="510"/>
      <c r="B52" s="378" t="s">
        <v>23</v>
      </c>
      <c r="C52" s="86" t="s">
        <v>45</v>
      </c>
      <c r="D52" s="86" t="s">
        <v>46</v>
      </c>
      <c r="E52" s="86" t="s">
        <v>47</v>
      </c>
      <c r="F52" s="86" t="s">
        <v>48</v>
      </c>
      <c r="G52" s="86" t="s">
        <v>49</v>
      </c>
      <c r="H52" s="86" t="s">
        <v>50</v>
      </c>
      <c r="I52" s="145" t="s">
        <v>74</v>
      </c>
      <c r="J52" s="293"/>
      <c r="K52" s="293"/>
      <c r="L52" s="296"/>
      <c r="M52" s="88"/>
      <c r="N52" s="86"/>
      <c r="O52" s="87"/>
      <c r="P52" s="293"/>
      <c r="Q52" s="293"/>
      <c r="R52" s="296"/>
      <c r="S52" s="98"/>
      <c r="T52" s="31"/>
      <c r="U52" s="182"/>
    </row>
    <row r="53" spans="1:21" x14ac:dyDescent="0.25">
      <c r="A53" s="510"/>
      <c r="B53" s="509" t="s">
        <v>227</v>
      </c>
      <c r="C53" s="18">
        <v>0</v>
      </c>
      <c r="D53" s="18">
        <v>45</v>
      </c>
      <c r="E53" s="18">
        <v>50</v>
      </c>
      <c r="F53" s="18">
        <v>25</v>
      </c>
      <c r="G53" s="18">
        <v>0</v>
      </c>
      <c r="H53" s="18">
        <v>0</v>
      </c>
      <c r="I53" s="41">
        <f t="shared" ref="I53:I60" si="3">SUM(C53:H53)</f>
        <v>120</v>
      </c>
      <c r="J53" s="247" t="s">
        <v>12</v>
      </c>
      <c r="K53" s="231">
        <f>$I53*SUM(L$3:L$4)</f>
        <v>4680</v>
      </c>
      <c r="L53" s="239">
        <f t="shared" ref="L53:L60" si="4">K53</f>
        <v>4680</v>
      </c>
      <c r="M53" s="51" t="s">
        <v>12</v>
      </c>
      <c r="N53" s="58">
        <f>$I53*SUM(O$3:O$4)</f>
        <v>4680</v>
      </c>
      <c r="O53" s="57">
        <f t="shared" ref="O53:O60" si="5">N53</f>
        <v>4680</v>
      </c>
      <c r="P53" s="247" t="s">
        <v>12</v>
      </c>
      <c r="Q53" s="231">
        <f>$I53*SUM(R$3:R$4)</f>
        <v>4680</v>
      </c>
      <c r="R53" s="239">
        <f t="shared" ref="R53:R60" si="6">Q53</f>
        <v>4680</v>
      </c>
      <c r="S53" s="96">
        <f t="shared" ref="S53:S59" si="7">AVERAGE(L53,O53,R53)</f>
        <v>4680</v>
      </c>
      <c r="T53" s="94" t="s">
        <v>12</v>
      </c>
      <c r="U53" s="187" t="s">
        <v>12</v>
      </c>
    </row>
    <row r="54" spans="1:21" s="1" customFormat="1" ht="13.5" thickBot="1" x14ac:dyDescent="0.35">
      <c r="A54" s="511"/>
      <c r="B54" s="500" t="s">
        <v>8</v>
      </c>
      <c r="C54" s="310">
        <f>ROUND(C53*Labor!$D$3,0)</f>
        <v>0</v>
      </c>
      <c r="D54" s="310">
        <f>ROUND(D53*Labor!$D$4,0)</f>
        <v>1089</v>
      </c>
      <c r="E54" s="310">
        <f>ROUND(E53*Labor!$D$5,0)</f>
        <v>1261</v>
      </c>
      <c r="F54" s="310">
        <f>ROUND(F53*Labor!$D$6,0)</f>
        <v>689</v>
      </c>
      <c r="G54" s="310">
        <f>ROUND(G53*Labor!$D$7,0)</f>
        <v>0</v>
      </c>
      <c r="H54" s="310">
        <f>ROUND(H53*Labor!$D$8,0)</f>
        <v>0</v>
      </c>
      <c r="I54" s="311">
        <f t="shared" si="3"/>
        <v>3039</v>
      </c>
      <c r="J54" s="284">
        <f>HLOOKUP(K$2,InflationTable,2)/HLOOKUP(Labor!$B$11,InflationTable,2)*$I54</f>
        <v>6501.1465743944627</v>
      </c>
      <c r="K54" s="245">
        <f>J54*SUM(L$3:L$4)</f>
        <v>253544.71640138404</v>
      </c>
      <c r="L54" s="246">
        <f t="shared" si="4"/>
        <v>253544.71640138404</v>
      </c>
      <c r="M54" s="169">
        <f>HLOOKUP(N$2,InflationTable,2)/HLOOKUP(Labor!$B$11,InflationTable,2)*$I54</f>
        <v>6761.1924373702423</v>
      </c>
      <c r="N54" s="166">
        <f>M54*SUM(O$3:O$4)</f>
        <v>263686.50505743944</v>
      </c>
      <c r="O54" s="167">
        <f t="shared" si="5"/>
        <v>263686.50505743944</v>
      </c>
      <c r="P54" s="284">
        <f>HLOOKUP(Q$2,InflationTable,2)/HLOOKUP(Labor!$B$11,InflationTable,2)*$I54</f>
        <v>6896.4162861176465</v>
      </c>
      <c r="Q54" s="245">
        <f>P54*SUM(R$3:R$4)</f>
        <v>268960.23515858821</v>
      </c>
      <c r="R54" s="246">
        <f t="shared" si="6"/>
        <v>268960.23515858821</v>
      </c>
      <c r="S54" s="169">
        <f t="shared" si="7"/>
        <v>262063.81887247055</v>
      </c>
      <c r="T54" s="323" t="s">
        <v>12</v>
      </c>
      <c r="U54" s="183" t="s">
        <v>12</v>
      </c>
    </row>
    <row r="55" spans="1:21" x14ac:dyDescent="0.25">
      <c r="A55" s="510"/>
      <c r="B55" s="509" t="s">
        <v>226</v>
      </c>
      <c r="C55" s="18">
        <v>0</v>
      </c>
      <c r="D55" s="18">
        <v>15</v>
      </c>
      <c r="E55" s="18">
        <v>65</v>
      </c>
      <c r="F55" s="18">
        <v>100</v>
      </c>
      <c r="G55" s="18">
        <v>0</v>
      </c>
      <c r="H55" s="18">
        <v>0</v>
      </c>
      <c r="I55" s="41">
        <f t="shared" si="3"/>
        <v>180</v>
      </c>
      <c r="J55" s="247" t="s">
        <v>12</v>
      </c>
      <c r="K55" s="273">
        <f>$I55*SUM(L$5:L$7)</f>
        <v>31680</v>
      </c>
      <c r="L55" s="274">
        <f t="shared" si="4"/>
        <v>31680</v>
      </c>
      <c r="M55" s="53" t="s">
        <v>12</v>
      </c>
      <c r="N55" s="147">
        <f>$I55*SUM(O$5:O$7)</f>
        <v>31680</v>
      </c>
      <c r="O55" s="148">
        <f t="shared" si="5"/>
        <v>31680</v>
      </c>
      <c r="P55" s="247" t="s">
        <v>12</v>
      </c>
      <c r="Q55" s="273">
        <f>$I55*SUM(R$5:R$7)</f>
        <v>31680</v>
      </c>
      <c r="R55" s="274">
        <f t="shared" si="6"/>
        <v>31680</v>
      </c>
      <c r="S55" s="96">
        <f t="shared" si="7"/>
        <v>31680</v>
      </c>
      <c r="T55" s="94" t="s">
        <v>12</v>
      </c>
      <c r="U55" s="187" t="s">
        <v>12</v>
      </c>
    </row>
    <row r="56" spans="1:21" s="1" customFormat="1" ht="13.5" thickBot="1" x14ac:dyDescent="0.35">
      <c r="A56" s="511"/>
      <c r="B56" s="500" t="s">
        <v>8</v>
      </c>
      <c r="C56" s="310">
        <f>ROUND(C55*Labor!$D$3,0)</f>
        <v>0</v>
      </c>
      <c r="D56" s="310">
        <f>ROUND(D55*Labor!$D$4,0)</f>
        <v>363</v>
      </c>
      <c r="E56" s="310">
        <f>ROUND(E55*Labor!$D$5,0)</f>
        <v>1639</v>
      </c>
      <c r="F56" s="310">
        <f>ROUND(F55*Labor!$D$6,0)</f>
        <v>2757</v>
      </c>
      <c r="G56" s="310">
        <f>ROUND(G55*Labor!$D$7,0)</f>
        <v>0</v>
      </c>
      <c r="H56" s="310">
        <f>ROUND(H55*Labor!$D$8,0)</f>
        <v>0</v>
      </c>
      <c r="I56" s="311">
        <f t="shared" si="3"/>
        <v>4759</v>
      </c>
      <c r="J56" s="284">
        <f>HLOOKUP(K$2,InflationTable,2)/HLOOKUP(Labor!$B$11,InflationTable,2)*$I56</f>
        <v>10180.637231833909</v>
      </c>
      <c r="K56" s="245">
        <f>J56*SUM(L$5:L$7)</f>
        <v>1791792.1528027679</v>
      </c>
      <c r="L56" s="246">
        <f t="shared" si="4"/>
        <v>1791792.1528027679</v>
      </c>
      <c r="M56" s="169">
        <f>HLOOKUP(N$2,InflationTable,2)/HLOOKUP(Labor!$B$11,InflationTable,2)*$I56</f>
        <v>10587.862721107267</v>
      </c>
      <c r="N56" s="166">
        <f>M56*SUM(O$5:O$7)</f>
        <v>1863463.8389148791</v>
      </c>
      <c r="O56" s="167">
        <f t="shared" si="5"/>
        <v>1863463.8389148791</v>
      </c>
      <c r="P56" s="284">
        <f>HLOOKUP(Q$2,InflationTable,2)/HLOOKUP(Labor!$B$11,InflationTable,2)*$I56</f>
        <v>10799.619975529411</v>
      </c>
      <c r="Q56" s="245">
        <f>P56*SUM(R$5:R$7)</f>
        <v>1900733.1156931764</v>
      </c>
      <c r="R56" s="246">
        <f t="shared" si="6"/>
        <v>1900733.1156931764</v>
      </c>
      <c r="S56" s="169">
        <f t="shared" si="7"/>
        <v>1851996.3691369409</v>
      </c>
      <c r="T56" s="323" t="s">
        <v>12</v>
      </c>
      <c r="U56" s="183" t="s">
        <v>12</v>
      </c>
    </row>
    <row r="57" spans="1:21" x14ac:dyDescent="0.25">
      <c r="A57" s="510"/>
      <c r="B57" s="509" t="s">
        <v>225</v>
      </c>
      <c r="C57" s="18">
        <v>0</v>
      </c>
      <c r="D57" s="18">
        <v>0</v>
      </c>
      <c r="E57" s="18">
        <v>30</v>
      </c>
      <c r="F57" s="18">
        <v>2</v>
      </c>
      <c r="G57" s="18">
        <v>0</v>
      </c>
      <c r="H57" s="18">
        <v>0</v>
      </c>
      <c r="I57" s="41">
        <f t="shared" si="3"/>
        <v>32</v>
      </c>
      <c r="J57" s="247" t="s">
        <v>12</v>
      </c>
      <c r="K57" s="273">
        <f>I57*$L12</f>
        <v>14880</v>
      </c>
      <c r="L57" s="274">
        <f t="shared" si="4"/>
        <v>14880</v>
      </c>
      <c r="M57" s="53" t="s">
        <v>12</v>
      </c>
      <c r="N57" s="147">
        <f>$I$57*$O$8</f>
        <v>6880</v>
      </c>
      <c r="O57" s="57">
        <f t="shared" si="5"/>
        <v>6880</v>
      </c>
      <c r="P57" s="247" t="s">
        <v>12</v>
      </c>
      <c r="Q57" s="273">
        <f>$I$57*$R$8</f>
        <v>6880</v>
      </c>
      <c r="R57" s="274">
        <f t="shared" si="6"/>
        <v>6880</v>
      </c>
      <c r="S57" s="96">
        <f t="shared" si="7"/>
        <v>9546.6666666666661</v>
      </c>
      <c r="T57" s="94" t="s">
        <v>12</v>
      </c>
      <c r="U57" s="187" t="s">
        <v>12</v>
      </c>
    </row>
    <row r="58" spans="1:21" s="1" customFormat="1" ht="13.5" thickBot="1" x14ac:dyDescent="0.35">
      <c r="A58" s="511"/>
      <c r="B58" s="500" t="s">
        <v>8</v>
      </c>
      <c r="C58" s="310">
        <f>ROUND(C57*Labor!$D$3,0)</f>
        <v>0</v>
      </c>
      <c r="D58" s="310">
        <f>ROUND(D57*Labor!$D$4,0)</f>
        <v>0</v>
      </c>
      <c r="E58" s="310">
        <f>ROUND(E57*Labor!$D$5,0)</f>
        <v>757</v>
      </c>
      <c r="F58" s="310">
        <f>ROUND(F57*Labor!$D$6,0)</f>
        <v>55</v>
      </c>
      <c r="G58" s="310">
        <f>ROUND(G57*Labor!$D$7,0)</f>
        <v>0</v>
      </c>
      <c r="H58" s="310">
        <f>ROUND(H57*Labor!$D$8,0)</f>
        <v>0</v>
      </c>
      <c r="I58" s="311">
        <f t="shared" si="3"/>
        <v>812</v>
      </c>
      <c r="J58" s="284">
        <f>HLOOKUP(K$2,InflationTable,2)/HLOOKUP(Labor!$B$11,InflationTable,2)*$I58</f>
        <v>1737.0618685121106</v>
      </c>
      <c r="K58" s="245">
        <f>J58*$L12</f>
        <v>807733.76885813137</v>
      </c>
      <c r="L58" s="246">
        <f t="shared" si="4"/>
        <v>807733.76885813137</v>
      </c>
      <c r="M58" s="169">
        <f>HLOOKUP(N$2,InflationTable,2)/HLOOKUP(Labor!$B$11,InflationTable,2)*$I58</f>
        <v>1806.5443432525954</v>
      </c>
      <c r="N58" s="166">
        <f>M58*$O$8</f>
        <v>388407.033799308</v>
      </c>
      <c r="O58" s="167">
        <f t="shared" si="5"/>
        <v>388407.033799308</v>
      </c>
      <c r="P58" s="284">
        <f>HLOOKUP(Q$2,InflationTable,2)/HLOOKUP(Labor!$B$11,InflationTable,2)*$I58</f>
        <v>1842.6752301176468</v>
      </c>
      <c r="Q58" s="245">
        <f>P58*$R$8</f>
        <v>396175.17447529407</v>
      </c>
      <c r="R58" s="246">
        <f t="shared" si="6"/>
        <v>396175.17447529407</v>
      </c>
      <c r="S58" s="169">
        <f t="shared" si="7"/>
        <v>530771.99237757782</v>
      </c>
      <c r="T58" s="323" t="s">
        <v>12</v>
      </c>
      <c r="U58" s="183" t="s">
        <v>12</v>
      </c>
    </row>
    <row r="59" spans="1:21" ht="13" x14ac:dyDescent="0.3">
      <c r="A59" s="510"/>
      <c r="B59" s="645" t="s">
        <v>229</v>
      </c>
      <c r="C59" s="18">
        <v>0</v>
      </c>
      <c r="D59" s="18">
        <v>24</v>
      </c>
      <c r="E59" s="18">
        <v>24</v>
      </c>
      <c r="F59" s="18">
        <v>0</v>
      </c>
      <c r="G59" s="18">
        <v>0</v>
      </c>
      <c r="H59" s="18">
        <v>0</v>
      </c>
      <c r="I59" s="41">
        <f t="shared" si="3"/>
        <v>48</v>
      </c>
      <c r="J59" s="646">
        <f>$I59*L11</f>
        <v>15.627906976744187</v>
      </c>
      <c r="K59" s="231">
        <f>J59*L$9</f>
        <v>5657.302325581396</v>
      </c>
      <c r="L59" s="274">
        <f t="shared" si="4"/>
        <v>5657.302325581396</v>
      </c>
      <c r="M59" s="647">
        <f>$I59*O11</f>
        <v>15.627906976744187</v>
      </c>
      <c r="N59" s="58">
        <f>M59*O$9</f>
        <v>5657.302325581396</v>
      </c>
      <c r="O59" s="57">
        <f t="shared" si="5"/>
        <v>5657.302325581396</v>
      </c>
      <c r="P59" s="646">
        <f>$I59*R11</f>
        <v>15.627906976744187</v>
      </c>
      <c r="Q59" s="231">
        <f>P59*R$9</f>
        <v>5657.302325581396</v>
      </c>
      <c r="R59" s="274">
        <f t="shared" si="6"/>
        <v>5657.302325581396</v>
      </c>
      <c r="S59" s="96">
        <f t="shared" si="7"/>
        <v>5657.302325581396</v>
      </c>
      <c r="T59" s="94" t="s">
        <v>12</v>
      </c>
      <c r="U59" s="187" t="s">
        <v>12</v>
      </c>
    </row>
    <row r="60" spans="1:21" s="1" customFormat="1" ht="13.5" thickBot="1" x14ac:dyDescent="0.35">
      <c r="A60" s="511"/>
      <c r="B60" s="500" t="s">
        <v>8</v>
      </c>
      <c r="C60" s="310">
        <f>ROUND(C59*Labor!$D$3,0)</f>
        <v>0</v>
      </c>
      <c r="D60" s="310">
        <f>ROUND(D59*Labor!$D$4,0)</f>
        <v>581</v>
      </c>
      <c r="E60" s="310">
        <f>ROUND(E59*Labor!$D$5,0)</f>
        <v>605</v>
      </c>
      <c r="F60" s="310">
        <f>ROUND(F59*Labor!$D$6,0)</f>
        <v>0</v>
      </c>
      <c r="G60" s="310">
        <f>ROUND(G59*Labor!$D$7,0)</f>
        <v>0</v>
      </c>
      <c r="H60" s="310">
        <f>ROUND(H59*Labor!$D$8,0)</f>
        <v>0</v>
      </c>
      <c r="I60" s="311">
        <f t="shared" si="3"/>
        <v>1186</v>
      </c>
      <c r="J60" s="284">
        <f>HLOOKUP(K$2,InflationTable,2)/HLOOKUP(Labor!$B$11,InflationTable,2)*$I60</f>
        <v>2537.1371626297578</v>
      </c>
      <c r="K60" s="245">
        <f>J60*L$9</f>
        <v>918443.6528719723</v>
      </c>
      <c r="L60" s="246">
        <f t="shared" si="4"/>
        <v>918443.6528719723</v>
      </c>
      <c r="M60" s="169">
        <f>HLOOKUP(N$2,InflationTable,2)/HLOOKUP(Labor!$B$11,InflationTable,2)*$I60</f>
        <v>2638.6226491349485</v>
      </c>
      <c r="N60" s="166">
        <f>M60*O$9</f>
        <v>955181.39898685133</v>
      </c>
      <c r="O60" s="167">
        <f t="shared" si="5"/>
        <v>955181.39898685133</v>
      </c>
      <c r="P60" s="284">
        <f>HLOOKUP(Q$2,InflationTable,2)/HLOOKUP(Labor!$B$11,InflationTable,2)*$I60</f>
        <v>2691.3951021176467</v>
      </c>
      <c r="Q60" s="245">
        <f>P60*R$9</f>
        <v>974285.02696658811</v>
      </c>
      <c r="R60" s="246">
        <f t="shared" si="6"/>
        <v>974285.02696658811</v>
      </c>
      <c r="S60" s="839">
        <f>AVERAGE(L60,O60,R60)</f>
        <v>949303.35960847058</v>
      </c>
      <c r="T60" s="798" t="s">
        <v>12</v>
      </c>
      <c r="U60" s="183" t="s">
        <v>12</v>
      </c>
    </row>
    <row r="61" spans="1:21" ht="13" x14ac:dyDescent="0.3">
      <c r="A61" s="510"/>
      <c r="B61" s="501" t="s">
        <v>66</v>
      </c>
      <c r="C61" s="30">
        <f>C53+C55+C57+C59</f>
        <v>0</v>
      </c>
      <c r="D61" s="30">
        <f t="shared" ref="D61:I61" si="8">D53+D55+D57+D59</f>
        <v>84</v>
      </c>
      <c r="E61" s="30">
        <f t="shared" si="8"/>
        <v>169</v>
      </c>
      <c r="F61" s="30">
        <f t="shared" si="8"/>
        <v>127</v>
      </c>
      <c r="G61" s="30">
        <f t="shared" si="8"/>
        <v>0</v>
      </c>
      <c r="H61" s="30">
        <f t="shared" si="8"/>
        <v>0</v>
      </c>
      <c r="I61" s="30">
        <f t="shared" si="8"/>
        <v>380</v>
      </c>
      <c r="J61" s="267" t="s">
        <v>12</v>
      </c>
      <c r="K61" s="235">
        <f>K53+K55+K57+K59</f>
        <v>56897.302325581397</v>
      </c>
      <c r="L61" s="235">
        <f>L53+L55+L57+L59</f>
        <v>56897.302325581397</v>
      </c>
      <c r="M61" s="30" t="s">
        <v>12</v>
      </c>
      <c r="N61" s="28">
        <f>N53+N55+N57+N59</f>
        <v>48897.302325581397</v>
      </c>
      <c r="O61" s="28">
        <f>O53+O55+O57+O59</f>
        <v>48897.302325581397</v>
      </c>
      <c r="P61" s="267" t="s">
        <v>12</v>
      </c>
      <c r="Q61" s="235">
        <f>Q53+Q55+Q57+Q59</f>
        <v>48897.302325581397</v>
      </c>
      <c r="R61" s="235">
        <f>R53+R55+R57+R59</f>
        <v>48897.302325581397</v>
      </c>
      <c r="S61" s="78">
        <f>S57</f>
        <v>9546.6666666666661</v>
      </c>
      <c r="T61" s="42" t="s">
        <v>12</v>
      </c>
      <c r="U61" s="185" t="s">
        <v>12</v>
      </c>
    </row>
    <row r="62" spans="1:21" ht="13.5" thickBot="1" x14ac:dyDescent="0.35">
      <c r="A62" s="510"/>
      <c r="B62" s="502" t="s">
        <v>67</v>
      </c>
      <c r="C62" s="194">
        <f>C54+C56+C58+C60</f>
        <v>0</v>
      </c>
      <c r="D62" s="194">
        <f t="shared" ref="D62:I62" si="9">D54+D56+D58+D60</f>
        <v>2033</v>
      </c>
      <c r="E62" s="194">
        <f t="shared" si="9"/>
        <v>4262</v>
      </c>
      <c r="F62" s="194">
        <f t="shared" si="9"/>
        <v>3501</v>
      </c>
      <c r="G62" s="194">
        <f t="shared" si="9"/>
        <v>0</v>
      </c>
      <c r="H62" s="194">
        <f t="shared" si="9"/>
        <v>0</v>
      </c>
      <c r="I62" s="194">
        <f t="shared" si="9"/>
        <v>9796</v>
      </c>
      <c r="J62" s="225">
        <f>J54+J56+J58+J60</f>
        <v>20955.98283737024</v>
      </c>
      <c r="K62" s="225">
        <f>K54+K56+K58+K60</f>
        <v>3771514.2909342558</v>
      </c>
      <c r="L62" s="225">
        <f>L54+L56+L58+L60</f>
        <v>3771514.2909342558</v>
      </c>
      <c r="M62" s="194">
        <f>M54+M56+M58+M60</f>
        <v>21794.222150865051</v>
      </c>
      <c r="N62" s="194">
        <f>N54+N56+N58+N60</f>
        <v>3470738.776758478</v>
      </c>
      <c r="O62" s="194">
        <f>O54+O56+O58+O60</f>
        <v>3470738.776758478</v>
      </c>
      <c r="P62" s="225">
        <f>P54+P56+P58+P60</f>
        <v>22230.106593882352</v>
      </c>
      <c r="Q62" s="225">
        <f>Q54+Q56+Q58+Q60</f>
        <v>3540153.5522936466</v>
      </c>
      <c r="R62" s="225">
        <f>R54+R56+R58+R60</f>
        <v>3540153.5522936466</v>
      </c>
      <c r="S62" s="206">
        <f>S54+S56+S58+S60</f>
        <v>3594135.5399954598</v>
      </c>
      <c r="T62" s="205">
        <f>SUM(T49:T51)</f>
        <v>757866.75763139932</v>
      </c>
      <c r="U62" s="859">
        <f>SUM(U49:U51)</f>
        <v>38771.32634806414</v>
      </c>
    </row>
    <row r="63" spans="1:21" ht="13.5" thickTop="1" thickBot="1" x14ac:dyDescent="0.3">
      <c r="B63" s="513"/>
      <c r="C63" s="513"/>
      <c r="D63" s="513"/>
      <c r="E63" s="513"/>
      <c r="F63" s="513"/>
      <c r="G63" s="513"/>
      <c r="H63" s="513"/>
      <c r="I63" s="513"/>
      <c r="J63" s="513"/>
      <c r="K63" s="513"/>
      <c r="L63" s="513"/>
      <c r="M63" s="513"/>
      <c r="N63" s="513"/>
      <c r="O63" s="513"/>
      <c r="P63" s="513"/>
      <c r="Q63" s="513"/>
      <c r="R63" s="513"/>
      <c r="S63" s="513"/>
      <c r="T63" s="513"/>
      <c r="U63" s="513"/>
    </row>
    <row r="64" spans="1:21" ht="16" thickTop="1" x14ac:dyDescent="0.35">
      <c r="A64" s="510"/>
      <c r="B64" s="2" t="s">
        <v>24</v>
      </c>
      <c r="F64" s="1" t="s">
        <v>6</v>
      </c>
      <c r="G64" s="1160"/>
      <c r="H64" s="1161"/>
      <c r="I64" s="1162"/>
      <c r="J64" s="2" t="s">
        <v>24</v>
      </c>
      <c r="L64" s="62"/>
      <c r="M64" s="2" t="s">
        <v>24</v>
      </c>
      <c r="N64" s="61"/>
      <c r="O64" s="31"/>
      <c r="P64" s="2" t="s">
        <v>24</v>
      </c>
      <c r="R64" s="31"/>
      <c r="S64" s="97"/>
      <c r="T64" s="31"/>
      <c r="U64" s="182"/>
    </row>
    <row r="65" spans="1:21" ht="13" x14ac:dyDescent="0.3">
      <c r="A65" s="510"/>
      <c r="F65" s="1"/>
      <c r="G65" s="1163"/>
      <c r="H65" s="1163"/>
      <c r="I65" s="1164"/>
      <c r="J65" s="227" t="s">
        <v>61</v>
      </c>
      <c r="K65" s="1167" t="s">
        <v>57</v>
      </c>
      <c r="L65" s="1168"/>
      <c r="M65" s="50" t="s">
        <v>61</v>
      </c>
      <c r="N65" s="1177" t="s">
        <v>57</v>
      </c>
      <c r="O65" s="1178"/>
      <c r="P65" s="227" t="s">
        <v>61</v>
      </c>
      <c r="Q65" s="1167" t="s">
        <v>57</v>
      </c>
      <c r="R65" s="1168"/>
      <c r="S65" s="106"/>
      <c r="T65" s="31"/>
      <c r="U65" s="182"/>
    </row>
    <row r="66" spans="1:21" ht="13" x14ac:dyDescent="0.3">
      <c r="A66" s="510"/>
      <c r="B66" s="506" t="s">
        <v>19</v>
      </c>
      <c r="C66" s="20" t="s">
        <v>60</v>
      </c>
      <c r="D66" s="20" t="s">
        <v>62</v>
      </c>
      <c r="E66" s="7"/>
      <c r="F66" s="61"/>
      <c r="G66" s="61"/>
      <c r="H66" s="61"/>
      <c r="I66" s="62"/>
      <c r="J66" s="210" t="s">
        <v>56</v>
      </c>
      <c r="K66" s="211" t="s">
        <v>13</v>
      </c>
      <c r="L66" s="212" t="s">
        <v>68</v>
      </c>
      <c r="M66" s="66" t="s">
        <v>56</v>
      </c>
      <c r="N66" s="20" t="s">
        <v>13</v>
      </c>
      <c r="O66" s="32" t="s">
        <v>68</v>
      </c>
      <c r="P66" s="210" t="s">
        <v>56</v>
      </c>
      <c r="Q66" s="211" t="s">
        <v>13</v>
      </c>
      <c r="R66" s="212" t="s">
        <v>68</v>
      </c>
      <c r="S66" s="98"/>
      <c r="T66" s="62"/>
      <c r="U66" s="182"/>
    </row>
    <row r="67" spans="1:21" ht="13" thickBot="1" x14ac:dyDescent="0.3">
      <c r="A67" s="510"/>
      <c r="B67" s="835" t="s">
        <v>304</v>
      </c>
      <c r="C67" s="84">
        <f>VLOOKUP(C$2,Monitor_Costs,6,FALSE)</f>
        <v>950</v>
      </c>
      <c r="D67" s="29">
        <f>VLOOKUP(C$2,Monitor_Costs,7,FALSE)</f>
        <v>2019</v>
      </c>
      <c r="E67" s="294"/>
      <c r="F67" s="60"/>
      <c r="G67" s="49"/>
      <c r="H67" s="49"/>
      <c r="I67" s="47"/>
      <c r="J67" s="229">
        <f>HLOOKUP(K$2,InflationTable,2)/HLOOKUP($D67,InflationTable,2)*$C67</f>
        <v>1148.4708642940948</v>
      </c>
      <c r="K67" s="295">
        <f>J67*$L$8</f>
        <v>246921.23582323038</v>
      </c>
      <c r="L67" s="256">
        <f>K67</f>
        <v>246921.23582323038</v>
      </c>
      <c r="M67" s="23">
        <f>HLOOKUP(N$2,InflationTable,2)/HLOOKUP($D67,InflationTable,2)*$C67</f>
        <v>1194.4096988658584</v>
      </c>
      <c r="N67" s="84">
        <f>M67*$L$8</f>
        <v>256798.08525615957</v>
      </c>
      <c r="O67" s="77">
        <f>N67</f>
        <v>256798.08525615957</v>
      </c>
      <c r="P67" s="229">
        <f>HLOOKUP(Q$2,InflationTable,2)/HLOOKUP($D67,InflationTable,2)*$C67</f>
        <v>1218.2978928431755</v>
      </c>
      <c r="Q67" s="295">
        <f>P67*$L$8</f>
        <v>261934.04696128273</v>
      </c>
      <c r="R67" s="256">
        <f>Q67</f>
        <v>261934.04696128273</v>
      </c>
      <c r="S67" s="298" t="s">
        <v>12</v>
      </c>
      <c r="T67" s="299">
        <f>AVERAGE(L67,O67,R67)</f>
        <v>255217.7893468909</v>
      </c>
      <c r="U67" s="425" t="s">
        <v>12</v>
      </c>
    </row>
    <row r="68" spans="1:21" ht="13" thickBot="1" x14ac:dyDescent="0.3">
      <c r="A68" s="510"/>
      <c r="B68" s="752" t="str">
        <f>VLOOKUP(C$2,Monitor_Costs,31,FALSE)</f>
        <v>Spare Parts - Continuous</v>
      </c>
      <c r="C68" s="752">
        <f>VLOOKUP(C$2,Monitor_Costs,32,FALSE)</f>
        <v>555</v>
      </c>
      <c r="D68" s="29">
        <f>VLOOKUP(C$2,Monitor_Costs,33,FALSE)</f>
        <v>2019</v>
      </c>
      <c r="E68" s="294"/>
      <c r="F68" s="60"/>
      <c r="G68" s="49"/>
      <c r="H68" s="49"/>
      <c r="I68" s="47"/>
      <c r="J68" s="229">
        <f>HLOOKUP(K$2,InflationTable,2)/HLOOKUP($D68,InflationTable,2)*$C68</f>
        <v>670.94876808760273</v>
      </c>
      <c r="K68" s="295">
        <f>J68*L$12</f>
        <v>311991.17716073524</v>
      </c>
      <c r="L68" s="256">
        <f>K68</f>
        <v>311991.17716073524</v>
      </c>
      <c r="M68" s="23">
        <f>HLOOKUP(N$2,InflationTable,2)/HLOOKUP($D68,InflationTable,2)*$C68</f>
        <v>697.78671881110677</v>
      </c>
      <c r="N68" s="84">
        <f>M68*O$12</f>
        <v>324470.82424716465</v>
      </c>
      <c r="O68" s="77">
        <f>N68</f>
        <v>324470.82424716465</v>
      </c>
      <c r="P68" s="229">
        <f>HLOOKUP(Q$2,InflationTable,2)/HLOOKUP($D68,InflationTable,2)*$C68</f>
        <v>711.74245318732892</v>
      </c>
      <c r="Q68" s="295">
        <f>P68*R$12</f>
        <v>330960.24073210795</v>
      </c>
      <c r="R68" s="256">
        <f>Q68</f>
        <v>330960.24073210795</v>
      </c>
      <c r="S68" s="298" t="s">
        <v>12</v>
      </c>
      <c r="T68" s="299">
        <f>AVERAGE(L68,O68,R68)</f>
        <v>322474.08071333595</v>
      </c>
      <c r="U68" s="425" t="s">
        <v>12</v>
      </c>
    </row>
    <row r="69" spans="1:21" ht="13" x14ac:dyDescent="0.3">
      <c r="A69" s="510"/>
      <c r="B69" s="378" t="s">
        <v>25</v>
      </c>
      <c r="C69" s="86" t="s">
        <v>45</v>
      </c>
      <c r="D69" s="86" t="s">
        <v>46</v>
      </c>
      <c r="E69" s="86" t="s">
        <v>47</v>
      </c>
      <c r="F69" s="86" t="s">
        <v>48</v>
      </c>
      <c r="G69" s="86" t="s">
        <v>49</v>
      </c>
      <c r="H69" s="86" t="s">
        <v>50</v>
      </c>
      <c r="I69" s="145" t="s">
        <v>74</v>
      </c>
      <c r="J69" s="292"/>
      <c r="K69" s="293"/>
      <c r="L69" s="296"/>
      <c r="M69" s="88"/>
      <c r="N69" s="86"/>
      <c r="O69" s="87"/>
      <c r="P69" s="292"/>
      <c r="Q69" s="293"/>
      <c r="R69" s="296"/>
      <c r="S69" s="109"/>
      <c r="T69" s="42"/>
      <c r="U69" s="182"/>
    </row>
    <row r="70" spans="1:21" x14ac:dyDescent="0.25">
      <c r="A70" s="510"/>
      <c r="B70" s="846" t="s">
        <v>303</v>
      </c>
      <c r="C70" s="18">
        <v>0</v>
      </c>
      <c r="D70" s="18">
        <v>85</v>
      </c>
      <c r="E70" s="18">
        <v>0</v>
      </c>
      <c r="F70" s="18">
        <v>0</v>
      </c>
      <c r="G70" s="18">
        <v>0</v>
      </c>
      <c r="H70" s="18">
        <v>0</v>
      </c>
      <c r="I70" s="45">
        <f t="shared" ref="I70:I77" si="10">SUM(C70:H70)</f>
        <v>85</v>
      </c>
      <c r="J70" s="825">
        <f>$I70*L$11</f>
        <v>27.674418604651166</v>
      </c>
      <c r="K70" s="231">
        <f>J70*L$8</f>
        <v>5950.0000000000009</v>
      </c>
      <c r="L70" s="239">
        <f t="shared" ref="L70:L77" si="11">K70</f>
        <v>5950.0000000000009</v>
      </c>
      <c r="M70" s="830">
        <f>$I70*O$11</f>
        <v>27.674418604651166</v>
      </c>
      <c r="N70" s="58">
        <f>M70*O$8</f>
        <v>5950.0000000000009</v>
      </c>
      <c r="O70" s="57">
        <f t="shared" ref="O70:O77" si="12">N70</f>
        <v>5950.0000000000009</v>
      </c>
      <c r="P70" s="825">
        <f>$I70*R$11</f>
        <v>27.674418604651166</v>
      </c>
      <c r="Q70" s="231">
        <f>P70*R$8</f>
        <v>5950.0000000000009</v>
      </c>
      <c r="R70" s="239">
        <f t="shared" ref="R70:R77" si="13">Q70</f>
        <v>5950.0000000000009</v>
      </c>
      <c r="S70" s="96">
        <f t="shared" ref="S70:S78" si="14">AVERAGE(L70,O70,R70)</f>
        <v>5950.0000000000009</v>
      </c>
      <c r="T70" s="94" t="s">
        <v>12</v>
      </c>
      <c r="U70" s="187" t="s">
        <v>12</v>
      </c>
    </row>
    <row r="71" spans="1:21" s="1" customFormat="1" ht="13.5" thickBot="1" x14ac:dyDescent="0.35">
      <c r="A71" s="511"/>
      <c r="B71" s="500" t="s">
        <v>8</v>
      </c>
      <c r="C71" s="175">
        <f>ROUND(C70*Labor!$D$3,0)</f>
        <v>0</v>
      </c>
      <c r="D71" s="175">
        <f>ROUND(D70*Labor!$D$4,0)</f>
        <v>2057</v>
      </c>
      <c r="E71" s="175">
        <f>ROUND(E70*Labor!$D$5,0)</f>
        <v>0</v>
      </c>
      <c r="F71" s="175">
        <f>ROUND(F70*Labor!$D$6,0)</f>
        <v>0</v>
      </c>
      <c r="G71" s="175">
        <f>ROUND(G70*Labor!$D$7,0)</f>
        <v>0</v>
      </c>
      <c r="H71" s="175">
        <f>ROUND(H70*Labor!$D$8,0)</f>
        <v>0</v>
      </c>
      <c r="I71" s="167">
        <f t="shared" si="10"/>
        <v>2057</v>
      </c>
      <c r="J71" s="284">
        <f>HLOOKUP(K$2,InflationTable,2)/HLOOKUP(Labor!$B$11,InflationTable,2)*$I71</f>
        <v>4400.4141176470584</v>
      </c>
      <c r="K71" s="245">
        <f>J71*$L$8</f>
        <v>946089.03529411752</v>
      </c>
      <c r="L71" s="246">
        <f t="shared" si="11"/>
        <v>946089.03529411752</v>
      </c>
      <c r="M71" s="169">
        <f>HLOOKUP(N$2,InflationTable,2)/HLOOKUP(Labor!$B$11,InflationTable,2)*$I71</f>
        <v>4576.4306823529414</v>
      </c>
      <c r="N71" s="166">
        <f>M71*$L$8</f>
        <v>983932.59670588234</v>
      </c>
      <c r="O71" s="167">
        <f t="shared" si="12"/>
        <v>983932.59670588234</v>
      </c>
      <c r="P71" s="284">
        <f>HLOOKUP(Q$2,InflationTable,2)/HLOOKUP(Labor!$B$11,InflationTable,2)*$I71</f>
        <v>4667.9592959999991</v>
      </c>
      <c r="Q71" s="245">
        <f>P71*$L$8</f>
        <v>1003611.2486399998</v>
      </c>
      <c r="R71" s="246">
        <f t="shared" si="13"/>
        <v>1003611.2486399998</v>
      </c>
      <c r="S71" s="169">
        <f t="shared" si="14"/>
        <v>977877.62687999988</v>
      </c>
      <c r="T71" s="834" t="s">
        <v>12</v>
      </c>
      <c r="U71" s="860" t="s">
        <v>12</v>
      </c>
    </row>
    <row r="72" spans="1:21" x14ac:dyDescent="0.25">
      <c r="A72" s="510"/>
      <c r="B72" s="845" t="s">
        <v>297</v>
      </c>
      <c r="C72" s="826">
        <v>0</v>
      </c>
      <c r="D72" s="826">
        <v>0</v>
      </c>
      <c r="E72" s="826">
        <v>6</v>
      </c>
      <c r="F72" s="826">
        <v>1</v>
      </c>
      <c r="G72" s="832">
        <v>0.5</v>
      </c>
      <c r="H72" s="826">
        <v>0</v>
      </c>
      <c r="I72" s="827">
        <f t="shared" si="10"/>
        <v>7.5</v>
      </c>
      <c r="J72" s="213">
        <f>$I72</f>
        <v>7.5</v>
      </c>
      <c r="K72" s="231">
        <f>$I72*L$12</f>
        <v>3487.5</v>
      </c>
      <c r="L72" s="239">
        <f t="shared" si="11"/>
        <v>3487.5</v>
      </c>
      <c r="M72" s="51">
        <f>$I72</f>
        <v>7.5</v>
      </c>
      <c r="N72" s="58">
        <f>$I72*O$12</f>
        <v>3487.5</v>
      </c>
      <c r="O72" s="57">
        <f t="shared" si="12"/>
        <v>3487.5</v>
      </c>
      <c r="P72" s="213">
        <f>$I72</f>
        <v>7.5</v>
      </c>
      <c r="Q72" s="231">
        <f>$I72*R$12</f>
        <v>3487.5</v>
      </c>
      <c r="R72" s="239">
        <f t="shared" si="13"/>
        <v>3487.5</v>
      </c>
      <c r="S72" s="96">
        <f t="shared" si="14"/>
        <v>3487.5</v>
      </c>
      <c r="T72" s="94" t="s">
        <v>12</v>
      </c>
      <c r="U72" s="187" t="s">
        <v>12</v>
      </c>
    </row>
    <row r="73" spans="1:21" s="1" customFormat="1" ht="13.5" thickBot="1" x14ac:dyDescent="0.35">
      <c r="A73" s="511"/>
      <c r="B73" s="500" t="s">
        <v>8</v>
      </c>
      <c r="C73" s="175">
        <f>ROUND(C72*Labor!$D$3,0)</f>
        <v>0</v>
      </c>
      <c r="D73" s="175">
        <f>ROUND(D72*Labor!$D$4,0)</f>
        <v>0</v>
      </c>
      <c r="E73" s="175">
        <f>ROUND(E72*Labor!$D$5,0)</f>
        <v>151</v>
      </c>
      <c r="F73" s="175">
        <f>ROUND(F72*Labor!$D$6,0)</f>
        <v>28</v>
      </c>
      <c r="G73" s="175">
        <f>ROUND(G72*Labor!$D$7,0)</f>
        <v>16</v>
      </c>
      <c r="H73" s="175">
        <f>ROUND(H72*Labor!$D$8,0)</f>
        <v>0</v>
      </c>
      <c r="I73" s="167">
        <f t="shared" si="10"/>
        <v>195</v>
      </c>
      <c r="J73" s="284">
        <f>HLOOKUP(K$2,InflationTable,2)/HLOOKUP(Labor!$B$11,InflationTable,2)*$I73</f>
        <v>417.15155709342559</v>
      </c>
      <c r="K73" s="245">
        <f>J73*L$12</f>
        <v>193975.47404844291</v>
      </c>
      <c r="L73" s="246">
        <f t="shared" si="11"/>
        <v>193975.47404844291</v>
      </c>
      <c r="M73" s="169">
        <f>HLOOKUP(N$2,InflationTable,2)/HLOOKUP(Labor!$B$11,InflationTable,2)*$I73</f>
        <v>433.83761937716264</v>
      </c>
      <c r="N73" s="166">
        <f>M73*O$12</f>
        <v>201734.49301038063</v>
      </c>
      <c r="O73" s="167">
        <f t="shared" si="12"/>
        <v>201734.49301038063</v>
      </c>
      <c r="P73" s="284">
        <f>HLOOKUP(Q$2,InflationTable,2)/HLOOKUP(Labor!$B$11,InflationTable,2)*$I73</f>
        <v>442.51437176470586</v>
      </c>
      <c r="Q73" s="245">
        <f>P73*R$12</f>
        <v>205769.18287058824</v>
      </c>
      <c r="R73" s="246">
        <f t="shared" si="13"/>
        <v>205769.18287058824</v>
      </c>
      <c r="S73" s="169">
        <f t="shared" si="14"/>
        <v>200493.04997647062</v>
      </c>
      <c r="T73" s="174" t="s">
        <v>12</v>
      </c>
      <c r="U73" s="183" t="s">
        <v>12</v>
      </c>
    </row>
    <row r="74" spans="1:21" ht="13" x14ac:dyDescent="0.3">
      <c r="A74" s="510"/>
      <c r="B74" s="888" t="s">
        <v>302</v>
      </c>
      <c r="C74" s="290">
        <v>0</v>
      </c>
      <c r="D74" s="290">
        <v>0</v>
      </c>
      <c r="E74" s="290">
        <v>50</v>
      </c>
      <c r="F74" s="290">
        <v>25</v>
      </c>
      <c r="G74" s="290">
        <v>0</v>
      </c>
      <c r="H74" s="290">
        <v>0</v>
      </c>
      <c r="I74" s="291">
        <f t="shared" si="10"/>
        <v>75</v>
      </c>
      <c r="J74" s="828">
        <f>$I74*L$11</f>
        <v>24.418604651162791</v>
      </c>
      <c r="K74" s="273">
        <f>J74*L$8</f>
        <v>5250</v>
      </c>
      <c r="L74" s="274">
        <f t="shared" si="11"/>
        <v>5250</v>
      </c>
      <c r="M74" s="829">
        <f>$I74*O$11</f>
        <v>24.418604651162791</v>
      </c>
      <c r="N74" s="147">
        <f>M74*O$8</f>
        <v>5250</v>
      </c>
      <c r="O74" s="148">
        <f t="shared" si="12"/>
        <v>5250</v>
      </c>
      <c r="P74" s="828">
        <f>$I74*R$11</f>
        <v>24.418604651162791</v>
      </c>
      <c r="Q74" s="273">
        <f>P74*R$8</f>
        <v>5250</v>
      </c>
      <c r="R74" s="274">
        <f t="shared" si="13"/>
        <v>5250</v>
      </c>
      <c r="S74" s="104">
        <f t="shared" si="14"/>
        <v>5250</v>
      </c>
      <c r="T74" s="94" t="s">
        <v>12</v>
      </c>
      <c r="U74" s="187" t="s">
        <v>12</v>
      </c>
    </row>
    <row r="75" spans="1:21" s="833" customFormat="1" ht="13.5" thickBot="1" x14ac:dyDescent="0.35">
      <c r="A75" s="890"/>
      <c r="B75" s="889" t="s">
        <v>8</v>
      </c>
      <c r="C75" s="175">
        <f>ROUND(C74*Labor!$D$3,0)</f>
        <v>0</v>
      </c>
      <c r="D75" s="175">
        <f>ROUND(D74*Labor!$D$4,0)</f>
        <v>0</v>
      </c>
      <c r="E75" s="175">
        <f>ROUND(E74*Labor!$D$5,0)</f>
        <v>1261</v>
      </c>
      <c r="F75" s="175">
        <f>ROUND(F74*Labor!$D$6,0)</f>
        <v>689</v>
      </c>
      <c r="G75" s="175">
        <f>ROUND(G74*Labor!$D$7,0)</f>
        <v>0</v>
      </c>
      <c r="H75" s="175">
        <f>ROUND(H74*Labor!$D$8,0)</f>
        <v>0</v>
      </c>
      <c r="I75" s="167">
        <f t="shared" si="10"/>
        <v>1950</v>
      </c>
      <c r="J75" s="284">
        <f>HLOOKUP(K$2,InflationTable,2)/HLOOKUP(Labor!$B$11,InflationTable,2)*$I75</f>
        <v>4171.5155709342553</v>
      </c>
      <c r="K75" s="245">
        <f>J75*$L$8</f>
        <v>896875.84775086492</v>
      </c>
      <c r="L75" s="246">
        <f t="shared" si="11"/>
        <v>896875.84775086492</v>
      </c>
      <c r="M75" s="169">
        <f>HLOOKUP(N$2,InflationTable,2)/HLOOKUP(Labor!$B$11,InflationTable,2)*$I75</f>
        <v>4338.3761937716263</v>
      </c>
      <c r="N75" s="166">
        <f>M75*$L$8</f>
        <v>932750.88166089961</v>
      </c>
      <c r="O75" s="167">
        <f t="shared" si="12"/>
        <v>932750.88166089961</v>
      </c>
      <c r="P75" s="284">
        <f>HLOOKUP(Q$2,InflationTable,2)/HLOOKUP(Labor!$B$11,InflationTable,2)*$I75</f>
        <v>4425.1437176470581</v>
      </c>
      <c r="Q75" s="245">
        <f>P75*$L$8</f>
        <v>951405.89929411747</v>
      </c>
      <c r="R75" s="246">
        <f t="shared" si="13"/>
        <v>951405.89929411747</v>
      </c>
      <c r="S75" s="169">
        <f t="shared" si="14"/>
        <v>927010.87623529404</v>
      </c>
      <c r="T75" s="834" t="s">
        <v>12</v>
      </c>
      <c r="U75" s="860" t="s">
        <v>12</v>
      </c>
    </row>
    <row r="76" spans="1:21" x14ac:dyDescent="0.25">
      <c r="A76" s="510"/>
      <c r="B76" s="845" t="s">
        <v>297</v>
      </c>
      <c r="C76" s="826">
        <v>0</v>
      </c>
      <c r="D76" s="826">
        <v>5</v>
      </c>
      <c r="E76" s="826">
        <v>5</v>
      </c>
      <c r="F76" s="826">
        <v>4</v>
      </c>
      <c r="G76" s="826">
        <v>0</v>
      </c>
      <c r="H76" s="826">
        <v>0</v>
      </c>
      <c r="I76" s="827">
        <f t="shared" si="10"/>
        <v>14</v>
      </c>
      <c r="J76" s="213">
        <f>$I76</f>
        <v>14</v>
      </c>
      <c r="K76" s="231">
        <f>$I76*L$12</f>
        <v>6510</v>
      </c>
      <c r="L76" s="239">
        <f t="shared" si="11"/>
        <v>6510</v>
      </c>
      <c r="M76" s="51">
        <f>$I76</f>
        <v>14</v>
      </c>
      <c r="N76" s="58">
        <f>$I76*O$12</f>
        <v>6510</v>
      </c>
      <c r="O76" s="57">
        <f t="shared" si="12"/>
        <v>6510</v>
      </c>
      <c r="P76" s="213">
        <f>$I76</f>
        <v>14</v>
      </c>
      <c r="Q76" s="231">
        <f>$I76*R$12</f>
        <v>6510</v>
      </c>
      <c r="R76" s="239">
        <f t="shared" si="13"/>
        <v>6510</v>
      </c>
      <c r="S76" s="96">
        <f t="shared" si="14"/>
        <v>6510</v>
      </c>
      <c r="T76" s="94" t="s">
        <v>12</v>
      </c>
      <c r="U76" s="187" t="s">
        <v>12</v>
      </c>
    </row>
    <row r="77" spans="1:21" s="1" customFormat="1" ht="13.5" thickBot="1" x14ac:dyDescent="0.35">
      <c r="A77" s="511"/>
      <c r="B77" s="500" t="s">
        <v>8</v>
      </c>
      <c r="C77" s="175">
        <f>ROUND(C76*Labor!$D$3,0)</f>
        <v>0</v>
      </c>
      <c r="D77" s="175">
        <f>ROUND(D76*Labor!$D$4,0)</f>
        <v>121</v>
      </c>
      <c r="E77" s="175">
        <f>ROUND(E76*Labor!$D$5,0)</f>
        <v>126</v>
      </c>
      <c r="F77" s="175">
        <f>ROUND(F76*Labor!$D$6,0)</f>
        <v>110</v>
      </c>
      <c r="G77" s="175">
        <f>ROUND(G76*Labor!$D$7,0)</f>
        <v>0</v>
      </c>
      <c r="H77" s="175">
        <f>ROUND(H76*Labor!$D$8,0)</f>
        <v>0</v>
      </c>
      <c r="I77" s="167">
        <f t="shared" si="10"/>
        <v>357</v>
      </c>
      <c r="J77" s="284">
        <f>HLOOKUP(K$2,InflationTable,2)/HLOOKUP(Labor!$B$11,InflationTable,2)*$I77</f>
        <v>763.70823529411757</v>
      </c>
      <c r="K77" s="245">
        <f>J77*L$12</f>
        <v>355124.32941176469</v>
      </c>
      <c r="L77" s="246">
        <f t="shared" si="11"/>
        <v>355124.32941176469</v>
      </c>
      <c r="M77" s="169">
        <f>HLOOKUP(N$2,InflationTable,2)/HLOOKUP(Labor!$B$11,InflationTable,2)*$I77</f>
        <v>794.2565647058824</v>
      </c>
      <c r="N77" s="166">
        <f>M77*O$12</f>
        <v>369329.3025882353</v>
      </c>
      <c r="O77" s="167">
        <f t="shared" si="12"/>
        <v>369329.3025882353</v>
      </c>
      <c r="P77" s="284">
        <f>HLOOKUP(Q$2,InflationTable,2)/HLOOKUP(Labor!$B$11,InflationTable,2)*$I77</f>
        <v>810.14169599999991</v>
      </c>
      <c r="Q77" s="245">
        <f>P77*R$12</f>
        <v>376715.88863999996</v>
      </c>
      <c r="R77" s="246">
        <f t="shared" si="13"/>
        <v>376715.88863999996</v>
      </c>
      <c r="S77" s="169">
        <f t="shared" si="14"/>
        <v>367056.50688</v>
      </c>
      <c r="T77" s="174" t="s">
        <v>12</v>
      </c>
      <c r="U77" s="183" t="s">
        <v>12</v>
      </c>
    </row>
    <row r="78" spans="1:21" ht="13" x14ac:dyDescent="0.3">
      <c r="A78" s="510"/>
      <c r="B78" s="501" t="s">
        <v>66</v>
      </c>
      <c r="C78" s="30">
        <f t="shared" ref="C78:I78" si="15">C70+C74</f>
        <v>0</v>
      </c>
      <c r="D78" s="30">
        <f t="shared" si="15"/>
        <v>85</v>
      </c>
      <c r="E78" s="30">
        <f t="shared" si="15"/>
        <v>50</v>
      </c>
      <c r="F78" s="30">
        <f t="shared" si="15"/>
        <v>25</v>
      </c>
      <c r="G78" s="30">
        <f t="shared" si="15"/>
        <v>0</v>
      </c>
      <c r="H78" s="30">
        <f t="shared" si="15"/>
        <v>0</v>
      </c>
      <c r="I78" s="39">
        <f t="shared" si="15"/>
        <v>160</v>
      </c>
      <c r="J78" s="249" t="s">
        <v>12</v>
      </c>
      <c r="K78" s="257">
        <f>K70+K74</f>
        <v>11200</v>
      </c>
      <c r="L78" s="258">
        <f>L70+L74</f>
        <v>11200</v>
      </c>
      <c r="M78" s="70" t="s">
        <v>12</v>
      </c>
      <c r="N78" s="71">
        <f>N70+N74</f>
        <v>11200</v>
      </c>
      <c r="O78" s="79">
        <f>O70+O74</f>
        <v>11200</v>
      </c>
      <c r="P78" s="249" t="s">
        <v>12</v>
      </c>
      <c r="Q78" s="257">
        <f>Q70+Q74</f>
        <v>11200</v>
      </c>
      <c r="R78" s="258">
        <f>R70+R74</f>
        <v>11200</v>
      </c>
      <c r="S78" s="96">
        <f t="shared" si="14"/>
        <v>11200</v>
      </c>
      <c r="T78" s="42" t="s">
        <v>12</v>
      </c>
      <c r="U78" s="419" t="s">
        <v>12</v>
      </c>
    </row>
    <row r="79" spans="1:21" ht="13.5" thickBot="1" x14ac:dyDescent="0.35">
      <c r="A79" s="510"/>
      <c r="B79" s="502" t="s">
        <v>67</v>
      </c>
      <c r="C79" s="194">
        <f t="shared" ref="C79:H79" si="16">C71+C75</f>
        <v>0</v>
      </c>
      <c r="D79" s="194">
        <f t="shared" si="16"/>
        <v>2057</v>
      </c>
      <c r="E79" s="194">
        <f t="shared" si="16"/>
        <v>1261</v>
      </c>
      <c r="F79" s="194">
        <f t="shared" si="16"/>
        <v>689</v>
      </c>
      <c r="G79" s="194">
        <f t="shared" si="16"/>
        <v>0</v>
      </c>
      <c r="H79" s="194">
        <f t="shared" si="16"/>
        <v>0</v>
      </c>
      <c r="I79" s="178">
        <f>I75+I71+C67</f>
        <v>4957</v>
      </c>
      <c r="J79" s="259">
        <f t="shared" ref="J79:R79" si="17">J75+J71+J67</f>
        <v>9720.4005528754078</v>
      </c>
      <c r="K79" s="253">
        <f t="shared" si="17"/>
        <v>2089886.1188682127</v>
      </c>
      <c r="L79" s="254">
        <f t="shared" si="17"/>
        <v>2089886.1188682127</v>
      </c>
      <c r="M79" s="176">
        <f t="shared" si="17"/>
        <v>10109.216574990425</v>
      </c>
      <c r="N79" s="177">
        <f t="shared" si="17"/>
        <v>2173481.5636229417</v>
      </c>
      <c r="O79" s="178">
        <f t="shared" si="17"/>
        <v>2173481.5636229417</v>
      </c>
      <c r="P79" s="259">
        <f t="shared" si="17"/>
        <v>10311.400906490233</v>
      </c>
      <c r="Q79" s="253">
        <f t="shared" si="17"/>
        <v>2216951.1948954002</v>
      </c>
      <c r="R79" s="254">
        <f t="shared" si="17"/>
        <v>2216951.1948954002</v>
      </c>
      <c r="S79" s="206">
        <f>S75+S71</f>
        <v>1904888.503115294</v>
      </c>
      <c r="T79" s="205">
        <f>SUM(T67:T68)</f>
        <v>577691.87006022688</v>
      </c>
      <c r="U79" s="186" t="s">
        <v>12</v>
      </c>
    </row>
    <row r="80" spans="1:21" ht="13" thickTop="1" x14ac:dyDescent="0.25">
      <c r="C80" s="849"/>
      <c r="D80" s="849"/>
      <c r="E80" s="849"/>
      <c r="F80" s="849"/>
      <c r="G80" s="849"/>
      <c r="H80" s="849"/>
      <c r="I80" s="849"/>
      <c r="J80" s="849"/>
      <c r="K80" s="849"/>
      <c r="L80" s="849"/>
      <c r="M80" s="849"/>
      <c r="N80" s="849"/>
      <c r="O80" s="849"/>
      <c r="P80" s="849"/>
      <c r="U80" s="849"/>
    </row>
    <row r="81" spans="1:21" ht="13" thickBot="1" x14ac:dyDescent="0.3">
      <c r="C81" s="335"/>
      <c r="D81" s="335"/>
      <c r="E81" s="335"/>
      <c r="F81" s="335"/>
      <c r="G81" s="335"/>
      <c r="H81" s="335"/>
      <c r="I81" s="335"/>
      <c r="J81" s="335"/>
      <c r="K81" s="335"/>
      <c r="L81" s="335"/>
      <c r="M81" s="335"/>
      <c r="N81" s="335"/>
      <c r="O81" s="335"/>
      <c r="P81" s="335"/>
      <c r="Q81" s="335"/>
      <c r="R81" s="335"/>
      <c r="S81" s="335"/>
      <c r="T81" s="335"/>
      <c r="U81" s="335"/>
    </row>
    <row r="82" spans="1:21" ht="16" thickTop="1" x14ac:dyDescent="0.35">
      <c r="A82" s="510"/>
      <c r="B82" s="508" t="s">
        <v>26</v>
      </c>
      <c r="F82" s="1" t="s">
        <v>6</v>
      </c>
      <c r="G82" s="1160"/>
      <c r="H82" s="1161"/>
      <c r="I82" s="1162"/>
      <c r="J82" s="2" t="s">
        <v>26</v>
      </c>
      <c r="L82" s="31"/>
      <c r="M82" s="199" t="s">
        <v>26</v>
      </c>
      <c r="P82" s="199" t="s">
        <v>26</v>
      </c>
      <c r="R82" s="31"/>
      <c r="S82" s="97"/>
      <c r="T82" s="31"/>
      <c r="U82" s="182"/>
    </row>
    <row r="83" spans="1:21" ht="13" x14ac:dyDescent="0.3">
      <c r="A83" s="510"/>
      <c r="I83" s="32" t="s">
        <v>61</v>
      </c>
      <c r="J83" s="227" t="s">
        <v>61</v>
      </c>
      <c r="K83" s="1167" t="s">
        <v>57</v>
      </c>
      <c r="L83" s="1168"/>
      <c r="M83" s="50" t="s">
        <v>61</v>
      </c>
      <c r="N83" s="1177" t="s">
        <v>57</v>
      </c>
      <c r="O83" s="1178"/>
      <c r="P83" s="227" t="s">
        <v>61</v>
      </c>
      <c r="Q83" s="1167" t="s">
        <v>57</v>
      </c>
      <c r="R83" s="1168"/>
      <c r="S83" s="106"/>
      <c r="T83" s="31"/>
      <c r="U83" s="182"/>
    </row>
    <row r="84" spans="1:21" ht="13" x14ac:dyDescent="0.3">
      <c r="A84" s="510"/>
      <c r="B84" s="506" t="s">
        <v>27</v>
      </c>
      <c r="C84" s="20" t="s">
        <v>45</v>
      </c>
      <c r="D84" s="20" t="s">
        <v>46</v>
      </c>
      <c r="E84" s="20" t="s">
        <v>47</v>
      </c>
      <c r="F84" s="20" t="s">
        <v>48</v>
      </c>
      <c r="G84" s="20" t="s">
        <v>49</v>
      </c>
      <c r="H84" s="20" t="s">
        <v>50</v>
      </c>
      <c r="I84" s="32" t="s">
        <v>13</v>
      </c>
      <c r="J84" s="210" t="s">
        <v>56</v>
      </c>
      <c r="K84" s="211" t="s">
        <v>13</v>
      </c>
      <c r="L84" s="212" t="s">
        <v>68</v>
      </c>
      <c r="M84" s="66" t="s">
        <v>56</v>
      </c>
      <c r="N84" s="20" t="s">
        <v>13</v>
      </c>
      <c r="O84" s="32" t="s">
        <v>68</v>
      </c>
      <c r="P84" s="210" t="s">
        <v>56</v>
      </c>
      <c r="Q84" s="211" t="s">
        <v>13</v>
      </c>
      <c r="R84" s="212" t="s">
        <v>68</v>
      </c>
      <c r="S84" s="98"/>
      <c r="T84" s="31"/>
      <c r="U84" s="423"/>
    </row>
    <row r="85" spans="1:21" x14ac:dyDescent="0.25">
      <c r="A85" s="510"/>
      <c r="B85" s="846" t="s">
        <v>298</v>
      </c>
      <c r="C85" s="826">
        <v>0</v>
      </c>
      <c r="D85" s="826">
        <v>0</v>
      </c>
      <c r="E85" s="826">
        <v>96</v>
      </c>
      <c r="F85" s="826">
        <v>0</v>
      </c>
      <c r="G85" s="826">
        <v>0</v>
      </c>
      <c r="H85" s="826">
        <v>0</v>
      </c>
      <c r="I85" s="45">
        <f t="shared" ref="I85:I98" si="18">SUM(C85:H85)</f>
        <v>96</v>
      </c>
      <c r="J85" s="825">
        <f>$I85*L$11</f>
        <v>31.255813953488374</v>
      </c>
      <c r="K85" s="231">
        <f>J85*L$9</f>
        <v>11314.604651162792</v>
      </c>
      <c r="L85" s="239">
        <f t="shared" ref="L85:L104" si="19">K85</f>
        <v>11314.604651162792</v>
      </c>
      <c r="M85" s="830">
        <f>$I85*O$11</f>
        <v>31.255813953488374</v>
      </c>
      <c r="N85" s="58">
        <f>$I$85*$O$8</f>
        <v>20640</v>
      </c>
      <c r="O85" s="57">
        <f t="shared" ref="O85:O104" si="20">N85</f>
        <v>20640</v>
      </c>
      <c r="P85" s="825">
        <f>$I85*R$11</f>
        <v>31.255813953488374</v>
      </c>
      <c r="Q85" s="231">
        <f>$I$85*$R$8</f>
        <v>20640</v>
      </c>
      <c r="R85" s="239">
        <f t="shared" ref="R85:R104" si="21">Q85</f>
        <v>20640</v>
      </c>
      <c r="S85" s="96">
        <f t="shared" ref="S85:S106" si="22">AVERAGE(L85,O85,R85)</f>
        <v>17531.534883720931</v>
      </c>
      <c r="T85" s="94" t="s">
        <v>12</v>
      </c>
      <c r="U85" s="187" t="s">
        <v>12</v>
      </c>
    </row>
    <row r="86" spans="1:21" s="1" customFormat="1" ht="13.5" thickBot="1" x14ac:dyDescent="0.35">
      <c r="A86" s="511"/>
      <c r="B86" s="500" t="s">
        <v>8</v>
      </c>
      <c r="C86" s="175">
        <f>ROUND(C85*Labor!$D$3,0)</f>
        <v>0</v>
      </c>
      <c r="D86" s="175">
        <f>ROUND(D85*Labor!$D$4,0)</f>
        <v>0</v>
      </c>
      <c r="E86" s="175">
        <f>ROUND(E85*Labor!$D$5,0)</f>
        <v>2421</v>
      </c>
      <c r="F86" s="175">
        <f>ROUND(F85*Labor!$D$6,0)</f>
        <v>0</v>
      </c>
      <c r="G86" s="175">
        <f>ROUND(G85*Labor!$D$7,0)</f>
        <v>0</v>
      </c>
      <c r="H86" s="175">
        <f>ROUND(H85*Labor!$D$8,0)</f>
        <v>0</v>
      </c>
      <c r="I86" s="167">
        <f t="shared" si="18"/>
        <v>2421</v>
      </c>
      <c r="J86" s="284">
        <f>HLOOKUP(K$2,InflationTable,2)/HLOOKUP(Labor!$B$11,InflationTable,2)*$I86</f>
        <v>5179.0970242214526</v>
      </c>
      <c r="K86" s="245">
        <f>J86*$L$9</f>
        <v>1874833.1227681658</v>
      </c>
      <c r="L86" s="246">
        <f t="shared" si="19"/>
        <v>1874833.1227681658</v>
      </c>
      <c r="M86" s="169">
        <f>HLOOKUP(N$2,InflationTable,2)/HLOOKUP(Labor!$B$11,InflationTable,2)*$I86</f>
        <v>5386.2609051903119</v>
      </c>
      <c r="N86" s="166">
        <f>M86*$L$8</f>
        <v>1158046.094615917</v>
      </c>
      <c r="O86" s="167">
        <f t="shared" si="20"/>
        <v>1158046.094615917</v>
      </c>
      <c r="P86" s="284">
        <f>HLOOKUP(Q$2,InflationTable,2)/HLOOKUP(Labor!$B$11,InflationTable,2)*$I86</f>
        <v>5493.9861232941166</v>
      </c>
      <c r="Q86" s="245">
        <f>P86*$R$8</f>
        <v>1181207.0165082351</v>
      </c>
      <c r="R86" s="246">
        <f t="shared" si="21"/>
        <v>1181207.0165082351</v>
      </c>
      <c r="S86" s="169">
        <f t="shared" si="22"/>
        <v>1404695.4112974394</v>
      </c>
      <c r="T86" s="174" t="s">
        <v>12</v>
      </c>
      <c r="U86" s="183" t="s">
        <v>12</v>
      </c>
    </row>
    <row r="87" spans="1:21" x14ac:dyDescent="0.25">
      <c r="A87" s="510"/>
      <c r="B87" s="509" t="s">
        <v>297</v>
      </c>
      <c r="C87" s="826">
        <v>0</v>
      </c>
      <c r="D87" s="826">
        <v>0</v>
      </c>
      <c r="E87" s="826">
        <v>6</v>
      </c>
      <c r="F87" s="826">
        <v>6</v>
      </c>
      <c r="G87" s="826">
        <v>0</v>
      </c>
      <c r="H87" s="826">
        <v>0</v>
      </c>
      <c r="I87" s="827">
        <f>SUM(C87:H87)</f>
        <v>12</v>
      </c>
      <c r="J87" s="213">
        <f>$I87</f>
        <v>12</v>
      </c>
      <c r="K87" s="231">
        <f>$I87*L$12</f>
        <v>5580</v>
      </c>
      <c r="L87" s="239">
        <f t="shared" si="19"/>
        <v>5580</v>
      </c>
      <c r="M87" s="51">
        <f>$I87</f>
        <v>12</v>
      </c>
      <c r="N87" s="58">
        <f>$I87*O$12</f>
        <v>5580</v>
      </c>
      <c r="O87" s="57">
        <f t="shared" si="20"/>
        <v>5580</v>
      </c>
      <c r="P87" s="213">
        <f>$I87</f>
        <v>12</v>
      </c>
      <c r="Q87" s="231">
        <f>$I87*R$12</f>
        <v>5580</v>
      </c>
      <c r="R87" s="239">
        <f t="shared" si="21"/>
        <v>5580</v>
      </c>
      <c r="S87" s="96">
        <f>AVERAGE(L87,O87,R87)</f>
        <v>5580</v>
      </c>
      <c r="T87" s="94" t="s">
        <v>12</v>
      </c>
      <c r="U87" s="187" t="s">
        <v>12</v>
      </c>
    </row>
    <row r="88" spans="1:21" s="1" customFormat="1" ht="13.5" thickBot="1" x14ac:dyDescent="0.35">
      <c r="A88" s="511"/>
      <c r="B88" s="500" t="s">
        <v>8</v>
      </c>
      <c r="C88" s="175">
        <f>ROUND(C87*Labor!$D$3,0)</f>
        <v>0</v>
      </c>
      <c r="D88" s="175">
        <f>ROUND(D87*Labor!$D$4,0)</f>
        <v>0</v>
      </c>
      <c r="E88" s="175">
        <f>ROUND(E87*Labor!$D$5,0)</f>
        <v>151</v>
      </c>
      <c r="F88" s="175">
        <f>ROUND(F87*Labor!$D$6,0)</f>
        <v>165</v>
      </c>
      <c r="G88" s="175">
        <f>ROUND(G87*Labor!$D$7,0)</f>
        <v>0</v>
      </c>
      <c r="H88" s="175">
        <f>ROUND(H87*Labor!$D$8,0)</f>
        <v>0</v>
      </c>
      <c r="I88" s="167">
        <f>SUM(C88:H88)</f>
        <v>316</v>
      </c>
      <c r="J88" s="284">
        <f>HLOOKUP(K$2,InflationTable,2)/HLOOKUP(Labor!$B$11,InflationTable,2)*$I88</f>
        <v>675.99944636678197</v>
      </c>
      <c r="K88" s="245">
        <f>J88*L$12</f>
        <v>314339.7425605536</v>
      </c>
      <c r="L88" s="246">
        <f t="shared" si="19"/>
        <v>314339.7425605536</v>
      </c>
      <c r="M88" s="169">
        <f>HLOOKUP(N$2,InflationTable,2)/HLOOKUP(Labor!$B$11,InflationTable,2)*$I88</f>
        <v>703.03942422145337</v>
      </c>
      <c r="N88" s="166">
        <f>M88*O$12</f>
        <v>326913.3322629758</v>
      </c>
      <c r="O88" s="167">
        <f t="shared" si="20"/>
        <v>326913.3322629758</v>
      </c>
      <c r="P88" s="284">
        <f>HLOOKUP(Q$2,InflationTable,2)/HLOOKUP(Labor!$B$11,InflationTable,2)*$I88</f>
        <v>717.10021270588231</v>
      </c>
      <c r="Q88" s="245">
        <f>P88*R$12</f>
        <v>333451.59890823526</v>
      </c>
      <c r="R88" s="246">
        <f t="shared" si="21"/>
        <v>333451.59890823526</v>
      </c>
      <c r="S88" s="169">
        <f>AVERAGE(L88,O88,R88)</f>
        <v>324901.55791058828</v>
      </c>
      <c r="T88" s="174" t="s">
        <v>12</v>
      </c>
      <c r="U88" s="183" t="s">
        <v>12</v>
      </c>
    </row>
    <row r="89" spans="1:21" ht="13" x14ac:dyDescent="0.3">
      <c r="A89" s="510"/>
      <c r="B89" s="886" t="s">
        <v>300</v>
      </c>
      <c r="C89" s="290">
        <v>0</v>
      </c>
      <c r="D89" s="290">
        <v>0</v>
      </c>
      <c r="E89" s="290">
        <v>0</v>
      </c>
      <c r="F89" s="290">
        <v>38</v>
      </c>
      <c r="G89" s="290">
        <v>0</v>
      </c>
      <c r="H89" s="290">
        <v>0</v>
      </c>
      <c r="I89" s="291">
        <f t="shared" si="18"/>
        <v>38</v>
      </c>
      <c r="J89" s="828">
        <f>$I89*L$11</f>
        <v>12.372093023255815</v>
      </c>
      <c r="K89" s="273">
        <f>J89*L$8</f>
        <v>2660</v>
      </c>
      <c r="L89" s="274">
        <f t="shared" si="19"/>
        <v>2660</v>
      </c>
      <c r="M89" s="829">
        <f>$I89*O$11</f>
        <v>12.372093023255815</v>
      </c>
      <c r="N89" s="147">
        <f>M89*O$8</f>
        <v>2660</v>
      </c>
      <c r="O89" s="148">
        <f t="shared" si="20"/>
        <v>2660</v>
      </c>
      <c r="P89" s="828">
        <f>$I89*R$11</f>
        <v>12.372093023255815</v>
      </c>
      <c r="Q89" s="273">
        <f>P89*R$8</f>
        <v>2660</v>
      </c>
      <c r="R89" s="274">
        <f t="shared" si="21"/>
        <v>2660</v>
      </c>
      <c r="S89" s="104">
        <f t="shared" si="22"/>
        <v>2660</v>
      </c>
      <c r="T89" s="42" t="s">
        <v>12</v>
      </c>
      <c r="U89" s="185" t="s">
        <v>12</v>
      </c>
    </row>
    <row r="90" spans="1:21" s="1" customFormat="1" ht="13.5" thickBot="1" x14ac:dyDescent="0.35">
      <c r="A90" s="511"/>
      <c r="B90" s="500" t="s">
        <v>8</v>
      </c>
      <c r="C90" s="175">
        <f>ROUND(C89*Labor!$D$3,0)</f>
        <v>0</v>
      </c>
      <c r="D90" s="175">
        <f>ROUND(D89*Labor!$D$4,0)</f>
        <v>0</v>
      </c>
      <c r="E90" s="175">
        <f>ROUND(E89*Labor!$D$5,0)</f>
        <v>0</v>
      </c>
      <c r="F90" s="175">
        <f>ROUND(F89*Labor!$D$6,0)</f>
        <v>1048</v>
      </c>
      <c r="G90" s="175">
        <f>ROUND(G89*Labor!$D$7,0)</f>
        <v>0</v>
      </c>
      <c r="H90" s="175">
        <f>ROUND(H89*Labor!$D$8,0)</f>
        <v>0</v>
      </c>
      <c r="I90" s="167">
        <f t="shared" si="18"/>
        <v>1048</v>
      </c>
      <c r="J90" s="284">
        <f>HLOOKUP(K$2,InflationTable,2)/HLOOKUP(Labor!$B$11,InflationTable,2)*$I90</f>
        <v>2241.9222145328717</v>
      </c>
      <c r="K90" s="245">
        <f>J90*L$8</f>
        <v>482013.27612456743</v>
      </c>
      <c r="L90" s="246">
        <f t="shared" si="19"/>
        <v>482013.27612456743</v>
      </c>
      <c r="M90" s="169">
        <f>HLOOKUP(N$2,InflationTable,2)/HLOOKUP(Labor!$B$11,InflationTable,2)*$I90</f>
        <v>2331.5991031141871</v>
      </c>
      <c r="N90" s="166">
        <f>M90*O$8</f>
        <v>501293.80716955021</v>
      </c>
      <c r="O90" s="167">
        <f t="shared" si="20"/>
        <v>501293.80716955021</v>
      </c>
      <c r="P90" s="284">
        <f>HLOOKUP(Q$2,InflationTable,2)/HLOOKUP(Labor!$B$11,InflationTable,2)*$I90</f>
        <v>2378.2310851764705</v>
      </c>
      <c r="Q90" s="245">
        <f>P90*R$8</f>
        <v>511319.68331294117</v>
      </c>
      <c r="R90" s="246">
        <f t="shared" si="21"/>
        <v>511319.68331294117</v>
      </c>
      <c r="S90" s="169">
        <f t="shared" si="22"/>
        <v>498208.9222023529</v>
      </c>
      <c r="T90" s="174" t="s">
        <v>12</v>
      </c>
      <c r="U90" s="183" t="s">
        <v>12</v>
      </c>
    </row>
    <row r="91" spans="1:21" ht="13" x14ac:dyDescent="0.3">
      <c r="A91" s="510"/>
      <c r="B91" s="1" t="s">
        <v>299</v>
      </c>
      <c r="C91" s="290">
        <v>0</v>
      </c>
      <c r="D91" s="290">
        <v>0</v>
      </c>
      <c r="E91" s="290">
        <v>6</v>
      </c>
      <c r="F91" s="290">
        <v>12</v>
      </c>
      <c r="G91" s="290">
        <v>0</v>
      </c>
      <c r="H91" s="290">
        <v>0</v>
      </c>
      <c r="I91" s="291">
        <f>SUM(C91:H91)</f>
        <v>18</v>
      </c>
      <c r="J91" s="242">
        <f>$I91</f>
        <v>18</v>
      </c>
      <c r="K91" s="273">
        <f>J91*L$12</f>
        <v>8370</v>
      </c>
      <c r="L91" s="274">
        <f t="shared" si="19"/>
        <v>8370</v>
      </c>
      <c r="M91" s="53">
        <f>$I91</f>
        <v>18</v>
      </c>
      <c r="N91" s="147">
        <f>M91*O$12</f>
        <v>8370</v>
      </c>
      <c r="O91" s="148">
        <f t="shared" si="20"/>
        <v>8370</v>
      </c>
      <c r="P91" s="242">
        <f>$I91</f>
        <v>18</v>
      </c>
      <c r="Q91" s="273">
        <f>P91*R$12</f>
        <v>8370</v>
      </c>
      <c r="R91" s="274">
        <f t="shared" si="21"/>
        <v>8370</v>
      </c>
      <c r="S91" s="104">
        <f>AVERAGE(L91,O91,R91)</f>
        <v>8370</v>
      </c>
      <c r="T91" s="42" t="s">
        <v>12</v>
      </c>
      <c r="U91" s="185" t="s">
        <v>12</v>
      </c>
    </row>
    <row r="92" spans="1:21" s="1" customFormat="1" ht="13.5" thickBot="1" x14ac:dyDescent="0.35">
      <c r="A92" s="511"/>
      <c r="B92" s="500" t="s">
        <v>8</v>
      </c>
      <c r="C92" s="175">
        <f>ROUND(C91*Labor!$D$3,0)</f>
        <v>0</v>
      </c>
      <c r="D92" s="175">
        <f>ROUND(D91*Labor!$D$4,0)</f>
        <v>0</v>
      </c>
      <c r="E92" s="175">
        <f>ROUND(E91*Labor!$D$5,0)</f>
        <v>151</v>
      </c>
      <c r="F92" s="175">
        <f>ROUND(F91*Labor!$D$6,0)</f>
        <v>331</v>
      </c>
      <c r="G92" s="175">
        <f>ROUND(G91*Labor!$D$7,0)</f>
        <v>0</v>
      </c>
      <c r="H92" s="175">
        <f>ROUND(H91*Labor!$D$8,0)</f>
        <v>0</v>
      </c>
      <c r="I92" s="167">
        <f>SUM(C92:H92)</f>
        <v>482</v>
      </c>
      <c r="J92" s="284">
        <f>HLOOKUP(K$2,InflationTable,2)/HLOOKUP(Labor!$B$11,InflationTable,2)*$I92</f>
        <v>1031.1130795847751</v>
      </c>
      <c r="K92" s="245">
        <f>J92*L$12</f>
        <v>479467.58200692042</v>
      </c>
      <c r="L92" s="246">
        <f t="shared" si="19"/>
        <v>479467.58200692042</v>
      </c>
      <c r="M92" s="169">
        <f>HLOOKUP(N$2,InflationTable,2)/HLOOKUP(Labor!$B$11,InflationTable,2)*$I92</f>
        <v>1072.3576027681661</v>
      </c>
      <c r="N92" s="166">
        <f>M92*O$12</f>
        <v>498646.28528719721</v>
      </c>
      <c r="O92" s="167">
        <f t="shared" si="20"/>
        <v>498646.28528719721</v>
      </c>
      <c r="P92" s="284">
        <f>HLOOKUP(Q$2,InflationTable,2)/HLOOKUP(Labor!$B$11,InflationTable,2)*$I92</f>
        <v>1093.8047548235293</v>
      </c>
      <c r="Q92" s="245">
        <f>P92*R$12</f>
        <v>508619.21099294111</v>
      </c>
      <c r="R92" s="246">
        <f t="shared" si="21"/>
        <v>508619.21099294111</v>
      </c>
      <c r="S92" s="169">
        <f>AVERAGE(L92,O92,R92)</f>
        <v>495577.69276235293</v>
      </c>
      <c r="T92" s="174" t="s">
        <v>12</v>
      </c>
      <c r="U92" s="183" t="s">
        <v>12</v>
      </c>
    </row>
    <row r="93" spans="1:21" ht="13" x14ac:dyDescent="0.3">
      <c r="A93" s="510"/>
      <c r="B93" s="886" t="s">
        <v>301</v>
      </c>
      <c r="C93" s="290">
        <v>0</v>
      </c>
      <c r="D93" s="290">
        <v>0</v>
      </c>
      <c r="E93" s="290">
        <v>24</v>
      </c>
      <c r="F93" s="290">
        <v>72</v>
      </c>
      <c r="G93" s="290">
        <v>48</v>
      </c>
      <c r="H93" s="290">
        <v>0</v>
      </c>
      <c r="I93" s="291">
        <f t="shared" si="18"/>
        <v>144</v>
      </c>
      <c r="J93" s="828">
        <f>$I93*L$11</f>
        <v>46.883720930232563</v>
      </c>
      <c r="K93" s="273">
        <f>J93*L$8</f>
        <v>10080.000000000002</v>
      </c>
      <c r="L93" s="274">
        <f t="shared" si="19"/>
        <v>10080.000000000002</v>
      </c>
      <c r="M93" s="829">
        <f>$I93*O$11</f>
        <v>46.883720930232563</v>
      </c>
      <c r="N93" s="147">
        <f>M93*O$8</f>
        <v>10080.000000000002</v>
      </c>
      <c r="O93" s="148">
        <f t="shared" si="20"/>
        <v>10080.000000000002</v>
      </c>
      <c r="P93" s="828">
        <f>$I93*R$11</f>
        <v>46.883720930232563</v>
      </c>
      <c r="Q93" s="273">
        <f>P93*R$8</f>
        <v>10080.000000000002</v>
      </c>
      <c r="R93" s="274">
        <f t="shared" si="21"/>
        <v>10080.000000000002</v>
      </c>
      <c r="S93" s="104">
        <f t="shared" si="22"/>
        <v>10080.000000000002</v>
      </c>
      <c r="T93" s="42" t="s">
        <v>12</v>
      </c>
      <c r="U93" s="185" t="s">
        <v>12</v>
      </c>
    </row>
    <row r="94" spans="1:21" s="1" customFormat="1" ht="13.5" thickBot="1" x14ac:dyDescent="0.35">
      <c r="A94" s="511"/>
      <c r="B94" s="500" t="s">
        <v>8</v>
      </c>
      <c r="C94" s="175">
        <f>ROUND(C93*Labor!$D$3,0)</f>
        <v>0</v>
      </c>
      <c r="D94" s="175">
        <f>ROUND(D93*Labor!$D$4,0)</f>
        <v>0</v>
      </c>
      <c r="E94" s="175">
        <f>ROUND(E93*Labor!$D$5,0)</f>
        <v>605</v>
      </c>
      <c r="F94" s="175">
        <f>ROUND(F93*Labor!$D$6,0)</f>
        <v>1985</v>
      </c>
      <c r="G94" s="175">
        <f>ROUND(G93*Labor!$D$7,0)</f>
        <v>1503</v>
      </c>
      <c r="H94" s="175">
        <f>ROUND(H93*Labor!$D$8,0)</f>
        <v>0</v>
      </c>
      <c r="I94" s="167">
        <f t="shared" si="18"/>
        <v>4093</v>
      </c>
      <c r="J94" s="284">
        <f>HLOOKUP(K$2,InflationTable,2)/HLOOKUP(Labor!$B$11,InflationTable,2)*$I94</f>
        <v>8755.9042214532856</v>
      </c>
      <c r="K94" s="245">
        <f>J94*$L$8</f>
        <v>1882519.4076124565</v>
      </c>
      <c r="L94" s="246">
        <f t="shared" si="19"/>
        <v>1882519.4076124565</v>
      </c>
      <c r="M94" s="169">
        <f>HLOOKUP(N$2,InflationTable,2)/HLOOKUP(Labor!$B$11,InflationTable,2)*$I94</f>
        <v>9106.1403903114187</v>
      </c>
      <c r="N94" s="166">
        <f>M94*$L$8</f>
        <v>1957820.183916955</v>
      </c>
      <c r="O94" s="167">
        <f t="shared" si="20"/>
        <v>1957820.183916955</v>
      </c>
      <c r="P94" s="284">
        <f>HLOOKUP(Q$2,InflationTable,2)/HLOOKUP(Labor!$B$11,InflationTable,2)*$I94</f>
        <v>9288.2631981176455</v>
      </c>
      <c r="Q94" s="245">
        <f>P94*$L$8</f>
        <v>1996976.5875952938</v>
      </c>
      <c r="R94" s="246">
        <f t="shared" si="21"/>
        <v>1996976.5875952938</v>
      </c>
      <c r="S94" s="169">
        <f t="shared" si="22"/>
        <v>1945772.0597082351</v>
      </c>
      <c r="T94" s="174" t="s">
        <v>12</v>
      </c>
      <c r="U94" s="183" t="s">
        <v>12</v>
      </c>
    </row>
    <row r="95" spans="1:21" ht="13" x14ac:dyDescent="0.3">
      <c r="A95" s="510"/>
      <c r="B95" s="1" t="s">
        <v>299</v>
      </c>
      <c r="C95" s="290">
        <v>0</v>
      </c>
      <c r="D95" s="290">
        <v>0</v>
      </c>
      <c r="E95" s="290">
        <v>6</v>
      </c>
      <c r="F95" s="290">
        <v>14</v>
      </c>
      <c r="G95" s="290">
        <v>0</v>
      </c>
      <c r="H95" s="290">
        <v>0</v>
      </c>
      <c r="I95" s="291">
        <f t="shared" si="18"/>
        <v>20</v>
      </c>
      <c r="J95" s="242">
        <f>$I95</f>
        <v>20</v>
      </c>
      <c r="K95" s="273">
        <f>J95*L$12</f>
        <v>9300</v>
      </c>
      <c r="L95" s="274">
        <f t="shared" si="19"/>
        <v>9300</v>
      </c>
      <c r="M95" s="53">
        <f>$I95</f>
        <v>20</v>
      </c>
      <c r="N95" s="147">
        <f>M95*O$12</f>
        <v>9300</v>
      </c>
      <c r="O95" s="148">
        <f t="shared" si="20"/>
        <v>9300</v>
      </c>
      <c r="P95" s="242">
        <f>$I95</f>
        <v>20</v>
      </c>
      <c r="Q95" s="273">
        <f>P95*R$12</f>
        <v>9300</v>
      </c>
      <c r="R95" s="274">
        <f t="shared" si="21"/>
        <v>9300</v>
      </c>
      <c r="S95" s="104">
        <f t="shared" si="22"/>
        <v>9300</v>
      </c>
      <c r="T95" s="42" t="s">
        <v>12</v>
      </c>
      <c r="U95" s="185" t="s">
        <v>12</v>
      </c>
    </row>
    <row r="96" spans="1:21" s="1" customFormat="1" ht="13.5" thickBot="1" x14ac:dyDescent="0.35">
      <c r="A96" s="511"/>
      <c r="B96" s="500" t="s">
        <v>8</v>
      </c>
      <c r="C96" s="175">
        <f>ROUND(C95*Labor!$D$3,0)</f>
        <v>0</v>
      </c>
      <c r="D96" s="175">
        <f>ROUND(D95*Labor!$D$4,0)</f>
        <v>0</v>
      </c>
      <c r="E96" s="175">
        <f>ROUND(E95*Labor!$D$5,0)</f>
        <v>151</v>
      </c>
      <c r="F96" s="175">
        <f>ROUND(F95*Labor!$D$6,0)</f>
        <v>386</v>
      </c>
      <c r="G96" s="175">
        <f>ROUND(G95*Labor!$D$7,0)</f>
        <v>0</v>
      </c>
      <c r="H96" s="175">
        <f>ROUND(H95*Labor!$D$8,0)</f>
        <v>0</v>
      </c>
      <c r="I96" s="167">
        <f t="shared" si="18"/>
        <v>537</v>
      </c>
      <c r="J96" s="284">
        <f>HLOOKUP(K$2,InflationTable,2)/HLOOKUP(Labor!$B$11,InflationTable,2)*$I96</f>
        <v>1148.7712110726643</v>
      </c>
      <c r="K96" s="245">
        <f>J96*L$12</f>
        <v>534178.61314878892</v>
      </c>
      <c r="L96" s="246">
        <f t="shared" si="19"/>
        <v>534178.61314878892</v>
      </c>
      <c r="M96" s="169">
        <f>HLOOKUP(N$2,InflationTable,2)/HLOOKUP(Labor!$B$11,InflationTable,2)*$I96</f>
        <v>1194.7220595155711</v>
      </c>
      <c r="N96" s="166">
        <f>M96*O$12</f>
        <v>555545.75767474063</v>
      </c>
      <c r="O96" s="167">
        <f t="shared" si="20"/>
        <v>555545.75767474063</v>
      </c>
      <c r="P96" s="284">
        <f>HLOOKUP(Q$2,InflationTable,2)/HLOOKUP(Labor!$B$11,InflationTable,2)*$I96</f>
        <v>1218.6165007058821</v>
      </c>
      <c r="Q96" s="245">
        <f>P96*R$12</f>
        <v>566656.6728282352</v>
      </c>
      <c r="R96" s="246">
        <f t="shared" si="21"/>
        <v>566656.6728282352</v>
      </c>
      <c r="S96" s="169">
        <f t="shared" si="22"/>
        <v>552127.01455058821</v>
      </c>
      <c r="T96" s="174" t="s">
        <v>12</v>
      </c>
      <c r="U96" s="183" t="s">
        <v>12</v>
      </c>
    </row>
    <row r="97" spans="1:21" ht="13" x14ac:dyDescent="0.3">
      <c r="A97" s="510"/>
      <c r="B97" s="886" t="s">
        <v>116</v>
      </c>
      <c r="C97" s="290">
        <v>0</v>
      </c>
      <c r="D97" s="290">
        <v>0</v>
      </c>
      <c r="E97" s="290">
        <v>6</v>
      </c>
      <c r="F97" s="290">
        <v>7</v>
      </c>
      <c r="G97" s="290">
        <v>0</v>
      </c>
      <c r="H97" s="290">
        <v>0</v>
      </c>
      <c r="I97" s="291">
        <f t="shared" si="18"/>
        <v>13</v>
      </c>
      <c r="J97" s="242">
        <f>$I97</f>
        <v>13</v>
      </c>
      <c r="K97" s="273">
        <f>I97*$L$8</f>
        <v>2795</v>
      </c>
      <c r="L97" s="274">
        <f t="shared" si="19"/>
        <v>2795</v>
      </c>
      <c r="M97" s="53">
        <f>$I97</f>
        <v>13</v>
      </c>
      <c r="N97" s="147">
        <f>$I$97*$O$8</f>
        <v>2795</v>
      </c>
      <c r="O97" s="148">
        <f t="shared" si="20"/>
        <v>2795</v>
      </c>
      <c r="P97" s="242">
        <f>$I97</f>
        <v>13</v>
      </c>
      <c r="Q97" s="273">
        <f>$I$97*$R$8</f>
        <v>2795</v>
      </c>
      <c r="R97" s="274">
        <f t="shared" si="21"/>
        <v>2795</v>
      </c>
      <c r="S97" s="104">
        <f t="shared" si="22"/>
        <v>2795</v>
      </c>
      <c r="T97" s="42" t="s">
        <v>12</v>
      </c>
      <c r="U97" s="185" t="s">
        <v>12</v>
      </c>
    </row>
    <row r="98" spans="1:21" s="1" customFormat="1" ht="13.5" thickBot="1" x14ac:dyDescent="0.35">
      <c r="A98" s="511"/>
      <c r="B98" s="500" t="s">
        <v>8</v>
      </c>
      <c r="C98" s="175">
        <f>ROUND(C97*Labor!$D$3,0)</f>
        <v>0</v>
      </c>
      <c r="D98" s="175">
        <f>ROUND(D97*Labor!$D$4,0)</f>
        <v>0</v>
      </c>
      <c r="E98" s="175">
        <f>ROUND(E97*Labor!$D$5,0)</f>
        <v>151</v>
      </c>
      <c r="F98" s="175">
        <f>ROUND(F97*Labor!$D$6,0)</f>
        <v>193</v>
      </c>
      <c r="G98" s="175">
        <f>ROUND(G97*Labor!$D$7,0)</f>
        <v>0</v>
      </c>
      <c r="H98" s="175">
        <f>ROUND(H97*Labor!$D$8,0)</f>
        <v>0</v>
      </c>
      <c r="I98" s="167">
        <f t="shared" si="18"/>
        <v>344</v>
      </c>
      <c r="J98" s="284">
        <f>HLOOKUP(K$2,InflationTable,2)/HLOOKUP(Labor!$B$11,InflationTable,2)*$I98</f>
        <v>735.89813148788926</v>
      </c>
      <c r="K98" s="245">
        <f>J98*$L$8</f>
        <v>158218.0982698962</v>
      </c>
      <c r="L98" s="246">
        <f t="shared" si="19"/>
        <v>158218.0982698962</v>
      </c>
      <c r="M98" s="169">
        <f>HLOOKUP(N$2,InflationTable,2)/HLOOKUP(Labor!$B$11,InflationTable,2)*$I98</f>
        <v>765.33405674740493</v>
      </c>
      <c r="N98" s="166">
        <f>M98*$O$8</f>
        <v>164546.82220069206</v>
      </c>
      <c r="O98" s="365">
        <f t="shared" si="20"/>
        <v>164546.82220069206</v>
      </c>
      <c r="P98" s="284">
        <f>HLOOKUP(Q$2,InflationTable,2)/HLOOKUP(Labor!$B$11,InflationTable,2)*$I98</f>
        <v>780.64073788235282</v>
      </c>
      <c r="Q98" s="245">
        <f>P98*$R$8</f>
        <v>167837.75864470587</v>
      </c>
      <c r="R98" s="320">
        <f t="shared" si="21"/>
        <v>167837.75864470587</v>
      </c>
      <c r="S98" s="169">
        <f t="shared" si="22"/>
        <v>163534.2263717647</v>
      </c>
      <c r="T98" s="323" t="s">
        <v>12</v>
      </c>
      <c r="U98" s="183" t="s">
        <v>12</v>
      </c>
    </row>
    <row r="99" spans="1:21" ht="13" x14ac:dyDescent="0.3">
      <c r="A99" s="510"/>
      <c r="B99" s="1" t="s">
        <v>299</v>
      </c>
      <c r="C99" s="290">
        <v>0</v>
      </c>
      <c r="D99" s="290">
        <v>0</v>
      </c>
      <c r="E99" s="290">
        <v>2</v>
      </c>
      <c r="F99" s="290">
        <v>2</v>
      </c>
      <c r="G99" s="290">
        <v>2</v>
      </c>
      <c r="H99" s="290">
        <v>0</v>
      </c>
      <c r="I99" s="291">
        <f>SUM(C99:H99)</f>
        <v>6</v>
      </c>
      <c r="J99" s="242">
        <f>$I99</f>
        <v>6</v>
      </c>
      <c r="K99" s="273">
        <f>J99*L$12</f>
        <v>2790</v>
      </c>
      <c r="L99" s="274">
        <f t="shared" si="19"/>
        <v>2790</v>
      </c>
      <c r="M99" s="53">
        <f>$I99</f>
        <v>6</v>
      </c>
      <c r="N99" s="147">
        <f>M99*O$12</f>
        <v>2790</v>
      </c>
      <c r="O99" s="831">
        <f t="shared" si="20"/>
        <v>2790</v>
      </c>
      <c r="P99" s="242">
        <f>$I99</f>
        <v>6</v>
      </c>
      <c r="Q99" s="273">
        <f>P99*R$12</f>
        <v>2790</v>
      </c>
      <c r="R99" s="274">
        <f t="shared" si="21"/>
        <v>2790</v>
      </c>
      <c r="S99" s="104">
        <f>AVERAGE(L99,O99,R99)</f>
        <v>2790</v>
      </c>
      <c r="T99" s="42" t="s">
        <v>12</v>
      </c>
      <c r="U99" s="185" t="s">
        <v>12</v>
      </c>
    </row>
    <row r="100" spans="1:21" s="1" customFormat="1" ht="13.5" thickBot="1" x14ac:dyDescent="0.35">
      <c r="A100" s="511"/>
      <c r="B100" s="500" t="s">
        <v>8</v>
      </c>
      <c r="C100" s="175">
        <f>ROUND(C99*Labor!$D$3,0)</f>
        <v>0</v>
      </c>
      <c r="D100" s="175">
        <f>ROUND(D99*Labor!$D$4,0)</f>
        <v>0</v>
      </c>
      <c r="E100" s="175">
        <f>ROUND(E99*Labor!$D$5,0)</f>
        <v>50</v>
      </c>
      <c r="F100" s="175">
        <f>ROUND(F99*Labor!$D$6,0)</f>
        <v>55</v>
      </c>
      <c r="G100" s="175">
        <f>ROUND(G99*Labor!$D$7,0)</f>
        <v>63</v>
      </c>
      <c r="H100" s="175">
        <f>ROUND(H99*Labor!$D$8,0)</f>
        <v>0</v>
      </c>
      <c r="I100" s="167">
        <f>SUM(C100:H100)</f>
        <v>168</v>
      </c>
      <c r="J100" s="284">
        <f>HLOOKUP(K$2,InflationTable,2)/HLOOKUP(Labor!$B$11,InflationTable,2)*$I100</f>
        <v>359.39211072664358</v>
      </c>
      <c r="K100" s="245">
        <f>J100*L$12</f>
        <v>167117.33148788926</v>
      </c>
      <c r="L100" s="246">
        <f t="shared" si="19"/>
        <v>167117.33148788926</v>
      </c>
      <c r="M100" s="169">
        <f>HLOOKUP(N$2,InflationTable,2)/HLOOKUP(Labor!$B$11,InflationTable,2)*$I100</f>
        <v>373.76779515570939</v>
      </c>
      <c r="N100" s="166">
        <f>M100*O$12</f>
        <v>173802.02474740488</v>
      </c>
      <c r="O100" s="167">
        <f t="shared" si="20"/>
        <v>173802.02474740488</v>
      </c>
      <c r="P100" s="284">
        <f>HLOOKUP(Q$2,InflationTable,2)/HLOOKUP(Labor!$B$11,InflationTable,2)*$I100</f>
        <v>381.24315105882351</v>
      </c>
      <c r="Q100" s="245">
        <f>P100*R$12</f>
        <v>177278.06524235292</v>
      </c>
      <c r="R100" s="246">
        <f t="shared" si="21"/>
        <v>177278.06524235292</v>
      </c>
      <c r="S100" s="169">
        <f>AVERAGE(L100,O100,R100)</f>
        <v>172732.47382588233</v>
      </c>
      <c r="T100" s="174" t="s">
        <v>12</v>
      </c>
      <c r="U100" s="183" t="s">
        <v>12</v>
      </c>
    </row>
    <row r="101" spans="1:21" ht="13" x14ac:dyDescent="0.3">
      <c r="B101" s="1103" t="s">
        <v>376</v>
      </c>
      <c r="C101" s="1100">
        <v>0</v>
      </c>
      <c r="D101" s="1100">
        <v>0.25</v>
      </c>
      <c r="E101" s="1100">
        <v>0</v>
      </c>
      <c r="F101" s="1100">
        <v>0</v>
      </c>
      <c r="G101" s="1100">
        <v>0</v>
      </c>
      <c r="H101" s="1100">
        <v>0</v>
      </c>
      <c r="I101" s="291">
        <f t="shared" ref="I101:I104" si="23">SUM(C101:H101)</f>
        <v>0.25</v>
      </c>
      <c r="J101" s="242">
        <f>I101</f>
        <v>0.25</v>
      </c>
      <c r="K101" s="273">
        <f>I101*$L$8</f>
        <v>53.75</v>
      </c>
      <c r="L101" s="274">
        <f t="shared" si="19"/>
        <v>53.75</v>
      </c>
      <c r="M101" s="53">
        <f>I101</f>
        <v>0.25</v>
      </c>
      <c r="N101" s="147">
        <f>$I$101*$O$8</f>
        <v>53.75</v>
      </c>
      <c r="O101" s="148">
        <f t="shared" si="20"/>
        <v>53.75</v>
      </c>
      <c r="P101" s="242">
        <f>I101</f>
        <v>0.25</v>
      </c>
      <c r="Q101" s="273">
        <f>$I$101*$R$8</f>
        <v>53.75</v>
      </c>
      <c r="R101" s="274">
        <f t="shared" si="21"/>
        <v>53.75</v>
      </c>
      <c r="S101" s="104">
        <f t="shared" ref="S101:S104" si="24">AVERAGE(L101,O101,R101)</f>
        <v>53.75</v>
      </c>
      <c r="T101" s="42" t="s">
        <v>12</v>
      </c>
      <c r="U101" s="119" t="s">
        <v>12</v>
      </c>
    </row>
    <row r="102" spans="1:21" ht="13.5" thickBot="1" x14ac:dyDescent="0.35">
      <c r="B102" s="465" t="s">
        <v>8</v>
      </c>
      <c r="C102" s="1097">
        <f>ROUND(C101*Labor!$D$3,0)</f>
        <v>0</v>
      </c>
      <c r="D102" s="1097">
        <f>ROUND(D101*Labor!$D$3,0)</f>
        <v>6</v>
      </c>
      <c r="E102" s="1097">
        <f>ROUND(E101*Labor!$D$3,0)</f>
        <v>0</v>
      </c>
      <c r="F102" s="1097">
        <f>ROUND(F101*Labor!$D$3,0)</f>
        <v>0</v>
      </c>
      <c r="G102" s="1097">
        <f>ROUND(G101*Labor!$D$3,0)</f>
        <v>0</v>
      </c>
      <c r="H102" s="1097">
        <f>ROUND(H101*Labor!$D$3,0)</f>
        <v>0</v>
      </c>
      <c r="I102" s="1094">
        <f t="shared" si="23"/>
        <v>6</v>
      </c>
      <c r="J102" s="284">
        <f>HLOOKUP(K$2,InflationTable,2)/HLOOKUP(Labor!$B$11,InflationTable,2)*$I102</f>
        <v>12.835432525951557</v>
      </c>
      <c r="K102" s="219">
        <f>J102*$L$8</f>
        <v>2759.6179930795847</v>
      </c>
      <c r="L102" s="256">
        <f t="shared" si="19"/>
        <v>2759.6179930795847</v>
      </c>
      <c r="M102" s="169">
        <f>HLOOKUP(N$2,InflationTable,2)/HLOOKUP(Labor!$B$11,InflationTable,2)*$I102</f>
        <v>13.348849826989621</v>
      </c>
      <c r="N102" s="55">
        <f>M102*$O$8</f>
        <v>2870.0027128027687</v>
      </c>
      <c r="O102" s="77">
        <f t="shared" si="20"/>
        <v>2870.0027128027687</v>
      </c>
      <c r="P102" s="284">
        <f>HLOOKUP(Q$2,InflationTable,2)/HLOOKUP(Labor!$B$11,InflationTable,2)*$I102</f>
        <v>13.61582682352941</v>
      </c>
      <c r="Q102" s="219">
        <f>P102*$R$8</f>
        <v>2927.402767058823</v>
      </c>
      <c r="R102" s="256">
        <f t="shared" si="21"/>
        <v>2927.402767058823</v>
      </c>
      <c r="S102" s="103">
        <f t="shared" si="24"/>
        <v>2852.3411576470585</v>
      </c>
      <c r="T102" s="110" t="s">
        <v>12</v>
      </c>
      <c r="U102" s="115" t="s">
        <v>12</v>
      </c>
    </row>
    <row r="103" spans="1:21" ht="13" x14ac:dyDescent="0.3">
      <c r="B103" s="1102" t="s">
        <v>299</v>
      </c>
      <c r="C103" s="1100">
        <v>0</v>
      </c>
      <c r="D103" s="1100">
        <v>0.25</v>
      </c>
      <c r="E103" s="1100">
        <v>0</v>
      </c>
      <c r="F103" s="1100">
        <v>0</v>
      </c>
      <c r="G103" s="1100">
        <v>0</v>
      </c>
      <c r="H103" s="1100">
        <v>0</v>
      </c>
      <c r="I103" s="291">
        <f t="shared" si="23"/>
        <v>0.25</v>
      </c>
      <c r="J103" s="242">
        <f>I103</f>
        <v>0.25</v>
      </c>
      <c r="K103" s="273">
        <f>I103*$L$12</f>
        <v>116.25</v>
      </c>
      <c r="L103" s="274">
        <f t="shared" si="19"/>
        <v>116.25</v>
      </c>
      <c r="M103" s="53">
        <f>I103</f>
        <v>0.25</v>
      </c>
      <c r="N103" s="147">
        <f>$I$103*$O$12</f>
        <v>116.25</v>
      </c>
      <c r="O103" s="148">
        <f t="shared" si="20"/>
        <v>116.25</v>
      </c>
      <c r="P103" s="242">
        <f>I103</f>
        <v>0.25</v>
      </c>
      <c r="Q103" s="273">
        <f>$I$103*$R$12</f>
        <v>116.25</v>
      </c>
      <c r="R103" s="274">
        <f t="shared" si="21"/>
        <v>116.25</v>
      </c>
      <c r="S103" s="104">
        <f t="shared" si="24"/>
        <v>116.25</v>
      </c>
      <c r="T103" s="42" t="s">
        <v>12</v>
      </c>
      <c r="U103" s="119" t="s">
        <v>12</v>
      </c>
    </row>
    <row r="104" spans="1:21" ht="13.5" thickBot="1" x14ac:dyDescent="0.35">
      <c r="B104" s="465" t="s">
        <v>8</v>
      </c>
      <c r="C104" s="1097">
        <f>ROUND(C103*Labor!$D$3,0)</f>
        <v>0</v>
      </c>
      <c r="D104" s="1097">
        <f>ROUND(D103*Labor!$D$3,0)</f>
        <v>6</v>
      </c>
      <c r="E104" s="1097">
        <f>ROUND(E103*Labor!$D$3,0)</f>
        <v>0</v>
      </c>
      <c r="F104" s="1097">
        <f>ROUND(F103*Labor!$D$3,0)</f>
        <v>0</v>
      </c>
      <c r="G104" s="1097">
        <f>ROUND(G103*Labor!$D$3,0)</f>
        <v>0</v>
      </c>
      <c r="H104" s="1097">
        <f>ROUND(H103*Labor!$D$3,0)</f>
        <v>0</v>
      </c>
      <c r="I104" s="1094">
        <f t="shared" si="23"/>
        <v>6</v>
      </c>
      <c r="J104" s="284">
        <f>HLOOKUP(K$2,InflationTable,2)/HLOOKUP(Labor!$B$11,InflationTable,2)*$I104</f>
        <v>12.835432525951557</v>
      </c>
      <c r="K104" s="219">
        <f>J104*$L$12</f>
        <v>5968.4761245674736</v>
      </c>
      <c r="L104" s="256">
        <f t="shared" si="19"/>
        <v>5968.4761245674736</v>
      </c>
      <c r="M104" s="169">
        <f>HLOOKUP(N$2,InflationTable,2)/HLOOKUP(Labor!$B$11,InflationTable,2)*$I104</f>
        <v>13.348849826989621</v>
      </c>
      <c r="N104" s="55">
        <f>M104*$O$12</f>
        <v>6207.2151695501734</v>
      </c>
      <c r="O104" s="77">
        <f t="shared" si="20"/>
        <v>6207.2151695501734</v>
      </c>
      <c r="P104" s="284">
        <f>HLOOKUP(Q$2,InflationTable,2)/HLOOKUP(Labor!$B$11,InflationTable,2)*$I104</f>
        <v>13.61582682352941</v>
      </c>
      <c r="Q104" s="219">
        <f>P104*$R$12</f>
        <v>6331.3594729411761</v>
      </c>
      <c r="R104" s="256">
        <f t="shared" si="21"/>
        <v>6331.3594729411761</v>
      </c>
      <c r="S104" s="103">
        <f t="shared" si="24"/>
        <v>6169.016922352941</v>
      </c>
      <c r="T104" s="110" t="s">
        <v>12</v>
      </c>
      <c r="U104" s="115" t="s">
        <v>12</v>
      </c>
    </row>
    <row r="105" spans="1:21" ht="13" x14ac:dyDescent="0.3">
      <c r="A105" s="510"/>
      <c r="B105" s="501" t="s">
        <v>66</v>
      </c>
      <c r="C105" s="28">
        <f>C99+C97+C95+C93+C91+C89+C87+C85+C101+C103</f>
        <v>0</v>
      </c>
      <c r="D105" s="28">
        <f t="shared" ref="D105:H105" si="25">D99+D97+D95+D93+D91+D89+D87+D85+D101+D103</f>
        <v>0.5</v>
      </c>
      <c r="E105" s="28">
        <f t="shared" si="25"/>
        <v>146</v>
      </c>
      <c r="F105" s="28">
        <f t="shared" si="25"/>
        <v>151</v>
      </c>
      <c r="G105" s="28">
        <f t="shared" si="25"/>
        <v>50</v>
      </c>
      <c r="H105" s="28">
        <f t="shared" si="25"/>
        <v>0</v>
      </c>
      <c r="I105" s="28">
        <f t="shared" ref="I105:R105" si="26">I99+I97+I95+I93+I91+I89+I87+I85+I101+I103</f>
        <v>347.5</v>
      </c>
      <c r="J105" s="235">
        <f t="shared" si="26"/>
        <v>160.01162790697674</v>
      </c>
      <c r="K105" s="235">
        <f t="shared" si="26"/>
        <v>53059.604651162794</v>
      </c>
      <c r="L105" s="235">
        <f t="shared" si="26"/>
        <v>53059.604651162794</v>
      </c>
      <c r="M105" s="28">
        <f t="shared" si="26"/>
        <v>160.01162790697674</v>
      </c>
      <c r="N105" s="28">
        <f t="shared" si="26"/>
        <v>62385</v>
      </c>
      <c r="O105" s="28">
        <f t="shared" si="26"/>
        <v>62385</v>
      </c>
      <c r="P105" s="235">
        <f t="shared" si="26"/>
        <v>160.01162790697674</v>
      </c>
      <c r="Q105" s="235">
        <f t="shared" si="26"/>
        <v>62385</v>
      </c>
      <c r="R105" s="235">
        <f t="shared" si="26"/>
        <v>62385</v>
      </c>
      <c r="S105" s="104">
        <f t="shared" si="22"/>
        <v>59276.534883720939</v>
      </c>
      <c r="T105" s="42" t="s">
        <v>12</v>
      </c>
      <c r="U105" s="185" t="s">
        <v>12</v>
      </c>
    </row>
    <row r="106" spans="1:21" ht="13.5" thickBot="1" x14ac:dyDescent="0.35">
      <c r="A106" s="510"/>
      <c r="B106" s="502" t="s">
        <v>67</v>
      </c>
      <c r="C106" s="593">
        <f>C100+C98+C96+C94+C92+C90+C88+C86+C102+C104</f>
        <v>0</v>
      </c>
      <c r="D106" s="593">
        <f t="shared" ref="D106:I106" si="27">D100+D98+D96+D94+D92+D90+D88+D86+D102+D104</f>
        <v>12</v>
      </c>
      <c r="E106" s="593">
        <f t="shared" si="27"/>
        <v>3680</v>
      </c>
      <c r="F106" s="593">
        <f t="shared" si="27"/>
        <v>4163</v>
      </c>
      <c r="G106" s="593">
        <f t="shared" si="27"/>
        <v>1566</v>
      </c>
      <c r="H106" s="593">
        <f t="shared" si="27"/>
        <v>0</v>
      </c>
      <c r="I106" s="593">
        <f t="shared" si="27"/>
        <v>9421</v>
      </c>
      <c r="J106" s="225">
        <f t="shared" ref="J106:R106" si="28">J100+J98+J96+J94+J92+J90+J88+J86+C102+C104+J102+J104</f>
        <v>20153.76830449827</v>
      </c>
      <c r="K106" s="225">
        <f t="shared" si="28"/>
        <v>5901427.2680968847</v>
      </c>
      <c r="L106" s="225">
        <f t="shared" si="28"/>
        <v>5901415.2680968847</v>
      </c>
      <c r="M106" s="194">
        <f t="shared" si="28"/>
        <v>20959.919036678206</v>
      </c>
      <c r="N106" s="194">
        <f t="shared" si="28"/>
        <v>5345691.525757785</v>
      </c>
      <c r="O106" s="194">
        <f t="shared" si="28"/>
        <v>5345691.525757785</v>
      </c>
      <c r="P106" s="225">
        <f t="shared" si="28"/>
        <v>21391.117417411762</v>
      </c>
      <c r="Q106" s="225">
        <f t="shared" si="28"/>
        <v>5452631.027137991</v>
      </c>
      <c r="R106" s="225">
        <f t="shared" si="28"/>
        <v>5461333.4503905866</v>
      </c>
      <c r="S106" s="206">
        <f t="shared" si="22"/>
        <v>5569480.0814150851</v>
      </c>
      <c r="T106" s="203" t="s">
        <v>12</v>
      </c>
      <c r="U106" s="186" t="s">
        <v>12</v>
      </c>
    </row>
    <row r="107" spans="1:21" ht="13.5" thickTop="1" x14ac:dyDescent="0.3">
      <c r="B107" s="519"/>
      <c r="C107" s="516"/>
      <c r="D107" s="516"/>
      <c r="E107" s="516"/>
      <c r="F107" s="516"/>
      <c r="G107" s="516"/>
      <c r="H107" s="516"/>
      <c r="I107" s="517"/>
      <c r="J107" s="517"/>
      <c r="K107" s="517"/>
      <c r="L107" s="517"/>
      <c r="M107" s="517"/>
      <c r="N107" s="517"/>
      <c r="O107" s="517"/>
      <c r="P107" s="517"/>
      <c r="Q107" s="517"/>
      <c r="R107" s="517"/>
      <c r="S107" s="520"/>
      <c r="T107" s="521"/>
      <c r="U107" s="861"/>
    </row>
    <row r="108" spans="1:21" ht="13" thickBot="1" x14ac:dyDescent="0.3">
      <c r="B108" s="335"/>
      <c r="C108" s="335"/>
      <c r="D108" s="335"/>
      <c r="E108" s="335"/>
      <c r="F108" s="335"/>
      <c r="G108" s="335"/>
      <c r="H108" s="335"/>
      <c r="I108" s="335"/>
      <c r="J108" s="335"/>
      <c r="K108" s="335"/>
      <c r="L108" s="335"/>
      <c r="M108" s="335"/>
      <c r="N108" s="335"/>
      <c r="O108" s="335"/>
      <c r="P108" s="335"/>
      <c r="Q108" s="335"/>
      <c r="R108" s="335"/>
      <c r="S108" s="335"/>
      <c r="T108" s="335"/>
      <c r="U108" s="855"/>
    </row>
    <row r="109" spans="1:21" ht="27.5" thickTop="1" thickBot="1" x14ac:dyDescent="0.4">
      <c r="A109" s="510"/>
      <c r="B109" s="508" t="s">
        <v>28</v>
      </c>
      <c r="E109" s="775"/>
      <c r="F109" s="1" t="s">
        <v>6</v>
      </c>
      <c r="G109" s="1160"/>
      <c r="H109" s="1161"/>
      <c r="I109" s="1162"/>
      <c r="J109" s="2" t="s">
        <v>28</v>
      </c>
      <c r="L109" s="31"/>
      <c r="M109" s="2" t="s">
        <v>28</v>
      </c>
      <c r="O109" s="31"/>
      <c r="P109" s="2" t="s">
        <v>28</v>
      </c>
      <c r="R109" s="31"/>
      <c r="S109" s="448" t="s">
        <v>17</v>
      </c>
      <c r="T109" s="449" t="s">
        <v>103</v>
      </c>
      <c r="U109" s="862" t="s">
        <v>79</v>
      </c>
    </row>
    <row r="110" spans="1:21" ht="13" x14ac:dyDescent="0.3">
      <c r="A110" s="510"/>
      <c r="C110" s="61"/>
      <c r="D110" s="349" t="s">
        <v>54</v>
      </c>
      <c r="E110" s="59">
        <v>7</v>
      </c>
      <c r="I110" s="37"/>
      <c r="J110" s="227" t="s">
        <v>61</v>
      </c>
      <c r="K110" s="1167" t="s">
        <v>57</v>
      </c>
      <c r="L110" s="1168"/>
      <c r="M110" s="50" t="s">
        <v>61</v>
      </c>
      <c r="N110" s="1177" t="s">
        <v>57</v>
      </c>
      <c r="O110" s="1181"/>
      <c r="P110" s="266" t="s">
        <v>61</v>
      </c>
      <c r="Q110" s="1167" t="s">
        <v>57</v>
      </c>
      <c r="R110" s="1168"/>
      <c r="S110" s="139"/>
      <c r="T110" s="108"/>
      <c r="U110" s="510"/>
    </row>
    <row r="111" spans="1:21" ht="13" x14ac:dyDescent="0.3">
      <c r="A111" s="510"/>
      <c r="B111" s="501"/>
      <c r="C111" s="20" t="s">
        <v>60</v>
      </c>
      <c r="D111" s="20" t="s">
        <v>62</v>
      </c>
      <c r="E111" s="689"/>
      <c r="F111" s="326"/>
      <c r="G111" s="326"/>
      <c r="H111" s="326"/>
      <c r="I111" s="118"/>
      <c r="J111" s="210" t="s">
        <v>56</v>
      </c>
      <c r="K111" s="211" t="s">
        <v>13</v>
      </c>
      <c r="L111" s="212" t="s">
        <v>68</v>
      </c>
      <c r="M111" s="66" t="s">
        <v>56</v>
      </c>
      <c r="N111" s="20" t="s">
        <v>13</v>
      </c>
      <c r="O111" s="32" t="s">
        <v>68</v>
      </c>
      <c r="P111" s="210" t="s">
        <v>56</v>
      </c>
      <c r="Q111" s="211" t="s">
        <v>13</v>
      </c>
      <c r="R111" s="212" t="s">
        <v>68</v>
      </c>
      <c r="S111" s="95"/>
      <c r="T111" s="108"/>
      <c r="U111" s="510"/>
    </row>
    <row r="112" spans="1:21" ht="13.5" thickBot="1" x14ac:dyDescent="0.35">
      <c r="A112" s="510"/>
      <c r="B112" s="380" t="str">
        <f>VLOOKUP(C$2,Monitor_Costs,25,FALSE)</f>
        <v>Audit/Calibration Kits (Filter Based)</v>
      </c>
      <c r="C112" s="317">
        <f>VLOOKUP(C$2,Monitor_Costs,26,FALSE)</f>
        <v>125</v>
      </c>
      <c r="D112" s="20">
        <f>VLOOKUP(C$2,Monitor_Costs,27,FALSE)</f>
        <v>2019</v>
      </c>
      <c r="E112" s="63"/>
      <c r="F112" s="64"/>
      <c r="G112" s="65"/>
      <c r="H112" s="65"/>
      <c r="I112" s="711"/>
      <c r="J112" s="229">
        <f>HLOOKUP(K$2,InflationTable,2)/HLOOKUP($D112,InflationTable,2)*$C112</f>
        <v>151.11458740711771</v>
      </c>
      <c r="K112" s="295">
        <f>J112*SUM(L$3:L$6)</f>
        <v>29467.344544387954</v>
      </c>
      <c r="L112" s="256">
        <f>K112/$E$110*0.2</f>
        <v>841.92412983965596</v>
      </c>
      <c r="M112" s="23">
        <f>HLOOKUP(N$2,InflationTable,2)/HLOOKUP($D112,InflationTable,2)*$C112</f>
        <v>157.15917090340241</v>
      </c>
      <c r="N112" s="84">
        <f>M112*SUM(O$3:O$6)</f>
        <v>30646.038326163471</v>
      </c>
      <c r="O112" s="77">
        <f>N112/$E$110*0.2</f>
        <v>875.60109503324202</v>
      </c>
      <c r="P112" s="229">
        <f>HLOOKUP(Q$2,InflationTable,2)/HLOOKUP($D112,InflationTable,2)*$C112</f>
        <v>160.30235432147046</v>
      </c>
      <c r="Q112" s="295">
        <f>P112*SUM(R$3:R$6)</f>
        <v>31258.959092686739</v>
      </c>
      <c r="R112" s="256">
        <f>Q112/$E$110*0.2</f>
        <v>893.11311693390689</v>
      </c>
      <c r="S112" s="298" t="s">
        <v>12</v>
      </c>
      <c r="T112" s="299">
        <f>AVERAGE(L112,O112,R112)</f>
        <v>870.21278060226825</v>
      </c>
      <c r="U112" s="425" t="s">
        <v>12</v>
      </c>
    </row>
    <row r="113" spans="1:21" ht="13.5" thickBot="1" x14ac:dyDescent="0.35">
      <c r="A113" s="510"/>
      <c r="B113" s="165" t="str">
        <f>VLOOKUP(C$2,Monitor_Costs,28,FALSE)</f>
        <v>Audit/Calibration Kits (Continuous)</v>
      </c>
      <c r="C113" s="166">
        <f>VLOOKUP(C$2,Monitor_Costs,29,FALSE)</f>
        <v>360</v>
      </c>
      <c r="D113" s="310">
        <f>VLOOKUP(C$2,Monitor_Costs,30,FALSE)</f>
        <v>2019</v>
      </c>
      <c r="E113" s="534"/>
      <c r="F113" s="9"/>
      <c r="G113" s="3"/>
      <c r="H113" s="3"/>
      <c r="I113" s="35"/>
      <c r="J113" s="229">
        <f>HLOOKUP(K$2,InflationTable,2)/HLOOKUP($D113,InflationTable,2)*$C113</f>
        <v>435.21001173249903</v>
      </c>
      <c r="K113" s="295">
        <f>J113*L12</f>
        <v>202372.65545561205</v>
      </c>
      <c r="L113" s="256">
        <f>K113/$E$110*0.2</f>
        <v>5782.0758701603445</v>
      </c>
      <c r="M113" s="23">
        <f>HLOOKUP(N$2,InflationTable,2)/HLOOKUP($D113,InflationTable,2)*$C113</f>
        <v>452.618412201799</v>
      </c>
      <c r="N113" s="84">
        <f>M113*O12</f>
        <v>210467.56167383655</v>
      </c>
      <c r="O113" s="77">
        <f>N113/$E$110*0.2</f>
        <v>6013.3589049667589</v>
      </c>
      <c r="P113" s="229">
        <f>HLOOKUP(Q$2,InflationTable,2)/HLOOKUP($D113,InflationTable,2)*$C113</f>
        <v>461.67078044583496</v>
      </c>
      <c r="Q113" s="295">
        <f>P113*R12</f>
        <v>214676.91290731326</v>
      </c>
      <c r="R113" s="256">
        <f>Q113/$E$110*0.2</f>
        <v>6133.626083066094</v>
      </c>
      <c r="S113" s="298" t="s">
        <v>12</v>
      </c>
      <c r="T113" s="299">
        <f>AVERAGE(L113,O113,R113)</f>
        <v>5976.3536193977316</v>
      </c>
      <c r="U113" s="425" t="s">
        <v>12</v>
      </c>
    </row>
    <row r="114" spans="1:21" ht="13" x14ac:dyDescent="0.3">
      <c r="A114" s="510"/>
      <c r="B114" s="1"/>
      <c r="I114" s="32" t="s">
        <v>61</v>
      </c>
      <c r="J114" s="227" t="s">
        <v>61</v>
      </c>
      <c r="K114" s="1167" t="s">
        <v>57</v>
      </c>
      <c r="L114" s="1168"/>
      <c r="M114" s="50" t="s">
        <v>61</v>
      </c>
      <c r="N114" s="1177" t="s">
        <v>57</v>
      </c>
      <c r="O114" s="1181"/>
      <c r="P114" s="266" t="s">
        <v>61</v>
      </c>
      <c r="Q114" s="1167" t="s">
        <v>57</v>
      </c>
      <c r="R114" s="1168"/>
      <c r="S114" s="95"/>
      <c r="T114" s="108"/>
      <c r="U114" s="510"/>
    </row>
    <row r="115" spans="1:21" ht="13" x14ac:dyDescent="0.3">
      <c r="A115" s="510"/>
      <c r="B115" s="497"/>
      <c r="C115" s="20" t="s">
        <v>45</v>
      </c>
      <c r="D115" s="20" t="s">
        <v>46</v>
      </c>
      <c r="E115" s="20" t="s">
        <v>47</v>
      </c>
      <c r="F115" s="20" t="s">
        <v>48</v>
      </c>
      <c r="G115" s="20" t="s">
        <v>49</v>
      </c>
      <c r="H115" s="20" t="s">
        <v>50</v>
      </c>
      <c r="I115" s="32" t="s">
        <v>13</v>
      </c>
      <c r="J115" s="210" t="s">
        <v>56</v>
      </c>
      <c r="K115" s="211" t="s">
        <v>13</v>
      </c>
      <c r="L115" s="212" t="s">
        <v>68</v>
      </c>
      <c r="M115" s="66" t="s">
        <v>56</v>
      </c>
      <c r="N115" s="20" t="s">
        <v>13</v>
      </c>
      <c r="O115" s="32" t="s">
        <v>68</v>
      </c>
      <c r="P115" s="210" t="s">
        <v>56</v>
      </c>
      <c r="Q115" s="211" t="s">
        <v>13</v>
      </c>
      <c r="R115" s="212" t="s">
        <v>68</v>
      </c>
      <c r="S115" s="95"/>
      <c r="T115" s="108"/>
      <c r="U115" s="510"/>
    </row>
    <row r="116" spans="1:21" ht="13" x14ac:dyDescent="0.3">
      <c r="A116" s="510"/>
      <c r="B116" s="887" t="s">
        <v>233</v>
      </c>
      <c r="C116" s="18">
        <v>0</v>
      </c>
      <c r="D116" s="18">
        <v>0</v>
      </c>
      <c r="E116" s="18">
        <v>0</v>
      </c>
      <c r="F116" s="18">
        <v>35</v>
      </c>
      <c r="G116" s="18">
        <v>34</v>
      </c>
      <c r="H116" s="18">
        <v>0</v>
      </c>
      <c r="I116" s="45">
        <f>SUM(C116:H116)</f>
        <v>69</v>
      </c>
      <c r="J116" s="648">
        <f>$I116*L11</f>
        <v>22.465116279069768</v>
      </c>
      <c r="K116" s="231">
        <f>J116*L$8</f>
        <v>4830</v>
      </c>
      <c r="L116" s="239">
        <f>K116</f>
        <v>4830</v>
      </c>
      <c r="M116" s="824">
        <f>$I116*O11</f>
        <v>22.465116279069768</v>
      </c>
      <c r="N116" s="58">
        <f>M116*O$8</f>
        <v>4830</v>
      </c>
      <c r="O116" s="57">
        <f>N116</f>
        <v>4830</v>
      </c>
      <c r="P116" s="648">
        <f>$I116*R11</f>
        <v>22.465116279069768</v>
      </c>
      <c r="Q116" s="231">
        <f>P116*R$8</f>
        <v>4830</v>
      </c>
      <c r="R116" s="239">
        <f>Q116</f>
        <v>4830</v>
      </c>
      <c r="S116" s="96">
        <f>AVERAGE(L116,O116,R116)</f>
        <v>4830</v>
      </c>
      <c r="T116" s="34" t="s">
        <v>12</v>
      </c>
      <c r="U116" s="863" t="s">
        <v>12</v>
      </c>
    </row>
    <row r="117" spans="1:21" ht="13.5" thickBot="1" x14ac:dyDescent="0.35">
      <c r="A117" s="510"/>
      <c r="B117" s="885" t="s">
        <v>8</v>
      </c>
      <c r="C117" s="29">
        <f>ROUND(C116*Labor!$D$3,0)</f>
        <v>0</v>
      </c>
      <c r="D117" s="29">
        <f>ROUND(D116*Labor!$D$4,0)</f>
        <v>0</v>
      </c>
      <c r="E117" s="29">
        <f>ROUND(E116*Labor!$D$5,0)</f>
        <v>0</v>
      </c>
      <c r="F117" s="29">
        <f>ROUND(F116*Labor!$D$6,0)</f>
        <v>965</v>
      </c>
      <c r="G117" s="29">
        <f>ROUND(G116*Labor!$D$7,0)</f>
        <v>1065</v>
      </c>
      <c r="H117" s="29">
        <f>ROUND(H116*Labor!$D$8,0)</f>
        <v>0</v>
      </c>
      <c r="I117" s="33">
        <f>SUM(C117:H117)</f>
        <v>2030</v>
      </c>
      <c r="J117" s="284">
        <f>HLOOKUP(K$2,InflationTable,2)/HLOOKUP(Labor!$B$11,InflationTable,2)*$I117</f>
        <v>4342.6546712802765</v>
      </c>
      <c r="K117" s="219">
        <f>J117*$L$8</f>
        <v>933670.75432525948</v>
      </c>
      <c r="L117" s="256">
        <f>K117</f>
        <v>933670.75432525948</v>
      </c>
      <c r="M117" s="169">
        <f>HLOOKUP(N$2,InflationTable,2)/HLOOKUP(Labor!$B$11,InflationTable,2)*$I117</f>
        <v>4516.3608581314884</v>
      </c>
      <c r="N117" s="55">
        <f>M117*$O$8</f>
        <v>971017.58449826995</v>
      </c>
      <c r="O117" s="77">
        <f>N117</f>
        <v>971017.58449826995</v>
      </c>
      <c r="P117" s="284">
        <f>HLOOKUP(Q$2,InflationTable,2)/HLOOKUP(Labor!$B$11,InflationTable,2)*$I117</f>
        <v>4606.688075294117</v>
      </c>
      <c r="Q117" s="219">
        <f>P117*$R$8</f>
        <v>990437.93618823518</v>
      </c>
      <c r="R117" s="256">
        <f>Q117</f>
        <v>990437.93618823518</v>
      </c>
      <c r="S117" s="103">
        <f>AVERAGE(L117,O117,R117)</f>
        <v>965042.09167058824</v>
      </c>
      <c r="T117" s="110" t="s">
        <v>12</v>
      </c>
      <c r="U117" s="864" t="s">
        <v>12</v>
      </c>
    </row>
    <row r="118" spans="1:21" ht="13" x14ac:dyDescent="0.3">
      <c r="A118" s="510"/>
      <c r="B118" s="497" t="s">
        <v>234</v>
      </c>
      <c r="C118" s="18">
        <v>0</v>
      </c>
      <c r="D118" s="18">
        <v>0</v>
      </c>
      <c r="E118" s="18">
        <v>12</v>
      </c>
      <c r="F118" s="18">
        <v>0</v>
      </c>
      <c r="G118" s="18">
        <v>0</v>
      </c>
      <c r="H118" s="18">
        <v>0</v>
      </c>
      <c r="I118" s="45">
        <f>SUM(C118:H118)</f>
        <v>12</v>
      </c>
      <c r="J118" s="213" t="s">
        <v>12</v>
      </c>
      <c r="K118" s="231">
        <f>$I118*L$12</f>
        <v>5580</v>
      </c>
      <c r="L118" s="239">
        <f>K118</f>
        <v>5580</v>
      </c>
      <c r="M118" s="51" t="s">
        <v>12</v>
      </c>
      <c r="N118" s="58">
        <f>$I118*O$12</f>
        <v>5580</v>
      </c>
      <c r="O118" s="57">
        <f>N118</f>
        <v>5580</v>
      </c>
      <c r="P118" s="213" t="s">
        <v>12</v>
      </c>
      <c r="Q118" s="231">
        <f>$I118*R$12</f>
        <v>5580</v>
      </c>
      <c r="R118" s="239">
        <f>Q118</f>
        <v>5580</v>
      </c>
      <c r="S118" s="96">
        <f>AVERAGE(L118,O118,R118)</f>
        <v>5580</v>
      </c>
      <c r="T118" s="34" t="s">
        <v>12</v>
      </c>
      <c r="U118" s="863" t="s">
        <v>12</v>
      </c>
    </row>
    <row r="119" spans="1:21" ht="13.5" thickBot="1" x14ac:dyDescent="0.35">
      <c r="A119" s="510"/>
      <c r="B119" s="885" t="s">
        <v>8</v>
      </c>
      <c r="C119" s="29">
        <f>ROUND(C118*Labor!$D$3,0)</f>
        <v>0</v>
      </c>
      <c r="D119" s="29">
        <f>ROUND(D118*Labor!$D$4,0)</f>
        <v>0</v>
      </c>
      <c r="E119" s="29">
        <f>ROUND(E118*Labor!$D$5,0)</f>
        <v>303</v>
      </c>
      <c r="F119" s="29">
        <f>ROUND(F118*Labor!$D$6,0)</f>
        <v>0</v>
      </c>
      <c r="G119" s="29">
        <f>ROUND(G118*Labor!$D$7,0)</f>
        <v>0</v>
      </c>
      <c r="H119" s="29">
        <f>ROUND(H118*Labor!$D$8,0)</f>
        <v>0</v>
      </c>
      <c r="I119" s="33">
        <f>SUM(C119:H119)</f>
        <v>303</v>
      </c>
      <c r="J119" s="284">
        <f>HLOOKUP(K$2,InflationTable,2)/HLOOKUP(Labor!$B$11,InflationTable,2)*$I119</f>
        <v>648.18934256055354</v>
      </c>
      <c r="K119" s="219">
        <f>J119*L$12</f>
        <v>301408.04429065739</v>
      </c>
      <c r="L119" s="256">
        <f>K119</f>
        <v>301408.04429065739</v>
      </c>
      <c r="M119" s="169">
        <f>HLOOKUP(N$2,InflationTable,2)/HLOOKUP(Labor!$B$11,InflationTable,2)*$I119</f>
        <v>674.11691626297579</v>
      </c>
      <c r="N119" s="55">
        <f>M119*O$12</f>
        <v>313464.36606228375</v>
      </c>
      <c r="O119" s="77">
        <f>N119</f>
        <v>313464.36606228375</v>
      </c>
      <c r="P119" s="284">
        <f>HLOOKUP(Q$2,InflationTable,2)/HLOOKUP(Labor!$B$11,InflationTable,2)*$I119</f>
        <v>687.59925458823523</v>
      </c>
      <c r="Q119" s="219">
        <f>P119*R$12</f>
        <v>319733.6533835294</v>
      </c>
      <c r="R119" s="256">
        <f>Q119</f>
        <v>319733.6533835294</v>
      </c>
      <c r="S119" s="103">
        <f>AVERAGE(L119,O119,R119)</f>
        <v>311535.35457882349</v>
      </c>
      <c r="T119" s="110" t="s">
        <v>12</v>
      </c>
      <c r="U119" s="864" t="s">
        <v>12</v>
      </c>
    </row>
    <row r="120" spans="1:21" ht="13" x14ac:dyDescent="0.3">
      <c r="A120" s="510"/>
      <c r="B120" s="1" t="s">
        <v>295</v>
      </c>
      <c r="C120" s="290">
        <v>0</v>
      </c>
      <c r="D120" s="290">
        <v>0</v>
      </c>
      <c r="E120" s="290">
        <v>0</v>
      </c>
      <c r="F120" s="290">
        <v>4</v>
      </c>
      <c r="G120" s="290">
        <v>0</v>
      </c>
      <c r="H120" s="290">
        <v>0</v>
      </c>
      <c r="I120" s="291">
        <f t="shared" ref="I120:I125" si="29">SUM(C120:H120)</f>
        <v>4</v>
      </c>
      <c r="J120" s="242" t="s">
        <v>12</v>
      </c>
      <c r="K120" s="273">
        <f>I120*SUM(L3:L6)</f>
        <v>780</v>
      </c>
      <c r="L120" s="274">
        <f t="shared" ref="L120:L127" si="30">K120</f>
        <v>780</v>
      </c>
      <c r="M120" s="53" t="s">
        <v>12</v>
      </c>
      <c r="N120" s="147">
        <f>$I120*$O$8</f>
        <v>860</v>
      </c>
      <c r="O120" s="148">
        <f t="shared" ref="O120:O127" si="31">N120</f>
        <v>860</v>
      </c>
      <c r="P120" s="242" t="s">
        <v>12</v>
      </c>
      <c r="Q120" s="273">
        <f>$I120*$O$8</f>
        <v>860</v>
      </c>
      <c r="R120" s="274">
        <f t="shared" ref="R120:R127" si="32">Q120</f>
        <v>860</v>
      </c>
      <c r="S120" s="104">
        <f t="shared" ref="S120:S125" si="33">AVERAGE(L120,O120,R120)</f>
        <v>833.33333333333337</v>
      </c>
      <c r="T120" s="34" t="s">
        <v>12</v>
      </c>
      <c r="U120" s="863" t="s">
        <v>12</v>
      </c>
    </row>
    <row r="121" spans="1:21" ht="13.5" thickBot="1" x14ac:dyDescent="0.35">
      <c r="A121" s="510"/>
      <c r="B121" s="885" t="s">
        <v>8</v>
      </c>
      <c r="C121" s="29">
        <f>ROUND(C120*Labor!$D$3,0)</f>
        <v>0</v>
      </c>
      <c r="D121" s="29">
        <f>ROUND(D120*Labor!$D$4,0)</f>
        <v>0</v>
      </c>
      <c r="E121" s="29">
        <f>ROUND(E120*Labor!$D$5,0)</f>
        <v>0</v>
      </c>
      <c r="F121" s="29">
        <f>ROUND(F120*Labor!$D$6,0)</f>
        <v>110</v>
      </c>
      <c r="G121" s="29">
        <f>ROUND(G120*Labor!$D$7,0)</f>
        <v>0</v>
      </c>
      <c r="H121" s="29">
        <f>ROUND(H120*Labor!$D$8,0)</f>
        <v>0</v>
      </c>
      <c r="I121" s="33">
        <f t="shared" si="29"/>
        <v>110</v>
      </c>
      <c r="J121" s="284">
        <f>HLOOKUP(K$2,InflationTable,2)/HLOOKUP(Labor!$B$11,InflationTable,2)*$I121</f>
        <v>235.31626297577853</v>
      </c>
      <c r="K121" s="219">
        <f>J121*SUM(L3:L6)</f>
        <v>45886.671280276816</v>
      </c>
      <c r="L121" s="256">
        <f t="shared" si="30"/>
        <v>45886.671280276816</v>
      </c>
      <c r="M121" s="169">
        <f>HLOOKUP(N$2,InflationTable,2)/HLOOKUP(Labor!$B$11,InflationTable,2)*$I121</f>
        <v>244.72891349480972</v>
      </c>
      <c r="N121" s="55">
        <f>M121*SUM(O3:O6)</f>
        <v>47722.138131487896</v>
      </c>
      <c r="O121" s="77">
        <f t="shared" si="31"/>
        <v>47722.138131487896</v>
      </c>
      <c r="P121" s="284">
        <f>HLOOKUP(Q$2,InflationTable,2)/HLOOKUP(Labor!$B$11,InflationTable,2)*$I121</f>
        <v>249.62349176470585</v>
      </c>
      <c r="Q121" s="219">
        <f>P121*SUM(R3:R6)</f>
        <v>48676.580894117636</v>
      </c>
      <c r="R121" s="256">
        <f t="shared" si="32"/>
        <v>48676.580894117636</v>
      </c>
      <c r="S121" s="140">
        <f t="shared" si="33"/>
        <v>47428.463435294114</v>
      </c>
      <c r="T121" s="93" t="s">
        <v>12</v>
      </c>
      <c r="U121" s="852" t="s">
        <v>12</v>
      </c>
    </row>
    <row r="122" spans="1:21" ht="13" x14ac:dyDescent="0.3">
      <c r="A122" s="510"/>
      <c r="B122" s="1" t="s">
        <v>296</v>
      </c>
      <c r="C122" s="290">
        <v>0</v>
      </c>
      <c r="D122" s="290">
        <v>0</v>
      </c>
      <c r="E122" s="290">
        <v>2</v>
      </c>
      <c r="F122" s="290">
        <v>2</v>
      </c>
      <c r="G122" s="290">
        <v>1</v>
      </c>
      <c r="H122" s="290">
        <v>0</v>
      </c>
      <c r="I122" s="291">
        <f>SUM(C122:H122)</f>
        <v>5</v>
      </c>
      <c r="J122" s="242" t="s">
        <v>12</v>
      </c>
      <c r="K122" s="273">
        <f>I122*L$12</f>
        <v>2325</v>
      </c>
      <c r="L122" s="274">
        <f t="shared" si="30"/>
        <v>2325</v>
      </c>
      <c r="M122" s="53" t="s">
        <v>12</v>
      </c>
      <c r="N122" s="147">
        <f>$I122*O$12</f>
        <v>2325</v>
      </c>
      <c r="O122" s="148">
        <f t="shared" si="31"/>
        <v>2325</v>
      </c>
      <c r="P122" s="242" t="s">
        <v>12</v>
      </c>
      <c r="Q122" s="273">
        <f>$I122*R$12</f>
        <v>2325</v>
      </c>
      <c r="R122" s="274">
        <f t="shared" si="32"/>
        <v>2325</v>
      </c>
      <c r="S122" s="104">
        <f>AVERAGE(L122,O122,R122)</f>
        <v>2325</v>
      </c>
      <c r="T122" s="34" t="s">
        <v>12</v>
      </c>
      <c r="U122" s="863" t="s">
        <v>12</v>
      </c>
    </row>
    <row r="123" spans="1:21" ht="13.5" thickBot="1" x14ac:dyDescent="0.35">
      <c r="A123" s="510"/>
      <c r="B123" s="885" t="s">
        <v>8</v>
      </c>
      <c r="C123" s="29">
        <f>ROUND(C122*Labor!$D$3,0)</f>
        <v>0</v>
      </c>
      <c r="D123" s="29">
        <f>ROUND(D122*Labor!$D$4,0)</f>
        <v>0</v>
      </c>
      <c r="E123" s="29">
        <f>ROUND(E122*Labor!$D$5,0)</f>
        <v>50</v>
      </c>
      <c r="F123" s="29">
        <f>ROUND(F122*Labor!$D$6,0)</f>
        <v>55</v>
      </c>
      <c r="G123" s="29">
        <f>ROUND(G122*Labor!$D$7,0)</f>
        <v>31</v>
      </c>
      <c r="H123" s="29">
        <f>ROUND(H122*Labor!$D$8,0)</f>
        <v>0</v>
      </c>
      <c r="I123" s="33">
        <f>SUM(C123:H123)</f>
        <v>136</v>
      </c>
      <c r="J123" s="284">
        <f>HLOOKUP(K$2,InflationTable,2)/HLOOKUP(Labor!$B$11,InflationTable,2)*$I123</f>
        <v>290.9364705882353</v>
      </c>
      <c r="K123" s="219">
        <f>J123*L$12</f>
        <v>135285.45882352942</v>
      </c>
      <c r="L123" s="256">
        <f t="shared" si="30"/>
        <v>135285.45882352942</v>
      </c>
      <c r="M123" s="169">
        <f>HLOOKUP(N$2,InflationTable,2)/HLOOKUP(Labor!$B$11,InflationTable,2)*$I123</f>
        <v>302.57392941176471</v>
      </c>
      <c r="N123" s="55">
        <f>M123*O$12</f>
        <v>140696.87717647059</v>
      </c>
      <c r="O123" s="77">
        <f t="shared" si="31"/>
        <v>140696.87717647059</v>
      </c>
      <c r="P123" s="284">
        <f>HLOOKUP(Q$2,InflationTable,2)/HLOOKUP(Labor!$B$11,InflationTable,2)*$I123</f>
        <v>308.62540799999999</v>
      </c>
      <c r="Q123" s="219">
        <f>P123*R$12</f>
        <v>143510.81471999999</v>
      </c>
      <c r="R123" s="256">
        <f t="shared" si="32"/>
        <v>143510.81471999999</v>
      </c>
      <c r="S123" s="140">
        <f>AVERAGE(L123,O123,R123)</f>
        <v>139831.05024000001</v>
      </c>
      <c r="T123" s="93" t="s">
        <v>12</v>
      </c>
      <c r="U123" s="852" t="s">
        <v>12</v>
      </c>
    </row>
    <row r="124" spans="1:21" ht="13" x14ac:dyDescent="0.3">
      <c r="A124" s="510"/>
      <c r="B124" s="886" t="s">
        <v>293</v>
      </c>
      <c r="C124" s="290">
        <v>0</v>
      </c>
      <c r="D124" s="290">
        <v>0</v>
      </c>
      <c r="E124" s="290">
        <v>0</v>
      </c>
      <c r="F124" s="290">
        <v>6</v>
      </c>
      <c r="G124" s="290">
        <v>6</v>
      </c>
      <c r="H124" s="290">
        <v>0</v>
      </c>
      <c r="I124" s="291">
        <f t="shared" si="29"/>
        <v>12</v>
      </c>
      <c r="J124" s="242" t="s">
        <v>12</v>
      </c>
      <c r="K124" s="273">
        <f>I124*$L$8</f>
        <v>2580</v>
      </c>
      <c r="L124" s="274">
        <f t="shared" si="30"/>
        <v>2580</v>
      </c>
      <c r="M124" s="53" t="s">
        <v>12</v>
      </c>
      <c r="N124" s="147">
        <f>$I124*$O$8</f>
        <v>2580</v>
      </c>
      <c r="O124" s="148">
        <f t="shared" si="31"/>
        <v>2580</v>
      </c>
      <c r="P124" s="242" t="s">
        <v>12</v>
      </c>
      <c r="Q124" s="273">
        <f>$I124*$O$8</f>
        <v>2580</v>
      </c>
      <c r="R124" s="274">
        <f t="shared" si="32"/>
        <v>2580</v>
      </c>
      <c r="S124" s="96">
        <f t="shared" si="33"/>
        <v>2580</v>
      </c>
      <c r="T124" s="34" t="s">
        <v>12</v>
      </c>
      <c r="U124" s="863" t="s">
        <v>12</v>
      </c>
    </row>
    <row r="125" spans="1:21" ht="13.5" thickBot="1" x14ac:dyDescent="0.35">
      <c r="A125" s="510"/>
      <c r="B125" s="885" t="s">
        <v>8</v>
      </c>
      <c r="C125" s="29">
        <f>ROUND(C124*Labor!$D$3,0)</f>
        <v>0</v>
      </c>
      <c r="D125" s="29">
        <f>ROUND(D124*Labor!$D$4,0)</f>
        <v>0</v>
      </c>
      <c r="E125" s="29">
        <f>ROUND(E124*Labor!$D$5,0)</f>
        <v>0</v>
      </c>
      <c r="F125" s="29">
        <f>ROUND(F124*Labor!$D$6,0)</f>
        <v>165</v>
      </c>
      <c r="G125" s="29">
        <f>ROUND(G124*Labor!$D$7,0)</f>
        <v>188</v>
      </c>
      <c r="H125" s="29">
        <f>ROUND(H124*Labor!$D$8,0)</f>
        <v>0</v>
      </c>
      <c r="I125" s="33">
        <f t="shared" si="29"/>
        <v>353</v>
      </c>
      <c r="J125" s="284">
        <f>HLOOKUP(K$2,InflationTable,2)/HLOOKUP(Labor!$B$11,InflationTable,2)*$I125</f>
        <v>755.15128027681658</v>
      </c>
      <c r="K125" s="219">
        <f>J125*$L$8</f>
        <v>162357.52525951556</v>
      </c>
      <c r="L125" s="256">
        <f t="shared" si="30"/>
        <v>162357.52525951556</v>
      </c>
      <c r="M125" s="169">
        <f>HLOOKUP(N$2,InflationTable,2)/HLOOKUP(Labor!$B$11,InflationTable,2)*$I125</f>
        <v>785.35733148788938</v>
      </c>
      <c r="N125" s="55">
        <f>M125*$O$8</f>
        <v>168851.82626989621</v>
      </c>
      <c r="O125" s="77">
        <f t="shared" si="31"/>
        <v>168851.82626989621</v>
      </c>
      <c r="P125" s="284">
        <f>HLOOKUP(Q$2,InflationTable,2)/HLOOKUP(Labor!$B$11,InflationTable,2)*$I125</f>
        <v>801.06447811764701</v>
      </c>
      <c r="Q125" s="219">
        <f>P125*$R$8</f>
        <v>172228.86279529412</v>
      </c>
      <c r="R125" s="256">
        <f t="shared" si="32"/>
        <v>172228.86279529412</v>
      </c>
      <c r="S125" s="103">
        <f t="shared" si="33"/>
        <v>167812.73810823529</v>
      </c>
      <c r="T125" s="110" t="s">
        <v>12</v>
      </c>
      <c r="U125" s="864" t="s">
        <v>12</v>
      </c>
    </row>
    <row r="126" spans="1:21" ht="13" x14ac:dyDescent="0.3">
      <c r="A126" s="510"/>
      <c r="B126" s="1" t="s">
        <v>294</v>
      </c>
      <c r="C126" s="290">
        <v>0</v>
      </c>
      <c r="D126" s="290">
        <v>0</v>
      </c>
      <c r="E126" s="290">
        <v>2</v>
      </c>
      <c r="F126" s="290">
        <v>2</v>
      </c>
      <c r="G126" s="290">
        <v>1</v>
      </c>
      <c r="H126" s="290">
        <v>0</v>
      </c>
      <c r="I126" s="291">
        <f>SUM(C126:H126)</f>
        <v>5</v>
      </c>
      <c r="J126" s="242" t="s">
        <v>12</v>
      </c>
      <c r="K126" s="273">
        <f>I126*L$12</f>
        <v>2325</v>
      </c>
      <c r="L126" s="274">
        <f t="shared" si="30"/>
        <v>2325</v>
      </c>
      <c r="M126" s="53" t="s">
        <v>12</v>
      </c>
      <c r="N126" s="147">
        <f>$I126*$O$8</f>
        <v>1075</v>
      </c>
      <c r="O126" s="148">
        <f t="shared" si="31"/>
        <v>1075</v>
      </c>
      <c r="P126" s="242" t="s">
        <v>12</v>
      </c>
      <c r="Q126" s="273">
        <f>$I126*$O$8</f>
        <v>1075</v>
      </c>
      <c r="R126" s="274">
        <f t="shared" si="32"/>
        <v>1075</v>
      </c>
      <c r="S126" s="96">
        <f>AVERAGE(L126,O126,R126)</f>
        <v>1491.6666666666667</v>
      </c>
      <c r="T126" s="34" t="s">
        <v>12</v>
      </c>
      <c r="U126" s="863" t="s">
        <v>12</v>
      </c>
    </row>
    <row r="127" spans="1:21" ht="13.5" thickBot="1" x14ac:dyDescent="0.35">
      <c r="A127" s="510"/>
      <c r="B127" s="885" t="s">
        <v>8</v>
      </c>
      <c r="C127" s="29">
        <f>ROUND(C126*Labor!$D$3,0)</f>
        <v>0</v>
      </c>
      <c r="D127" s="29">
        <f>ROUND(D126*Labor!$D$4,0)</f>
        <v>0</v>
      </c>
      <c r="E127" s="29">
        <f>ROUND(E126*Labor!$D$5,0)</f>
        <v>50</v>
      </c>
      <c r="F127" s="29">
        <f>ROUND(F126*Labor!$D$6,0)</f>
        <v>55</v>
      </c>
      <c r="G127" s="29">
        <f>ROUND(G126*Labor!$D$7,0)</f>
        <v>31</v>
      </c>
      <c r="H127" s="29">
        <f>ROUND(H126*Labor!$D$8,0)</f>
        <v>0</v>
      </c>
      <c r="I127" s="33">
        <f>SUM(C127:H127)</f>
        <v>136</v>
      </c>
      <c r="J127" s="284">
        <f>HLOOKUP(K$2,InflationTable,2)/HLOOKUP(Labor!$B$11,InflationTable,2)*$I127</f>
        <v>290.9364705882353</v>
      </c>
      <c r="K127" s="219">
        <f>J127*L$12</f>
        <v>135285.45882352942</v>
      </c>
      <c r="L127" s="256">
        <f t="shared" si="30"/>
        <v>135285.45882352942</v>
      </c>
      <c r="M127" s="169">
        <f>HLOOKUP(N$2,InflationTable,2)/HLOOKUP(Labor!$B$11,InflationTable,2)*$I127</f>
        <v>302.57392941176471</v>
      </c>
      <c r="N127" s="55">
        <f>M127*O$12</f>
        <v>140696.87717647059</v>
      </c>
      <c r="O127" s="77">
        <f t="shared" si="31"/>
        <v>140696.87717647059</v>
      </c>
      <c r="P127" s="284">
        <f>HLOOKUP(Q$2,InflationTable,2)/HLOOKUP(Labor!$B$11,InflationTable,2)*$I127</f>
        <v>308.62540799999999</v>
      </c>
      <c r="Q127" s="219">
        <f>P127*R$12</f>
        <v>143510.81471999999</v>
      </c>
      <c r="R127" s="256">
        <f t="shared" si="32"/>
        <v>143510.81471999999</v>
      </c>
      <c r="S127" s="103">
        <f>AVERAGE(L127,O127,R127)</f>
        <v>139831.05024000001</v>
      </c>
      <c r="T127" s="110" t="s">
        <v>12</v>
      </c>
      <c r="U127" s="864" t="s">
        <v>12</v>
      </c>
    </row>
    <row r="128" spans="1:21" ht="13" x14ac:dyDescent="0.3">
      <c r="A128" s="510"/>
      <c r="B128" s="378" t="s">
        <v>29</v>
      </c>
      <c r="C128" s="86" t="s">
        <v>45</v>
      </c>
      <c r="D128" s="86" t="s">
        <v>46</v>
      </c>
      <c r="E128" s="86" t="s">
        <v>47</v>
      </c>
      <c r="F128" s="86" t="s">
        <v>48</v>
      </c>
      <c r="G128" s="86" t="s">
        <v>49</v>
      </c>
      <c r="H128" s="86" t="s">
        <v>50</v>
      </c>
      <c r="I128" s="87" t="s">
        <v>112</v>
      </c>
      <c r="J128" s="292"/>
      <c r="K128" s="293"/>
      <c r="L128" s="296"/>
      <c r="M128" s="88" t="s">
        <v>113</v>
      </c>
      <c r="N128" s="86" t="s">
        <v>13</v>
      </c>
      <c r="O128" s="87" t="s">
        <v>68</v>
      </c>
      <c r="P128" s="292" t="s">
        <v>113</v>
      </c>
      <c r="Q128" s="293" t="s">
        <v>13</v>
      </c>
      <c r="R128" s="296" t="s">
        <v>68</v>
      </c>
      <c r="S128" s="98"/>
      <c r="T128" s="108"/>
      <c r="U128" s="510"/>
    </row>
    <row r="129" spans="1:21" x14ac:dyDescent="0.25">
      <c r="A129" s="510"/>
      <c r="B129" s="607" t="s">
        <v>51</v>
      </c>
      <c r="C129" s="18">
        <v>0</v>
      </c>
      <c r="D129" s="18">
        <v>0</v>
      </c>
      <c r="E129" s="18">
        <v>0.2</v>
      </c>
      <c r="F129" s="18">
        <v>0.3</v>
      </c>
      <c r="G129" s="18">
        <v>0</v>
      </c>
      <c r="H129" s="18">
        <v>0</v>
      </c>
      <c r="I129" s="45">
        <f>SUM(C129:H129)</f>
        <v>0.5</v>
      </c>
      <c r="J129" s="213" t="s">
        <v>12</v>
      </c>
      <c r="K129" s="262">
        <f>I129*$J$7</f>
        <v>56.5</v>
      </c>
      <c r="L129" s="239">
        <f>K129</f>
        <v>56.5</v>
      </c>
      <c r="M129" s="51" t="s">
        <v>12</v>
      </c>
      <c r="N129" s="73">
        <f>$I129*M$10</f>
        <v>0</v>
      </c>
      <c r="O129" s="57">
        <f>N129</f>
        <v>0</v>
      </c>
      <c r="P129" s="213" t="s">
        <v>12</v>
      </c>
      <c r="Q129" s="262">
        <f>$I129*P$10</f>
        <v>0</v>
      </c>
      <c r="R129" s="239">
        <f>Q129</f>
        <v>0</v>
      </c>
      <c r="S129" s="96">
        <f>AVERAGE(L129,O129,R129)</f>
        <v>18.833333333333332</v>
      </c>
      <c r="T129" s="34" t="s">
        <v>12</v>
      </c>
      <c r="U129" s="863" t="s">
        <v>12</v>
      </c>
    </row>
    <row r="130" spans="1:21" ht="13.5" thickBot="1" x14ac:dyDescent="0.35">
      <c r="A130" s="510"/>
      <c r="B130" s="884" t="s">
        <v>107</v>
      </c>
      <c r="C130" s="29">
        <f>ROUND(C129*Labor!$D$3,0)</f>
        <v>0</v>
      </c>
      <c r="D130" s="29">
        <f>ROUND(D129*Labor!$D$4,0)</f>
        <v>0</v>
      </c>
      <c r="E130" s="29">
        <f>ROUND(E129*Labor!$D$5,0)</f>
        <v>5</v>
      </c>
      <c r="F130" s="29">
        <f>ROUND(F129*Labor!$D$6,0)</f>
        <v>8</v>
      </c>
      <c r="G130" s="29">
        <f>ROUND(G129*Labor!$D$7,0)</f>
        <v>0</v>
      </c>
      <c r="H130" s="29">
        <f>ROUND(H129*Labor!$D$8,0)</f>
        <v>0</v>
      </c>
      <c r="I130" s="33">
        <f>SUM(C130:H130)</f>
        <v>13</v>
      </c>
      <c r="J130" s="284">
        <f>HLOOKUP(K$2,InflationTable,2)/HLOOKUP(Labor!$B$11,InflationTable,2)*$I130</f>
        <v>27.810103806228373</v>
      </c>
      <c r="K130" s="219">
        <f>J130*$J$7</f>
        <v>3142.541730103806</v>
      </c>
      <c r="L130" s="256">
        <f>K130</f>
        <v>3142.541730103806</v>
      </c>
      <c r="M130" s="169">
        <f>HLOOKUP(N$2,InflationTable,2)/HLOOKUP(Labor!$B$11,InflationTable,2)*$I130</f>
        <v>28.92250795847751</v>
      </c>
      <c r="N130" s="55">
        <f>M130*$M$10</f>
        <v>0</v>
      </c>
      <c r="O130" s="77">
        <f>N130</f>
        <v>0</v>
      </c>
      <c r="P130" s="284">
        <f>HLOOKUP(Q$2,InflationTable,2)/HLOOKUP(Labor!$B$11,InflationTable,2)*$I130</f>
        <v>29.500958117647055</v>
      </c>
      <c r="Q130" s="219">
        <f>P130*$P$10</f>
        <v>0</v>
      </c>
      <c r="R130" s="256">
        <f>Q130</f>
        <v>0</v>
      </c>
      <c r="S130" s="103">
        <f>AVERAGE(L130,O130,R130)</f>
        <v>1047.5139100346021</v>
      </c>
      <c r="T130" s="110" t="s">
        <v>12</v>
      </c>
      <c r="U130" s="864" t="s">
        <v>12</v>
      </c>
    </row>
    <row r="131" spans="1:21" ht="13" x14ac:dyDescent="0.3">
      <c r="A131" s="510"/>
      <c r="B131" s="378" t="s">
        <v>106</v>
      </c>
      <c r="C131" s="5"/>
      <c r="D131" s="349" t="s">
        <v>54</v>
      </c>
      <c r="E131" s="24">
        <v>5</v>
      </c>
      <c r="I131" s="87" t="s">
        <v>55</v>
      </c>
      <c r="J131" s="209"/>
      <c r="K131" s="445"/>
      <c r="L131" s="446"/>
      <c r="M131" s="130" t="s">
        <v>55</v>
      </c>
      <c r="N131" s="1179" t="s">
        <v>57</v>
      </c>
      <c r="O131" s="1180"/>
      <c r="P131" s="209" t="s">
        <v>55</v>
      </c>
      <c r="Q131" s="1176" t="s">
        <v>57</v>
      </c>
      <c r="R131" s="1184"/>
      <c r="S131" s="139"/>
      <c r="T131" s="108"/>
      <c r="U131" s="510"/>
    </row>
    <row r="132" spans="1:21" x14ac:dyDescent="0.25">
      <c r="A132" s="510"/>
      <c r="B132" s="607" t="s">
        <v>51</v>
      </c>
      <c r="C132" s="18">
        <v>0</v>
      </c>
      <c r="D132" s="18">
        <v>0</v>
      </c>
      <c r="E132" s="18">
        <v>6</v>
      </c>
      <c r="F132" s="18">
        <v>5</v>
      </c>
      <c r="G132" s="18">
        <v>5</v>
      </c>
      <c r="H132" s="18">
        <v>0</v>
      </c>
      <c r="I132" s="45">
        <f>SUM(C132:H132)</f>
        <v>16</v>
      </c>
      <c r="J132" s="213" t="s">
        <v>12</v>
      </c>
      <c r="K132" s="233">
        <f>I132*$J$7</f>
        <v>1808</v>
      </c>
      <c r="L132" s="232">
        <f>K132/$E$131</f>
        <v>361.6</v>
      </c>
      <c r="M132" s="51" t="s">
        <v>12</v>
      </c>
      <c r="N132" s="10">
        <f>$I$132*$M$10</f>
        <v>0</v>
      </c>
      <c r="O132" s="52">
        <f>N132/$E$131</f>
        <v>0</v>
      </c>
      <c r="P132" s="213" t="s">
        <v>12</v>
      </c>
      <c r="Q132" s="233">
        <f>$I$132*$P$10</f>
        <v>0</v>
      </c>
      <c r="R132" s="232">
        <f>Q132/$E$131</f>
        <v>0</v>
      </c>
      <c r="S132" s="96">
        <f>AVERAGE(L132,O132,R132)</f>
        <v>120.53333333333335</v>
      </c>
      <c r="T132" s="34" t="s">
        <v>12</v>
      </c>
      <c r="U132" s="863" t="s">
        <v>12</v>
      </c>
    </row>
    <row r="133" spans="1:21" ht="13.5" thickBot="1" x14ac:dyDescent="0.35">
      <c r="A133" s="510"/>
      <c r="B133" s="884" t="s">
        <v>105</v>
      </c>
      <c r="C133" s="29">
        <f>ROUND(C132*Labor!$D$3,0)</f>
        <v>0</v>
      </c>
      <c r="D133" s="29">
        <f>ROUND(D132*Labor!$D$4,0)</f>
        <v>0</v>
      </c>
      <c r="E133" s="29">
        <f>ROUND(E132*Labor!$D$5,0)</f>
        <v>151</v>
      </c>
      <c r="F133" s="29">
        <f>ROUND(F132*Labor!$D$6,0)</f>
        <v>138</v>
      </c>
      <c r="G133" s="29">
        <f>ROUND(G132*Labor!$D$7,0)</f>
        <v>157</v>
      </c>
      <c r="H133" s="29">
        <f>ROUND(H132*Labor!$D$8,0)</f>
        <v>0</v>
      </c>
      <c r="I133" s="33">
        <f>SUM(C133:H133)</f>
        <v>446</v>
      </c>
      <c r="J133" s="284">
        <f>HLOOKUP(K$2,InflationTable,2)/HLOOKUP(Labor!$B$11,InflationTable,2)*$I133</f>
        <v>954.10048442906566</v>
      </c>
      <c r="K133" s="219">
        <f>J133*$J$7</f>
        <v>107813.35474048441</v>
      </c>
      <c r="L133" s="220">
        <f>K133/$E$131</f>
        <v>21562.670948096882</v>
      </c>
      <c r="M133" s="169">
        <f>HLOOKUP(N$2,InflationTable,2)/HLOOKUP(Labor!$B$11,InflationTable,2)*$I133</f>
        <v>992.26450380622839</v>
      </c>
      <c r="N133" s="55">
        <f>M133*$M$10</f>
        <v>0</v>
      </c>
      <c r="O133" s="33">
        <f>N133/$E$131</f>
        <v>0</v>
      </c>
      <c r="P133" s="284">
        <f>HLOOKUP(Q$2,InflationTable,2)/HLOOKUP(Labor!$B$11,InflationTable,2)*$I133</f>
        <v>1012.1097938823528</v>
      </c>
      <c r="Q133" s="219">
        <f>P133*$P$10</f>
        <v>0</v>
      </c>
      <c r="R133" s="220">
        <f>Q133/$E$131</f>
        <v>0</v>
      </c>
      <c r="S133" s="103">
        <f>AVERAGE(L133,O133,R133)</f>
        <v>7187.5569826989604</v>
      </c>
      <c r="T133" s="110" t="s">
        <v>12</v>
      </c>
      <c r="U133" s="864" t="s">
        <v>12</v>
      </c>
    </row>
    <row r="134" spans="1:21" ht="13" x14ac:dyDescent="0.3">
      <c r="A134" s="510"/>
      <c r="B134" s="501" t="s">
        <v>66</v>
      </c>
      <c r="C134" s="36">
        <f>C116+C118+C120+C122+C124+C126+C129+C132</f>
        <v>0</v>
      </c>
      <c r="D134" s="36">
        <f t="shared" ref="D134:R134" si="34">D116+D118+D120+D122+D124+D126+D129+D132</f>
        <v>0</v>
      </c>
      <c r="E134" s="36">
        <f t="shared" si="34"/>
        <v>22.2</v>
      </c>
      <c r="F134" s="36">
        <f t="shared" si="34"/>
        <v>54.3</v>
      </c>
      <c r="G134" s="36">
        <f t="shared" si="34"/>
        <v>47</v>
      </c>
      <c r="H134" s="36">
        <f t="shared" si="34"/>
        <v>0</v>
      </c>
      <c r="I134" s="36">
        <f t="shared" si="34"/>
        <v>123.5</v>
      </c>
      <c r="J134" s="242" t="s">
        <v>12</v>
      </c>
      <c r="K134" s="235">
        <f t="shared" si="34"/>
        <v>20284.5</v>
      </c>
      <c r="L134" s="235">
        <f t="shared" si="34"/>
        <v>18838.099999999999</v>
      </c>
      <c r="M134" s="75" t="s">
        <v>12</v>
      </c>
      <c r="N134" s="28">
        <f t="shared" si="34"/>
        <v>17250</v>
      </c>
      <c r="O134" s="28">
        <f t="shared" si="34"/>
        <v>17250</v>
      </c>
      <c r="P134" s="53" t="s">
        <v>12</v>
      </c>
      <c r="Q134" s="28">
        <f t="shared" si="34"/>
        <v>17250</v>
      </c>
      <c r="R134" s="28">
        <f t="shared" si="34"/>
        <v>17250</v>
      </c>
      <c r="S134" s="122">
        <f>AVERAGE(L134,O134,R134)</f>
        <v>17779.366666666665</v>
      </c>
      <c r="T134" s="108"/>
      <c r="U134" s="510"/>
    </row>
    <row r="135" spans="1:21" ht="13.5" thickBot="1" x14ac:dyDescent="0.35">
      <c r="A135" s="510"/>
      <c r="B135" s="502" t="s">
        <v>67</v>
      </c>
      <c r="C135" s="593">
        <f>C117+C119+C121+C123+C125+C127+C130+C133</f>
        <v>0</v>
      </c>
      <c r="D135" s="593">
        <f t="shared" ref="D135:R135" si="35">D117+D119+D121+D123+D125+D127+D130+D133</f>
        <v>0</v>
      </c>
      <c r="E135" s="593">
        <f t="shared" si="35"/>
        <v>559</v>
      </c>
      <c r="F135" s="593">
        <f t="shared" si="35"/>
        <v>1496</v>
      </c>
      <c r="G135" s="593">
        <f t="shared" si="35"/>
        <v>1472</v>
      </c>
      <c r="H135" s="593">
        <f t="shared" si="35"/>
        <v>0</v>
      </c>
      <c r="I135" s="593">
        <f t="shared" si="35"/>
        <v>3527</v>
      </c>
      <c r="J135" s="759">
        <f t="shared" si="35"/>
        <v>7545.09508650519</v>
      </c>
      <c r="K135" s="759">
        <f t="shared" si="35"/>
        <v>1824849.8092733561</v>
      </c>
      <c r="L135" s="759">
        <f t="shared" si="35"/>
        <v>1738599.1254809685</v>
      </c>
      <c r="M135" s="593">
        <f t="shared" si="35"/>
        <v>7846.8988899653987</v>
      </c>
      <c r="N135" s="593">
        <f t="shared" si="35"/>
        <v>1782449.669314879</v>
      </c>
      <c r="O135" s="593">
        <f t="shared" si="35"/>
        <v>1782449.669314879</v>
      </c>
      <c r="P135" s="593">
        <f t="shared" si="35"/>
        <v>8003.8368677647059</v>
      </c>
      <c r="Q135" s="593">
        <f t="shared" si="35"/>
        <v>1818098.6627011762</v>
      </c>
      <c r="R135" s="593">
        <f t="shared" si="35"/>
        <v>1818098.6627011762</v>
      </c>
      <c r="S135" s="206">
        <f>AVERAGE(L135,O135,R135)</f>
        <v>1779715.8191656747</v>
      </c>
      <c r="T135" s="634">
        <f>SUM(T112:T113)</f>
        <v>6846.5663999999997</v>
      </c>
      <c r="U135" s="865" t="s">
        <v>12</v>
      </c>
    </row>
    <row r="136" spans="1:21" ht="13.5" thickTop="1" thickBot="1" x14ac:dyDescent="0.3">
      <c r="B136" s="513"/>
      <c r="C136" s="513"/>
      <c r="D136" s="513"/>
      <c r="E136" s="513"/>
      <c r="F136" s="513"/>
      <c r="G136" s="513"/>
      <c r="H136" s="513"/>
      <c r="I136" s="513"/>
      <c r="J136" s="513"/>
      <c r="K136" s="513"/>
      <c r="L136" s="513"/>
      <c r="M136" s="513"/>
      <c r="N136" s="513"/>
      <c r="O136" s="513"/>
      <c r="P136" s="513"/>
      <c r="Q136" s="513"/>
      <c r="R136" s="513"/>
      <c r="S136" s="513"/>
      <c r="T136" s="513"/>
      <c r="U136" s="858"/>
    </row>
    <row r="137" spans="1:21" ht="16" thickTop="1" x14ac:dyDescent="0.35">
      <c r="A137" s="510"/>
      <c r="B137" s="2" t="s">
        <v>30</v>
      </c>
      <c r="F137" s="1" t="s">
        <v>6</v>
      </c>
      <c r="G137" s="1160"/>
      <c r="H137" s="1161"/>
      <c r="I137" s="1162"/>
      <c r="J137" s="2" t="s">
        <v>30</v>
      </c>
      <c r="L137" s="31"/>
      <c r="M137" s="2" t="s">
        <v>30</v>
      </c>
      <c r="O137" s="31"/>
      <c r="P137" s="2" t="s">
        <v>30</v>
      </c>
      <c r="Q137" s="61"/>
      <c r="R137" s="62"/>
      <c r="S137" s="97"/>
      <c r="T137" s="108"/>
      <c r="U137" s="510"/>
    </row>
    <row r="138" spans="1:21" ht="13" x14ac:dyDescent="0.3">
      <c r="A138" s="510"/>
      <c r="B138" s="61"/>
      <c r="I138" s="32" t="s">
        <v>61</v>
      </c>
      <c r="J138" s="227" t="s">
        <v>61</v>
      </c>
      <c r="K138" s="1167" t="s">
        <v>57</v>
      </c>
      <c r="L138" s="1168"/>
      <c r="M138" s="50" t="s">
        <v>61</v>
      </c>
      <c r="N138" s="1177" t="s">
        <v>57</v>
      </c>
      <c r="O138" s="1181"/>
      <c r="P138" s="266" t="s">
        <v>61</v>
      </c>
      <c r="Q138" s="1176" t="s">
        <v>57</v>
      </c>
      <c r="R138" s="1184"/>
      <c r="S138" s="106"/>
      <c r="T138" s="108"/>
      <c r="U138" s="510"/>
    </row>
    <row r="139" spans="1:21" ht="13" x14ac:dyDescent="0.3">
      <c r="A139" s="510"/>
      <c r="B139" s="506" t="s">
        <v>21</v>
      </c>
      <c r="C139" s="20" t="s">
        <v>45</v>
      </c>
      <c r="D139" s="20" t="s">
        <v>46</v>
      </c>
      <c r="E139" s="20" t="s">
        <v>47</v>
      </c>
      <c r="F139" s="20" t="s">
        <v>48</v>
      </c>
      <c r="G139" s="20" t="s">
        <v>49</v>
      </c>
      <c r="H139" s="20" t="s">
        <v>50</v>
      </c>
      <c r="I139" s="32" t="s">
        <v>13</v>
      </c>
      <c r="J139" s="210" t="s">
        <v>56</v>
      </c>
      <c r="K139" s="211" t="s">
        <v>13</v>
      </c>
      <c r="L139" s="212" t="s">
        <v>68</v>
      </c>
      <c r="M139" s="66" t="s">
        <v>56</v>
      </c>
      <c r="N139" s="20" t="s">
        <v>13</v>
      </c>
      <c r="O139" s="32" t="s">
        <v>68</v>
      </c>
      <c r="P139" s="210" t="s">
        <v>56</v>
      </c>
      <c r="Q139" s="211" t="s">
        <v>13</v>
      </c>
      <c r="R139" s="212" t="s">
        <v>68</v>
      </c>
      <c r="S139" s="98"/>
      <c r="T139" s="157"/>
      <c r="U139" s="924"/>
    </row>
    <row r="140" spans="1:21" x14ac:dyDescent="0.25">
      <c r="A140" s="510"/>
      <c r="B140" s="348" t="s">
        <v>222</v>
      </c>
      <c r="C140" s="18">
        <v>0</v>
      </c>
      <c r="D140" s="18">
        <v>0</v>
      </c>
      <c r="E140" s="18">
        <v>0</v>
      </c>
      <c r="F140" s="18">
        <v>2</v>
      </c>
      <c r="G140" s="18">
        <v>2</v>
      </c>
      <c r="H140" s="18">
        <v>0</v>
      </c>
      <c r="I140" s="45">
        <f>SUM(C140:H140)</f>
        <v>4</v>
      </c>
      <c r="J140" s="213" t="s">
        <v>12</v>
      </c>
      <c r="K140" s="231">
        <f>$I140*SUM($L$3:$L$6)</f>
        <v>780</v>
      </c>
      <c r="L140" s="239">
        <f>K140</f>
        <v>780</v>
      </c>
      <c r="M140" s="51" t="s">
        <v>12</v>
      </c>
      <c r="N140" s="58">
        <f>$I140*SUM($L$3:$L$6)</f>
        <v>780</v>
      </c>
      <c r="O140" s="57">
        <f>N140</f>
        <v>780</v>
      </c>
      <c r="P140" s="213" t="s">
        <v>12</v>
      </c>
      <c r="Q140" s="231">
        <f>$I140*SUM($L$3:$L$6)</f>
        <v>780</v>
      </c>
      <c r="R140" s="239">
        <f>Q140</f>
        <v>780</v>
      </c>
      <c r="S140" s="96">
        <f t="shared" ref="S140:S151" si="36">AVERAGE(L140,O140,R140)</f>
        <v>780</v>
      </c>
      <c r="T140" s="34" t="s">
        <v>12</v>
      </c>
      <c r="U140" s="863" t="s">
        <v>12</v>
      </c>
    </row>
    <row r="141" spans="1:21" ht="13.5" thickBot="1" x14ac:dyDescent="0.35">
      <c r="A141" s="510"/>
      <c r="B141" s="884" t="s">
        <v>8</v>
      </c>
      <c r="C141" s="29">
        <f>ROUND(C140*Labor!$D$3,0)</f>
        <v>0</v>
      </c>
      <c r="D141" s="29">
        <f>ROUND(D140*Labor!$D$4,0)</f>
        <v>0</v>
      </c>
      <c r="E141" s="29">
        <f>ROUND(E140*Labor!$D$5,0)</f>
        <v>0</v>
      </c>
      <c r="F141" s="29">
        <f>ROUND(F140*Labor!$D$6,0)</f>
        <v>55</v>
      </c>
      <c r="G141" s="29">
        <f>ROUND(G140*Labor!$D$7,0)</f>
        <v>63</v>
      </c>
      <c r="H141" s="29">
        <f>ROUND(H140*Labor!$D$8,0)</f>
        <v>0</v>
      </c>
      <c r="I141" s="33">
        <f>SUM(C141:H141)</f>
        <v>118</v>
      </c>
      <c r="J141" s="284">
        <f>HLOOKUP(K$2,InflationTable,2)/HLOOKUP(Labor!$B$11,InflationTable,2)*$I141</f>
        <v>252.4301730103806</v>
      </c>
      <c r="K141" s="231">
        <f>J141*SUM($L$3:$L$6)</f>
        <v>49223.883737024218</v>
      </c>
      <c r="L141" s="256">
        <f>K141</f>
        <v>49223.883737024218</v>
      </c>
      <c r="M141" s="169">
        <f>HLOOKUP(N$2,InflationTable,2)/HLOOKUP(Labor!$B$11,InflationTable,2)*$I141</f>
        <v>262.52737993079586</v>
      </c>
      <c r="N141" s="914">
        <f>M141*SUM($L$3:$L$6)</f>
        <v>51192.839086505192</v>
      </c>
      <c r="O141" s="77">
        <f>N141</f>
        <v>51192.839086505192</v>
      </c>
      <c r="P141" s="284">
        <f>HLOOKUP(Q$2,InflationTable,2)/HLOOKUP(Labor!$B$11,InflationTable,2)*$I141</f>
        <v>267.77792752941173</v>
      </c>
      <c r="Q141" s="913">
        <f>P141*SUM($L$3:$L$6)</f>
        <v>52216.695868235285</v>
      </c>
      <c r="R141" s="256">
        <f>Q141</f>
        <v>52216.695868235285</v>
      </c>
      <c r="S141" s="103">
        <f t="shared" si="36"/>
        <v>50877.806230588234</v>
      </c>
      <c r="T141" s="110" t="s">
        <v>12</v>
      </c>
      <c r="U141" s="864" t="s">
        <v>12</v>
      </c>
    </row>
    <row r="142" spans="1:21" ht="13" x14ac:dyDescent="0.3">
      <c r="A142" s="510"/>
      <c r="B142" s="607" t="s">
        <v>223</v>
      </c>
      <c r="C142" s="20" t="s">
        <v>45</v>
      </c>
      <c r="D142" s="20" t="s">
        <v>46</v>
      </c>
      <c r="E142" s="20" t="s">
        <v>47</v>
      </c>
      <c r="F142" s="20" t="s">
        <v>48</v>
      </c>
      <c r="G142" s="20" t="s">
        <v>49</v>
      </c>
      <c r="H142" s="20" t="s">
        <v>50</v>
      </c>
      <c r="I142" s="32" t="s">
        <v>13</v>
      </c>
      <c r="J142" s="210" t="s">
        <v>56</v>
      </c>
      <c r="K142" s="211" t="s">
        <v>13</v>
      </c>
      <c r="L142" s="212" t="s">
        <v>68</v>
      </c>
      <c r="M142" s="66" t="s">
        <v>56</v>
      </c>
      <c r="N142" s="926" t="s">
        <v>13</v>
      </c>
      <c r="O142" s="32" t="s">
        <v>68</v>
      </c>
      <c r="P142" s="210" t="s">
        <v>56</v>
      </c>
      <c r="Q142" s="927" t="s">
        <v>13</v>
      </c>
      <c r="R142" s="212" t="s">
        <v>68</v>
      </c>
      <c r="S142" s="98"/>
      <c r="T142" s="108"/>
      <c r="U142" s="510"/>
    </row>
    <row r="143" spans="1:21" x14ac:dyDescent="0.25">
      <c r="A143" s="510"/>
      <c r="B143" s="509" t="s">
        <v>4</v>
      </c>
      <c r="C143" s="18">
        <v>0</v>
      </c>
      <c r="D143" s="18">
        <v>0</v>
      </c>
      <c r="E143" s="18">
        <v>0</v>
      </c>
      <c r="F143" s="18">
        <v>6</v>
      </c>
      <c r="G143" s="18">
        <v>12</v>
      </c>
      <c r="H143" s="18">
        <v>0</v>
      </c>
      <c r="I143" s="45">
        <f>SUM(C143:H143)</f>
        <v>18</v>
      </c>
      <c r="J143" s="213" t="s">
        <v>12</v>
      </c>
      <c r="K143" s="231">
        <f>$I143*L$12</f>
        <v>8370</v>
      </c>
      <c r="L143" s="239">
        <f>K143</f>
        <v>8370</v>
      </c>
      <c r="M143" s="51" t="s">
        <v>12</v>
      </c>
      <c r="N143" s="58">
        <f>$I143*O$12</f>
        <v>8370</v>
      </c>
      <c r="O143" s="57">
        <f>N143</f>
        <v>8370</v>
      </c>
      <c r="P143" s="213" t="s">
        <v>12</v>
      </c>
      <c r="Q143" s="231">
        <f>$I143*R$12</f>
        <v>8370</v>
      </c>
      <c r="R143" s="239">
        <f>Q143</f>
        <v>8370</v>
      </c>
      <c r="S143" s="96">
        <f>AVERAGE(L143,O143,R143)</f>
        <v>8370</v>
      </c>
      <c r="T143" s="34" t="s">
        <v>12</v>
      </c>
      <c r="U143" s="863" t="s">
        <v>12</v>
      </c>
    </row>
    <row r="144" spans="1:21" ht="13.5" thickBot="1" x14ac:dyDescent="0.35">
      <c r="A144" s="510"/>
      <c r="B144" s="884" t="s">
        <v>8</v>
      </c>
      <c r="C144" s="29">
        <f>ROUND(C143*Labor!$D$3,0)</f>
        <v>0</v>
      </c>
      <c r="D144" s="29">
        <f>ROUND(D143*Labor!$D$4,0)</f>
        <v>0</v>
      </c>
      <c r="E144" s="29">
        <f>ROUND(E143*Labor!$D$5,0)</f>
        <v>0</v>
      </c>
      <c r="F144" s="29">
        <f>ROUND(F143*Labor!$D$6,0)</f>
        <v>165</v>
      </c>
      <c r="G144" s="29">
        <f>ROUND(G143*Labor!$D$7,0)</f>
        <v>376</v>
      </c>
      <c r="H144" s="29">
        <f>ROUND(H143*Labor!$D$8,0)</f>
        <v>0</v>
      </c>
      <c r="I144" s="33">
        <f>SUM(C144:H144)</f>
        <v>541</v>
      </c>
      <c r="J144" s="284">
        <f>HLOOKUP(K$2,InflationTable,2)/HLOOKUP(Labor!$B$11,InflationTable,2)*$I144</f>
        <v>1157.3281660899654</v>
      </c>
      <c r="K144" s="219">
        <f>J144*L$12</f>
        <v>538157.59723183396</v>
      </c>
      <c r="L144" s="256">
        <f>K144</f>
        <v>538157.59723183396</v>
      </c>
      <c r="M144" s="169">
        <f>HLOOKUP(N$2,InflationTable,2)/HLOOKUP(Labor!$B$11,InflationTable,2)*$I144</f>
        <v>1203.6212927335641</v>
      </c>
      <c r="N144" s="55">
        <f>M144*O$12</f>
        <v>559683.90112110728</v>
      </c>
      <c r="O144" s="77">
        <f>N144</f>
        <v>559683.90112110728</v>
      </c>
      <c r="P144" s="284">
        <f>HLOOKUP(Q$2,InflationTable,2)/HLOOKUP(Labor!$B$11,InflationTable,2)*$I144</f>
        <v>1227.6937185882352</v>
      </c>
      <c r="Q144" s="219">
        <f>P144*R$12</f>
        <v>570877.57914352941</v>
      </c>
      <c r="R144" s="256">
        <f>Q144</f>
        <v>570877.57914352941</v>
      </c>
      <c r="S144" s="103">
        <f>AVERAGE(L144,O144,R144)</f>
        <v>556239.69249882351</v>
      </c>
      <c r="T144" s="110" t="s">
        <v>12</v>
      </c>
      <c r="U144" s="864" t="s">
        <v>12</v>
      </c>
    </row>
    <row r="145" spans="1:21" ht="13" x14ac:dyDescent="0.3">
      <c r="A145" s="510"/>
      <c r="B145" s="1" t="s">
        <v>219</v>
      </c>
      <c r="C145" s="915"/>
      <c r="D145" s="915"/>
      <c r="E145" s="915"/>
      <c r="F145" s="915"/>
      <c r="G145" s="915"/>
      <c r="H145" s="915"/>
      <c r="I145" s="925"/>
      <c r="J145" s="916"/>
      <c r="K145" s="917"/>
      <c r="L145" s="918"/>
      <c r="M145" s="919"/>
      <c r="N145" s="920"/>
      <c r="O145" s="921"/>
      <c r="P145" s="922"/>
      <c r="Q145" s="917"/>
      <c r="R145" s="918"/>
      <c r="S145" s="643"/>
      <c r="T145" s="81"/>
      <c r="U145" s="923"/>
    </row>
    <row r="146" spans="1:21" ht="13" x14ac:dyDescent="0.3">
      <c r="A146" s="510"/>
      <c r="B146" s="349" t="s">
        <v>221</v>
      </c>
      <c r="C146" s="290">
        <v>0</v>
      </c>
      <c r="D146" s="290">
        <v>0</v>
      </c>
      <c r="E146" s="290">
        <v>0</v>
      </c>
      <c r="F146" s="290">
        <v>0</v>
      </c>
      <c r="G146" s="290">
        <v>3</v>
      </c>
      <c r="H146" s="290">
        <v>3</v>
      </c>
      <c r="I146" s="291">
        <f>SUM(C146:H146)</f>
        <v>6</v>
      </c>
      <c r="J146" s="242" t="s">
        <v>12</v>
      </c>
      <c r="K146" s="273">
        <f>$I146*SUM(L$3:L$6)</f>
        <v>1170</v>
      </c>
      <c r="L146" s="274">
        <f>K146</f>
        <v>1170</v>
      </c>
      <c r="M146" s="53" t="s">
        <v>12</v>
      </c>
      <c r="N146" s="147">
        <f>$I146*SUM(O$3:O$6)</f>
        <v>1170</v>
      </c>
      <c r="O146" s="148">
        <f>N146</f>
        <v>1170</v>
      </c>
      <c r="P146" s="242" t="s">
        <v>12</v>
      </c>
      <c r="Q146" s="273">
        <f>$I146*SUM(R$3:R$6)</f>
        <v>1170</v>
      </c>
      <c r="R146" s="274">
        <f>Q146</f>
        <v>1170</v>
      </c>
      <c r="S146" s="96">
        <f>AVERAGE(L146,O146,R146)</f>
        <v>1170</v>
      </c>
      <c r="T146" s="34" t="s">
        <v>12</v>
      </c>
      <c r="U146" s="863" t="s">
        <v>12</v>
      </c>
    </row>
    <row r="147" spans="1:21" ht="13.5" thickBot="1" x14ac:dyDescent="0.35">
      <c r="A147" s="510"/>
      <c r="B147" s="885" t="s">
        <v>8</v>
      </c>
      <c r="C147" s="29">
        <f>ROUND(C146*Labor!$D$3,0)</f>
        <v>0</v>
      </c>
      <c r="D147" s="29">
        <f>ROUND(D146*Labor!$D$4,0)</f>
        <v>0</v>
      </c>
      <c r="E147" s="29">
        <f>ROUND(E146*Labor!$D$5,0)</f>
        <v>0</v>
      </c>
      <c r="F147" s="29">
        <f>ROUND(F146*Labor!$D$6,0)</f>
        <v>0</v>
      </c>
      <c r="G147" s="29">
        <f>ROUND(G146*Labor!$D$7,0)</f>
        <v>94</v>
      </c>
      <c r="H147" s="29">
        <f>ROUND(H146*Labor!$D$8,0)</f>
        <v>113</v>
      </c>
      <c r="I147" s="33">
        <f>SUM(C147:H147)</f>
        <v>207</v>
      </c>
      <c r="J147" s="284">
        <f>HLOOKUP(K$2,InflationTable,2)/HLOOKUP(Labor!$B$11,InflationTable,2)*$I147</f>
        <v>442.82242214532869</v>
      </c>
      <c r="K147" s="295">
        <f>J147*SUM(L$3:L$6)</f>
        <v>86350.372318339098</v>
      </c>
      <c r="L147" s="256">
        <f>K147</f>
        <v>86350.372318339098</v>
      </c>
      <c r="M147" s="169">
        <f>HLOOKUP(N$2,InflationTable,2)/HLOOKUP(Labor!$B$11,InflationTable,2)*$I147</f>
        <v>460.53531903114191</v>
      </c>
      <c r="N147" s="84">
        <f>M147*SUM(O$3:O$6)</f>
        <v>89804.387211072666</v>
      </c>
      <c r="O147" s="77">
        <f>N147</f>
        <v>89804.387211072666</v>
      </c>
      <c r="P147" s="284">
        <f>HLOOKUP(Q$2,InflationTable,2)/HLOOKUP(Labor!$B$11,InflationTable,2)*$I147</f>
        <v>469.74602541176466</v>
      </c>
      <c r="Q147" s="295">
        <f>P147*SUM(R$3:R$6)</f>
        <v>91600.474955294107</v>
      </c>
      <c r="R147" s="256">
        <f>Q147</f>
        <v>91600.474955294107</v>
      </c>
      <c r="S147" s="103">
        <f>AVERAGE(L147,O147,R147)</f>
        <v>89251.744828235285</v>
      </c>
      <c r="T147" s="110" t="s">
        <v>12</v>
      </c>
      <c r="U147" s="864" t="s">
        <v>12</v>
      </c>
    </row>
    <row r="148" spans="1:21" ht="13" x14ac:dyDescent="0.3">
      <c r="A148" s="510"/>
      <c r="B148" s="349" t="s">
        <v>220</v>
      </c>
      <c r="C148" s="290">
        <v>0</v>
      </c>
      <c r="D148" s="290">
        <v>0</v>
      </c>
      <c r="E148" s="290">
        <v>0</v>
      </c>
      <c r="F148" s="290">
        <v>3</v>
      </c>
      <c r="G148" s="290">
        <v>3</v>
      </c>
      <c r="H148" s="290">
        <v>0</v>
      </c>
      <c r="I148" s="291">
        <f>SUM(C148:H148)</f>
        <v>6</v>
      </c>
      <c r="J148" s="242" t="s">
        <v>12</v>
      </c>
      <c r="K148" s="273">
        <f>$I148*L$12</f>
        <v>2790</v>
      </c>
      <c r="L148" s="274">
        <f>K148</f>
        <v>2790</v>
      </c>
      <c r="M148" s="53" t="s">
        <v>12</v>
      </c>
      <c r="N148" s="147">
        <f>$I148*O$12</f>
        <v>2790</v>
      </c>
      <c r="O148" s="148">
        <f>N148</f>
        <v>2790</v>
      </c>
      <c r="P148" s="242" t="s">
        <v>12</v>
      </c>
      <c r="Q148" s="273">
        <f>$I148*R$12</f>
        <v>2790</v>
      </c>
      <c r="R148" s="274">
        <f>Q148</f>
        <v>2790</v>
      </c>
      <c r="S148" s="96">
        <f t="shared" si="36"/>
        <v>2790</v>
      </c>
      <c r="T148" s="34" t="s">
        <v>12</v>
      </c>
      <c r="U148" s="863" t="s">
        <v>12</v>
      </c>
    </row>
    <row r="149" spans="1:21" ht="13.5" thickBot="1" x14ac:dyDescent="0.35">
      <c r="A149" s="510"/>
      <c r="B149" s="885" t="s">
        <v>8</v>
      </c>
      <c r="C149" s="29">
        <f>ROUND(C148*Labor!$D$3,0)</f>
        <v>0</v>
      </c>
      <c r="D149" s="29">
        <f>ROUND(D148*Labor!$D$4,0)</f>
        <v>0</v>
      </c>
      <c r="E149" s="29">
        <f>ROUND(E148*Labor!$D$5,0)</f>
        <v>0</v>
      </c>
      <c r="F149" s="29">
        <f>ROUND(F148*Labor!$D$6,0)</f>
        <v>83</v>
      </c>
      <c r="G149" s="29">
        <f>ROUND(G148*Labor!$D$7,0)</f>
        <v>94</v>
      </c>
      <c r="H149" s="29">
        <f>ROUND(H148*Labor!$D$8,0)</f>
        <v>0</v>
      </c>
      <c r="I149" s="33">
        <f>SUM(C149:H149)</f>
        <v>177</v>
      </c>
      <c r="J149" s="284">
        <f>HLOOKUP(K$2,InflationTable,2)/HLOOKUP(Labor!$B$11,InflationTable,2)*$I149</f>
        <v>378.6452595155709</v>
      </c>
      <c r="K149" s="219">
        <f>J149*L$12</f>
        <v>176070.04567474048</v>
      </c>
      <c r="L149" s="248">
        <f>K149</f>
        <v>176070.04567474048</v>
      </c>
      <c r="M149" s="169">
        <f>HLOOKUP(N$2,InflationTable,2)/HLOOKUP(Labor!$B$11,InflationTable,2)*$I149</f>
        <v>393.79106989619379</v>
      </c>
      <c r="N149" s="55">
        <f>M149*O$12</f>
        <v>183112.84750173011</v>
      </c>
      <c r="O149" s="33">
        <f>N149</f>
        <v>183112.84750173011</v>
      </c>
      <c r="P149" s="284">
        <f>HLOOKUP(Q$2,InflationTable,2)/HLOOKUP(Labor!$B$11,InflationTable,2)*$I149</f>
        <v>401.66689129411759</v>
      </c>
      <c r="Q149" s="219">
        <f>P149*R$12</f>
        <v>186775.10445176467</v>
      </c>
      <c r="R149" s="220">
        <f>Q149</f>
        <v>186775.10445176467</v>
      </c>
      <c r="S149" s="103">
        <f t="shared" si="36"/>
        <v>181985.99920941176</v>
      </c>
      <c r="T149" s="110" t="s">
        <v>12</v>
      </c>
      <c r="U149" s="864" t="s">
        <v>12</v>
      </c>
    </row>
    <row r="150" spans="1:21" ht="13" x14ac:dyDescent="0.3">
      <c r="A150" s="510"/>
      <c r="B150" s="501" t="s">
        <v>66</v>
      </c>
      <c r="C150" s="30">
        <f>C140+C143+C146+C148</f>
        <v>0</v>
      </c>
      <c r="D150" s="30">
        <f t="shared" ref="D150:I150" si="37">D140+D143+D146+D148</f>
        <v>0</v>
      </c>
      <c r="E150" s="30">
        <f t="shared" si="37"/>
        <v>0</v>
      </c>
      <c r="F150" s="30">
        <f t="shared" si="37"/>
        <v>11</v>
      </c>
      <c r="G150" s="30">
        <f t="shared" si="37"/>
        <v>20</v>
      </c>
      <c r="H150" s="30">
        <f t="shared" si="37"/>
        <v>3</v>
      </c>
      <c r="I150" s="30">
        <f t="shared" si="37"/>
        <v>34</v>
      </c>
      <c r="J150" s="249" t="s">
        <v>12</v>
      </c>
      <c r="K150" s="28">
        <f>K140+K143+K146+K148</f>
        <v>13110</v>
      </c>
      <c r="L150" s="915">
        <f>L140+L143+L146+L148</f>
        <v>13110</v>
      </c>
      <c r="M150" s="70" t="s">
        <v>12</v>
      </c>
      <c r="N150" s="30">
        <f>N140+N143+N146+N148</f>
        <v>13110</v>
      </c>
      <c r="O150" s="30">
        <f>O140+O143+O146+O148</f>
        <v>13110</v>
      </c>
      <c r="P150" s="249" t="s">
        <v>12</v>
      </c>
      <c r="Q150" s="267">
        <f>Q140+Q143+Q146+Q148</f>
        <v>13110</v>
      </c>
      <c r="R150" s="267">
        <f>R140+R143+R146+R148</f>
        <v>13110</v>
      </c>
      <c r="S150" s="96">
        <f t="shared" si="36"/>
        <v>13110</v>
      </c>
      <c r="T150" s="34" t="s">
        <v>12</v>
      </c>
      <c r="U150" s="863" t="s">
        <v>12</v>
      </c>
    </row>
    <row r="151" spans="1:21" ht="13.5" thickBot="1" x14ac:dyDescent="0.35">
      <c r="A151" s="510"/>
      <c r="B151" s="502" t="s">
        <v>67</v>
      </c>
      <c r="C151" s="194">
        <f>C141+C144+C147+C149</f>
        <v>0</v>
      </c>
      <c r="D151" s="194">
        <f t="shared" ref="D151:I151" si="38">D141+D144+D147+D149</f>
        <v>0</v>
      </c>
      <c r="E151" s="194">
        <f t="shared" si="38"/>
        <v>0</v>
      </c>
      <c r="F151" s="194">
        <f t="shared" si="38"/>
        <v>303</v>
      </c>
      <c r="G151" s="194">
        <f t="shared" si="38"/>
        <v>627</v>
      </c>
      <c r="H151" s="194">
        <f t="shared" si="38"/>
        <v>113</v>
      </c>
      <c r="I151" s="194">
        <f t="shared" si="38"/>
        <v>1043</v>
      </c>
      <c r="J151" s="194" t="s">
        <v>12</v>
      </c>
      <c r="K151" s="194">
        <f>K141+K144+K147+K149</f>
        <v>849801.89896193775</v>
      </c>
      <c r="L151" s="194">
        <f>L141+L144+L147+L149</f>
        <v>849801.89896193775</v>
      </c>
      <c r="M151" s="194" t="s">
        <v>12</v>
      </c>
      <c r="N151" s="194">
        <f>N141+N144+N147+N149</f>
        <v>883793.97492041532</v>
      </c>
      <c r="O151" s="194">
        <f>O141+O144+O147+O149</f>
        <v>883793.97492041532</v>
      </c>
      <c r="P151" s="225" t="s">
        <v>12</v>
      </c>
      <c r="Q151" s="225">
        <f>Q141+Q144+Q147+Q149</f>
        <v>901469.8544188235</v>
      </c>
      <c r="R151" s="225">
        <f>R141+R144+R147+R149</f>
        <v>901469.8544188235</v>
      </c>
      <c r="S151" s="206">
        <f t="shared" si="36"/>
        <v>878355.24276705889</v>
      </c>
      <c r="T151" s="208" t="s">
        <v>12</v>
      </c>
      <c r="U151" s="866" t="s">
        <v>12</v>
      </c>
    </row>
    <row r="152" spans="1:21" ht="13" thickTop="1" x14ac:dyDescent="0.25">
      <c r="F152"/>
      <c r="Q152" s="849"/>
      <c r="R152" s="849"/>
      <c r="S152" s="849"/>
      <c r="T152" s="849"/>
      <c r="U152" s="849"/>
    </row>
    <row r="153" spans="1:21" ht="13" thickBot="1" x14ac:dyDescent="0.3">
      <c r="B153" s="335"/>
      <c r="D153" s="335"/>
      <c r="E153" s="335"/>
      <c r="F153" s="335"/>
      <c r="G153" s="335"/>
      <c r="H153" s="335"/>
      <c r="I153" s="335"/>
      <c r="J153" s="335"/>
      <c r="K153" s="335"/>
      <c r="L153" s="335"/>
      <c r="M153" s="335"/>
      <c r="N153" s="335"/>
      <c r="O153" s="335"/>
      <c r="P153" s="335"/>
      <c r="Q153" s="335"/>
      <c r="R153" s="335"/>
      <c r="S153" s="335"/>
      <c r="T153" s="335"/>
      <c r="U153" s="335"/>
    </row>
    <row r="154" spans="1:21" ht="19" thickTop="1" thickBot="1" x14ac:dyDescent="0.45">
      <c r="A154" s="510"/>
      <c r="B154" s="496" t="s">
        <v>121</v>
      </c>
      <c r="C154" s="188" t="str">
        <f>C2</f>
        <v>PM10</v>
      </c>
      <c r="E154" s="3"/>
      <c r="F154" s="9"/>
      <c r="G154" s="3"/>
      <c r="H154" s="3"/>
      <c r="I154" s="35"/>
      <c r="J154" s="67" t="str">
        <f>J2</f>
        <v>Year 1</v>
      </c>
      <c r="K154" s="67">
        <f>K2</f>
        <v>2023</v>
      </c>
      <c r="L154" s="35"/>
      <c r="M154" s="67" t="str">
        <f>M2</f>
        <v>Year 2</v>
      </c>
      <c r="N154" s="67">
        <f>N2</f>
        <v>2024</v>
      </c>
      <c r="O154" s="35"/>
      <c r="P154" s="67" t="str">
        <f>P2</f>
        <v>Year 3</v>
      </c>
      <c r="Q154" s="67">
        <f>Q2</f>
        <v>2025</v>
      </c>
      <c r="R154" s="35"/>
      <c r="S154" s="97"/>
      <c r="T154" s="108"/>
      <c r="U154" s="414"/>
    </row>
    <row r="155" spans="1:21" ht="13.5" thickBot="1" x14ac:dyDescent="0.35">
      <c r="A155" s="510"/>
      <c r="C155" s="152" t="s">
        <v>45</v>
      </c>
      <c r="D155" s="149" t="s">
        <v>46</v>
      </c>
      <c r="E155" s="149" t="s">
        <v>47</v>
      </c>
      <c r="F155" s="160" t="s">
        <v>48</v>
      </c>
      <c r="G155" s="151" t="s">
        <v>49</v>
      </c>
      <c r="H155" s="149" t="s">
        <v>50</v>
      </c>
      <c r="I155" s="150" t="s">
        <v>13</v>
      </c>
      <c r="J155" s="270" t="s">
        <v>56</v>
      </c>
      <c r="K155" s="271" t="s">
        <v>13</v>
      </c>
      <c r="L155" s="272" t="s">
        <v>68</v>
      </c>
      <c r="M155" s="151" t="s">
        <v>56</v>
      </c>
      <c r="N155" s="149" t="s">
        <v>13</v>
      </c>
      <c r="O155" s="150" t="s">
        <v>68</v>
      </c>
      <c r="P155" s="270" t="s">
        <v>56</v>
      </c>
      <c r="Q155" s="271" t="s">
        <v>13</v>
      </c>
      <c r="R155" s="272" t="s">
        <v>68</v>
      </c>
      <c r="S155" s="928"/>
      <c r="T155" s="105"/>
      <c r="U155" s="181"/>
    </row>
    <row r="156" spans="1:21" ht="13" x14ac:dyDescent="0.3">
      <c r="A156" s="510"/>
      <c r="B156" s="877" t="s">
        <v>97</v>
      </c>
      <c r="C156" s="155">
        <f t="shared" ref="C156:S156" si="39">C24</f>
        <v>0</v>
      </c>
      <c r="D156" s="147">
        <f t="shared" si="39"/>
        <v>6</v>
      </c>
      <c r="E156" s="147">
        <f t="shared" si="39"/>
        <v>2</v>
      </c>
      <c r="F156" s="147">
        <f t="shared" si="39"/>
        <v>12</v>
      </c>
      <c r="G156" s="147">
        <f t="shared" si="39"/>
        <v>10</v>
      </c>
      <c r="H156" s="147">
        <f t="shared" si="39"/>
        <v>10</v>
      </c>
      <c r="I156" s="148">
        <f t="shared" si="39"/>
        <v>40</v>
      </c>
      <c r="J156" s="234" t="str">
        <f t="shared" si="39"/>
        <v>NA</v>
      </c>
      <c r="K156" s="273">
        <f t="shared" si="39"/>
        <v>4520</v>
      </c>
      <c r="L156" s="274">
        <f t="shared" si="39"/>
        <v>645.71428571428567</v>
      </c>
      <c r="M156" s="38" t="str">
        <f t="shared" si="39"/>
        <v>NA</v>
      </c>
      <c r="N156" s="147">
        <f t="shared" si="39"/>
        <v>4520</v>
      </c>
      <c r="O156" s="148">
        <f t="shared" si="39"/>
        <v>645.71428571428567</v>
      </c>
      <c r="P156" s="234" t="str">
        <f t="shared" si="39"/>
        <v>NA</v>
      </c>
      <c r="Q156" s="273">
        <f t="shared" si="39"/>
        <v>1130</v>
      </c>
      <c r="R156" s="274">
        <f t="shared" si="39"/>
        <v>161.42857142857142</v>
      </c>
      <c r="S156" s="148">
        <f t="shared" si="39"/>
        <v>484.28571428571422</v>
      </c>
      <c r="T156" s="31"/>
      <c r="U156" s="182"/>
    </row>
    <row r="157" spans="1:21" ht="13.5" thickBot="1" x14ac:dyDescent="0.35">
      <c r="A157" s="510"/>
      <c r="B157" s="878" t="s">
        <v>76</v>
      </c>
      <c r="C157" s="161">
        <f t="shared" ref="C157:S157" si="40">C25</f>
        <v>0</v>
      </c>
      <c r="D157" s="162">
        <f t="shared" si="40"/>
        <v>145</v>
      </c>
      <c r="E157" s="162">
        <f t="shared" si="40"/>
        <v>50</v>
      </c>
      <c r="F157" s="162">
        <f t="shared" si="40"/>
        <v>331</v>
      </c>
      <c r="G157" s="162">
        <f t="shared" si="40"/>
        <v>313</v>
      </c>
      <c r="H157" s="162">
        <f t="shared" si="40"/>
        <v>378</v>
      </c>
      <c r="I157" s="163">
        <f t="shared" si="40"/>
        <v>1217</v>
      </c>
      <c r="J157" s="275">
        <f t="shared" si="40"/>
        <v>2603.4535640138406</v>
      </c>
      <c r="K157" s="276">
        <f t="shared" si="40"/>
        <v>294190.252733564</v>
      </c>
      <c r="L157" s="277">
        <f t="shared" si="40"/>
        <v>42027.178961937709</v>
      </c>
      <c r="M157" s="161">
        <f t="shared" si="40"/>
        <v>2707.5917065743947</v>
      </c>
      <c r="N157" s="162">
        <f t="shared" si="40"/>
        <v>305957.86284290662</v>
      </c>
      <c r="O157" s="163">
        <f t="shared" si="40"/>
        <v>43708.266120415225</v>
      </c>
      <c r="P157" s="275">
        <f t="shared" si="40"/>
        <v>2761.743540705882</v>
      </c>
      <c r="Q157" s="276">
        <f t="shared" si="40"/>
        <v>312077.02009976469</v>
      </c>
      <c r="R157" s="277">
        <f t="shared" si="40"/>
        <v>44582.431442823523</v>
      </c>
      <c r="S157" s="163">
        <f t="shared" si="40"/>
        <v>43439.292175058821</v>
      </c>
      <c r="T157" s="164" t="str">
        <f>T25</f>
        <v>NA</v>
      </c>
      <c r="U157" s="183" t="s">
        <v>12</v>
      </c>
    </row>
    <row r="158" spans="1:21" ht="13" x14ac:dyDescent="0.3">
      <c r="A158" s="510"/>
      <c r="B158" s="379" t="s">
        <v>98</v>
      </c>
      <c r="C158" s="155">
        <f t="shared" ref="C158:S158" si="41">C43</f>
        <v>0</v>
      </c>
      <c r="D158" s="147">
        <f t="shared" si="41"/>
        <v>4</v>
      </c>
      <c r="E158" s="147">
        <f t="shared" si="41"/>
        <v>4</v>
      </c>
      <c r="F158" s="147">
        <f t="shared" si="41"/>
        <v>0</v>
      </c>
      <c r="G158" s="147">
        <f t="shared" si="41"/>
        <v>0</v>
      </c>
      <c r="H158" s="147">
        <f t="shared" si="41"/>
        <v>0</v>
      </c>
      <c r="I158" s="148">
        <f t="shared" si="41"/>
        <v>8</v>
      </c>
      <c r="J158" s="234" t="str">
        <f t="shared" si="41"/>
        <v>NA</v>
      </c>
      <c r="K158" s="273">
        <f t="shared" si="41"/>
        <v>3695.78</v>
      </c>
      <c r="L158" s="274">
        <f t="shared" si="41"/>
        <v>1192.2542857142857</v>
      </c>
      <c r="M158" s="38" t="str">
        <f t="shared" si="41"/>
        <v>NA</v>
      </c>
      <c r="N158" s="147">
        <f t="shared" si="41"/>
        <v>3695.78</v>
      </c>
      <c r="O158" s="148">
        <f t="shared" si="41"/>
        <v>1192.2542857142857</v>
      </c>
      <c r="P158" s="234" t="str">
        <f t="shared" si="41"/>
        <v>NA</v>
      </c>
      <c r="Q158" s="273">
        <f t="shared" si="41"/>
        <v>3695.78</v>
      </c>
      <c r="R158" s="274">
        <f t="shared" si="41"/>
        <v>1192.2542857142857</v>
      </c>
      <c r="S158" s="148">
        <f t="shared" si="41"/>
        <v>1192.2542857142857</v>
      </c>
      <c r="T158" s="31"/>
      <c r="U158" s="182"/>
    </row>
    <row r="159" spans="1:21" ht="13.5" thickBot="1" x14ac:dyDescent="0.35">
      <c r="A159" s="510"/>
      <c r="B159" s="878" t="s">
        <v>76</v>
      </c>
      <c r="C159" s="165">
        <f t="shared" ref="C159:S159" si="42">C44</f>
        <v>0</v>
      </c>
      <c r="D159" s="166">
        <f t="shared" si="42"/>
        <v>97</v>
      </c>
      <c r="E159" s="166">
        <f t="shared" si="42"/>
        <v>101</v>
      </c>
      <c r="F159" s="166">
        <f t="shared" si="42"/>
        <v>0</v>
      </c>
      <c r="G159" s="166">
        <f t="shared" si="42"/>
        <v>0</v>
      </c>
      <c r="H159" s="166">
        <f t="shared" si="42"/>
        <v>0</v>
      </c>
      <c r="I159" s="167">
        <f t="shared" si="42"/>
        <v>198</v>
      </c>
      <c r="J159" s="278">
        <f t="shared" si="42"/>
        <v>31357.80832089941</v>
      </c>
      <c r="K159" s="245">
        <f t="shared" si="42"/>
        <v>13439785.565018341</v>
      </c>
      <c r="L159" s="246">
        <f t="shared" si="42"/>
        <v>1981473.0035058884</v>
      </c>
      <c r="M159" s="165">
        <f t="shared" si="42"/>
        <v>32612.120653735379</v>
      </c>
      <c r="N159" s="166">
        <f t="shared" si="42"/>
        <v>13911611.919179494</v>
      </c>
      <c r="O159" s="167">
        <f t="shared" si="42"/>
        <v>2051336.9138690413</v>
      </c>
      <c r="P159" s="278">
        <f t="shared" si="42"/>
        <v>33264.363066810096</v>
      </c>
      <c r="Q159" s="245">
        <f t="shared" si="42"/>
        <v>14156961.623343294</v>
      </c>
      <c r="R159" s="246">
        <f t="shared" si="42"/>
        <v>2087666.147257881</v>
      </c>
      <c r="S159" s="167">
        <f t="shared" si="42"/>
        <v>69744.462039642356</v>
      </c>
      <c r="T159" s="168" t="str">
        <f>T44</f>
        <v>NA</v>
      </c>
      <c r="U159" s="184">
        <f>U44</f>
        <v>1970414.2261712947</v>
      </c>
    </row>
    <row r="160" spans="1:21" ht="13" x14ac:dyDescent="0.3">
      <c r="A160" s="510"/>
      <c r="B160" s="379" t="s">
        <v>96</v>
      </c>
      <c r="C160" s="156">
        <f t="shared" ref="C160:S160" si="43">C61</f>
        <v>0</v>
      </c>
      <c r="D160" s="21">
        <f t="shared" si="43"/>
        <v>84</v>
      </c>
      <c r="E160" s="21">
        <f t="shared" si="43"/>
        <v>169</v>
      </c>
      <c r="F160" s="21">
        <f t="shared" si="43"/>
        <v>127</v>
      </c>
      <c r="G160" s="21">
        <f t="shared" si="43"/>
        <v>0</v>
      </c>
      <c r="H160" s="21">
        <f t="shared" si="43"/>
        <v>0</v>
      </c>
      <c r="I160" s="157">
        <f t="shared" si="43"/>
        <v>380</v>
      </c>
      <c r="J160" s="234" t="str">
        <f t="shared" si="43"/>
        <v>NA</v>
      </c>
      <c r="K160" s="273">
        <f t="shared" si="43"/>
        <v>56897.302325581397</v>
      </c>
      <c r="L160" s="274">
        <f t="shared" si="43"/>
        <v>56897.302325581397</v>
      </c>
      <c r="M160" s="38" t="str">
        <f t="shared" si="43"/>
        <v>NA</v>
      </c>
      <c r="N160" s="147">
        <f t="shared" si="43"/>
        <v>48897.302325581397</v>
      </c>
      <c r="O160" s="148">
        <f t="shared" si="43"/>
        <v>48897.302325581397</v>
      </c>
      <c r="P160" s="234" t="str">
        <f t="shared" si="43"/>
        <v>NA</v>
      </c>
      <c r="Q160" s="273">
        <f t="shared" si="43"/>
        <v>48897.302325581397</v>
      </c>
      <c r="R160" s="274">
        <f t="shared" si="43"/>
        <v>48897.302325581397</v>
      </c>
      <c r="S160" s="148">
        <f t="shared" si="43"/>
        <v>9546.6666666666661</v>
      </c>
      <c r="T160" s="34" t="str">
        <f>T30</f>
        <v>NA</v>
      </c>
      <c r="U160" s="185" t="s">
        <v>12</v>
      </c>
    </row>
    <row r="161" spans="1:21" ht="13.5" thickBot="1" x14ac:dyDescent="0.35">
      <c r="A161" s="510"/>
      <c r="B161" s="878" t="s">
        <v>76</v>
      </c>
      <c r="C161" s="169">
        <f t="shared" ref="C161:S161" si="44">C62</f>
        <v>0</v>
      </c>
      <c r="D161" s="166">
        <f t="shared" si="44"/>
        <v>2033</v>
      </c>
      <c r="E161" s="166">
        <f t="shared" si="44"/>
        <v>4262</v>
      </c>
      <c r="F161" s="166">
        <f t="shared" si="44"/>
        <v>3501</v>
      </c>
      <c r="G161" s="166">
        <f t="shared" si="44"/>
        <v>0</v>
      </c>
      <c r="H161" s="166">
        <f t="shared" si="44"/>
        <v>0</v>
      </c>
      <c r="I161" s="167">
        <f t="shared" si="44"/>
        <v>9796</v>
      </c>
      <c r="J161" s="278">
        <f t="shared" si="44"/>
        <v>20955.98283737024</v>
      </c>
      <c r="K161" s="245">
        <f t="shared" si="44"/>
        <v>3771514.2909342558</v>
      </c>
      <c r="L161" s="246">
        <f t="shared" si="44"/>
        <v>3771514.2909342558</v>
      </c>
      <c r="M161" s="165">
        <f t="shared" si="44"/>
        <v>21794.222150865051</v>
      </c>
      <c r="N161" s="166">
        <f t="shared" si="44"/>
        <v>3470738.776758478</v>
      </c>
      <c r="O161" s="167">
        <f t="shared" si="44"/>
        <v>3470738.776758478</v>
      </c>
      <c r="P161" s="278">
        <f t="shared" si="44"/>
        <v>22230.106593882352</v>
      </c>
      <c r="Q161" s="245">
        <f t="shared" si="44"/>
        <v>3540153.5522936466</v>
      </c>
      <c r="R161" s="246">
        <f t="shared" si="44"/>
        <v>3540153.5522936466</v>
      </c>
      <c r="S161" s="167">
        <f t="shared" si="44"/>
        <v>3594135.5399954598</v>
      </c>
      <c r="T161" s="167">
        <f>T62</f>
        <v>757866.75763139932</v>
      </c>
      <c r="U161" s="183" t="s">
        <v>12</v>
      </c>
    </row>
    <row r="162" spans="1:21" ht="13" x14ac:dyDescent="0.3">
      <c r="A162" s="510"/>
      <c r="B162" s="379" t="s">
        <v>99</v>
      </c>
      <c r="C162" s="156">
        <f t="shared" ref="C162:S162" si="45">C78</f>
        <v>0</v>
      </c>
      <c r="D162" s="21">
        <f t="shared" si="45"/>
        <v>85</v>
      </c>
      <c r="E162" s="21">
        <f t="shared" si="45"/>
        <v>50</v>
      </c>
      <c r="F162" s="21">
        <f t="shared" si="45"/>
        <v>25</v>
      </c>
      <c r="G162" s="21">
        <f t="shared" si="45"/>
        <v>0</v>
      </c>
      <c r="H162" s="21">
        <f t="shared" si="45"/>
        <v>0</v>
      </c>
      <c r="I162" s="157">
        <f t="shared" si="45"/>
        <v>160</v>
      </c>
      <c r="J162" s="234" t="str">
        <f t="shared" si="45"/>
        <v>NA</v>
      </c>
      <c r="K162" s="273">
        <f t="shared" si="45"/>
        <v>11200</v>
      </c>
      <c r="L162" s="274">
        <f t="shared" si="45"/>
        <v>11200</v>
      </c>
      <c r="M162" s="38" t="str">
        <f t="shared" si="45"/>
        <v>NA</v>
      </c>
      <c r="N162" s="147">
        <f t="shared" si="45"/>
        <v>11200</v>
      </c>
      <c r="O162" s="148">
        <f t="shared" si="45"/>
        <v>11200</v>
      </c>
      <c r="P162" s="234" t="str">
        <f t="shared" si="45"/>
        <v>NA</v>
      </c>
      <c r="Q162" s="273">
        <f t="shared" si="45"/>
        <v>11200</v>
      </c>
      <c r="R162" s="274">
        <f t="shared" si="45"/>
        <v>11200</v>
      </c>
      <c r="S162" s="148">
        <f t="shared" si="45"/>
        <v>11200</v>
      </c>
      <c r="T162" s="31"/>
      <c r="U162" s="182"/>
    </row>
    <row r="163" spans="1:21" ht="13.5" thickBot="1" x14ac:dyDescent="0.35">
      <c r="A163" s="510"/>
      <c r="B163" s="878" t="s">
        <v>76</v>
      </c>
      <c r="C163" s="165">
        <f t="shared" ref="C163:S163" si="46">C79</f>
        <v>0</v>
      </c>
      <c r="D163" s="166">
        <f t="shared" si="46"/>
        <v>2057</v>
      </c>
      <c r="E163" s="166">
        <f t="shared" si="46"/>
        <v>1261</v>
      </c>
      <c r="F163" s="166">
        <f t="shared" si="46"/>
        <v>689</v>
      </c>
      <c r="G163" s="166">
        <f t="shared" si="46"/>
        <v>0</v>
      </c>
      <c r="H163" s="166">
        <f t="shared" si="46"/>
        <v>0</v>
      </c>
      <c r="I163" s="167">
        <f t="shared" si="46"/>
        <v>4957</v>
      </c>
      <c r="J163" s="278">
        <f t="shared" si="46"/>
        <v>9720.4005528754078</v>
      </c>
      <c r="K163" s="245">
        <f t="shared" si="46"/>
        <v>2089886.1188682127</v>
      </c>
      <c r="L163" s="246">
        <f t="shared" si="46"/>
        <v>2089886.1188682127</v>
      </c>
      <c r="M163" s="169">
        <f t="shared" si="46"/>
        <v>10109.216574990425</v>
      </c>
      <c r="N163" s="166">
        <f t="shared" si="46"/>
        <v>2173481.5636229417</v>
      </c>
      <c r="O163" s="167">
        <f t="shared" si="46"/>
        <v>2173481.5636229417</v>
      </c>
      <c r="P163" s="278">
        <f t="shared" si="46"/>
        <v>10311.400906490233</v>
      </c>
      <c r="Q163" s="245">
        <f t="shared" si="46"/>
        <v>2216951.1948954002</v>
      </c>
      <c r="R163" s="246">
        <f t="shared" si="46"/>
        <v>2216951.1948954002</v>
      </c>
      <c r="S163" s="167">
        <f t="shared" si="46"/>
        <v>1904888.503115294</v>
      </c>
      <c r="T163" s="167">
        <f>T79</f>
        <v>577691.87006022688</v>
      </c>
      <c r="U163" s="628" t="s">
        <v>12</v>
      </c>
    </row>
    <row r="164" spans="1:21" ht="13" x14ac:dyDescent="0.3">
      <c r="A164" s="510"/>
      <c r="B164" s="379" t="s">
        <v>100</v>
      </c>
      <c r="C164" s="156">
        <f t="shared" ref="C164:U164" si="47">C105</f>
        <v>0</v>
      </c>
      <c r="D164" s="21">
        <f t="shared" si="47"/>
        <v>0.5</v>
      </c>
      <c r="E164" s="21">
        <f t="shared" si="47"/>
        <v>146</v>
      </c>
      <c r="F164" s="21">
        <f t="shared" si="47"/>
        <v>151</v>
      </c>
      <c r="G164" s="21">
        <f t="shared" si="47"/>
        <v>50</v>
      </c>
      <c r="H164" s="21">
        <f t="shared" si="47"/>
        <v>0</v>
      </c>
      <c r="I164" s="157">
        <f t="shared" si="47"/>
        <v>347.5</v>
      </c>
      <c r="J164" s="234">
        <f t="shared" si="47"/>
        <v>160.01162790697674</v>
      </c>
      <c r="K164" s="273">
        <f t="shared" si="47"/>
        <v>53059.604651162794</v>
      </c>
      <c r="L164" s="274">
        <f t="shared" si="47"/>
        <v>53059.604651162794</v>
      </c>
      <c r="M164" s="38">
        <f t="shared" si="47"/>
        <v>160.01162790697674</v>
      </c>
      <c r="N164" s="147">
        <f t="shared" si="47"/>
        <v>62385</v>
      </c>
      <c r="O164" s="148">
        <f t="shared" si="47"/>
        <v>62385</v>
      </c>
      <c r="P164" s="234">
        <f t="shared" si="47"/>
        <v>160.01162790697674</v>
      </c>
      <c r="Q164" s="273">
        <f t="shared" si="47"/>
        <v>62385</v>
      </c>
      <c r="R164" s="274">
        <f t="shared" si="47"/>
        <v>62385</v>
      </c>
      <c r="S164" s="148">
        <f t="shared" si="47"/>
        <v>59276.534883720939</v>
      </c>
      <c r="T164" s="170" t="str">
        <f t="shared" si="47"/>
        <v>NA</v>
      </c>
      <c r="U164" s="867" t="str">
        <f t="shared" si="47"/>
        <v>NA</v>
      </c>
    </row>
    <row r="165" spans="1:21" ht="13.5" thickBot="1" x14ac:dyDescent="0.35">
      <c r="A165" s="510"/>
      <c r="B165" s="878" t="s">
        <v>76</v>
      </c>
      <c r="C165" s="165">
        <f t="shared" ref="C165:T165" si="48">C106</f>
        <v>0</v>
      </c>
      <c r="D165" s="166">
        <f t="shared" si="48"/>
        <v>12</v>
      </c>
      <c r="E165" s="166">
        <f t="shared" si="48"/>
        <v>3680</v>
      </c>
      <c r="F165" s="166">
        <f t="shared" si="48"/>
        <v>4163</v>
      </c>
      <c r="G165" s="166">
        <f t="shared" si="48"/>
        <v>1566</v>
      </c>
      <c r="H165" s="166">
        <f t="shared" si="48"/>
        <v>0</v>
      </c>
      <c r="I165" s="167">
        <f t="shared" si="48"/>
        <v>9421</v>
      </c>
      <c r="J165" s="278">
        <f t="shared" si="48"/>
        <v>20153.76830449827</v>
      </c>
      <c r="K165" s="245">
        <f t="shared" si="48"/>
        <v>5901427.2680968847</v>
      </c>
      <c r="L165" s="246">
        <f t="shared" si="48"/>
        <v>5901415.2680968847</v>
      </c>
      <c r="M165" s="165">
        <f t="shared" si="48"/>
        <v>20959.919036678206</v>
      </c>
      <c r="N165" s="166">
        <f t="shared" si="48"/>
        <v>5345691.525757785</v>
      </c>
      <c r="O165" s="167">
        <f t="shared" si="48"/>
        <v>5345691.525757785</v>
      </c>
      <c r="P165" s="284">
        <f t="shared" si="48"/>
        <v>21391.117417411762</v>
      </c>
      <c r="Q165" s="245">
        <f t="shared" si="48"/>
        <v>5452631.027137991</v>
      </c>
      <c r="R165" s="246">
        <f t="shared" si="48"/>
        <v>5461333.4503905866</v>
      </c>
      <c r="S165" s="167">
        <f t="shared" si="48"/>
        <v>5569480.0814150851</v>
      </c>
      <c r="T165" s="168" t="str">
        <f t="shared" si="48"/>
        <v>NA</v>
      </c>
      <c r="U165" s="183" t="s">
        <v>12</v>
      </c>
    </row>
    <row r="166" spans="1:21" ht="13" x14ac:dyDescent="0.3">
      <c r="A166" s="510"/>
      <c r="B166" s="379" t="s">
        <v>101</v>
      </c>
      <c r="C166" s="171">
        <f t="shared" ref="C166:S166" si="49">C134</f>
        <v>0</v>
      </c>
      <c r="D166" s="172">
        <f t="shared" si="49"/>
        <v>0</v>
      </c>
      <c r="E166" s="172">
        <f t="shared" si="49"/>
        <v>22.2</v>
      </c>
      <c r="F166" s="172">
        <f t="shared" si="49"/>
        <v>54.3</v>
      </c>
      <c r="G166" s="172">
        <f t="shared" si="49"/>
        <v>47</v>
      </c>
      <c r="H166" s="172">
        <f t="shared" si="49"/>
        <v>0</v>
      </c>
      <c r="I166" s="54">
        <f t="shared" si="49"/>
        <v>123.5</v>
      </c>
      <c r="J166" s="282" t="str">
        <f t="shared" si="49"/>
        <v>NA</v>
      </c>
      <c r="K166" s="263">
        <f t="shared" si="49"/>
        <v>20284.5</v>
      </c>
      <c r="L166" s="243">
        <f t="shared" si="49"/>
        <v>18838.099999999999</v>
      </c>
      <c r="M166" s="173" t="str">
        <f t="shared" si="49"/>
        <v>NA</v>
      </c>
      <c r="N166" s="36">
        <f t="shared" si="49"/>
        <v>17250</v>
      </c>
      <c r="O166" s="54">
        <f t="shared" si="49"/>
        <v>17250</v>
      </c>
      <c r="P166" s="282" t="str">
        <f t="shared" si="49"/>
        <v>NA</v>
      </c>
      <c r="Q166" s="263">
        <f t="shared" si="49"/>
        <v>17250</v>
      </c>
      <c r="R166" s="243">
        <f t="shared" si="49"/>
        <v>17250</v>
      </c>
      <c r="S166" s="54">
        <f t="shared" si="49"/>
        <v>17779.366666666665</v>
      </c>
      <c r="T166" s="42" t="s">
        <v>12</v>
      </c>
      <c r="U166" s="185" t="s">
        <v>12</v>
      </c>
    </row>
    <row r="167" spans="1:21" ht="13.5" thickBot="1" x14ac:dyDescent="0.35">
      <c r="A167" s="510"/>
      <c r="B167" s="878" t="s">
        <v>76</v>
      </c>
      <c r="C167" s="165">
        <f t="shared" ref="C167:S167" si="50">C135</f>
        <v>0</v>
      </c>
      <c r="D167" s="166">
        <f t="shared" si="50"/>
        <v>0</v>
      </c>
      <c r="E167" s="166">
        <f t="shared" si="50"/>
        <v>559</v>
      </c>
      <c r="F167" s="166">
        <f t="shared" si="50"/>
        <v>1496</v>
      </c>
      <c r="G167" s="166">
        <f t="shared" si="50"/>
        <v>1472</v>
      </c>
      <c r="H167" s="166">
        <f t="shared" si="50"/>
        <v>0</v>
      </c>
      <c r="I167" s="167">
        <f t="shared" si="50"/>
        <v>3527</v>
      </c>
      <c r="J167" s="278">
        <f t="shared" si="50"/>
        <v>7545.09508650519</v>
      </c>
      <c r="K167" s="283">
        <f t="shared" si="50"/>
        <v>1824849.8092733561</v>
      </c>
      <c r="L167" s="246">
        <f t="shared" si="50"/>
        <v>1738599.1254809685</v>
      </c>
      <c r="M167" s="169">
        <f t="shared" si="50"/>
        <v>7846.8988899653987</v>
      </c>
      <c r="N167" s="175">
        <f t="shared" si="50"/>
        <v>1782449.669314879</v>
      </c>
      <c r="O167" s="167">
        <f t="shared" si="50"/>
        <v>1782449.669314879</v>
      </c>
      <c r="P167" s="278">
        <f t="shared" si="50"/>
        <v>8003.8368677647059</v>
      </c>
      <c r="Q167" s="283">
        <f t="shared" si="50"/>
        <v>1818098.6627011762</v>
      </c>
      <c r="R167" s="246">
        <f t="shared" si="50"/>
        <v>1818098.6627011762</v>
      </c>
      <c r="S167" s="167">
        <f t="shared" si="50"/>
        <v>1779715.8191656747</v>
      </c>
      <c r="T167" s="167">
        <f>T135</f>
        <v>6846.5663999999997</v>
      </c>
      <c r="U167" s="183" t="s">
        <v>12</v>
      </c>
    </row>
    <row r="168" spans="1:21" ht="13" x14ac:dyDescent="0.3">
      <c r="A168" s="510"/>
      <c r="B168" s="379" t="s">
        <v>102</v>
      </c>
      <c r="C168" s="156">
        <f t="shared" ref="C168:S168" si="51">C150</f>
        <v>0</v>
      </c>
      <c r="D168" s="21">
        <f t="shared" si="51"/>
        <v>0</v>
      </c>
      <c r="E168" s="21">
        <f t="shared" si="51"/>
        <v>0</v>
      </c>
      <c r="F168" s="21">
        <f t="shared" si="51"/>
        <v>11</v>
      </c>
      <c r="G168" s="21">
        <f t="shared" si="51"/>
        <v>20</v>
      </c>
      <c r="H168" s="21">
        <f t="shared" si="51"/>
        <v>3</v>
      </c>
      <c r="I168" s="157">
        <f t="shared" si="51"/>
        <v>34</v>
      </c>
      <c r="J168" s="279" t="str">
        <f t="shared" si="51"/>
        <v>NA</v>
      </c>
      <c r="K168" s="280">
        <f t="shared" si="51"/>
        <v>13110</v>
      </c>
      <c r="L168" s="281">
        <f t="shared" si="51"/>
        <v>13110</v>
      </c>
      <c r="M168" s="158" t="str">
        <f t="shared" si="51"/>
        <v>NA</v>
      </c>
      <c r="N168" s="21">
        <f t="shared" si="51"/>
        <v>13110</v>
      </c>
      <c r="O168" s="157">
        <f t="shared" si="51"/>
        <v>13110</v>
      </c>
      <c r="P168" s="279" t="str">
        <f t="shared" si="51"/>
        <v>NA</v>
      </c>
      <c r="Q168" s="280">
        <f t="shared" si="51"/>
        <v>13110</v>
      </c>
      <c r="R168" s="281">
        <f t="shared" si="51"/>
        <v>13110</v>
      </c>
      <c r="S168" s="157">
        <f t="shared" si="51"/>
        <v>13110</v>
      </c>
      <c r="T168" s="42" t="s">
        <v>12</v>
      </c>
      <c r="U168" s="185" t="s">
        <v>12</v>
      </c>
    </row>
    <row r="169" spans="1:21" ht="13.5" thickBot="1" x14ac:dyDescent="0.35">
      <c r="A169" s="510"/>
      <c r="B169" s="879" t="s">
        <v>76</v>
      </c>
      <c r="C169" s="176">
        <f t="shared" ref="C169:S169" si="52">C151</f>
        <v>0</v>
      </c>
      <c r="D169" s="177">
        <f t="shared" si="52"/>
        <v>0</v>
      </c>
      <c r="E169" s="177">
        <f t="shared" si="52"/>
        <v>0</v>
      </c>
      <c r="F169" s="177">
        <f t="shared" si="52"/>
        <v>303</v>
      </c>
      <c r="G169" s="177">
        <f t="shared" si="52"/>
        <v>627</v>
      </c>
      <c r="H169" s="177">
        <f t="shared" si="52"/>
        <v>113</v>
      </c>
      <c r="I169" s="178">
        <f t="shared" si="52"/>
        <v>1043</v>
      </c>
      <c r="J169" s="252" t="str">
        <f t="shared" si="52"/>
        <v>NA</v>
      </c>
      <c r="K169" s="253">
        <f t="shared" si="52"/>
        <v>849801.89896193775</v>
      </c>
      <c r="L169" s="254">
        <f t="shared" si="52"/>
        <v>849801.89896193775</v>
      </c>
      <c r="M169" s="176" t="str">
        <f t="shared" si="52"/>
        <v>NA</v>
      </c>
      <c r="N169" s="177">
        <f t="shared" si="52"/>
        <v>883793.97492041532</v>
      </c>
      <c r="O169" s="178">
        <f t="shared" si="52"/>
        <v>883793.97492041532</v>
      </c>
      <c r="P169" s="259" t="str">
        <f t="shared" si="52"/>
        <v>NA</v>
      </c>
      <c r="Q169" s="253">
        <f t="shared" si="52"/>
        <v>901469.8544188235</v>
      </c>
      <c r="R169" s="254">
        <f t="shared" si="52"/>
        <v>901469.8544188235</v>
      </c>
      <c r="S169" s="178">
        <f t="shared" si="52"/>
        <v>878355.24276705889</v>
      </c>
      <c r="T169" s="179" t="str">
        <f>T151</f>
        <v>NA</v>
      </c>
      <c r="U169" s="186" t="s">
        <v>12</v>
      </c>
    </row>
    <row r="170" spans="1:21" ht="18.5" thickTop="1" x14ac:dyDescent="0.4">
      <c r="A170" s="510"/>
      <c r="B170" s="880" t="s">
        <v>13</v>
      </c>
      <c r="C170" s="88" t="s">
        <v>45</v>
      </c>
      <c r="D170" s="86" t="s">
        <v>46</v>
      </c>
      <c r="E170" s="86" t="s">
        <v>47</v>
      </c>
      <c r="F170" s="86" t="s">
        <v>48</v>
      </c>
      <c r="G170" s="86" t="s">
        <v>49</v>
      </c>
      <c r="H170" s="86" t="s">
        <v>50</v>
      </c>
      <c r="I170" s="87" t="s">
        <v>13</v>
      </c>
      <c r="J170" s="88" t="s">
        <v>56</v>
      </c>
      <c r="K170" s="86" t="s">
        <v>13</v>
      </c>
      <c r="L170" s="87" t="s">
        <v>68</v>
      </c>
      <c r="M170" s="88" t="s">
        <v>56</v>
      </c>
      <c r="N170" s="86" t="s">
        <v>13</v>
      </c>
      <c r="O170" s="87" t="s">
        <v>68</v>
      </c>
      <c r="P170" s="88" t="s">
        <v>56</v>
      </c>
      <c r="Q170" s="86" t="s">
        <v>13</v>
      </c>
      <c r="R170" s="87" t="s">
        <v>68</v>
      </c>
      <c r="S170" s="87"/>
      <c r="T170" s="31"/>
      <c r="U170" s="182"/>
    </row>
    <row r="171" spans="1:21" x14ac:dyDescent="0.25">
      <c r="A171" s="510"/>
      <c r="B171" s="881" t="s">
        <v>75</v>
      </c>
      <c r="C171" s="154">
        <f t="shared" ref="C171:I172" si="53">C156+C158+C160+C162+C164+C166+C168</f>
        <v>0</v>
      </c>
      <c r="D171" s="58">
        <f t="shared" si="53"/>
        <v>179.5</v>
      </c>
      <c r="E171" s="58">
        <f t="shared" si="53"/>
        <v>393.2</v>
      </c>
      <c r="F171" s="58">
        <f t="shared" si="53"/>
        <v>380.3</v>
      </c>
      <c r="G171" s="58">
        <f t="shared" si="53"/>
        <v>127</v>
      </c>
      <c r="H171" s="58">
        <f t="shared" si="53"/>
        <v>13</v>
      </c>
      <c r="I171" s="57">
        <f t="shared" si="53"/>
        <v>1093</v>
      </c>
      <c r="J171" s="285" t="s">
        <v>12</v>
      </c>
      <c r="K171" s="231">
        <f>K156+K158+K160+K162+K164+K168</f>
        <v>142482.68697674421</v>
      </c>
      <c r="L171" s="239">
        <f>L156+L158+L160+L162+L164+L166+L168</f>
        <v>154942.97554817275</v>
      </c>
      <c r="M171" s="83" t="s">
        <v>12</v>
      </c>
      <c r="N171" s="58">
        <f>N156+N158+N160+N162+N164+N168</f>
        <v>143808.0823255814</v>
      </c>
      <c r="O171" s="57">
        <f>O156+O158+O160+O162+O164+O166+O168</f>
        <v>154680.27089700996</v>
      </c>
      <c r="P171" s="285" t="s">
        <v>12</v>
      </c>
      <c r="Q171" s="231">
        <f>Q156+Q158+Q160+Q162+Q164+Q168</f>
        <v>140418.0823255814</v>
      </c>
      <c r="R171" s="239">
        <f>R156+R158+R160+R162+R164+R166+R168</f>
        <v>154195.98518272425</v>
      </c>
      <c r="S171" s="57">
        <f>S156+S158+S160+S162+S164+S166+S168</f>
        <v>112589.10821705428</v>
      </c>
      <c r="T171" s="57"/>
      <c r="U171" s="187" t="s">
        <v>12</v>
      </c>
    </row>
    <row r="172" spans="1:21" s="189" customFormat="1" ht="16" thickBot="1" x14ac:dyDescent="0.4">
      <c r="A172" s="883"/>
      <c r="B172" s="882" t="s">
        <v>76</v>
      </c>
      <c r="C172" s="873">
        <f t="shared" si="53"/>
        <v>0</v>
      </c>
      <c r="D172" s="874">
        <f t="shared" si="53"/>
        <v>4344</v>
      </c>
      <c r="E172" s="874">
        <f t="shared" si="53"/>
        <v>9913</v>
      </c>
      <c r="F172" s="874">
        <f t="shared" si="53"/>
        <v>10483</v>
      </c>
      <c r="G172" s="874">
        <f t="shared" si="53"/>
        <v>3978</v>
      </c>
      <c r="H172" s="874">
        <f t="shared" si="53"/>
        <v>491</v>
      </c>
      <c r="I172" s="871">
        <f t="shared" si="53"/>
        <v>30159</v>
      </c>
      <c r="J172" s="868" t="s">
        <v>12</v>
      </c>
      <c r="K172" s="869">
        <f>K157+K159+K161+K163+K165+K169</f>
        <v>26346605.394613199</v>
      </c>
      <c r="L172" s="870">
        <f>L157+L159+L161+L163+L165+L167+L169</f>
        <v>16374716.884810084</v>
      </c>
      <c r="M172" s="875" t="s">
        <v>12</v>
      </c>
      <c r="N172" s="876">
        <f>N157+N159+N161+N163+N165+N169</f>
        <v>26091275.623082019</v>
      </c>
      <c r="O172" s="871">
        <f>O157+O159+O161+O163+O165+O167+O169</f>
        <v>15751200.690363955</v>
      </c>
      <c r="P172" s="868" t="s">
        <v>12</v>
      </c>
      <c r="Q172" s="869">
        <f>Q157+Q159+Q161+Q163+Q165+Q169</f>
        <v>26580244.272188924</v>
      </c>
      <c r="R172" s="870">
        <f>R157+R159+R161+R163+R165+R167+R169</f>
        <v>16070255.293400338</v>
      </c>
      <c r="S172" s="871">
        <f>S157+S159+S161+S163+S165+S167+S169</f>
        <v>13839758.940673273</v>
      </c>
      <c r="T172" s="871">
        <f>SUM(T157,T159,T161,T163,T165,T167,T169)</f>
        <v>1342405.194091626</v>
      </c>
      <c r="U172" s="872">
        <f>SUM(U157,U159,U161,U163,U165,U167,U169)</f>
        <v>1970414.2261712947</v>
      </c>
    </row>
    <row r="173" spans="1:21" ht="13" thickTop="1" x14ac:dyDescent="0.25">
      <c r="B173" s="849"/>
    </row>
  </sheetData>
  <mergeCells count="38">
    <mergeCell ref="Q138:R138"/>
    <mergeCell ref="Q47:R47"/>
    <mergeCell ref="Q65:R65"/>
    <mergeCell ref="Q83:R83"/>
    <mergeCell ref="Q131:R131"/>
    <mergeCell ref="Q110:R110"/>
    <mergeCell ref="Q114:R114"/>
    <mergeCell ref="G109:I109"/>
    <mergeCell ref="N131:O131"/>
    <mergeCell ref="K138:L138"/>
    <mergeCell ref="N47:O47"/>
    <mergeCell ref="N65:O65"/>
    <mergeCell ref="N110:O110"/>
    <mergeCell ref="N138:O138"/>
    <mergeCell ref="N83:O83"/>
    <mergeCell ref="K47:L47"/>
    <mergeCell ref="K114:L114"/>
    <mergeCell ref="G137:I137"/>
    <mergeCell ref="K110:L110"/>
    <mergeCell ref="K83:L83"/>
    <mergeCell ref="N114:O114"/>
    <mergeCell ref="G82:I82"/>
    <mergeCell ref="G47:I47"/>
    <mergeCell ref="K65:L65"/>
    <mergeCell ref="G27:I27"/>
    <mergeCell ref="G46:I46"/>
    <mergeCell ref="G65:I65"/>
    <mergeCell ref="G64:I64"/>
    <mergeCell ref="S2:T2"/>
    <mergeCell ref="Q28:R28"/>
    <mergeCell ref="G16:I16"/>
    <mergeCell ref="K28:L28"/>
    <mergeCell ref="F2:G2"/>
    <mergeCell ref="C5:I5"/>
    <mergeCell ref="Q17:R17"/>
    <mergeCell ref="K17:L17"/>
    <mergeCell ref="N17:O17"/>
    <mergeCell ref="N28:O28"/>
  </mergeCells>
  <phoneticPr fontId="2" type="noConversion"/>
  <dataValidations disablePrompts="1" count="1">
    <dataValidation allowBlank="1" showInputMessage="1" showErrorMessage="1" sqref="D112:D113 D32:D34 D30 D49:D51" xr:uid="{00000000-0002-0000-0700-000000000000}"/>
  </dataValidations>
  <pageMargins left="0.25" right="0.28000000000000003" top="0.64" bottom="0.47" header="0.5" footer="0.44"/>
  <pageSetup scale="48" fitToHeight="25" orientation="landscape" r:id="rId1"/>
  <headerFooter alignWithMargins="0"/>
  <rowBreaks count="2" manualBreakCount="2">
    <brk id="80" max="16383" man="1"/>
    <brk id="15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253"/>
  <sheetViews>
    <sheetView topLeftCell="I137" zoomScaleNormal="100" workbookViewId="0">
      <selection activeCell="P151" sqref="P151"/>
    </sheetView>
  </sheetViews>
  <sheetFormatPr defaultRowHeight="12.5" x14ac:dyDescent="0.25"/>
  <cols>
    <col min="1" max="1" width="1.1796875" customWidth="1"/>
    <col min="2" max="2" width="32.26953125" customWidth="1"/>
    <col min="3" max="3" width="12.81640625" customWidth="1"/>
    <col min="4" max="4" width="10.54296875" bestFit="1" customWidth="1"/>
    <col min="5" max="5" width="11.26953125" customWidth="1"/>
    <col min="6" max="6" width="9.7265625" style="5" customWidth="1"/>
    <col min="7" max="7" width="11.1796875" bestFit="1" customWidth="1"/>
    <col min="8" max="8" width="10.1796875" bestFit="1" customWidth="1"/>
    <col min="9" max="9" width="13.26953125" customWidth="1"/>
    <col min="10" max="10" width="15" customWidth="1"/>
    <col min="11" max="11" width="14.453125" customWidth="1"/>
    <col min="12" max="12" width="16.81640625" bestFit="1" customWidth="1"/>
    <col min="13" max="13" width="15.54296875" customWidth="1"/>
    <col min="14" max="14" width="14.54296875" customWidth="1"/>
    <col min="15" max="15" width="14.453125" customWidth="1"/>
    <col min="16" max="16" width="15" customWidth="1"/>
    <col min="17" max="17" width="13.81640625" customWidth="1"/>
    <col min="18" max="18" width="14" customWidth="1"/>
    <col min="19" max="19" width="14.54296875" customWidth="1"/>
    <col min="20" max="20" width="14" customWidth="1"/>
    <col min="21" max="21" width="14.1796875" bestFit="1" customWidth="1"/>
  </cols>
  <sheetData>
    <row r="1" spans="1:21" ht="4.5" customHeight="1" thickBot="1" x14ac:dyDescent="0.3">
      <c r="B1" s="335"/>
      <c r="C1" s="335"/>
      <c r="D1" s="335"/>
      <c r="E1" s="335"/>
      <c r="F1" s="336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</row>
    <row r="2" spans="1:21" ht="19" thickTop="1" thickBot="1" x14ac:dyDescent="0.45">
      <c r="A2" s="510"/>
      <c r="B2" s="494" t="s">
        <v>0</v>
      </c>
      <c r="C2" s="491" t="s">
        <v>306</v>
      </c>
      <c r="E2" s="326" t="s">
        <v>31</v>
      </c>
      <c r="F2" s="1194">
        <v>43331</v>
      </c>
      <c r="G2" s="1195"/>
      <c r="K2" s="1197" t="s">
        <v>307</v>
      </c>
      <c r="L2" s="1197"/>
      <c r="N2" s="1196" t="s">
        <v>308</v>
      </c>
      <c r="O2" s="1196"/>
      <c r="P2" s="349" t="s">
        <v>70</v>
      </c>
      <c r="U2" s="968"/>
    </row>
    <row r="3" spans="1:21" ht="13" x14ac:dyDescent="0.3">
      <c r="A3" s="510"/>
      <c r="B3" s="495" t="s">
        <v>2</v>
      </c>
      <c r="C3" s="1187"/>
      <c r="D3" s="1188"/>
      <c r="E3" s="1188"/>
      <c r="F3" s="1188"/>
      <c r="G3" s="1188"/>
      <c r="H3" s="1188"/>
      <c r="I3" s="1198"/>
      <c r="J3" s="1"/>
      <c r="K3" s="1010" t="s">
        <v>212</v>
      </c>
      <c r="L3" s="1020">
        <f>444-165-29</f>
        <v>250</v>
      </c>
      <c r="M3" s="1"/>
      <c r="N3" s="1010" t="s">
        <v>311</v>
      </c>
      <c r="O3" s="1016">
        <f>250+165</f>
        <v>415</v>
      </c>
      <c r="P3" s="1013">
        <f>O3*$O$8</f>
        <v>24.9</v>
      </c>
      <c r="R3" s="349" t="s">
        <v>178</v>
      </c>
      <c r="S3" s="1008">
        <v>1015</v>
      </c>
      <c r="T3" s="393"/>
      <c r="U3" s="510"/>
    </row>
    <row r="4" spans="1:21" ht="13" x14ac:dyDescent="0.3">
      <c r="A4" s="510"/>
      <c r="F4"/>
      <c r="H4" s="349" t="s">
        <v>71</v>
      </c>
      <c r="I4" s="1023">
        <v>93</v>
      </c>
      <c r="K4" s="1021" t="s">
        <v>214</v>
      </c>
      <c r="L4" s="1009">
        <v>165</v>
      </c>
      <c r="M4" s="1"/>
      <c r="N4" s="1011" t="s">
        <v>312</v>
      </c>
      <c r="O4" s="1017">
        <v>29</v>
      </c>
      <c r="P4" s="1014">
        <f>O4*$O$8</f>
        <v>1.74</v>
      </c>
      <c r="U4" s="510"/>
    </row>
    <row r="5" spans="1:21" ht="13" x14ac:dyDescent="0.3">
      <c r="A5" s="510"/>
      <c r="F5"/>
      <c r="K5" s="1022" t="s">
        <v>215</v>
      </c>
      <c r="L5" s="1009">
        <v>29</v>
      </c>
      <c r="N5" s="1010" t="s">
        <v>313</v>
      </c>
      <c r="O5" s="1017">
        <f>SUM(O3+O4)*0.1</f>
        <v>44.400000000000006</v>
      </c>
      <c r="P5" s="930"/>
      <c r="U5" s="510"/>
    </row>
    <row r="6" spans="1:21" ht="13.5" thickBot="1" x14ac:dyDescent="0.35">
      <c r="A6" s="510"/>
      <c r="F6"/>
      <c r="K6" s="1010" t="s">
        <v>309</v>
      </c>
      <c r="L6" s="1009">
        <v>0</v>
      </c>
      <c r="N6" s="1010" t="s">
        <v>314</v>
      </c>
      <c r="O6" s="1017">
        <v>747</v>
      </c>
      <c r="P6" s="1015">
        <f>O6*$O$8</f>
        <v>44.82</v>
      </c>
      <c r="U6" s="510"/>
    </row>
    <row r="7" spans="1:21" ht="13" x14ac:dyDescent="0.3">
      <c r="A7" s="510"/>
      <c r="B7" s="238"/>
      <c r="F7"/>
      <c r="K7" s="891" t="s">
        <v>310</v>
      </c>
      <c r="L7" s="711">
        <f>SUM(L3:L6)</f>
        <v>444</v>
      </c>
      <c r="N7" s="1010" t="s">
        <v>315</v>
      </c>
      <c r="O7" s="1018">
        <v>135</v>
      </c>
      <c r="U7" s="510"/>
    </row>
    <row r="8" spans="1:21" ht="18.5" thickBot="1" x14ac:dyDescent="0.45">
      <c r="A8" s="510"/>
      <c r="B8" s="1068" t="s">
        <v>73</v>
      </c>
      <c r="C8" s="335"/>
      <c r="D8" s="335"/>
      <c r="E8" s="335"/>
      <c r="F8" s="336"/>
      <c r="G8" s="335"/>
      <c r="H8" s="335"/>
      <c r="I8" s="335"/>
      <c r="J8" s="335"/>
      <c r="K8" s="1012" t="s">
        <v>144</v>
      </c>
      <c r="L8" s="967">
        <f>(L3+L4/3+L5/6+L6/2)/L7</f>
        <v>0.69782282282282282</v>
      </c>
      <c r="M8" s="335"/>
      <c r="N8" s="1012" t="s">
        <v>216</v>
      </c>
      <c r="O8" s="1019">
        <v>0.06</v>
      </c>
      <c r="P8" s="335"/>
      <c r="Q8" s="335"/>
      <c r="R8" s="335"/>
      <c r="S8" s="335"/>
      <c r="T8" s="335"/>
      <c r="U8" s="855"/>
    </row>
    <row r="9" spans="1:21" ht="30" customHeight="1" thickTop="1" x14ac:dyDescent="0.4">
      <c r="A9" s="510"/>
      <c r="B9" s="494"/>
      <c r="I9" s="454"/>
      <c r="L9" s="454"/>
      <c r="N9" s="451"/>
      <c r="O9" s="454"/>
      <c r="P9" s="978"/>
      <c r="Q9" s="451"/>
      <c r="R9" s="454"/>
      <c r="S9" s="461" t="s">
        <v>77</v>
      </c>
      <c r="T9" s="92"/>
      <c r="U9" s="979"/>
    </row>
    <row r="10" spans="1:21" ht="30" customHeight="1" thickBot="1" x14ac:dyDescent="0.45">
      <c r="A10" s="510"/>
      <c r="B10" s="494"/>
      <c r="D10" s="3"/>
      <c r="E10" s="3"/>
      <c r="F10" s="9"/>
      <c r="G10" s="3"/>
      <c r="J10" s="490" t="s">
        <v>5</v>
      </c>
      <c r="K10" s="994">
        <v>2023</v>
      </c>
      <c r="L10" s="35"/>
      <c r="M10" s="490" t="s">
        <v>10</v>
      </c>
      <c r="N10" s="977">
        <f>K10+1</f>
        <v>2024</v>
      </c>
      <c r="O10" s="35"/>
      <c r="P10" s="490" t="s">
        <v>11</v>
      </c>
      <c r="Q10" s="977">
        <f>N10+1</f>
        <v>2025</v>
      </c>
      <c r="R10" s="35"/>
      <c r="S10" s="1024" t="s">
        <v>17</v>
      </c>
      <c r="T10" s="1026" t="s">
        <v>103</v>
      </c>
      <c r="U10" s="1025" t="s">
        <v>79</v>
      </c>
    </row>
    <row r="11" spans="1:21" ht="15.5" x14ac:dyDescent="0.35">
      <c r="A11" s="510"/>
      <c r="B11" s="48" t="s">
        <v>3</v>
      </c>
      <c r="C11" s="193"/>
      <c r="D11" s="349" t="s">
        <v>54</v>
      </c>
      <c r="E11" s="24">
        <v>7</v>
      </c>
      <c r="F11" s="1" t="s">
        <v>6</v>
      </c>
      <c r="G11" s="1160"/>
      <c r="H11" s="1170"/>
      <c r="I11" s="1171"/>
      <c r="J11" s="72" t="s">
        <v>3</v>
      </c>
      <c r="K11" s="146"/>
      <c r="L11" s="62"/>
      <c r="M11" s="48" t="s">
        <v>3</v>
      </c>
      <c r="O11" s="31"/>
      <c r="P11" s="48" t="s">
        <v>3</v>
      </c>
      <c r="R11" s="31"/>
      <c r="S11" s="99"/>
      <c r="T11" s="92"/>
      <c r="U11" s="421"/>
    </row>
    <row r="12" spans="1:21" ht="13" x14ac:dyDescent="0.3">
      <c r="A12" s="510"/>
      <c r="B12" s="497" t="s">
        <v>44</v>
      </c>
      <c r="C12" s="4"/>
      <c r="D12" s="4"/>
      <c r="E12" s="4"/>
      <c r="F12" s="8"/>
      <c r="G12" s="4"/>
      <c r="H12" s="4"/>
      <c r="I12" s="40" t="s">
        <v>55</v>
      </c>
      <c r="J12" s="130" t="s">
        <v>55</v>
      </c>
      <c r="K12" s="1179" t="s">
        <v>57</v>
      </c>
      <c r="L12" s="1178"/>
      <c r="M12" s="50" t="s">
        <v>55</v>
      </c>
      <c r="N12" s="1177" t="s">
        <v>57</v>
      </c>
      <c r="O12" s="1178"/>
      <c r="P12" s="50" t="s">
        <v>55</v>
      </c>
      <c r="Q12" s="1177" t="s">
        <v>57</v>
      </c>
      <c r="R12" s="1178"/>
      <c r="S12" s="100"/>
      <c r="T12" s="118"/>
      <c r="U12" s="851"/>
    </row>
    <row r="13" spans="1:21" ht="13" x14ac:dyDescent="0.3">
      <c r="A13" s="510"/>
      <c r="B13" s="498" t="s">
        <v>53</v>
      </c>
      <c r="C13" s="20" t="s">
        <v>45</v>
      </c>
      <c r="D13" s="20" t="s">
        <v>46</v>
      </c>
      <c r="E13" s="20" t="s">
        <v>47</v>
      </c>
      <c r="F13" s="20" t="s">
        <v>48</v>
      </c>
      <c r="G13" s="20" t="s">
        <v>49</v>
      </c>
      <c r="H13" s="20" t="s">
        <v>50</v>
      </c>
      <c r="I13" s="40" t="s">
        <v>13</v>
      </c>
      <c r="J13" s="66" t="s">
        <v>56</v>
      </c>
      <c r="K13" s="20" t="s">
        <v>13</v>
      </c>
      <c r="L13" s="32" t="s">
        <v>68</v>
      </c>
      <c r="M13" s="66" t="s">
        <v>56</v>
      </c>
      <c r="N13" s="20" t="s">
        <v>13</v>
      </c>
      <c r="O13" s="32" t="s">
        <v>68</v>
      </c>
      <c r="P13" s="20" t="s">
        <v>56</v>
      </c>
      <c r="Q13" s="20" t="s">
        <v>13</v>
      </c>
      <c r="R13" s="32" t="s">
        <v>68</v>
      </c>
      <c r="S13" s="98"/>
      <c r="T13" s="44"/>
      <c r="U13" s="423"/>
    </row>
    <row r="14" spans="1:21" x14ac:dyDescent="0.25">
      <c r="A14" s="510"/>
      <c r="B14" s="499" t="s">
        <v>51</v>
      </c>
      <c r="C14" s="18">
        <v>0</v>
      </c>
      <c r="D14" s="18">
        <v>0</v>
      </c>
      <c r="E14" s="18">
        <v>0</v>
      </c>
      <c r="F14" s="18">
        <v>5</v>
      </c>
      <c r="G14" s="18">
        <v>5</v>
      </c>
      <c r="H14" s="18">
        <v>5</v>
      </c>
      <c r="I14" s="41">
        <f>SUM(C14:H14)</f>
        <v>15</v>
      </c>
      <c r="J14" s="213" t="s">
        <v>12</v>
      </c>
      <c r="K14" s="836">
        <f>$I14*I$4</f>
        <v>1395</v>
      </c>
      <c r="L14" s="215">
        <f>K14/$E$11</f>
        <v>199.28571428571428</v>
      </c>
      <c r="M14" s="51" t="s">
        <v>12</v>
      </c>
      <c r="N14" s="837">
        <f>$I14*I$4</f>
        <v>1395</v>
      </c>
      <c r="O14" s="57">
        <f>N14/$E$11</f>
        <v>199.28571428571428</v>
      </c>
      <c r="P14" s="213" t="s">
        <v>12</v>
      </c>
      <c r="Q14" s="836">
        <f>$I14*I$4</f>
        <v>1395</v>
      </c>
      <c r="R14" s="239">
        <f>Q14/$E$11</f>
        <v>199.28571428571428</v>
      </c>
      <c r="S14" s="96">
        <f>AVERAGE(L14,O14,R14)</f>
        <v>199.28571428571431</v>
      </c>
      <c r="T14" s="94" t="s">
        <v>12</v>
      </c>
      <c r="U14" s="852" t="s">
        <v>12</v>
      </c>
    </row>
    <row r="15" spans="1:21" s="1" customFormat="1" ht="13" x14ac:dyDescent="0.3">
      <c r="A15" s="511"/>
      <c r="B15" s="327" t="s">
        <v>52</v>
      </c>
      <c r="C15" s="20">
        <f>ROUND(C14*Labor!$D$3,0)</f>
        <v>0</v>
      </c>
      <c r="D15" s="20">
        <f>ROUND(D14*Labor!$D$4,0)</f>
        <v>0</v>
      </c>
      <c r="E15" s="20">
        <f>ROUND(E14*Labor!$D$5,0)</f>
        <v>0</v>
      </c>
      <c r="F15" s="20">
        <f>ROUND(F14*Labor!$D$6,0)</f>
        <v>138</v>
      </c>
      <c r="G15" s="20">
        <f>ROUND(G14*Labor!$D$7,0)</f>
        <v>157</v>
      </c>
      <c r="H15" s="20">
        <f>ROUND(H14*Labor!$D$8,0)</f>
        <v>189</v>
      </c>
      <c r="I15" s="314">
        <f>SUM(C15:H15)</f>
        <v>484</v>
      </c>
      <c r="J15" s="1153">
        <f>HLOOKUP(K$10,InflationTable,2)/HLOOKUP(Labor!$B$11,InflationTable,2)*$I15</f>
        <v>1035.3915570934255</v>
      </c>
      <c r="K15" s="315">
        <f>J15*$I$4</f>
        <v>96291.414809688576</v>
      </c>
      <c r="L15" s="316">
        <f>K15/$E$11</f>
        <v>13755.916401384082</v>
      </c>
      <c r="M15" s="312">
        <f>HLOOKUP(N$10,InflationTable,2)/HLOOKUP(Labor!$B$11,InflationTable,2)*$I15</f>
        <v>1076.8072193771627</v>
      </c>
      <c r="N15" s="317">
        <f>M15*$I$4</f>
        <v>100143.07140207614</v>
      </c>
      <c r="O15" s="318">
        <f>N15/$E$11</f>
        <v>14306.153057439447</v>
      </c>
      <c r="P15" s="1153">
        <f>HLOOKUP(Q$10,InflationTable,2)/HLOOKUP(Labor!$B$11,InflationTable,2)*$I15</f>
        <v>1098.3433637647058</v>
      </c>
      <c r="Q15" s="315">
        <f>P15*$I$4</f>
        <v>102145.93283011764</v>
      </c>
      <c r="R15" s="316">
        <f>Q15/$E$11</f>
        <v>14592.276118588235</v>
      </c>
      <c r="S15" s="312">
        <f>AVERAGE(L15,O15,R15)</f>
        <v>14218.115192470586</v>
      </c>
      <c r="T15" s="313" t="s">
        <v>12</v>
      </c>
      <c r="U15" s="853" t="s">
        <v>12</v>
      </c>
    </row>
    <row r="16" spans="1:21" ht="13" x14ac:dyDescent="0.3">
      <c r="A16" s="510"/>
      <c r="B16" s="1" t="s">
        <v>7</v>
      </c>
      <c r="H16" s="6"/>
      <c r="I16" s="31"/>
      <c r="J16" s="216"/>
      <c r="K16" s="216"/>
      <c r="L16" s="217"/>
      <c r="O16" s="31"/>
      <c r="P16" s="330"/>
      <c r="Q16" s="330"/>
      <c r="R16" s="331"/>
      <c r="S16" s="97"/>
      <c r="T16" s="31"/>
      <c r="U16" s="510"/>
    </row>
    <row r="17" spans="1:21" x14ac:dyDescent="0.25">
      <c r="A17" s="510"/>
      <c r="B17" s="499" t="s">
        <v>51</v>
      </c>
      <c r="C17" s="18">
        <v>0</v>
      </c>
      <c r="D17" s="18">
        <v>0</v>
      </c>
      <c r="E17" s="18">
        <v>2</v>
      </c>
      <c r="F17" s="18">
        <v>2</v>
      </c>
      <c r="G17" s="18">
        <v>2</v>
      </c>
      <c r="H17" s="18">
        <v>0</v>
      </c>
      <c r="I17" s="41">
        <f>SUM(C17:H17)</f>
        <v>6</v>
      </c>
      <c r="J17" s="213" t="s">
        <v>12</v>
      </c>
      <c r="K17" s="836">
        <f>$I17*I$4</f>
        <v>558</v>
      </c>
      <c r="L17" s="215">
        <f>K17/$E$11</f>
        <v>79.714285714285708</v>
      </c>
      <c r="M17" s="51" t="s">
        <v>12</v>
      </c>
      <c r="N17" s="1152">
        <f>$I17*I$4</f>
        <v>558</v>
      </c>
      <c r="O17" s="52">
        <f>N17/$E$11</f>
        <v>79.714285714285708</v>
      </c>
      <c r="P17" s="213" t="s">
        <v>12</v>
      </c>
      <c r="Q17" s="836">
        <f>$I17*I$4</f>
        <v>558</v>
      </c>
      <c r="R17" s="232">
        <f>Q17/$E$11</f>
        <v>79.714285714285708</v>
      </c>
      <c r="S17" s="96">
        <f>AVERAGE(L17,O17,R17)</f>
        <v>79.714285714285708</v>
      </c>
      <c r="T17" s="94" t="s">
        <v>12</v>
      </c>
      <c r="U17" s="852" t="s">
        <v>12</v>
      </c>
    </row>
    <row r="18" spans="1:21" s="1" customFormat="1" ht="13.5" thickBot="1" x14ac:dyDescent="0.35">
      <c r="A18" s="511"/>
      <c r="B18" s="500" t="s">
        <v>52</v>
      </c>
      <c r="C18" s="310">
        <f>ROUND(C17*Labor!$D$3,0)</f>
        <v>0</v>
      </c>
      <c r="D18" s="310">
        <f>ROUND(D17*Labor!$D$4,0)</f>
        <v>0</v>
      </c>
      <c r="E18" s="310">
        <f>ROUND(E17*Labor!$D$5,0)</f>
        <v>50</v>
      </c>
      <c r="F18" s="310">
        <f>ROUND(F17*Labor!$D$6,0)</f>
        <v>55</v>
      </c>
      <c r="G18" s="310">
        <f>ROUND(G17*Labor!$D$7,0)</f>
        <v>63</v>
      </c>
      <c r="H18" s="310">
        <f>ROUND(H17*Labor!$D$8,0)</f>
        <v>0</v>
      </c>
      <c r="I18" s="311">
        <f>SUM(C18:H18)</f>
        <v>168</v>
      </c>
      <c r="J18" s="284">
        <f>HLOOKUP(K$10,InflationTable,2)/HLOOKUP(Labor!$B$11,InflationTable,2)*$I18</f>
        <v>359.39211072664358</v>
      </c>
      <c r="K18" s="245">
        <f>J18*$I$4</f>
        <v>33423.466297577856</v>
      </c>
      <c r="L18" s="246">
        <f>K18/$E$11</f>
        <v>4774.7808996539798</v>
      </c>
      <c r="M18" s="169">
        <f>HLOOKUP(N$10,InflationTable,2)/HLOOKUP(Labor!$B$11,InflationTable,2)*$I18</f>
        <v>373.76779515570939</v>
      </c>
      <c r="N18" s="166">
        <f>M18*$I$4</f>
        <v>34760.404949480973</v>
      </c>
      <c r="O18" s="167">
        <f>N18/$E$11</f>
        <v>4965.7721356401389</v>
      </c>
      <c r="P18" s="284">
        <f>HLOOKUP(Q$10,InflationTable,2)/HLOOKUP(Labor!$B$11,InflationTable,2)*$I18</f>
        <v>381.24315105882351</v>
      </c>
      <c r="Q18" s="245">
        <f>P18*$I$4</f>
        <v>35455.613048470586</v>
      </c>
      <c r="R18" s="246">
        <f>Q18/$E$11</f>
        <v>5065.0875783529409</v>
      </c>
      <c r="S18" s="312">
        <f>AVERAGE(L18,O18,R18)</f>
        <v>4935.2135378823532</v>
      </c>
      <c r="T18" s="313" t="s">
        <v>12</v>
      </c>
      <c r="U18" s="853" t="s">
        <v>12</v>
      </c>
    </row>
    <row r="19" spans="1:21" ht="13" x14ac:dyDescent="0.3">
      <c r="A19" s="510"/>
      <c r="B19" s="501" t="s">
        <v>66</v>
      </c>
      <c r="C19" s="28">
        <f t="shared" ref="C19:I20" si="0">C14+C17</f>
        <v>0</v>
      </c>
      <c r="D19" s="28">
        <f t="shared" si="0"/>
        <v>0</v>
      </c>
      <c r="E19" s="28">
        <f t="shared" si="0"/>
        <v>2</v>
      </c>
      <c r="F19" s="28">
        <f t="shared" si="0"/>
        <v>7</v>
      </c>
      <c r="G19" s="28">
        <f t="shared" si="0"/>
        <v>7</v>
      </c>
      <c r="H19" s="28">
        <f t="shared" si="0"/>
        <v>5</v>
      </c>
      <c r="I19" s="42">
        <f t="shared" si="0"/>
        <v>21</v>
      </c>
      <c r="J19" s="221" t="s">
        <v>12</v>
      </c>
      <c r="K19" s="222">
        <f>K14+K17</f>
        <v>1953</v>
      </c>
      <c r="L19" s="223">
        <f>L14+L17</f>
        <v>279</v>
      </c>
      <c r="M19" s="53" t="s">
        <v>12</v>
      </c>
      <c r="N19" s="838">
        <f>N14+N17</f>
        <v>1953</v>
      </c>
      <c r="O19" s="54">
        <f>N19/$E$11</f>
        <v>279</v>
      </c>
      <c r="P19" s="242" t="s">
        <v>12</v>
      </c>
      <c r="Q19" s="222">
        <f>Q14+Q17</f>
        <v>1953</v>
      </c>
      <c r="R19" s="243">
        <f>Q19/$E$11</f>
        <v>279</v>
      </c>
      <c r="S19" s="96">
        <f>AVERAGE(L19,O19,R19)</f>
        <v>279</v>
      </c>
      <c r="T19" s="94" t="s">
        <v>12</v>
      </c>
      <c r="U19" s="852" t="s">
        <v>12</v>
      </c>
    </row>
    <row r="20" spans="1:21" ht="13.5" thickBot="1" x14ac:dyDescent="0.35">
      <c r="A20" s="510"/>
      <c r="B20" s="502" t="s">
        <v>67</v>
      </c>
      <c r="C20" s="194">
        <f t="shared" si="0"/>
        <v>0</v>
      </c>
      <c r="D20" s="194">
        <f t="shared" si="0"/>
        <v>0</v>
      </c>
      <c r="E20" s="194">
        <f t="shared" si="0"/>
        <v>50</v>
      </c>
      <c r="F20" s="194">
        <f t="shared" si="0"/>
        <v>193</v>
      </c>
      <c r="G20" s="194">
        <f t="shared" si="0"/>
        <v>220</v>
      </c>
      <c r="H20" s="194">
        <f t="shared" si="0"/>
        <v>189</v>
      </c>
      <c r="I20" s="195">
        <f t="shared" si="0"/>
        <v>652</v>
      </c>
      <c r="J20" s="224">
        <f>J15+J18</f>
        <v>1394.783667820069</v>
      </c>
      <c r="K20" s="225">
        <f>K15+K18</f>
        <v>129714.88110726644</v>
      </c>
      <c r="L20" s="226">
        <f>L15+L18</f>
        <v>18530.697301038061</v>
      </c>
      <c r="M20" s="196">
        <f>M15+M18</f>
        <v>1450.575014532872</v>
      </c>
      <c r="N20" s="194">
        <f>N15+N18</f>
        <v>134903.47635155712</v>
      </c>
      <c r="O20" s="197">
        <f>O15+O18</f>
        <v>19271.925193079587</v>
      </c>
      <c r="P20" s="1027">
        <f>P15+P18</f>
        <v>1479.5865148235293</v>
      </c>
      <c r="Q20" s="225">
        <f>Q15+Q18</f>
        <v>137601.54587858822</v>
      </c>
      <c r="R20" s="226">
        <f>R15+R18</f>
        <v>19657.363696941175</v>
      </c>
      <c r="S20" s="169">
        <f>AVERAGE(L20,O20,R20)</f>
        <v>19153.32873035294</v>
      </c>
      <c r="T20" s="174" t="s">
        <v>12</v>
      </c>
      <c r="U20" s="854" t="s">
        <v>12</v>
      </c>
    </row>
    <row r="21" spans="1:21" ht="13.5" thickTop="1" thickBot="1" x14ac:dyDescent="0.3">
      <c r="B21" s="513"/>
      <c r="C21" s="513"/>
      <c r="D21" s="513"/>
      <c r="E21" s="513"/>
      <c r="F21" s="513"/>
      <c r="G21" s="513"/>
      <c r="H21" s="513"/>
      <c r="I21" s="513"/>
      <c r="J21" s="513"/>
      <c r="K21" s="513"/>
      <c r="L21" s="513"/>
      <c r="M21" s="513"/>
      <c r="N21" s="335"/>
      <c r="O21" s="335"/>
      <c r="P21" s="513"/>
      <c r="Q21" s="335"/>
      <c r="R21" s="335"/>
      <c r="S21" s="335"/>
      <c r="T21" s="335"/>
      <c r="U21" s="335"/>
    </row>
    <row r="22" spans="1:21" ht="16" thickTop="1" x14ac:dyDescent="0.35">
      <c r="A22" s="510"/>
      <c r="B22" s="2" t="s">
        <v>16</v>
      </c>
      <c r="C22" s="61"/>
      <c r="D22" s="349" t="s">
        <v>54</v>
      </c>
      <c r="E22" s="59">
        <v>7</v>
      </c>
      <c r="F22" s="1" t="s">
        <v>6</v>
      </c>
      <c r="G22" s="1160"/>
      <c r="H22" s="1161"/>
      <c r="I22" s="1162"/>
      <c r="J22" s="2" t="s">
        <v>16</v>
      </c>
      <c r="L22" s="62"/>
      <c r="M22" s="2" t="s">
        <v>16</v>
      </c>
      <c r="O22" s="31"/>
      <c r="P22" s="2" t="s">
        <v>16</v>
      </c>
      <c r="R22" s="62"/>
      <c r="S22" s="97"/>
      <c r="T22" s="31"/>
      <c r="U22" s="182"/>
    </row>
    <row r="23" spans="1:21" ht="13" x14ac:dyDescent="0.3">
      <c r="A23" s="510"/>
      <c r="C23" s="86" t="s">
        <v>60</v>
      </c>
      <c r="D23" s="20" t="s">
        <v>62</v>
      </c>
      <c r="F23"/>
      <c r="H23" s="4"/>
      <c r="I23" s="37"/>
      <c r="J23" s="50" t="s">
        <v>61</v>
      </c>
      <c r="K23" s="1177" t="s">
        <v>57</v>
      </c>
      <c r="L23" s="1178"/>
      <c r="M23" s="50" t="s">
        <v>61</v>
      </c>
      <c r="N23" s="1177" t="s">
        <v>57</v>
      </c>
      <c r="O23" s="1178"/>
      <c r="P23" s="32" t="s">
        <v>61</v>
      </c>
      <c r="Q23" s="1177" t="s">
        <v>57</v>
      </c>
      <c r="R23" s="1178"/>
      <c r="S23" s="106"/>
      <c r="T23" s="31"/>
      <c r="U23" s="182"/>
    </row>
    <row r="24" spans="1:21" ht="13" x14ac:dyDescent="0.3">
      <c r="A24" s="510"/>
      <c r="B24" s="503" t="s">
        <v>58</v>
      </c>
      <c r="C24" s="20"/>
      <c r="D24" s="20"/>
      <c r="E24" s="7"/>
      <c r="F24" s="61"/>
      <c r="G24" s="61"/>
      <c r="H24" s="61"/>
      <c r="I24" s="62"/>
      <c r="J24" s="66" t="s">
        <v>56</v>
      </c>
      <c r="K24" s="20" t="s">
        <v>13</v>
      </c>
      <c r="L24" s="32" t="s">
        <v>68</v>
      </c>
      <c r="M24" s="66" t="s">
        <v>56</v>
      </c>
      <c r="N24" s="20" t="s">
        <v>13</v>
      </c>
      <c r="O24" s="32" t="s">
        <v>68</v>
      </c>
      <c r="P24" s="66" t="s">
        <v>56</v>
      </c>
      <c r="Q24" s="20" t="s">
        <v>13</v>
      </c>
      <c r="R24" s="32" t="s">
        <v>68</v>
      </c>
      <c r="S24" s="98"/>
      <c r="T24" s="31"/>
      <c r="U24" s="182"/>
    </row>
    <row r="25" spans="1:21" s="1" customFormat="1" ht="13" x14ac:dyDescent="0.3">
      <c r="A25" s="511"/>
      <c r="B25" s="504" t="s">
        <v>318</v>
      </c>
      <c r="C25" s="317">
        <f>VLOOKUP(C$2,Monitor_Costs,2,FALSE)</f>
        <v>7000</v>
      </c>
      <c r="D25" s="20">
        <f>VLOOKUP(C$2,Monitor_Costs,3,FALSE)</f>
        <v>2019</v>
      </c>
      <c r="E25" s="373"/>
      <c r="F25" s="50"/>
      <c r="G25" s="374"/>
      <c r="H25" s="374"/>
      <c r="I25" s="379"/>
      <c r="J25" s="229">
        <f t="shared" ref="J25:J35" si="1">HLOOKUP(K$10,InflationTable,2)/HLOOKUP($D25,InflationTable,2)*$C25</f>
        <v>8462.4168947985927</v>
      </c>
      <c r="K25" s="315">
        <f>J25*O4</f>
        <v>245410.08994915918</v>
      </c>
      <c r="L25" s="316">
        <f t="shared" ref="L25:L35" si="2">K25/$E$22</f>
        <v>35058.584278451315</v>
      </c>
      <c r="M25" s="23">
        <f t="shared" ref="M25:M35" si="3">HLOOKUP(N$10,InflationTable,2)/HLOOKUP($D25,InflationTable,2)*$C25</f>
        <v>8800.9135705905355</v>
      </c>
      <c r="N25" s="317">
        <f>M25*$O$4</f>
        <v>255226.49354712554</v>
      </c>
      <c r="O25" s="365">
        <f t="shared" ref="O25:O35" si="4">N25/$E$22</f>
        <v>36460.927649589365</v>
      </c>
      <c r="P25" s="229">
        <f t="shared" ref="P25:P35" si="5">HLOOKUP(Q$10,InflationTable,2)/HLOOKUP($D25,InflationTable,2)*$C25</f>
        <v>8976.9318420023465</v>
      </c>
      <c r="Q25" s="315">
        <f>P25*$O$4</f>
        <v>260331.02341806804</v>
      </c>
      <c r="R25" s="316">
        <f t="shared" ref="R25:R35" si="6">Q25/$E$22</f>
        <v>37190.146202581149</v>
      </c>
      <c r="S25" s="376" t="s">
        <v>12</v>
      </c>
      <c r="T25" s="313" t="s">
        <v>12</v>
      </c>
      <c r="U25" s="415">
        <f t="shared" ref="U25:U35" si="7">AVERAGE(L25,O25,R25)</f>
        <v>36236.552710207274</v>
      </c>
    </row>
    <row r="26" spans="1:21" s="1" customFormat="1" ht="13" x14ac:dyDescent="0.3">
      <c r="A26" s="511"/>
      <c r="B26" s="436" t="s">
        <v>317</v>
      </c>
      <c r="C26" s="995">
        <f>C25</f>
        <v>7000</v>
      </c>
      <c r="D26" s="20">
        <f>VLOOKUP(C$2,Monitor_Costs,3,FALSE)</f>
        <v>2019</v>
      </c>
      <c r="E26" s="374"/>
      <c r="F26" s="50"/>
      <c r="G26" s="374"/>
      <c r="H26" s="374"/>
      <c r="I26" s="40"/>
      <c r="J26" s="229">
        <f t="shared" si="1"/>
        <v>8462.4168947985927</v>
      </c>
      <c r="K26" s="315">
        <f>J26*$P$4</f>
        <v>14724.605396949552</v>
      </c>
      <c r="L26" s="316">
        <f t="shared" si="2"/>
        <v>2103.5150567070787</v>
      </c>
      <c r="M26" s="23">
        <f t="shared" si="3"/>
        <v>8800.9135705905355</v>
      </c>
      <c r="N26" s="317">
        <f>M26*$P$4</f>
        <v>15313.589612827533</v>
      </c>
      <c r="O26" s="624">
        <f t="shared" si="4"/>
        <v>2187.6556589753618</v>
      </c>
      <c r="P26" s="229">
        <f t="shared" si="5"/>
        <v>8976.9318420023465</v>
      </c>
      <c r="Q26" s="612">
        <f>P26*$P$4</f>
        <v>15619.861405084082</v>
      </c>
      <c r="R26" s="320">
        <f t="shared" si="6"/>
        <v>2231.408772154869</v>
      </c>
      <c r="S26" s="1000" t="s">
        <v>12</v>
      </c>
      <c r="T26" s="1001" t="s">
        <v>12</v>
      </c>
      <c r="U26" s="1002">
        <f t="shared" si="7"/>
        <v>2174.1931626124365</v>
      </c>
    </row>
    <row r="27" spans="1:21" s="1" customFormat="1" ht="13" x14ac:dyDescent="0.3">
      <c r="A27" s="511"/>
      <c r="B27" s="996" t="s">
        <v>319</v>
      </c>
      <c r="C27" s="520">
        <f>C26</f>
        <v>7000</v>
      </c>
      <c r="D27" s="557">
        <f>D26</f>
        <v>2019</v>
      </c>
      <c r="F27" s="326"/>
      <c r="I27" s="118"/>
      <c r="J27" s="229">
        <f t="shared" si="1"/>
        <v>8462.4168947985927</v>
      </c>
      <c r="K27" s="315">
        <f>J27*$O$5</f>
        <v>375731.31012905756</v>
      </c>
      <c r="L27" s="316">
        <f t="shared" si="2"/>
        <v>53675.901447008226</v>
      </c>
      <c r="M27" s="23">
        <f t="shared" si="3"/>
        <v>8800.9135705905355</v>
      </c>
      <c r="N27" s="317">
        <f>M27*$O$5</f>
        <v>390760.56253421982</v>
      </c>
      <c r="O27" s="318">
        <f t="shared" si="4"/>
        <v>55822.937504888549</v>
      </c>
      <c r="P27" s="229">
        <f t="shared" si="5"/>
        <v>8976.9318420023465</v>
      </c>
      <c r="Q27" s="315">
        <f>P27*$O$5</f>
        <v>398575.77378490422</v>
      </c>
      <c r="R27" s="316">
        <f t="shared" si="6"/>
        <v>56939.396254986314</v>
      </c>
      <c r="S27" s="376" t="s">
        <v>12</v>
      </c>
      <c r="T27" s="313" t="s">
        <v>12</v>
      </c>
      <c r="U27" s="415">
        <f t="shared" si="7"/>
        <v>55479.411735627691</v>
      </c>
    </row>
    <row r="28" spans="1:21" s="1" customFormat="1" ht="13" x14ac:dyDescent="0.3">
      <c r="A28" s="511"/>
      <c r="B28" s="504" t="s">
        <v>320</v>
      </c>
      <c r="C28" s="841">
        <f>VLOOKUP(C$2,Monitor_Costs,11,FALSE)</f>
        <v>11000</v>
      </c>
      <c r="D28" s="66">
        <f>D27</f>
        <v>2019</v>
      </c>
      <c r="E28" s="374"/>
      <c r="F28" s="50"/>
      <c r="G28" s="374"/>
      <c r="H28" s="374"/>
      <c r="I28" s="40"/>
      <c r="J28" s="229">
        <f t="shared" si="1"/>
        <v>13298.083691826359</v>
      </c>
      <c r="K28" s="315">
        <f>J28*$L$6</f>
        <v>0</v>
      </c>
      <c r="L28" s="316">
        <f t="shared" si="2"/>
        <v>0</v>
      </c>
      <c r="M28" s="23">
        <f t="shared" si="3"/>
        <v>13830.007039499413</v>
      </c>
      <c r="N28" s="317">
        <f>M27*$L$6</f>
        <v>0</v>
      </c>
      <c r="O28" s="318">
        <f t="shared" si="4"/>
        <v>0</v>
      </c>
      <c r="P28" s="229">
        <f t="shared" si="5"/>
        <v>14106.607180289402</v>
      </c>
      <c r="Q28" s="551">
        <f>P27*$L$6</f>
        <v>0</v>
      </c>
      <c r="R28" s="552">
        <f t="shared" si="6"/>
        <v>0</v>
      </c>
      <c r="S28" s="934" t="s">
        <v>12</v>
      </c>
      <c r="T28" s="556" t="s">
        <v>12</v>
      </c>
      <c r="U28" s="953">
        <f t="shared" si="7"/>
        <v>0</v>
      </c>
    </row>
    <row r="29" spans="1:21" s="1" customFormat="1" ht="13" x14ac:dyDescent="0.3">
      <c r="A29" s="511"/>
      <c r="B29" s="997" t="str">
        <f>VLOOKUP(C$2,Monitor_Costs,10,FALSE)</f>
        <v>Sequential Sampler</v>
      </c>
      <c r="C29" s="998">
        <f>VLOOKUP(C$2,Monitor_Costs,11,FALSE)</f>
        <v>11000</v>
      </c>
      <c r="D29" s="86">
        <f>VLOOKUP(C$2,Monitor_Costs,12,FALSE)</f>
        <v>2019</v>
      </c>
      <c r="E29" s="655"/>
      <c r="F29" s="130"/>
      <c r="G29" s="655"/>
      <c r="H29" s="655"/>
      <c r="I29" s="379"/>
      <c r="J29" s="229">
        <f t="shared" si="1"/>
        <v>13298.083691826359</v>
      </c>
      <c r="K29" s="551">
        <f>J29*$O$3</f>
        <v>5518704.7321079392</v>
      </c>
      <c r="L29" s="552">
        <f t="shared" si="2"/>
        <v>788386.3903011342</v>
      </c>
      <c r="M29" s="23">
        <f t="shared" si="3"/>
        <v>13830.007039499413</v>
      </c>
      <c r="N29" s="554">
        <f>M29*$O$3</f>
        <v>5739452.9213922564</v>
      </c>
      <c r="O29" s="555">
        <f t="shared" si="4"/>
        <v>819921.84591317945</v>
      </c>
      <c r="P29" s="229">
        <f t="shared" si="5"/>
        <v>14106.607180289402</v>
      </c>
      <c r="Q29" s="315">
        <f>P29*$O$3</f>
        <v>5854241.9798201015</v>
      </c>
      <c r="R29" s="316">
        <f t="shared" si="6"/>
        <v>836320.28283144312</v>
      </c>
      <c r="S29" s="376" t="s">
        <v>12</v>
      </c>
      <c r="T29" s="313" t="s">
        <v>12</v>
      </c>
      <c r="U29" s="415">
        <f t="shared" si="7"/>
        <v>814876.17301525222</v>
      </c>
    </row>
    <row r="30" spans="1:21" s="1" customFormat="1" ht="13" x14ac:dyDescent="0.3">
      <c r="A30" s="511"/>
      <c r="B30" s="999" t="str">
        <f>"Spare "&amp;B29&amp;"s"</f>
        <v>Spare Sequential Samplers</v>
      </c>
      <c r="C30" s="380">
        <f>C29</f>
        <v>11000</v>
      </c>
      <c r="D30" s="20">
        <f>VLOOKUP(C$2,Monitor_Costs,12,FALSE)</f>
        <v>2019</v>
      </c>
      <c r="E30" s="373"/>
      <c r="F30" s="50"/>
      <c r="G30" s="374"/>
      <c r="H30" s="374"/>
      <c r="I30" s="40"/>
      <c r="J30" s="229">
        <f t="shared" si="1"/>
        <v>13298.083691826359</v>
      </c>
      <c r="K30" s="315">
        <f>J30*$P$3</f>
        <v>331122.28392647632</v>
      </c>
      <c r="L30" s="316">
        <f t="shared" si="2"/>
        <v>47303.183418068045</v>
      </c>
      <c r="M30" s="23">
        <f t="shared" si="3"/>
        <v>13830.007039499413</v>
      </c>
      <c r="N30" s="317">
        <f>M30*$P$3</f>
        <v>344367.17528353538</v>
      </c>
      <c r="O30" s="318">
        <f t="shared" si="4"/>
        <v>49195.310754790771</v>
      </c>
      <c r="P30" s="229">
        <f t="shared" si="5"/>
        <v>14106.607180289402</v>
      </c>
      <c r="Q30" s="315">
        <f>P30*$P$3</f>
        <v>351254.51878920611</v>
      </c>
      <c r="R30" s="316">
        <f t="shared" si="6"/>
        <v>50179.216969886584</v>
      </c>
      <c r="S30" s="376" t="s">
        <v>12</v>
      </c>
      <c r="T30" s="313" t="s">
        <v>12</v>
      </c>
      <c r="U30" s="415">
        <f t="shared" si="7"/>
        <v>48892.570380915131</v>
      </c>
    </row>
    <row r="31" spans="1:21" s="1" customFormat="1" ht="13" x14ac:dyDescent="0.3">
      <c r="A31" s="511"/>
      <c r="B31" s="997" t="str">
        <f>VLOOKUP(C$2,Monitor_Costs,13,FALSE)</f>
        <v>Continuous Sampler</v>
      </c>
      <c r="C31" s="998">
        <f>VLOOKUP(C$2,Monitor_Costs,14,FALSE)</f>
        <v>18300</v>
      </c>
      <c r="D31" s="20">
        <f>VLOOKUP(C$2,Monitor_Costs,15,FALSE)</f>
        <v>2019</v>
      </c>
      <c r="E31" s="899"/>
      <c r="F31" s="130"/>
      <c r="G31" s="655"/>
      <c r="H31" s="655"/>
      <c r="I31" s="379"/>
      <c r="J31" s="229">
        <f t="shared" si="1"/>
        <v>22123.175596402034</v>
      </c>
      <c r="K31" s="621">
        <f>J31*$O$6</f>
        <v>16526012.170512319</v>
      </c>
      <c r="L31" s="622">
        <f t="shared" si="2"/>
        <v>2360858.8815017599</v>
      </c>
      <c r="M31" s="23">
        <f t="shared" si="3"/>
        <v>23008.102620258116</v>
      </c>
      <c r="N31" s="623">
        <f>M31*$O$6</f>
        <v>17187052.657332812</v>
      </c>
      <c r="O31" s="624">
        <f t="shared" si="4"/>
        <v>2455293.2367618303</v>
      </c>
      <c r="P31" s="229">
        <f t="shared" si="5"/>
        <v>23468.264672663277</v>
      </c>
      <c r="Q31" s="621">
        <f>P31*$O$6</f>
        <v>17530793.710479468</v>
      </c>
      <c r="R31" s="622">
        <f t="shared" si="6"/>
        <v>2504399.1014970667</v>
      </c>
      <c r="S31" s="627" t="s">
        <v>12</v>
      </c>
      <c r="T31" s="901" t="s">
        <v>12</v>
      </c>
      <c r="U31" s="902">
        <f t="shared" si="7"/>
        <v>2440183.7399202189</v>
      </c>
    </row>
    <row r="32" spans="1:21" s="1" customFormat="1" ht="13" x14ac:dyDescent="0.3">
      <c r="A32" s="511"/>
      <c r="B32" s="999" t="str">
        <f>"Spare "&amp;B31&amp;"s"</f>
        <v>Spare Continuous Samplers</v>
      </c>
      <c r="C32" s="841">
        <f>VLOOKUP(C$2,Monitor_Costs,14,FALSE)</f>
        <v>18300</v>
      </c>
      <c r="D32" s="20">
        <f>VLOOKUP(C$2,Monitor_Costs,15,FALSE)</f>
        <v>2019</v>
      </c>
      <c r="E32" s="373"/>
      <c r="F32" s="50"/>
      <c r="G32" s="374"/>
      <c r="H32" s="374"/>
      <c r="I32" s="932"/>
      <c r="J32" s="229">
        <f t="shared" si="1"/>
        <v>22123.175596402034</v>
      </c>
      <c r="K32" s="315">
        <f>J32*$P$6</f>
        <v>991560.73023073922</v>
      </c>
      <c r="L32" s="316">
        <f t="shared" si="2"/>
        <v>141651.53289010559</v>
      </c>
      <c r="M32" s="23">
        <f t="shared" si="3"/>
        <v>23008.102620258116</v>
      </c>
      <c r="N32" s="317">
        <f>M32*$P$6</f>
        <v>1031223.1594399688</v>
      </c>
      <c r="O32" s="365">
        <f t="shared" si="4"/>
        <v>147317.59420570981</v>
      </c>
      <c r="P32" s="229">
        <f t="shared" si="5"/>
        <v>23468.264672663277</v>
      </c>
      <c r="Q32" s="315">
        <f>P32*$P$6</f>
        <v>1051847.6226287682</v>
      </c>
      <c r="R32" s="316">
        <f t="shared" si="6"/>
        <v>150263.94608982402</v>
      </c>
      <c r="S32" s="376" t="s">
        <v>12</v>
      </c>
      <c r="T32" s="313" t="s">
        <v>12</v>
      </c>
      <c r="U32" s="415">
        <f t="shared" si="7"/>
        <v>146411.02439521314</v>
      </c>
    </row>
    <row r="33" spans="1:21" s="1" customFormat="1" ht="13" x14ac:dyDescent="0.3">
      <c r="A33" s="511"/>
      <c r="B33" s="997" t="str">
        <f>VLOOKUP(C$2,Monitor_Costs,16,FALSE)</f>
        <v>Speciation Sampler</v>
      </c>
      <c r="C33" s="998">
        <f>VLOOKUP(C$2,Monitor_Costs,17,FALSE)</f>
        <v>12000</v>
      </c>
      <c r="D33" s="20">
        <f>VLOOKUP(C$2,Monitor_Costs,18,FALSE)</f>
        <v>2019</v>
      </c>
      <c r="E33" s="373"/>
      <c r="F33" s="50"/>
      <c r="G33" s="374"/>
      <c r="H33" s="374"/>
      <c r="I33" s="932"/>
      <c r="J33" s="229">
        <f t="shared" si="1"/>
        <v>14507.000391083302</v>
      </c>
      <c r="K33" s="315">
        <f>J33*$O$7</f>
        <v>1958445.0527962458</v>
      </c>
      <c r="L33" s="316">
        <f t="shared" si="2"/>
        <v>279777.86468517798</v>
      </c>
      <c r="M33" s="23">
        <f t="shared" si="3"/>
        <v>15087.280406726633</v>
      </c>
      <c r="N33" s="317">
        <f>M33*$O$7</f>
        <v>2036782.8549080954</v>
      </c>
      <c r="O33" s="365">
        <f t="shared" si="4"/>
        <v>290968.97927258507</v>
      </c>
      <c r="P33" s="229">
        <f t="shared" si="5"/>
        <v>15389.026014861165</v>
      </c>
      <c r="Q33" s="315">
        <f>P33*$O$7</f>
        <v>2077518.5120062572</v>
      </c>
      <c r="R33" s="316">
        <f t="shared" si="6"/>
        <v>296788.35885803675</v>
      </c>
      <c r="S33" s="376" t="s">
        <v>12</v>
      </c>
      <c r="T33" s="313" t="s">
        <v>12</v>
      </c>
      <c r="U33" s="415">
        <f t="shared" si="7"/>
        <v>289178.40093859989</v>
      </c>
    </row>
    <row r="34" spans="1:21" s="1" customFormat="1" ht="13" x14ac:dyDescent="0.3">
      <c r="A34" s="511"/>
      <c r="B34" s="1007" t="str">
        <f>VLOOKUP(C$2,Monitor_Costs,19,FALSE)</f>
        <v>Data acquisition (laptop/PDA)</v>
      </c>
      <c r="C34" s="841">
        <f>VLOOKUP(C$2,Monitor_Costs,20,FALSE)</f>
        <v>400</v>
      </c>
      <c r="D34" s="20">
        <f>VLOOKUP(C$2,Monitor_Costs,21,FALSE)</f>
        <v>2019</v>
      </c>
      <c r="F34" s="50"/>
      <c r="G34" s="374"/>
      <c r="H34" s="374"/>
      <c r="I34" s="932"/>
      <c r="J34" s="229">
        <f t="shared" si="1"/>
        <v>483.5666797027767</v>
      </c>
      <c r="K34" s="315">
        <f>J34*($O$3+$O$4+$L$6+$O$5)</f>
        <v>236173.96636683613</v>
      </c>
      <c r="L34" s="316">
        <f t="shared" si="2"/>
        <v>33739.138052405164</v>
      </c>
      <c r="M34" s="23">
        <f t="shared" si="3"/>
        <v>502.90934689088778</v>
      </c>
      <c r="N34" s="317">
        <f>M34*($O$3+$O$4+$L$6+$O$5)</f>
        <v>245620.92502150958</v>
      </c>
      <c r="O34" s="365">
        <f t="shared" si="4"/>
        <v>35088.703574501371</v>
      </c>
      <c r="P34" s="229">
        <f t="shared" si="5"/>
        <v>512.96753382870554</v>
      </c>
      <c r="Q34" s="315">
        <f>P34*($O$3+$O$4+$L$6+$O$5)</f>
        <v>250533.34352193977</v>
      </c>
      <c r="R34" s="316">
        <f t="shared" si="6"/>
        <v>35790.477645991392</v>
      </c>
      <c r="S34" s="376" t="s">
        <v>12</v>
      </c>
      <c r="T34" s="313" t="s">
        <v>12</v>
      </c>
      <c r="U34" s="415">
        <f t="shared" si="7"/>
        <v>34872.77309096598</v>
      </c>
    </row>
    <row r="35" spans="1:21" s="1" customFormat="1" ht="13.5" thickBot="1" x14ac:dyDescent="0.35">
      <c r="A35" s="511"/>
      <c r="B35" s="1004" t="str">
        <f>VLOOKUP(C$2,Monitor_Costs,22,FALSE)</f>
        <v>Sampling Platform</v>
      </c>
      <c r="C35" s="1005">
        <f>VLOOKUP(C$2,Monitor_Costs,23,FALSE)</f>
        <v>2000</v>
      </c>
      <c r="D35" s="310">
        <f>VLOOKUP(C$2,Monitor_Costs,24,FALSE)</f>
        <v>2019</v>
      </c>
      <c r="E35" s="1006"/>
      <c r="F35" s="382"/>
      <c r="G35" s="381"/>
      <c r="H35" s="381"/>
      <c r="I35" s="1003"/>
      <c r="J35" s="297">
        <f t="shared" si="1"/>
        <v>2417.8333985138834</v>
      </c>
      <c r="K35" s="245">
        <f>J35*S3</f>
        <v>2454100.8994915918</v>
      </c>
      <c r="L35" s="246">
        <f t="shared" si="2"/>
        <v>350585.84278451314</v>
      </c>
      <c r="M35" s="84">
        <f t="shared" si="3"/>
        <v>2514.5467344544386</v>
      </c>
      <c r="N35" s="166">
        <f>M35*$S$3</f>
        <v>2552264.9354712553</v>
      </c>
      <c r="O35" s="167">
        <f t="shared" si="4"/>
        <v>364609.2764958936</v>
      </c>
      <c r="P35" s="295">
        <f t="shared" si="5"/>
        <v>2564.8376691435274</v>
      </c>
      <c r="Q35" s="245">
        <f>P35*$S$3</f>
        <v>2603310.2341806805</v>
      </c>
      <c r="R35" s="246">
        <f t="shared" si="6"/>
        <v>371901.46202581149</v>
      </c>
      <c r="S35" s="384" t="s">
        <v>12</v>
      </c>
      <c r="T35" s="174" t="s">
        <v>12</v>
      </c>
      <c r="U35" s="184">
        <f t="shared" si="7"/>
        <v>362365.52710207272</v>
      </c>
    </row>
    <row r="36" spans="1:21" ht="13" x14ac:dyDescent="0.3">
      <c r="A36" s="510"/>
      <c r="B36" s="1" t="s">
        <v>17</v>
      </c>
      <c r="C36" s="86" t="s">
        <v>45</v>
      </c>
      <c r="D36" s="86" t="s">
        <v>46</v>
      </c>
      <c r="E36" s="86" t="s">
        <v>47</v>
      </c>
      <c r="F36" s="86" t="s">
        <v>48</v>
      </c>
      <c r="G36" s="86" t="s">
        <v>49</v>
      </c>
      <c r="H36" s="86" t="s">
        <v>50</v>
      </c>
      <c r="I36" s="145" t="s">
        <v>74</v>
      </c>
      <c r="J36" s="292"/>
      <c r="K36" s="293"/>
      <c r="L36" s="296"/>
      <c r="M36" s="88"/>
      <c r="N36" s="86"/>
      <c r="O36" s="87"/>
      <c r="P36" s="293"/>
      <c r="Q36" s="293"/>
      <c r="R36" s="296"/>
      <c r="S36" s="100"/>
      <c r="T36" s="31"/>
      <c r="U36" s="182"/>
    </row>
    <row r="37" spans="1:21" ht="13" x14ac:dyDescent="0.3">
      <c r="A37" s="510"/>
      <c r="B37" s="506" t="s">
        <v>119</v>
      </c>
      <c r="C37" s="27">
        <v>0</v>
      </c>
      <c r="D37" s="18">
        <v>0</v>
      </c>
      <c r="E37" s="18">
        <v>8</v>
      </c>
      <c r="F37" s="18">
        <v>8</v>
      </c>
      <c r="G37" s="18">
        <v>0</v>
      </c>
      <c r="H37" s="18">
        <v>0</v>
      </c>
      <c r="I37" s="41">
        <f>SUM(C37:H37)</f>
        <v>16</v>
      </c>
      <c r="J37" s="213" t="s">
        <v>12</v>
      </c>
      <c r="K37" s="231">
        <f>$I37*($O$3+$O$4+$O$5+$O$6+$O$7+$L$6+$P$3+$P$4+$P$6)</f>
        <v>23069.760000000002</v>
      </c>
      <c r="L37" s="232">
        <f>K37/$E$22</f>
        <v>3295.6800000000003</v>
      </c>
      <c r="M37" s="51" t="s">
        <v>12</v>
      </c>
      <c r="N37" s="58">
        <f>$I37*($O$3+$O$4+$O$5+$O$6+$O$7+$L$6+$P$3+$P$4+$P$6)</f>
        <v>23069.760000000002</v>
      </c>
      <c r="O37" s="52">
        <f>N37/$E$22</f>
        <v>3295.6800000000003</v>
      </c>
      <c r="P37" s="213" t="s">
        <v>12</v>
      </c>
      <c r="Q37" s="231">
        <f>$I37*($O$3+$O$4+$O$5+$O$6+$O$7+$L$6+$P$3+$P$4+$P$6)</f>
        <v>23069.760000000002</v>
      </c>
      <c r="R37" s="232">
        <f>Q37/$E$22</f>
        <v>3295.6800000000003</v>
      </c>
      <c r="S37" s="96">
        <f>AVERAGE(L37,O37,R37)</f>
        <v>3295.6800000000003</v>
      </c>
      <c r="T37" s="94" t="s">
        <v>12</v>
      </c>
      <c r="U37" s="187" t="s">
        <v>12</v>
      </c>
    </row>
    <row r="38" spans="1:21" s="1" customFormat="1" ht="13.5" thickBot="1" x14ac:dyDescent="0.35">
      <c r="A38" s="511"/>
      <c r="B38" s="500" t="s">
        <v>8</v>
      </c>
      <c r="C38" s="319">
        <f>ROUND(C37*Labor!$D$3,0)</f>
        <v>0</v>
      </c>
      <c r="D38" s="310">
        <f>ROUND(D37*Labor!$D$4,0)</f>
        <v>0</v>
      </c>
      <c r="E38" s="310">
        <f>ROUND(E37*Labor!$D$5,0)</f>
        <v>202</v>
      </c>
      <c r="F38" s="310">
        <f>ROUND(F37*Labor!$D$6,0)</f>
        <v>221</v>
      </c>
      <c r="G38" s="310">
        <f>ROUND(G37*Labor!$D$7,0)</f>
        <v>0</v>
      </c>
      <c r="H38" s="310">
        <f>ROUND(H37*Labor!$D$8,0)</f>
        <v>0</v>
      </c>
      <c r="I38" s="311">
        <f>SUM(C38:H38)</f>
        <v>423</v>
      </c>
      <c r="J38" s="284">
        <f>HLOOKUP(K$10,InflationTable,2)/HLOOKUP(Labor!$B$11,InflationTable,2)*$I38</f>
        <v>904.89799307958469</v>
      </c>
      <c r="K38" s="245">
        <f>J38*($O$3+$O$4+$O$5+$O$6+$O$7+$L$6+$P$3+$P$4+$P$6)</f>
        <v>1304736.2203017301</v>
      </c>
      <c r="L38" s="246">
        <f>K38/$E$22</f>
        <v>186390.88861453286</v>
      </c>
      <c r="M38" s="169">
        <f>HLOOKUP(N$10,InflationTable,2)/HLOOKUP(Labor!$B$11,InflationTable,2)*$I38</f>
        <v>941.09391280276827</v>
      </c>
      <c r="N38" s="166">
        <f>M38*($O$3+$O$4+$O$5+$O$6+$O$7+$L$6+$P$3+$P$4+$P$6)</f>
        <v>1356925.6691137997</v>
      </c>
      <c r="O38" s="167">
        <f>N38/$E$22</f>
        <v>193846.52415911425</v>
      </c>
      <c r="P38" s="284">
        <f>HLOOKUP(Q$10,InflationTable,2)/HLOOKUP(Labor!$B$11,InflationTable,2)*$I38</f>
        <v>959.9157910588234</v>
      </c>
      <c r="Q38" s="245">
        <f>P38*($O$3+$O$4+$O$5+$O$6+$O$7+$L$6+$P$3+$P$4+$P$6)</f>
        <v>1384064.1824960753</v>
      </c>
      <c r="R38" s="246">
        <f>Q38/$E$22</f>
        <v>197723.45464229648</v>
      </c>
      <c r="S38" s="169">
        <f>AVERAGE(L38,O38,R38)</f>
        <v>192653.62247198122</v>
      </c>
      <c r="T38" s="174" t="s">
        <v>12</v>
      </c>
      <c r="U38" s="183" t="s">
        <v>12</v>
      </c>
    </row>
    <row r="39" spans="1:21" s="1" customFormat="1" ht="13" x14ac:dyDescent="0.3">
      <c r="A39" s="511"/>
      <c r="B39" s="1" t="s">
        <v>177</v>
      </c>
      <c r="C39" s="557"/>
      <c r="D39" s="548"/>
      <c r="E39" s="548"/>
      <c r="F39" s="548"/>
      <c r="G39" s="548"/>
      <c r="H39" s="548"/>
      <c r="I39" s="549"/>
      <c r="J39" s="1028"/>
      <c r="K39" s="1029"/>
      <c r="L39" s="1030"/>
      <c r="M39" s="1031"/>
      <c r="N39" s="1032"/>
      <c r="O39" s="1033"/>
      <c r="P39" s="1034"/>
      <c r="Q39" s="551"/>
      <c r="R39" s="552"/>
      <c r="S39" s="1035"/>
      <c r="T39" s="1036"/>
      <c r="U39" s="1037"/>
    </row>
    <row r="40" spans="1:21" ht="13" x14ac:dyDescent="0.3">
      <c r="A40" s="510"/>
      <c r="B40" s="1" t="s">
        <v>323</v>
      </c>
      <c r="C40" s="290">
        <v>0</v>
      </c>
      <c r="D40" s="302">
        <v>4</v>
      </c>
      <c r="E40" s="302">
        <v>2</v>
      </c>
      <c r="F40" s="302">
        <v>2</v>
      </c>
      <c r="G40" s="302">
        <v>0</v>
      </c>
      <c r="H40" s="302">
        <v>0</v>
      </c>
      <c r="I40" s="303">
        <f t="shared" ref="I40:I49" si="8">SUM(C40:H40)</f>
        <v>8</v>
      </c>
      <c r="J40" s="242" t="s">
        <v>12</v>
      </c>
      <c r="K40" s="1040">
        <f>$I$40*($O$4+$O$5)</f>
        <v>587.20000000000005</v>
      </c>
      <c r="L40" s="232">
        <f t="shared" ref="L40:L49" si="9">K40/$E$22</f>
        <v>83.885714285714286</v>
      </c>
      <c r="M40" s="53" t="s">
        <v>12</v>
      </c>
      <c r="N40" s="1041">
        <f>$I$40*($O$4+$O$5)</f>
        <v>587.20000000000005</v>
      </c>
      <c r="O40" s="52">
        <f t="shared" ref="O40:O49" si="10">N40/$E$22</f>
        <v>83.885714285714286</v>
      </c>
      <c r="P40" s="242" t="s">
        <v>12</v>
      </c>
      <c r="Q40" s="1038">
        <f>$I$40*($O$4+$O$5)</f>
        <v>587.20000000000005</v>
      </c>
      <c r="R40" s="232">
        <f t="shared" ref="R40:R49" si="11">Q40/$E$22</f>
        <v>83.885714285714286</v>
      </c>
      <c r="S40" s="104">
        <f t="shared" ref="S40:S50" si="12">AVERAGE(L40,O40,R40)</f>
        <v>83.885714285714286</v>
      </c>
      <c r="T40" s="42" t="s">
        <v>12</v>
      </c>
      <c r="U40" s="185" t="s">
        <v>12</v>
      </c>
    </row>
    <row r="41" spans="1:21" s="1" customFormat="1" ht="13.5" thickBot="1" x14ac:dyDescent="0.35">
      <c r="A41" s="511"/>
      <c r="B41" s="507" t="s">
        <v>8</v>
      </c>
      <c r="C41" s="310">
        <f>ROUND(C40*Labor!$D$3,0)</f>
        <v>0</v>
      </c>
      <c r="D41" s="310">
        <f>ROUND(D40*Labor!$D$4,0)</f>
        <v>97</v>
      </c>
      <c r="E41" s="310">
        <f>ROUND(E40*Labor!$D$5,0)</f>
        <v>50</v>
      </c>
      <c r="F41" s="310">
        <f>ROUND(F40*Labor!$D$6,0)</f>
        <v>55</v>
      </c>
      <c r="G41" s="310">
        <f>ROUND(G40*Labor!$D$7,0)</f>
        <v>0</v>
      </c>
      <c r="H41" s="310">
        <f>ROUND(H40*Labor!$D$8,0)</f>
        <v>0</v>
      </c>
      <c r="I41" s="311">
        <f t="shared" si="8"/>
        <v>202</v>
      </c>
      <c r="J41" s="284">
        <f>HLOOKUP(K$10,InflationTable,2)/HLOOKUP(Labor!$B$11,InflationTable,2)*$I41</f>
        <v>432.12622837370236</v>
      </c>
      <c r="K41" s="1039">
        <f>J41*($O$4+$O$5)</f>
        <v>31718.065162629755</v>
      </c>
      <c r="L41" s="620">
        <f t="shared" si="9"/>
        <v>4531.1521660899652</v>
      </c>
      <c r="M41" s="169">
        <f>HLOOKUP(N$10,InflationTable,2)/HLOOKUP(Labor!$B$11,InflationTable,2)*$I41</f>
        <v>449.41127750865053</v>
      </c>
      <c r="N41" s="614">
        <f>M41*($O$4+$O$5)</f>
        <v>32986.787769134949</v>
      </c>
      <c r="O41" s="563">
        <f t="shared" si="10"/>
        <v>4712.3982527335638</v>
      </c>
      <c r="P41" s="284">
        <f>HLOOKUP(Q$10,InflationTable,2)/HLOOKUP(Labor!$B$11,InflationTable,2)*$I41</f>
        <v>458.39950305882348</v>
      </c>
      <c r="Q41" s="245">
        <f>P41*($O$4+$O$5)</f>
        <v>33646.523524517645</v>
      </c>
      <c r="R41" s="246">
        <f t="shared" si="11"/>
        <v>4806.6462177882349</v>
      </c>
      <c r="S41" s="169">
        <f t="shared" si="12"/>
        <v>4683.3988788705874</v>
      </c>
      <c r="T41" s="323" t="s">
        <v>12</v>
      </c>
      <c r="U41" s="183" t="s">
        <v>12</v>
      </c>
    </row>
    <row r="42" spans="1:21" ht="13" x14ac:dyDescent="0.3">
      <c r="A42" s="510"/>
      <c r="B42" s="1" t="s">
        <v>324</v>
      </c>
      <c r="C42" s="290">
        <v>0</v>
      </c>
      <c r="D42" s="302">
        <v>4</v>
      </c>
      <c r="E42" s="302">
        <v>2</v>
      </c>
      <c r="F42" s="302">
        <v>2</v>
      </c>
      <c r="G42" s="302">
        <v>0</v>
      </c>
      <c r="H42" s="302">
        <v>0</v>
      </c>
      <c r="I42" s="303">
        <f t="shared" si="8"/>
        <v>8</v>
      </c>
      <c r="J42" s="242" t="s">
        <v>12</v>
      </c>
      <c r="K42" s="273">
        <f>$I42*$O$3</f>
        <v>3320</v>
      </c>
      <c r="L42" s="243">
        <f t="shared" si="9"/>
        <v>474.28571428571428</v>
      </c>
      <c r="M42" s="53" t="s">
        <v>12</v>
      </c>
      <c r="N42" s="147">
        <f>$I42*$O$3</f>
        <v>3320</v>
      </c>
      <c r="O42" s="54">
        <f t="shared" si="10"/>
        <v>474.28571428571428</v>
      </c>
      <c r="P42" s="242" t="s">
        <v>12</v>
      </c>
      <c r="Q42" s="273">
        <f>$I42*$O$3</f>
        <v>3320</v>
      </c>
      <c r="R42" s="304">
        <f t="shared" si="11"/>
        <v>474.28571428571428</v>
      </c>
      <c r="S42" s="104">
        <f t="shared" si="12"/>
        <v>474.28571428571428</v>
      </c>
      <c r="T42" s="42" t="s">
        <v>12</v>
      </c>
      <c r="U42" s="185" t="s">
        <v>12</v>
      </c>
    </row>
    <row r="43" spans="1:21" s="1" customFormat="1" ht="13.5" thickBot="1" x14ac:dyDescent="0.35">
      <c r="A43" s="511"/>
      <c r="B43" s="507" t="s">
        <v>8</v>
      </c>
      <c r="C43" s="310">
        <f>ROUND(C42*Labor!$D$3,0)</f>
        <v>0</v>
      </c>
      <c r="D43" s="310">
        <f>ROUND(D42*Labor!$D$4,0)</f>
        <v>97</v>
      </c>
      <c r="E43" s="310">
        <f>ROUND(E42*Labor!$D$5,0)</f>
        <v>50</v>
      </c>
      <c r="F43" s="310">
        <f>ROUND(F42*Labor!$D$6,0)</f>
        <v>55</v>
      </c>
      <c r="G43" s="310">
        <f>ROUND(G42*Labor!$D$7,0)</f>
        <v>0</v>
      </c>
      <c r="H43" s="310">
        <f>ROUND(H42*Labor!$D$8,0)</f>
        <v>0</v>
      </c>
      <c r="I43" s="311">
        <f t="shared" si="8"/>
        <v>202</v>
      </c>
      <c r="J43" s="284">
        <f>HLOOKUP(K$10,InflationTable,2)/HLOOKUP(Labor!$B$11,InflationTable,2)*$I43</f>
        <v>432.12622837370236</v>
      </c>
      <c r="K43" s="245">
        <f>J43*$O$3</f>
        <v>179332.38477508648</v>
      </c>
      <c r="L43" s="246">
        <f t="shared" si="9"/>
        <v>25618.91211072664</v>
      </c>
      <c r="M43" s="169">
        <f>HLOOKUP(N$10,InflationTable,2)/HLOOKUP(Labor!$B$11,InflationTable,2)*$I43</f>
        <v>449.41127750865053</v>
      </c>
      <c r="N43" s="166">
        <f>M43*$O$3</f>
        <v>186505.68016608997</v>
      </c>
      <c r="O43" s="167">
        <f t="shared" si="10"/>
        <v>26643.668595155708</v>
      </c>
      <c r="P43" s="284">
        <f>HLOOKUP(Q$10,InflationTable,2)/HLOOKUP(Labor!$B$11,InflationTable,2)*$I43</f>
        <v>458.39950305882348</v>
      </c>
      <c r="Q43" s="245">
        <f>P43*$O$3</f>
        <v>190235.79376941174</v>
      </c>
      <c r="R43" s="246">
        <f t="shared" si="11"/>
        <v>27176.54196705882</v>
      </c>
      <c r="S43" s="169">
        <f t="shared" si="12"/>
        <v>26479.707557647056</v>
      </c>
      <c r="T43" s="323" t="s">
        <v>12</v>
      </c>
      <c r="U43" s="183" t="s">
        <v>12</v>
      </c>
    </row>
    <row r="44" spans="1:21" ht="13" x14ac:dyDescent="0.3">
      <c r="A44" s="510"/>
      <c r="B44" s="1" t="s">
        <v>325</v>
      </c>
      <c r="C44" s="290">
        <v>0</v>
      </c>
      <c r="D44" s="302">
        <v>4</v>
      </c>
      <c r="E44" s="302">
        <v>2</v>
      </c>
      <c r="F44" s="302">
        <v>2</v>
      </c>
      <c r="G44" s="302">
        <v>0</v>
      </c>
      <c r="H44" s="302">
        <v>0</v>
      </c>
      <c r="I44" s="303">
        <f t="shared" si="8"/>
        <v>8</v>
      </c>
      <c r="J44" s="242" t="s">
        <v>12</v>
      </c>
      <c r="K44" s="280">
        <f>$I44*$L$6</f>
        <v>0</v>
      </c>
      <c r="L44" s="243">
        <f t="shared" si="9"/>
        <v>0</v>
      </c>
      <c r="M44" s="53" t="s">
        <v>12</v>
      </c>
      <c r="N44" s="21">
        <f>$I44*$L$6</f>
        <v>0</v>
      </c>
      <c r="O44" s="54">
        <f t="shared" si="10"/>
        <v>0</v>
      </c>
      <c r="P44" s="242" t="s">
        <v>12</v>
      </c>
      <c r="Q44" s="280">
        <f>$I44*$L$6</f>
        <v>0</v>
      </c>
      <c r="R44" s="304">
        <f t="shared" si="11"/>
        <v>0</v>
      </c>
      <c r="S44" s="104">
        <f t="shared" si="12"/>
        <v>0</v>
      </c>
      <c r="T44" s="42" t="s">
        <v>12</v>
      </c>
      <c r="U44" s="185" t="s">
        <v>12</v>
      </c>
    </row>
    <row r="45" spans="1:21" s="1" customFormat="1" ht="13.5" thickBot="1" x14ac:dyDescent="0.35">
      <c r="A45" s="511"/>
      <c r="B45" s="507" t="s">
        <v>8</v>
      </c>
      <c r="C45" s="310">
        <f>ROUND(C44*Labor!$D$3,0)</f>
        <v>0</v>
      </c>
      <c r="D45" s="310">
        <f>ROUND(D44*Labor!$D$4,0)</f>
        <v>97</v>
      </c>
      <c r="E45" s="310">
        <f>ROUND(E44*Labor!$D$5,0)</f>
        <v>50</v>
      </c>
      <c r="F45" s="310">
        <f>ROUND(F44*Labor!$D$6,0)</f>
        <v>55</v>
      </c>
      <c r="G45" s="310">
        <f>ROUND(G44*Labor!$D$7,0)</f>
        <v>0</v>
      </c>
      <c r="H45" s="310">
        <f>ROUND(H44*Labor!$D$8,0)</f>
        <v>0</v>
      </c>
      <c r="I45" s="311">
        <f t="shared" si="8"/>
        <v>202</v>
      </c>
      <c r="J45" s="284">
        <f>HLOOKUP(K$10,InflationTable,2)/HLOOKUP(Labor!$B$11,InflationTable,2)*$I45</f>
        <v>432.12622837370236</v>
      </c>
      <c r="K45" s="245">
        <f>J45*$L$6</f>
        <v>0</v>
      </c>
      <c r="L45" s="246">
        <f t="shared" si="9"/>
        <v>0</v>
      </c>
      <c r="M45" s="169">
        <f>HLOOKUP(N$10,InflationTable,2)/HLOOKUP(Labor!$B$11,InflationTable,2)*$I45</f>
        <v>449.41127750865053</v>
      </c>
      <c r="N45" s="166">
        <f>M45*$L$6</f>
        <v>0</v>
      </c>
      <c r="O45" s="167">
        <f t="shared" si="10"/>
        <v>0</v>
      </c>
      <c r="P45" s="284">
        <f>HLOOKUP(Q$10,InflationTable,2)/HLOOKUP(Labor!$B$11,InflationTable,2)*$I45</f>
        <v>458.39950305882348</v>
      </c>
      <c r="Q45" s="245">
        <f>P45*$L$6</f>
        <v>0</v>
      </c>
      <c r="R45" s="246">
        <f t="shared" si="11"/>
        <v>0</v>
      </c>
      <c r="S45" s="169">
        <f t="shared" si="12"/>
        <v>0</v>
      </c>
      <c r="T45" s="323" t="s">
        <v>12</v>
      </c>
      <c r="U45" s="183" t="s">
        <v>12</v>
      </c>
    </row>
    <row r="46" spans="1:21" ht="13" x14ac:dyDescent="0.3">
      <c r="A46" s="510"/>
      <c r="B46" s="1" t="s">
        <v>326</v>
      </c>
      <c r="C46" s="290">
        <v>0</v>
      </c>
      <c r="D46" s="302">
        <v>2</v>
      </c>
      <c r="E46" s="302">
        <v>3</v>
      </c>
      <c r="F46" s="302">
        <v>3</v>
      </c>
      <c r="G46" s="302">
        <v>0</v>
      </c>
      <c r="H46" s="302">
        <v>0</v>
      </c>
      <c r="I46" s="303">
        <f t="shared" si="8"/>
        <v>8</v>
      </c>
      <c r="J46" s="242" t="s">
        <v>12</v>
      </c>
      <c r="K46" s="273">
        <f>$I46*$O$6</f>
        <v>5976</v>
      </c>
      <c r="L46" s="243">
        <f t="shared" si="9"/>
        <v>853.71428571428567</v>
      </c>
      <c r="M46" s="53" t="s">
        <v>12</v>
      </c>
      <c r="N46" s="147">
        <f>$I46*$O$6</f>
        <v>5976</v>
      </c>
      <c r="O46" s="54">
        <f t="shared" si="10"/>
        <v>853.71428571428567</v>
      </c>
      <c r="P46" s="242" t="s">
        <v>12</v>
      </c>
      <c r="Q46" s="273">
        <f>$I46*$O$6</f>
        <v>5976</v>
      </c>
      <c r="R46" s="304">
        <f t="shared" si="11"/>
        <v>853.71428571428567</v>
      </c>
      <c r="S46" s="104">
        <f t="shared" si="12"/>
        <v>853.71428571428567</v>
      </c>
      <c r="T46" s="42" t="s">
        <v>12</v>
      </c>
      <c r="U46" s="185" t="s">
        <v>12</v>
      </c>
    </row>
    <row r="47" spans="1:21" s="1" customFormat="1" ht="13.5" thickBot="1" x14ac:dyDescent="0.35">
      <c r="A47" s="511"/>
      <c r="B47" s="507" t="s">
        <v>8</v>
      </c>
      <c r="C47" s="310">
        <f>ROUND(C46*Labor!$D$3,0)</f>
        <v>0</v>
      </c>
      <c r="D47" s="310">
        <f>ROUND(D46*Labor!$D$4,0)</f>
        <v>48</v>
      </c>
      <c r="E47" s="310">
        <f>ROUND(E46*Labor!$D$5,0)</f>
        <v>76</v>
      </c>
      <c r="F47" s="310">
        <f>ROUND(F46*Labor!$D$6,0)</f>
        <v>83</v>
      </c>
      <c r="G47" s="310">
        <f>ROUND(G46*Labor!$D$7,0)</f>
        <v>0</v>
      </c>
      <c r="H47" s="310">
        <f>ROUND(H46*Labor!$D$8,0)</f>
        <v>0</v>
      </c>
      <c r="I47" s="311">
        <f t="shared" si="8"/>
        <v>207</v>
      </c>
      <c r="J47" s="284">
        <f>HLOOKUP(K$10,InflationTable,2)/HLOOKUP(Labor!$B$11,InflationTable,2)*$I47</f>
        <v>442.82242214532869</v>
      </c>
      <c r="K47" s="245">
        <f>J47*$O$6</f>
        <v>330788.34934256051</v>
      </c>
      <c r="L47" s="246">
        <f t="shared" si="9"/>
        <v>47255.478477508645</v>
      </c>
      <c r="M47" s="169">
        <f>HLOOKUP(N$10,InflationTable,2)/HLOOKUP(Labor!$B$11,InflationTable,2)*$I47</f>
        <v>460.53531903114191</v>
      </c>
      <c r="N47" s="166">
        <f>M47*$O$6</f>
        <v>344019.88331626303</v>
      </c>
      <c r="O47" s="167">
        <f t="shared" si="10"/>
        <v>49145.697616609003</v>
      </c>
      <c r="P47" s="284">
        <f>HLOOKUP(Q$10,InflationTable,2)/HLOOKUP(Labor!$B$11,InflationTable,2)*$I47</f>
        <v>469.74602541176466</v>
      </c>
      <c r="Q47" s="245">
        <f>P47*$O$6</f>
        <v>350900.28098258818</v>
      </c>
      <c r="R47" s="246">
        <f t="shared" si="11"/>
        <v>50128.611568941167</v>
      </c>
      <c r="S47" s="169">
        <f t="shared" si="12"/>
        <v>48843.262554352936</v>
      </c>
      <c r="T47" s="323" t="s">
        <v>12</v>
      </c>
      <c r="U47" s="183" t="s">
        <v>12</v>
      </c>
    </row>
    <row r="48" spans="1:21" ht="13" x14ac:dyDescent="0.3">
      <c r="A48" s="510"/>
      <c r="B48" s="1" t="s">
        <v>327</v>
      </c>
      <c r="C48" s="290">
        <v>0</v>
      </c>
      <c r="D48" s="302">
        <v>2</v>
      </c>
      <c r="E48" s="302">
        <v>8</v>
      </c>
      <c r="F48" s="302">
        <v>2</v>
      </c>
      <c r="G48" s="302">
        <v>0</v>
      </c>
      <c r="H48" s="302">
        <v>0</v>
      </c>
      <c r="I48" s="303">
        <f t="shared" si="8"/>
        <v>12</v>
      </c>
      <c r="J48" s="242" t="s">
        <v>12</v>
      </c>
      <c r="K48" s="273">
        <f>$I48*$O$7</f>
        <v>1620</v>
      </c>
      <c r="L48" s="243">
        <f t="shared" si="9"/>
        <v>231.42857142857142</v>
      </c>
      <c r="M48" s="53" t="s">
        <v>12</v>
      </c>
      <c r="N48" s="147">
        <f>$I48*$O$7</f>
        <v>1620</v>
      </c>
      <c r="O48" s="54">
        <f t="shared" si="10"/>
        <v>231.42857142857142</v>
      </c>
      <c r="P48" s="242" t="s">
        <v>12</v>
      </c>
      <c r="Q48" s="273">
        <f>$I48*$O$7</f>
        <v>1620</v>
      </c>
      <c r="R48" s="304">
        <f t="shared" si="11"/>
        <v>231.42857142857142</v>
      </c>
      <c r="S48" s="104">
        <f t="shared" si="12"/>
        <v>231.42857142857142</v>
      </c>
      <c r="T48" s="42" t="s">
        <v>12</v>
      </c>
      <c r="U48" s="185" t="s">
        <v>12</v>
      </c>
    </row>
    <row r="49" spans="1:21" s="1" customFormat="1" ht="13.5" thickBot="1" x14ac:dyDescent="0.35">
      <c r="A49" s="511"/>
      <c r="B49" s="507" t="s">
        <v>8</v>
      </c>
      <c r="C49" s="310">
        <f>ROUND(C48*Labor!$D$3,0)</f>
        <v>0</v>
      </c>
      <c r="D49" s="310">
        <f>ROUND(D48*Labor!$D$4,0)</f>
        <v>48</v>
      </c>
      <c r="E49" s="310">
        <f>ROUND(E48*Labor!$D$5,0)</f>
        <v>202</v>
      </c>
      <c r="F49" s="310">
        <f>ROUND(F48*Labor!$D$6,0)</f>
        <v>55</v>
      </c>
      <c r="G49" s="310">
        <f>ROUND(G48*Labor!$D$7,0)</f>
        <v>0</v>
      </c>
      <c r="H49" s="310">
        <f>ROUND(H48*Labor!$D$8,0)</f>
        <v>0</v>
      </c>
      <c r="I49" s="311">
        <f t="shared" si="8"/>
        <v>305</v>
      </c>
      <c r="J49" s="284">
        <f>HLOOKUP(K$10,InflationTable,2)/HLOOKUP(Labor!$B$11,InflationTable,2)*$I49</f>
        <v>652.46782006920409</v>
      </c>
      <c r="K49" s="245">
        <f>J49*$O$7</f>
        <v>88083.155709342551</v>
      </c>
      <c r="L49" s="246">
        <f t="shared" si="9"/>
        <v>12583.307958477508</v>
      </c>
      <c r="M49" s="169">
        <f>HLOOKUP(N$10,InflationTable,2)/HLOOKUP(Labor!$B$11,InflationTable,2)*$I49</f>
        <v>678.56653287197241</v>
      </c>
      <c r="N49" s="166">
        <f>M49*$O$7</f>
        <v>91606.481937716278</v>
      </c>
      <c r="O49" s="167">
        <f t="shared" si="10"/>
        <v>13086.640276816612</v>
      </c>
      <c r="P49" s="284">
        <f>HLOOKUP(Q$10,InflationTable,2)/HLOOKUP(Labor!$B$11,InflationTable,2)*$I49</f>
        <v>692.13786352941167</v>
      </c>
      <c r="Q49" s="245">
        <f>P49*$O$7</f>
        <v>93438.611576470576</v>
      </c>
      <c r="R49" s="246">
        <f t="shared" si="11"/>
        <v>13348.373082352939</v>
      </c>
      <c r="S49" s="169">
        <f t="shared" si="12"/>
        <v>13006.107105882353</v>
      </c>
      <c r="T49" s="323" t="s">
        <v>12</v>
      </c>
      <c r="U49" s="183" t="s">
        <v>12</v>
      </c>
    </row>
    <row r="50" spans="1:21" ht="13" x14ac:dyDescent="0.3">
      <c r="A50" s="510"/>
      <c r="B50" s="501" t="s">
        <v>66</v>
      </c>
      <c r="C50" s="28">
        <f>C40+C42+C44+C46+C48</f>
        <v>0</v>
      </c>
      <c r="D50" s="28">
        <f t="shared" ref="D50:I50" si="13">D40+D42+D44+D46+D48</f>
        <v>16</v>
      </c>
      <c r="E50" s="28">
        <f t="shared" si="13"/>
        <v>17</v>
      </c>
      <c r="F50" s="28">
        <f t="shared" si="13"/>
        <v>11</v>
      </c>
      <c r="G50" s="28">
        <f t="shared" si="13"/>
        <v>0</v>
      </c>
      <c r="H50" s="28">
        <f t="shared" si="13"/>
        <v>0</v>
      </c>
      <c r="I50" s="81">
        <f t="shared" si="13"/>
        <v>44</v>
      </c>
      <c r="J50" s="234" t="s">
        <v>12</v>
      </c>
      <c r="K50" s="235">
        <f>K37+K40</f>
        <v>23656.960000000003</v>
      </c>
      <c r="L50" s="260">
        <f>L37+L40+L48</f>
        <v>3610.994285714286</v>
      </c>
      <c r="M50" s="38" t="s">
        <v>12</v>
      </c>
      <c r="N50" s="28">
        <f>N37+N40</f>
        <v>23656.960000000003</v>
      </c>
      <c r="O50" s="81">
        <f>O37+O40+O48</f>
        <v>3610.994285714286</v>
      </c>
      <c r="P50" s="234" t="s">
        <v>12</v>
      </c>
      <c r="Q50" s="235">
        <f>Q37+Q40</f>
        <v>23656.960000000003</v>
      </c>
      <c r="R50" s="236">
        <f>R37+R40+R48</f>
        <v>3610.994285714286</v>
      </c>
      <c r="S50" s="104">
        <f t="shared" si="12"/>
        <v>3610.9942857142864</v>
      </c>
      <c r="T50" s="42" t="s">
        <v>12</v>
      </c>
      <c r="U50" s="185" t="s">
        <v>12</v>
      </c>
    </row>
    <row r="51" spans="1:21" ht="13.5" thickBot="1" x14ac:dyDescent="0.35">
      <c r="A51" s="510"/>
      <c r="B51" s="502" t="s">
        <v>67</v>
      </c>
      <c r="C51" s="194">
        <f>C41+C43+C45+C47+C49</f>
        <v>0</v>
      </c>
      <c r="D51" s="194">
        <f t="shared" ref="D51:I51" si="14">D41+D43+D45+D47+D49</f>
        <v>387</v>
      </c>
      <c r="E51" s="194">
        <f t="shared" si="14"/>
        <v>428</v>
      </c>
      <c r="F51" s="194">
        <f t="shared" si="14"/>
        <v>303</v>
      </c>
      <c r="G51" s="194">
        <f t="shared" si="14"/>
        <v>0</v>
      </c>
      <c r="H51" s="194">
        <f t="shared" si="14"/>
        <v>0</v>
      </c>
      <c r="I51" s="197">
        <f t="shared" si="14"/>
        <v>1118</v>
      </c>
      <c r="J51" s="224">
        <f>J38+J41+J43+J45+J47+J49+SUM(J25:J35)</f>
        <v>130232.82034239412</v>
      </c>
      <c r="K51" s="224">
        <f t="shared" ref="K51:R51" si="15">K38+K41+K43+K45+K47+K49+SUM(K25:K35)</f>
        <v>30586644.016198657</v>
      </c>
      <c r="L51" s="226">
        <f t="shared" si="15"/>
        <v>4369520.5737426663</v>
      </c>
      <c r="M51" s="196">
        <f t="shared" si="15"/>
        <v>135442.13315608984</v>
      </c>
      <c r="N51" s="196">
        <f t="shared" si="15"/>
        <v>31810109.77684661</v>
      </c>
      <c r="O51" s="201">
        <f t="shared" si="15"/>
        <v>4544301.3966923729</v>
      </c>
      <c r="P51" s="261">
        <f t="shared" si="15"/>
        <v>138150.97581921169</v>
      </c>
      <c r="Q51" s="224">
        <f t="shared" si="15"/>
        <v>32446311.972383544</v>
      </c>
      <c r="R51" s="224">
        <f t="shared" si="15"/>
        <v>4635187.42462622</v>
      </c>
      <c r="S51" s="206">
        <f>S38+S41+S43+S45+S47+S49</f>
        <v>285666.09856873419</v>
      </c>
      <c r="T51" s="203" t="s">
        <v>12</v>
      </c>
      <c r="U51" s="416">
        <f>SUM(U25:U35)</f>
        <v>4230670.3664516853</v>
      </c>
    </row>
    <row r="52" spans="1:21" ht="13.5" thickTop="1" thickBot="1" x14ac:dyDescent="0.3">
      <c r="B52" s="513"/>
      <c r="C52" s="513"/>
      <c r="D52" s="513"/>
      <c r="E52" s="513"/>
      <c r="F52" s="513"/>
      <c r="G52" s="513"/>
      <c r="H52" s="513"/>
      <c r="I52" s="513"/>
      <c r="J52" s="513"/>
      <c r="K52" s="513"/>
      <c r="L52" s="513"/>
      <c r="M52" s="513"/>
      <c r="N52" s="513"/>
      <c r="O52" s="513"/>
      <c r="P52" s="513"/>
      <c r="Q52" s="513"/>
      <c r="R52" s="513"/>
      <c r="S52" s="513"/>
      <c r="T52" s="513"/>
      <c r="U52" s="513"/>
    </row>
    <row r="53" spans="1:21" ht="16" thickTop="1" x14ac:dyDescent="0.35">
      <c r="A53" s="510"/>
      <c r="B53" s="508" t="s">
        <v>155</v>
      </c>
      <c r="F53" s="1" t="s">
        <v>6</v>
      </c>
      <c r="G53" s="1160"/>
      <c r="H53" s="1161"/>
      <c r="I53" s="1162"/>
      <c r="J53" s="198" t="s">
        <v>22</v>
      </c>
      <c r="L53" s="62"/>
      <c r="M53" s="198" t="s">
        <v>22</v>
      </c>
      <c r="O53" s="31"/>
      <c r="P53" s="198" t="s">
        <v>22</v>
      </c>
      <c r="R53" s="31"/>
      <c r="S53" s="97"/>
      <c r="T53" s="31"/>
      <c r="U53" s="414"/>
    </row>
    <row r="54" spans="1:21" ht="13" x14ac:dyDescent="0.3">
      <c r="A54" s="510"/>
      <c r="F54" s="1"/>
      <c r="G54" s="1163"/>
      <c r="H54" s="1163"/>
      <c r="I54" s="1164"/>
      <c r="J54" s="50" t="s">
        <v>61</v>
      </c>
      <c r="K54" s="1159" t="s">
        <v>57</v>
      </c>
      <c r="L54" s="1192"/>
      <c r="M54" s="50" t="s">
        <v>61</v>
      </c>
      <c r="N54" s="1177" t="s">
        <v>57</v>
      </c>
      <c r="O54" s="1178"/>
      <c r="P54" s="50" t="s">
        <v>61</v>
      </c>
      <c r="Q54" s="1177" t="s">
        <v>57</v>
      </c>
      <c r="R54" s="1178"/>
      <c r="S54" s="106"/>
      <c r="T54" s="31"/>
      <c r="U54" s="182"/>
    </row>
    <row r="55" spans="1:21" ht="13" x14ac:dyDescent="0.3">
      <c r="A55" s="510"/>
      <c r="B55" s="506" t="s">
        <v>18</v>
      </c>
      <c r="C55" s="20" t="s">
        <v>60</v>
      </c>
      <c r="D55" s="20" t="s">
        <v>62</v>
      </c>
      <c r="E55" s="7"/>
      <c r="F55" s="61"/>
      <c r="G55" s="61"/>
      <c r="H55" s="61"/>
      <c r="I55" s="31"/>
      <c r="J55" s="20" t="s">
        <v>56</v>
      </c>
      <c r="K55" s="20" t="s">
        <v>13</v>
      </c>
      <c r="L55" s="32" t="s">
        <v>68</v>
      </c>
      <c r="M55" s="66" t="s">
        <v>56</v>
      </c>
      <c r="N55" s="20" t="s">
        <v>13</v>
      </c>
      <c r="O55" s="32" t="s">
        <v>68</v>
      </c>
      <c r="P55" s="66" t="s">
        <v>56</v>
      </c>
      <c r="Q55" s="20" t="s">
        <v>13</v>
      </c>
      <c r="R55" s="32" t="s">
        <v>68</v>
      </c>
      <c r="S55" s="98"/>
      <c r="T55" s="31"/>
      <c r="U55" s="182"/>
    </row>
    <row r="56" spans="1:21" ht="13" x14ac:dyDescent="0.3">
      <c r="A56" s="510"/>
      <c r="B56" s="1042" t="s">
        <v>154</v>
      </c>
      <c r="C56" s="317">
        <f>VLOOKUP($C$2,Monitor_Costs,8,FALSE)</f>
        <v>400</v>
      </c>
      <c r="D56" s="20">
        <f>VLOOKUP(C$2,Monitor_Costs,18,FALSE)</f>
        <v>2019</v>
      </c>
      <c r="E56" s="65"/>
      <c r="F56" s="64"/>
      <c r="G56" s="65"/>
      <c r="H56" s="65"/>
      <c r="I56" s="40"/>
      <c r="J56" s="229">
        <f>HLOOKUP(K$10,InflationTable,2)/HLOOKUP($D56,InflationTable,2)*$C56</f>
        <v>483.5666797027767</v>
      </c>
      <c r="K56" s="315">
        <f>J56*$L$7</f>
        <v>214703.60578803284</v>
      </c>
      <c r="L56" s="316">
        <f>K56</f>
        <v>214703.60578803284</v>
      </c>
      <c r="M56" s="23">
        <f>HLOOKUP(N$10,InflationTable,2)/HLOOKUP($D56,InflationTable,2)*$C56</f>
        <v>502.90934689088778</v>
      </c>
      <c r="N56" s="317">
        <f>M56*$L$7</f>
        <v>223291.75001955417</v>
      </c>
      <c r="O56" s="318">
        <f>N56</f>
        <v>223291.75001955417</v>
      </c>
      <c r="P56" s="229">
        <f>HLOOKUP(Q$10,InflationTable,2)/HLOOKUP($D56,InflationTable,2)*$C56</f>
        <v>512.96753382870554</v>
      </c>
      <c r="Q56" s="315">
        <f>P56*$L$7</f>
        <v>227757.58501994525</v>
      </c>
      <c r="R56" s="316">
        <f>Q56</f>
        <v>227757.58501994525</v>
      </c>
      <c r="S56" s="376" t="s">
        <v>12</v>
      </c>
      <c r="T56" s="314">
        <f>AVERAGE(L56,O56,R56)</f>
        <v>221917.64694251076</v>
      </c>
      <c r="U56" s="417" t="s">
        <v>12</v>
      </c>
    </row>
    <row r="57" spans="1:21" ht="13" x14ac:dyDescent="0.3">
      <c r="A57" s="510"/>
      <c r="B57" s="909" t="str">
        <f>VLOOKUP($C$2,Monitor_Costs,25,FALSE)</f>
        <v>Speciation sampling national contract</v>
      </c>
      <c r="C57" s="317">
        <f>VLOOKUP($C$2,Monitor_Costs,26,FALSE)</f>
        <v>3455984</v>
      </c>
      <c r="D57" s="20">
        <f>VLOOKUP(C$2,Monitor_Costs,27,FALSE)</f>
        <v>2019</v>
      </c>
      <c r="E57" s="65"/>
      <c r="F57" s="64"/>
      <c r="G57" s="65"/>
      <c r="H57" s="65"/>
      <c r="I57" s="40"/>
      <c r="J57" s="229">
        <f>HLOOKUP(K$10,InflationTable,2)/HLOOKUP($D57,InflationTable,2)*$C57</f>
        <v>4177996.7699648025</v>
      </c>
      <c r="K57" s="315">
        <f>J57</f>
        <v>4177996.7699648025</v>
      </c>
      <c r="L57" s="316">
        <f>K57</f>
        <v>4177996.7699648025</v>
      </c>
      <c r="M57" s="23">
        <f>HLOOKUP(N$10,InflationTable,2)/HLOOKUP($D57,InflationTable,2)*$C57</f>
        <v>4345116.6407633945</v>
      </c>
      <c r="N57" s="317">
        <f>M57</f>
        <v>4345116.6407633945</v>
      </c>
      <c r="O57" s="318">
        <f>N57</f>
        <v>4345116.6407633945</v>
      </c>
      <c r="P57" s="229">
        <f>HLOOKUP(Q$10,InflationTable,2)/HLOOKUP($D57,InflationTable,2)*$C57</f>
        <v>4432018.9735786626</v>
      </c>
      <c r="Q57" s="315">
        <f>P57</f>
        <v>4432018.9735786626</v>
      </c>
      <c r="R57" s="316">
        <f>Q57</f>
        <v>4432018.9735786626</v>
      </c>
      <c r="S57" s="376" t="s">
        <v>12</v>
      </c>
      <c r="T57" s="1047" t="s">
        <v>12</v>
      </c>
      <c r="U57" s="1048">
        <f>AVERAGE(L57,O57,R57)</f>
        <v>4318377.4614356197</v>
      </c>
    </row>
    <row r="58" spans="1:21" s="1" customFormat="1" ht="13" x14ac:dyDescent="0.3">
      <c r="A58" s="511"/>
      <c r="B58" s="997" t="str">
        <f>VLOOKUP(C$2,Monitor_Costs,28,FALSE)</f>
        <v>Microbalance</v>
      </c>
      <c r="C58" s="998">
        <f>VLOOKUP(C$2,Monitor_Costs,29,FALSE)</f>
        <v>3000</v>
      </c>
      <c r="D58" s="86">
        <f>VLOOKUP(C$2,Monitor_Costs,30,FALSE)</f>
        <v>2019</v>
      </c>
      <c r="E58" s="373"/>
      <c r="F58" s="130"/>
      <c r="G58" s="655"/>
      <c r="H58" s="655"/>
      <c r="I58" s="375"/>
      <c r="J58" s="229">
        <f>HLOOKUP(K$10,InflationTable,2)/HLOOKUP($D58,InflationTable,2)*$C58</f>
        <v>3626.7500977708255</v>
      </c>
      <c r="K58" s="621">
        <f>J58</f>
        <v>3626.7500977708255</v>
      </c>
      <c r="L58" s="622">
        <f>K58/$E$22</f>
        <v>518.10715682440366</v>
      </c>
      <c r="M58" s="23">
        <f>HLOOKUP(N$10,InflationTable,2)/HLOOKUP($D58,InflationTable,2)*$C58</f>
        <v>3771.8201016816583</v>
      </c>
      <c r="N58" s="623">
        <f>M58</f>
        <v>3771.8201016816583</v>
      </c>
      <c r="O58" s="555">
        <f>N58/$E$22</f>
        <v>538.83144309737975</v>
      </c>
      <c r="P58" s="229">
        <f>HLOOKUP(Q$10,InflationTable,2)/HLOOKUP($D58,InflationTable,2)*$C58</f>
        <v>3847.2565037152913</v>
      </c>
      <c r="Q58" s="621">
        <f>P58</f>
        <v>3847.2565037152913</v>
      </c>
      <c r="R58" s="622">
        <f>Q58/$E$22</f>
        <v>549.60807195932728</v>
      </c>
      <c r="S58" s="627" t="s">
        <v>12</v>
      </c>
      <c r="T58" s="901" t="s">
        <v>12</v>
      </c>
      <c r="U58" s="902">
        <f>AVERAGE(L58,O58,R58)</f>
        <v>535.51555729370364</v>
      </c>
    </row>
    <row r="59" spans="1:21" s="1" customFormat="1" ht="13.5" thickBot="1" x14ac:dyDescent="0.35">
      <c r="A59" s="511"/>
      <c r="B59" s="1043" t="str">
        <f>VLOOKUP(C$2,Monitor_Costs,31,FALSE)</f>
        <v>Clean Room for Weighing</v>
      </c>
      <c r="C59" s="1005">
        <f>VLOOKUP(C$2,Monitor_Costs,32,FALSE)</f>
        <v>75000</v>
      </c>
      <c r="D59" s="310">
        <f>VLOOKUP(C$2,Monitor_Costs,33,FALSE)</f>
        <v>2019</v>
      </c>
      <c r="E59" s="381"/>
      <c r="F59" s="382"/>
      <c r="G59" s="381"/>
      <c r="H59" s="381"/>
      <c r="I59" s="1003"/>
      <c r="J59" s="297">
        <f>HLOOKUP(K$10,InflationTable,2)/HLOOKUP($D59,InflationTable,2)*$C59</f>
        <v>90668.752444270634</v>
      </c>
      <c r="K59" s="245">
        <f>J59</f>
        <v>90668.752444270634</v>
      </c>
      <c r="L59" s="246">
        <f>K59/$E$22</f>
        <v>12952.678920610091</v>
      </c>
      <c r="M59" s="84">
        <f>HLOOKUP(N$10,InflationTable,2)/HLOOKUP($D59,InflationTable,2)*$C59</f>
        <v>94295.50254204146</v>
      </c>
      <c r="N59" s="166">
        <f>M59</f>
        <v>94295.50254204146</v>
      </c>
      <c r="O59" s="167">
        <f>N59/$E$22</f>
        <v>13470.786077434494</v>
      </c>
      <c r="P59" s="295">
        <f>HLOOKUP(Q$10,InflationTable,2)/HLOOKUP($D59,InflationTable,2)*$C59</f>
        <v>96181.412592882276</v>
      </c>
      <c r="Q59" s="245">
        <f>P59</f>
        <v>96181.412592882276</v>
      </c>
      <c r="R59" s="246">
        <f>Q59/$E$22</f>
        <v>13740.201798983182</v>
      </c>
      <c r="S59" s="384" t="s">
        <v>12</v>
      </c>
      <c r="T59" s="174" t="s">
        <v>12</v>
      </c>
      <c r="U59" s="415">
        <f>AVERAGE(L59,O59,R59)</f>
        <v>13387.888932342588</v>
      </c>
    </row>
    <row r="60" spans="1:21" ht="13" x14ac:dyDescent="0.3">
      <c r="A60" s="510"/>
      <c r="B60" s="378" t="s">
        <v>23</v>
      </c>
      <c r="C60" s="86" t="s">
        <v>45</v>
      </c>
      <c r="D60" s="86" t="s">
        <v>46</v>
      </c>
      <c r="E60" s="86" t="s">
        <v>47</v>
      </c>
      <c r="F60" s="86" t="s">
        <v>48</v>
      </c>
      <c r="G60" s="86" t="s">
        <v>49</v>
      </c>
      <c r="H60" s="86" t="s">
        <v>50</v>
      </c>
      <c r="I60" s="145" t="s">
        <v>74</v>
      </c>
      <c r="J60" s="293"/>
      <c r="K60" s="293"/>
      <c r="L60" s="296"/>
      <c r="M60" s="88"/>
      <c r="N60" s="86"/>
      <c r="O60" s="87"/>
      <c r="P60" s="293"/>
      <c r="Q60" s="293"/>
      <c r="R60" s="296"/>
      <c r="S60" s="98"/>
      <c r="T60" s="31"/>
      <c r="U60" s="182"/>
    </row>
    <row r="61" spans="1:21" x14ac:dyDescent="0.25">
      <c r="A61" s="510"/>
      <c r="B61" s="509" t="s">
        <v>329</v>
      </c>
      <c r="C61" s="18">
        <v>0</v>
      </c>
      <c r="D61" s="18">
        <v>80</v>
      </c>
      <c r="E61" s="18">
        <v>80</v>
      </c>
      <c r="F61" s="18">
        <v>20</v>
      </c>
      <c r="G61" s="18">
        <v>0</v>
      </c>
      <c r="H61" s="18">
        <v>0</v>
      </c>
      <c r="I61" s="41">
        <f t="shared" ref="I61:I70" si="16">SUM(C61:H61)</f>
        <v>180</v>
      </c>
      <c r="J61" s="247" t="s">
        <v>12</v>
      </c>
      <c r="K61" s="843">
        <f>$I61*($L$3+$L$4/2+$L$5/2)</f>
        <v>62460</v>
      </c>
      <c r="L61" s="239">
        <f t="shared" ref="L61:L70" si="17">K61</f>
        <v>62460</v>
      </c>
      <c r="M61" s="51" t="s">
        <v>12</v>
      </c>
      <c r="N61" s="844">
        <f>$I61*($L$3+$L$4/2+$L$5/2)</f>
        <v>62460</v>
      </c>
      <c r="O61" s="57">
        <f t="shared" ref="O61:O70" si="18">N61</f>
        <v>62460</v>
      </c>
      <c r="P61" s="247" t="s">
        <v>12</v>
      </c>
      <c r="Q61" s="843">
        <f>$I61*($L$3+$L$4/2+$L$5/2)</f>
        <v>62460</v>
      </c>
      <c r="R61" s="239">
        <f t="shared" ref="R61:R70" si="19">Q61</f>
        <v>62460</v>
      </c>
      <c r="S61" s="96">
        <f t="shared" ref="S61:S70" si="20">AVERAGE(L61,O61,R61)</f>
        <v>62460</v>
      </c>
      <c r="T61" s="94" t="s">
        <v>12</v>
      </c>
      <c r="U61" s="187" t="s">
        <v>12</v>
      </c>
    </row>
    <row r="62" spans="1:21" s="1" customFormat="1" ht="13.5" thickBot="1" x14ac:dyDescent="0.35">
      <c r="A62" s="511"/>
      <c r="B62" s="500" t="s">
        <v>8</v>
      </c>
      <c r="C62" s="310">
        <f>ROUND(C61*Labor!$D$3,0)</f>
        <v>0</v>
      </c>
      <c r="D62" s="310">
        <f>ROUND(D61*Labor!$D$4,0)</f>
        <v>1936</v>
      </c>
      <c r="E62" s="310">
        <f>ROUND(E61*Labor!$D$5,0)</f>
        <v>2018</v>
      </c>
      <c r="F62" s="310">
        <f>ROUND(F61*Labor!$D$6,0)</f>
        <v>551</v>
      </c>
      <c r="G62" s="310">
        <f>ROUND(G61*Labor!$D$7,0)</f>
        <v>0</v>
      </c>
      <c r="H62" s="310">
        <f>ROUND(H61*Labor!$D$8,0)</f>
        <v>0</v>
      </c>
      <c r="I62" s="311">
        <f t="shared" si="16"/>
        <v>4505</v>
      </c>
      <c r="J62" s="284">
        <f>HLOOKUP(K$10,InflationTable,2)/HLOOKUP(Labor!$B$11,InflationTable,2)*$I62</f>
        <v>9637.270588235293</v>
      </c>
      <c r="K62" s="842">
        <f>J62*($L$3+$L$4/2+$L$5/2)</f>
        <v>3344132.8941176469</v>
      </c>
      <c r="L62" s="246">
        <f t="shared" si="17"/>
        <v>3344132.8941176469</v>
      </c>
      <c r="M62" s="169">
        <f>HLOOKUP(N$10,InflationTable,2)/HLOOKUP(Labor!$B$11,InflationTable,2)*$I62</f>
        <v>10022.761411764706</v>
      </c>
      <c r="N62" s="1005">
        <f>M62*($L$3+$L$4/2+$L$5/2)</f>
        <v>3477898.209882353</v>
      </c>
      <c r="O62" s="167">
        <f t="shared" si="18"/>
        <v>3477898.209882353</v>
      </c>
      <c r="P62" s="284">
        <f>HLOOKUP(Q$10,InflationTable,2)/HLOOKUP(Labor!$B$11,InflationTable,2)*$I62</f>
        <v>10223.216639999999</v>
      </c>
      <c r="Q62" s="842">
        <f>P62*($L$3+$L$4/2+$L$5/2)</f>
        <v>3547456.1740799993</v>
      </c>
      <c r="R62" s="246">
        <f t="shared" si="19"/>
        <v>3547456.1740799993</v>
      </c>
      <c r="S62" s="169">
        <f t="shared" si="20"/>
        <v>3456495.75936</v>
      </c>
      <c r="T62" s="323" t="s">
        <v>12</v>
      </c>
      <c r="U62" s="183" t="s">
        <v>12</v>
      </c>
    </row>
    <row r="63" spans="1:21" x14ac:dyDescent="0.25">
      <c r="A63" s="510"/>
      <c r="B63" s="846" t="s">
        <v>331</v>
      </c>
      <c r="C63" s="18">
        <v>0</v>
      </c>
      <c r="D63" s="18">
        <v>20</v>
      </c>
      <c r="E63" s="18">
        <v>20</v>
      </c>
      <c r="F63" s="18">
        <v>5</v>
      </c>
      <c r="G63" s="18">
        <v>0</v>
      </c>
      <c r="H63" s="18">
        <v>0</v>
      </c>
      <c r="I63" s="41">
        <f t="shared" si="16"/>
        <v>45</v>
      </c>
      <c r="J63" s="247" t="s">
        <v>12</v>
      </c>
      <c r="K63" s="273">
        <f>$I63*$L$6</f>
        <v>0</v>
      </c>
      <c r="L63" s="274">
        <f t="shared" si="17"/>
        <v>0</v>
      </c>
      <c r="M63" s="53" t="s">
        <v>12</v>
      </c>
      <c r="N63" s="147">
        <f>$I63*$L$6</f>
        <v>0</v>
      </c>
      <c r="O63" s="148">
        <f t="shared" si="18"/>
        <v>0</v>
      </c>
      <c r="P63" s="247" t="s">
        <v>12</v>
      </c>
      <c r="Q63" s="273">
        <f>$I63*$L$6</f>
        <v>0</v>
      </c>
      <c r="R63" s="274">
        <f t="shared" si="19"/>
        <v>0</v>
      </c>
      <c r="S63" s="122">
        <f t="shared" si="20"/>
        <v>0</v>
      </c>
      <c r="T63" s="94" t="s">
        <v>12</v>
      </c>
      <c r="U63" s="187" t="s">
        <v>12</v>
      </c>
    </row>
    <row r="64" spans="1:21" s="1" customFormat="1" ht="13.5" thickBot="1" x14ac:dyDescent="0.35">
      <c r="A64" s="511"/>
      <c r="B64" s="500" t="s">
        <v>8</v>
      </c>
      <c r="C64" s="310">
        <f>ROUND(C63*Labor!$D$3,0)</f>
        <v>0</v>
      </c>
      <c r="D64" s="310">
        <f>ROUND(D63*Labor!$D$4,0)</f>
        <v>484</v>
      </c>
      <c r="E64" s="310">
        <f>ROUND(E63*Labor!$D$5,0)</f>
        <v>504</v>
      </c>
      <c r="F64" s="310">
        <f>ROUND(F63*Labor!$D$6,0)</f>
        <v>138</v>
      </c>
      <c r="G64" s="310">
        <f>ROUND(G63*Labor!$D$7,0)</f>
        <v>0</v>
      </c>
      <c r="H64" s="310">
        <f>ROUND(H63*Labor!$D$8,0)</f>
        <v>0</v>
      </c>
      <c r="I64" s="311">
        <f t="shared" si="16"/>
        <v>1126</v>
      </c>
      <c r="J64" s="284">
        <f>HLOOKUP(K$10,InflationTable,2)/HLOOKUP(Labor!$B$11,InflationTable,2)*$I64</f>
        <v>2408.7828373702419</v>
      </c>
      <c r="K64" s="245">
        <f>J64*$L$6</f>
        <v>0</v>
      </c>
      <c r="L64" s="246">
        <f t="shared" si="17"/>
        <v>0</v>
      </c>
      <c r="M64" s="169">
        <f>HLOOKUP(N$10,InflationTable,2)/HLOOKUP(Labor!$B$11,InflationTable,2)*$I64</f>
        <v>2505.1341508650521</v>
      </c>
      <c r="N64" s="166">
        <f>M64*$L$6</f>
        <v>0</v>
      </c>
      <c r="O64" s="167">
        <f t="shared" si="18"/>
        <v>0</v>
      </c>
      <c r="P64" s="284">
        <f>HLOOKUP(Q$10,InflationTable,2)/HLOOKUP(Labor!$B$11,InflationTable,2)*$I64</f>
        <v>2555.2368338823526</v>
      </c>
      <c r="Q64" s="245">
        <f>P64*$L$6</f>
        <v>0</v>
      </c>
      <c r="R64" s="246">
        <f t="shared" si="19"/>
        <v>0</v>
      </c>
      <c r="S64" s="169">
        <f t="shared" si="20"/>
        <v>0</v>
      </c>
      <c r="T64" s="174" t="s">
        <v>12</v>
      </c>
      <c r="U64" s="183" t="s">
        <v>12</v>
      </c>
    </row>
    <row r="65" spans="1:21" x14ac:dyDescent="0.25">
      <c r="A65" s="510"/>
      <c r="B65" s="846" t="s">
        <v>225</v>
      </c>
      <c r="C65" s="18">
        <v>0</v>
      </c>
      <c r="D65" s="18">
        <v>0</v>
      </c>
      <c r="E65" s="18">
        <v>6</v>
      </c>
      <c r="F65" s="18">
        <v>26</v>
      </c>
      <c r="G65" s="18">
        <v>0</v>
      </c>
      <c r="H65" s="18">
        <v>0</v>
      </c>
      <c r="I65" s="41">
        <f t="shared" si="16"/>
        <v>32</v>
      </c>
      <c r="J65" s="247" t="s">
        <v>12</v>
      </c>
      <c r="K65" s="273">
        <f>$I65*$O$6</f>
        <v>23904</v>
      </c>
      <c r="L65" s="274">
        <f t="shared" si="17"/>
        <v>23904</v>
      </c>
      <c r="M65" s="53" t="s">
        <v>12</v>
      </c>
      <c r="N65" s="147">
        <f>$I65*$O$6</f>
        <v>23904</v>
      </c>
      <c r="O65" s="57">
        <f t="shared" si="18"/>
        <v>23904</v>
      </c>
      <c r="P65" s="247" t="s">
        <v>12</v>
      </c>
      <c r="Q65" s="273">
        <f>$I65*$O$6</f>
        <v>23904</v>
      </c>
      <c r="R65" s="274">
        <f t="shared" si="19"/>
        <v>23904</v>
      </c>
      <c r="S65" s="96">
        <f t="shared" si="20"/>
        <v>23904</v>
      </c>
      <c r="T65" s="94" t="s">
        <v>12</v>
      </c>
      <c r="U65" s="857" t="s">
        <v>12</v>
      </c>
    </row>
    <row r="66" spans="1:21" s="1" customFormat="1" ht="13.5" thickBot="1" x14ac:dyDescent="0.35">
      <c r="A66" s="511"/>
      <c r="B66" s="847" t="s">
        <v>8</v>
      </c>
      <c r="C66" s="310">
        <f>ROUND(C65*Labor!$D$3,0)</f>
        <v>0</v>
      </c>
      <c r="D66" s="310">
        <f>ROUND(D65*Labor!$D$4,0)</f>
        <v>0</v>
      </c>
      <c r="E66" s="310">
        <f>ROUND(E65*Labor!$D$5,0)</f>
        <v>151</v>
      </c>
      <c r="F66" s="310">
        <f>ROUND(F65*Labor!$D$6,0)</f>
        <v>717</v>
      </c>
      <c r="G66" s="310">
        <f>ROUND(G65*Labor!$D$7,0)</f>
        <v>0</v>
      </c>
      <c r="H66" s="310">
        <f>ROUND(H65*Labor!$D$8,0)</f>
        <v>0</v>
      </c>
      <c r="I66" s="311">
        <f t="shared" si="16"/>
        <v>868</v>
      </c>
      <c r="J66" s="284">
        <f>HLOOKUP(K$10,InflationTable,2)/HLOOKUP(Labor!$B$11,InflationTable,2)*$I66</f>
        <v>1856.8592387543251</v>
      </c>
      <c r="K66" s="245">
        <f>J66*$O$6</f>
        <v>1387073.8513494809</v>
      </c>
      <c r="L66" s="246">
        <f t="shared" si="17"/>
        <v>1387073.8513494809</v>
      </c>
      <c r="M66" s="169">
        <f>HLOOKUP(N$10,InflationTable,2)/HLOOKUP(Labor!$B$11,InflationTable,2)*$I66</f>
        <v>1931.1336083044985</v>
      </c>
      <c r="N66" s="166">
        <f>M66*$O$6</f>
        <v>1442556.8054034603</v>
      </c>
      <c r="O66" s="167">
        <f t="shared" si="18"/>
        <v>1442556.8054034603</v>
      </c>
      <c r="P66" s="284">
        <f>HLOOKUP(Q$10,InflationTable,2)/HLOOKUP(Labor!$B$11,InflationTable,2)*$I66</f>
        <v>1969.7562804705881</v>
      </c>
      <c r="Q66" s="245">
        <f>P66*$O$6</f>
        <v>1471407.9415115293</v>
      </c>
      <c r="R66" s="246">
        <f t="shared" si="19"/>
        <v>1471407.9415115293</v>
      </c>
      <c r="S66" s="169">
        <f t="shared" si="20"/>
        <v>1433679.5327548236</v>
      </c>
      <c r="T66" s="174" t="s">
        <v>12</v>
      </c>
      <c r="U66" s="183" t="s">
        <v>12</v>
      </c>
    </row>
    <row r="67" spans="1:21" x14ac:dyDescent="0.25">
      <c r="A67" s="510"/>
      <c r="B67" s="509" t="s">
        <v>330</v>
      </c>
      <c r="C67" s="18">
        <v>0</v>
      </c>
      <c r="D67" s="18">
        <v>0</v>
      </c>
      <c r="E67" s="18">
        <v>90</v>
      </c>
      <c r="F67" s="18">
        <v>90</v>
      </c>
      <c r="G67" s="18">
        <v>0</v>
      </c>
      <c r="H67" s="18">
        <v>0</v>
      </c>
      <c r="I67" s="41">
        <f>SUM(C67:H67)</f>
        <v>180</v>
      </c>
      <c r="J67" s="247" t="s">
        <v>12</v>
      </c>
      <c r="K67" s="273">
        <f>$I$67*$O$7</f>
        <v>24300</v>
      </c>
      <c r="L67" s="274">
        <f t="shared" si="17"/>
        <v>24300</v>
      </c>
      <c r="M67" s="53" t="s">
        <v>12</v>
      </c>
      <c r="N67" s="147">
        <f>$I$67*$O$7</f>
        <v>24300</v>
      </c>
      <c r="O67" s="57">
        <f t="shared" si="18"/>
        <v>24300</v>
      </c>
      <c r="P67" s="247" t="s">
        <v>12</v>
      </c>
      <c r="Q67" s="273">
        <f>$I$67*$O$7</f>
        <v>24300</v>
      </c>
      <c r="R67" s="274">
        <f t="shared" si="19"/>
        <v>24300</v>
      </c>
      <c r="S67" s="96">
        <f>AVERAGE(L67,O67,R67)</f>
        <v>24300</v>
      </c>
      <c r="T67" s="94" t="s">
        <v>12</v>
      </c>
      <c r="U67" s="187" t="s">
        <v>12</v>
      </c>
    </row>
    <row r="68" spans="1:21" s="1" customFormat="1" ht="13.5" thickBot="1" x14ac:dyDescent="0.35">
      <c r="A68" s="511"/>
      <c r="B68" s="500" t="s">
        <v>8</v>
      </c>
      <c r="C68" s="310">
        <f>ROUND(C67*Labor!$D$3,0)</f>
        <v>0</v>
      </c>
      <c r="D68" s="310">
        <f>ROUND(D67*Labor!$D$4,0)</f>
        <v>0</v>
      </c>
      <c r="E68" s="310">
        <f>ROUND(E67*Labor!$D$5,0)</f>
        <v>2270</v>
      </c>
      <c r="F68" s="310">
        <f>ROUND(F67*Labor!$D$6,0)</f>
        <v>2481</v>
      </c>
      <c r="G68" s="310">
        <f>ROUND(G67*Labor!$D$7,0)</f>
        <v>0</v>
      </c>
      <c r="H68" s="310">
        <f>ROUND(H67*Labor!$D$8,0)</f>
        <v>0</v>
      </c>
      <c r="I68" s="311">
        <f>SUM(C68:H68)</f>
        <v>4751</v>
      </c>
      <c r="J68" s="284">
        <f>HLOOKUP(K$10,InflationTable,2)/HLOOKUP(Labor!$B$11,InflationTable,2)*$I68</f>
        <v>10163.523321799306</v>
      </c>
      <c r="K68" s="245">
        <f>J68*$O$7</f>
        <v>1372075.6484429063</v>
      </c>
      <c r="L68" s="246">
        <f t="shared" si="17"/>
        <v>1372075.6484429063</v>
      </c>
      <c r="M68" s="169">
        <f>HLOOKUP(N$10,InflationTable,2)/HLOOKUP(Labor!$B$11,InflationTable,2)*$I68</f>
        <v>10570.064254671281</v>
      </c>
      <c r="N68" s="166">
        <f>M68*$O$7</f>
        <v>1426958.6743806228</v>
      </c>
      <c r="O68" s="167">
        <f t="shared" si="18"/>
        <v>1426958.6743806228</v>
      </c>
      <c r="P68" s="284">
        <f>HLOOKUP(Q$10,InflationTable,2)/HLOOKUP(Labor!$B$11,InflationTable,2)*$I68</f>
        <v>10781.465539764704</v>
      </c>
      <c r="Q68" s="245">
        <f>P68*$O$7</f>
        <v>1455497.8478682351</v>
      </c>
      <c r="R68" s="320">
        <f t="shared" si="19"/>
        <v>1455497.8478682351</v>
      </c>
      <c r="S68" s="169">
        <f>AVERAGE(L68,O68,R68)</f>
        <v>1418177.3902305879</v>
      </c>
      <c r="T68" s="174" t="s">
        <v>12</v>
      </c>
      <c r="U68" s="183" t="s">
        <v>12</v>
      </c>
    </row>
    <row r="69" spans="1:21" ht="13" x14ac:dyDescent="0.3">
      <c r="A69" s="510"/>
      <c r="B69" s="848" t="s">
        <v>334</v>
      </c>
      <c r="C69" s="18">
        <v>0</v>
      </c>
      <c r="D69" s="18">
        <v>108</v>
      </c>
      <c r="E69" s="18">
        <v>0</v>
      </c>
      <c r="F69" s="18">
        <v>132</v>
      </c>
      <c r="G69" s="18">
        <v>0</v>
      </c>
      <c r="H69" s="18">
        <v>0</v>
      </c>
      <c r="I69" s="41">
        <f t="shared" si="16"/>
        <v>240</v>
      </c>
      <c r="J69" s="646">
        <f>$I69*$L$8</f>
        <v>167.47747747747746</v>
      </c>
      <c r="K69" s="1044">
        <f>J69*($L$3+$L$4/3+$L$6/6+$O$4/6+$O$5/6*3.5)</f>
        <v>56227.771771771768</v>
      </c>
      <c r="L69" s="274">
        <f t="shared" si="17"/>
        <v>56227.771771771768</v>
      </c>
      <c r="M69" s="1045">
        <f>$I69*$L$8</f>
        <v>167.47747747747746</v>
      </c>
      <c r="N69" s="1046">
        <f>M69*($L$3+$L$4/3+$L$6/6+$O$4/6+$O$5/6*3.5)</f>
        <v>56227.771771771768</v>
      </c>
      <c r="O69" s="148">
        <f t="shared" si="18"/>
        <v>56227.771771771768</v>
      </c>
      <c r="P69" s="646">
        <f>$I69*$L$8</f>
        <v>167.47747747747746</v>
      </c>
      <c r="Q69" s="843">
        <f>P69*($L$3+$L$4/3+$L$6/6+$O$4/6+$O$5/6*3.5)</f>
        <v>56227.771771771768</v>
      </c>
      <c r="R69" s="1049">
        <f t="shared" si="19"/>
        <v>56227.771771771768</v>
      </c>
      <c r="S69" s="96">
        <f t="shared" si="20"/>
        <v>56227.771771771768</v>
      </c>
      <c r="T69" s="94" t="s">
        <v>12</v>
      </c>
      <c r="U69" s="187" t="s">
        <v>12</v>
      </c>
    </row>
    <row r="70" spans="1:21" s="1" customFormat="1" ht="13.5" thickBot="1" x14ac:dyDescent="0.35">
      <c r="A70" s="511"/>
      <c r="B70" s="847" t="s">
        <v>8</v>
      </c>
      <c r="C70" s="310">
        <f>ROUND(C69*Labor!$D$3,0)</f>
        <v>0</v>
      </c>
      <c r="D70" s="310">
        <f>ROUND(D69*Labor!$D$4,0)</f>
        <v>2613</v>
      </c>
      <c r="E70" s="310">
        <f>ROUND(E69*Labor!$D$5,0)</f>
        <v>0</v>
      </c>
      <c r="F70" s="310">
        <f>ROUND(F69*Labor!$D$6,0)</f>
        <v>3639</v>
      </c>
      <c r="G70" s="310">
        <f>ROUND(G69*Labor!$D$7,0)</f>
        <v>0</v>
      </c>
      <c r="H70" s="310">
        <f>ROUND(H69*Labor!$D$8,0)</f>
        <v>0</v>
      </c>
      <c r="I70" s="311">
        <f t="shared" si="16"/>
        <v>6252</v>
      </c>
      <c r="J70" s="284">
        <f>HLOOKUP(K$10,InflationTable,2)/HLOOKUP(Labor!$B$11,InflationTable,2)*$I70</f>
        <v>13374.520692041522</v>
      </c>
      <c r="K70" s="842">
        <f>J70*($L$3+$L$4/3+$L$6/6+$O$4/6+$O$5/6*3.5)</f>
        <v>4490272.4136747401</v>
      </c>
      <c r="L70" s="246">
        <f t="shared" si="17"/>
        <v>4490272.4136747401</v>
      </c>
      <c r="M70" s="169">
        <f>HLOOKUP(N$10,InflationTable,2)/HLOOKUP(Labor!$B$11,InflationTable,2)*$I70</f>
        <v>13909.501519723184</v>
      </c>
      <c r="N70" s="1005">
        <f>M70*($L$3+$L$4/3+$L$6/6+$O$4/6+$O$5/6*3.5)</f>
        <v>4669883.3102217307</v>
      </c>
      <c r="O70" s="167">
        <f t="shared" si="18"/>
        <v>4669883.3102217307</v>
      </c>
      <c r="P70" s="284">
        <f>HLOOKUP(Q$10,InflationTable,2)/HLOOKUP(Labor!$B$11,InflationTable,2)*$I70</f>
        <v>14187.691550117646</v>
      </c>
      <c r="Q70" s="842">
        <f>P70*($L$3+$L$4/3+$L$6/6+$O$4/6+$O$5/6*3.5)</f>
        <v>4763280.9764261646</v>
      </c>
      <c r="R70" s="246">
        <f t="shared" si="19"/>
        <v>4763280.9764261646</v>
      </c>
      <c r="S70" s="839">
        <f t="shared" si="20"/>
        <v>4641145.5667742118</v>
      </c>
      <c r="T70" s="598" t="s">
        <v>12</v>
      </c>
      <c r="U70" s="183" t="s">
        <v>12</v>
      </c>
    </row>
    <row r="71" spans="1:21" ht="13" x14ac:dyDescent="0.3">
      <c r="A71" s="510"/>
      <c r="B71" s="501" t="s">
        <v>66</v>
      </c>
      <c r="C71" s="30">
        <f>C61+C63+C65+C67+C69</f>
        <v>0</v>
      </c>
      <c r="D71" s="30">
        <f t="shared" ref="D71:I71" si="21">D61+D63+D65+D67+D69</f>
        <v>208</v>
      </c>
      <c r="E71" s="30">
        <f t="shared" si="21"/>
        <v>196</v>
      </c>
      <c r="F71" s="30">
        <f t="shared" si="21"/>
        <v>273</v>
      </c>
      <c r="G71" s="30">
        <f t="shared" si="21"/>
        <v>0</v>
      </c>
      <c r="H71" s="30">
        <f t="shared" si="21"/>
        <v>0</v>
      </c>
      <c r="I71" s="30">
        <f t="shared" si="21"/>
        <v>677</v>
      </c>
      <c r="J71" s="267" t="s">
        <v>12</v>
      </c>
      <c r="K71" s="235">
        <f>K61+K63+K65+K67+K69</f>
        <v>166891.77177177178</v>
      </c>
      <c r="L71" s="236">
        <f>L61+L63+L65+L67+L69</f>
        <v>166891.77177177178</v>
      </c>
      <c r="M71" s="158" t="s">
        <v>12</v>
      </c>
      <c r="N71" s="28">
        <f>N61+N63+N65+N67+N69</f>
        <v>166891.77177177178</v>
      </c>
      <c r="O71" s="81">
        <f>O61+O63+O65+O67+O69</f>
        <v>166891.77177177178</v>
      </c>
      <c r="P71" s="279" t="s">
        <v>12</v>
      </c>
      <c r="Q71" s="235">
        <f>Q61+Q63+Q65+Q67+Q69</f>
        <v>166891.77177177178</v>
      </c>
      <c r="R71" s="235">
        <f>R61+R63+R65+R67+R69</f>
        <v>166891.77177177178</v>
      </c>
      <c r="S71" s="1050">
        <f>S65</f>
        <v>23904</v>
      </c>
      <c r="T71" s="42" t="s">
        <v>12</v>
      </c>
      <c r="U71" s="185" t="s">
        <v>12</v>
      </c>
    </row>
    <row r="72" spans="1:21" ht="13.5" thickBot="1" x14ac:dyDescent="0.35">
      <c r="A72" s="510"/>
      <c r="B72" s="502" t="s">
        <v>67</v>
      </c>
      <c r="C72" s="194">
        <f>C62+C64+C66+C70</f>
        <v>0</v>
      </c>
      <c r="D72" s="194">
        <f t="shared" ref="D72:I72" si="22">D62+D64+D66+D70</f>
        <v>5033</v>
      </c>
      <c r="E72" s="194">
        <f t="shared" si="22"/>
        <v>2673</v>
      </c>
      <c r="F72" s="194">
        <f t="shared" si="22"/>
        <v>5045</v>
      </c>
      <c r="G72" s="194">
        <f t="shared" si="22"/>
        <v>0</v>
      </c>
      <c r="H72" s="194">
        <f t="shared" si="22"/>
        <v>0</v>
      </c>
      <c r="I72" s="194">
        <f t="shared" si="22"/>
        <v>12751</v>
      </c>
      <c r="J72" s="225">
        <f t="shared" ref="J72:R72" si="23">J56+J57+J62+J64+J66+J68+J70</f>
        <v>4215921.2933227057</v>
      </c>
      <c r="K72" s="225">
        <f t="shared" si="23"/>
        <v>14986255.183337608</v>
      </c>
      <c r="L72" s="226">
        <f t="shared" si="23"/>
        <v>14986255.183337608</v>
      </c>
      <c r="M72" s="196">
        <f t="shared" si="23"/>
        <v>4384558.1450556144</v>
      </c>
      <c r="N72" s="194">
        <f t="shared" si="23"/>
        <v>15585705.390671115</v>
      </c>
      <c r="O72" s="197">
        <f t="shared" si="23"/>
        <v>15585705.390671115</v>
      </c>
      <c r="P72" s="224">
        <f t="shared" si="23"/>
        <v>4472249.3079567272</v>
      </c>
      <c r="Q72" s="225">
        <f t="shared" si="23"/>
        <v>15897419.498484537</v>
      </c>
      <c r="R72" s="225">
        <f t="shared" si="23"/>
        <v>15897419.498484537</v>
      </c>
      <c r="S72" s="206">
        <f>S62+S64+S66+S68+S70</f>
        <v>10949498.249119624</v>
      </c>
      <c r="T72" s="205">
        <f>SUM(T56:T71)</f>
        <v>221917.64694251076</v>
      </c>
      <c r="U72" s="416">
        <f>SUM(U56:U71)</f>
        <v>4332300.8659252562</v>
      </c>
    </row>
    <row r="73" spans="1:21" ht="13.5" thickTop="1" x14ac:dyDescent="0.3">
      <c r="B73" s="519"/>
      <c r="C73" s="516"/>
      <c r="D73" s="516"/>
      <c r="E73" s="516"/>
      <c r="F73" s="516"/>
      <c r="G73" s="516"/>
      <c r="H73" s="516"/>
      <c r="I73" s="516"/>
      <c r="J73" s="516"/>
      <c r="K73" s="516"/>
      <c r="L73" s="516"/>
      <c r="M73" s="516"/>
      <c r="N73" s="516"/>
      <c r="O73" s="516"/>
      <c r="P73" s="516"/>
      <c r="Q73" s="516"/>
      <c r="R73" s="516"/>
      <c r="S73" s="1069"/>
      <c r="T73" s="1069"/>
      <c r="U73" s="1069"/>
    </row>
    <row r="74" spans="1:21" ht="13" thickBot="1" x14ac:dyDescent="0.3">
      <c r="B74" s="335"/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  <c r="R74" s="335"/>
      <c r="S74" s="335"/>
      <c r="T74" s="335"/>
      <c r="U74" s="335"/>
    </row>
    <row r="75" spans="1:21" ht="16" thickTop="1" x14ac:dyDescent="0.35">
      <c r="A75" s="510"/>
      <c r="B75" s="2" t="s">
        <v>24</v>
      </c>
      <c r="F75" s="1" t="s">
        <v>6</v>
      </c>
      <c r="G75" s="1160"/>
      <c r="H75" s="1161"/>
      <c r="I75" s="1162"/>
      <c r="J75" s="2" t="s">
        <v>24</v>
      </c>
      <c r="L75" s="62"/>
      <c r="M75" s="2" t="s">
        <v>24</v>
      </c>
      <c r="N75" s="61"/>
      <c r="O75" s="31"/>
      <c r="P75" s="2" t="s">
        <v>24</v>
      </c>
      <c r="R75" s="31"/>
      <c r="S75" s="97"/>
      <c r="T75" s="31"/>
      <c r="U75" s="414"/>
    </row>
    <row r="76" spans="1:21" ht="13" x14ac:dyDescent="0.3">
      <c r="A76" s="510"/>
      <c r="F76" s="1"/>
      <c r="G76" s="1163"/>
      <c r="H76" s="1163"/>
      <c r="I76" s="1164"/>
      <c r="J76" s="50" t="s">
        <v>61</v>
      </c>
      <c r="K76" s="1177" t="s">
        <v>57</v>
      </c>
      <c r="L76" s="1178"/>
      <c r="M76" s="50" t="s">
        <v>61</v>
      </c>
      <c r="N76" s="1177" t="s">
        <v>57</v>
      </c>
      <c r="O76" s="1178"/>
      <c r="P76" s="50" t="s">
        <v>61</v>
      </c>
      <c r="Q76" s="1177" t="s">
        <v>57</v>
      </c>
      <c r="R76" s="1178"/>
      <c r="S76" s="106"/>
      <c r="T76" s="31"/>
      <c r="U76" s="182"/>
    </row>
    <row r="77" spans="1:21" ht="13" x14ac:dyDescent="0.3">
      <c r="A77" s="510"/>
      <c r="B77" s="506" t="s">
        <v>19</v>
      </c>
      <c r="C77" s="20" t="s">
        <v>60</v>
      </c>
      <c r="D77" s="20" t="s">
        <v>62</v>
      </c>
      <c r="E77" s="7"/>
      <c r="F77" s="61"/>
      <c r="G77" s="61"/>
      <c r="H77" s="61"/>
      <c r="I77" s="62"/>
      <c r="J77" s="66" t="s">
        <v>56</v>
      </c>
      <c r="K77" s="20" t="s">
        <v>13</v>
      </c>
      <c r="L77" s="32" t="s">
        <v>68</v>
      </c>
      <c r="M77" s="66" t="s">
        <v>56</v>
      </c>
      <c r="N77" s="20" t="s">
        <v>13</v>
      </c>
      <c r="O77" s="32" t="s">
        <v>68</v>
      </c>
      <c r="P77" s="66" t="s">
        <v>56</v>
      </c>
      <c r="Q77" s="20" t="s">
        <v>13</v>
      </c>
      <c r="R77" s="32" t="s">
        <v>68</v>
      </c>
      <c r="S77" s="98"/>
      <c r="T77" s="62"/>
      <c r="U77" s="182"/>
    </row>
    <row r="78" spans="1:21" ht="13.5" thickBot="1" x14ac:dyDescent="0.35">
      <c r="A78" s="510"/>
      <c r="B78" s="965" t="s">
        <v>360</v>
      </c>
      <c r="C78" s="1056">
        <v>300</v>
      </c>
      <c r="D78" s="1057">
        <v>2019</v>
      </c>
      <c r="E78" s="373"/>
      <c r="F78" s="50"/>
      <c r="G78" s="374"/>
      <c r="H78" s="374"/>
      <c r="I78" s="375"/>
      <c r="J78" s="229">
        <f>HLOOKUP(K$10,InflationTable,2)/HLOOKUP($D78,InflationTable,2)*$C78</f>
        <v>362.67500977708255</v>
      </c>
      <c r="K78" s="315">
        <f>J78*$O$3</f>
        <v>150510.12905748925</v>
      </c>
      <c r="L78" s="316">
        <f>K78</f>
        <v>150510.12905748925</v>
      </c>
      <c r="M78" s="23">
        <f>HLOOKUP(N$10,InflationTable,2)/HLOOKUP($D78,InflationTable,2)*$C78</f>
        <v>377.18201016816579</v>
      </c>
      <c r="N78" s="317">
        <f>M78*$O$3</f>
        <v>156530.53421978879</v>
      </c>
      <c r="O78" s="318">
        <f>N78</f>
        <v>156530.53421978879</v>
      </c>
      <c r="P78" s="229">
        <f>HLOOKUP(Q$10,InflationTable,2)/HLOOKUP($D78,InflationTable,2)*$C78</f>
        <v>384.72565037152913</v>
      </c>
      <c r="Q78" s="315">
        <f>P78*$O$3</f>
        <v>159661.14490418459</v>
      </c>
      <c r="R78" s="316">
        <f>Q78</f>
        <v>159661.14490418459</v>
      </c>
      <c r="S78" s="376" t="s">
        <v>12</v>
      </c>
      <c r="T78" s="314">
        <f>AVERAGE(L78,O78,R78)</f>
        <v>155567.2693938209</v>
      </c>
      <c r="U78" s="417" t="s">
        <v>12</v>
      </c>
    </row>
    <row r="79" spans="1:21" ht="13.5" thickBot="1" x14ac:dyDescent="0.35">
      <c r="A79" s="510"/>
      <c r="B79" s="993" t="s">
        <v>361</v>
      </c>
      <c r="C79" s="1056">
        <v>250</v>
      </c>
      <c r="D79" s="1057">
        <v>2019</v>
      </c>
      <c r="E79" s="373"/>
      <c r="F79" s="50"/>
      <c r="G79" s="374"/>
      <c r="H79" s="374"/>
      <c r="I79" s="375"/>
      <c r="J79" s="229">
        <f>HLOOKUP(K$10,InflationTable,2)/HLOOKUP($D79,InflationTable,2)*$C79</f>
        <v>302.22917481423542</v>
      </c>
      <c r="K79" s="315">
        <f>J79*($O$4+$O$5)</f>
        <v>22183.621431364882</v>
      </c>
      <c r="L79" s="316">
        <f>K79</f>
        <v>22183.621431364882</v>
      </c>
      <c r="M79" s="23">
        <f>HLOOKUP(N$10,InflationTable,2)/HLOOKUP($D79,InflationTable,2)*$C79</f>
        <v>314.31834180680482</v>
      </c>
      <c r="N79" s="317">
        <f>M79*($O$4+$O$5)</f>
        <v>23070.966288619475</v>
      </c>
      <c r="O79" s="318">
        <f>N79</f>
        <v>23070.966288619475</v>
      </c>
      <c r="P79" s="229">
        <f>HLOOKUP(Q$10,InflationTable,2)/HLOOKUP($D79,InflationTable,2)*$C79</f>
        <v>320.60470864294092</v>
      </c>
      <c r="Q79" s="315">
        <f>P79*($O$4+$O$5)</f>
        <v>23532.385614391864</v>
      </c>
      <c r="R79" s="316">
        <f>Q79</f>
        <v>23532.385614391864</v>
      </c>
      <c r="S79" s="376" t="s">
        <v>12</v>
      </c>
      <c r="T79" s="314">
        <f>AVERAGE(L79,O79,R79)</f>
        <v>22928.991111458741</v>
      </c>
      <c r="U79" s="417" t="s">
        <v>12</v>
      </c>
    </row>
    <row r="80" spans="1:21" ht="13.5" thickBot="1" x14ac:dyDescent="0.35">
      <c r="A80" s="510"/>
      <c r="B80" s="993" t="s">
        <v>362</v>
      </c>
      <c r="C80" s="1056">
        <v>275</v>
      </c>
      <c r="D80" s="1057">
        <v>2019</v>
      </c>
      <c r="E80" s="373"/>
      <c r="F80" s="50"/>
      <c r="G80" s="374"/>
      <c r="H80" s="374"/>
      <c r="I80" s="375"/>
      <c r="J80" s="229">
        <f>HLOOKUP(K$10,InflationTable,2)/HLOOKUP($D80,InflationTable,2)*$C80</f>
        <v>332.45209229565899</v>
      </c>
      <c r="K80" s="315">
        <f>J80*($L$6)</f>
        <v>0</v>
      </c>
      <c r="L80" s="316">
        <f>K80</f>
        <v>0</v>
      </c>
      <c r="M80" s="23">
        <f>HLOOKUP(N$10,InflationTable,2)/HLOOKUP($D80,InflationTable,2)*$C80</f>
        <v>345.75017598748531</v>
      </c>
      <c r="N80" s="317">
        <f>M80*($L$6)</f>
        <v>0</v>
      </c>
      <c r="O80" s="1058">
        <f>N80</f>
        <v>0</v>
      </c>
      <c r="P80" s="229">
        <f>HLOOKUP(Q$10,InflationTable,2)/HLOOKUP($D80,InflationTable,2)*$C80</f>
        <v>352.66517950723505</v>
      </c>
      <c r="Q80" s="315">
        <f>P80*($L$6)</f>
        <v>0</v>
      </c>
      <c r="R80" s="316">
        <f>Q80</f>
        <v>0</v>
      </c>
      <c r="S80" s="376" t="s">
        <v>12</v>
      </c>
      <c r="T80" s="314">
        <f>AVERAGE(L80,O80,R80)</f>
        <v>0</v>
      </c>
      <c r="U80" s="376" t="s">
        <v>12</v>
      </c>
    </row>
    <row r="81" spans="1:21" ht="13.5" thickBot="1" x14ac:dyDescent="0.35">
      <c r="A81" s="510"/>
      <c r="B81" s="993" t="s">
        <v>363</v>
      </c>
      <c r="C81" s="1056">
        <v>155</v>
      </c>
      <c r="D81" s="1057">
        <v>2019</v>
      </c>
      <c r="E81" s="401"/>
      <c r="F81" s="50"/>
      <c r="G81" s="374"/>
      <c r="H81" s="374"/>
      <c r="I81" s="375"/>
      <c r="J81" s="229">
        <f>HLOOKUP(K$10,InflationTable,2)/HLOOKUP($D81,InflationTable,2)*$C81</f>
        <v>187.38208838482598</v>
      </c>
      <c r="K81" s="315">
        <f>J81*$O$6</f>
        <v>139974.42002346501</v>
      </c>
      <c r="L81" s="316">
        <f>K81</f>
        <v>139974.42002346501</v>
      </c>
      <c r="M81" s="23">
        <f>HLOOKUP(N$10,InflationTable,2)/HLOOKUP($D81,InflationTable,2)*$C81</f>
        <v>194.87737192021899</v>
      </c>
      <c r="N81" s="317">
        <f>M81*$O$6</f>
        <v>145573.39682440358</v>
      </c>
      <c r="O81" s="1058">
        <f>N81</f>
        <v>145573.39682440358</v>
      </c>
      <c r="P81" s="229">
        <f>HLOOKUP(Q$10,InflationTable,2)/HLOOKUP($D81,InflationTable,2)*$C81</f>
        <v>198.77491935862338</v>
      </c>
      <c r="Q81" s="315">
        <f>P81*$O$6</f>
        <v>148484.86476089165</v>
      </c>
      <c r="R81" s="316">
        <f>Q81</f>
        <v>148484.86476089165</v>
      </c>
      <c r="S81" s="376" t="s">
        <v>12</v>
      </c>
      <c r="T81" s="314">
        <f>AVERAGE(L81,O81,R81)</f>
        <v>144677.56053625341</v>
      </c>
      <c r="U81" s="376" t="s">
        <v>12</v>
      </c>
    </row>
    <row r="82" spans="1:21" ht="13.5" thickBot="1" x14ac:dyDescent="0.35">
      <c r="A82" s="510"/>
      <c r="B82" s="1059" t="s">
        <v>364</v>
      </c>
      <c r="C82" s="1060">
        <v>500</v>
      </c>
      <c r="D82" s="1061">
        <v>2019</v>
      </c>
      <c r="E82" s="1006"/>
      <c r="F82" s="562"/>
      <c r="G82" s="561"/>
      <c r="H82" s="561"/>
      <c r="I82" s="936"/>
      <c r="J82" s="297">
        <f>HLOOKUP(K$10,InflationTable,2)/HLOOKUP($D82,InflationTable,2)*$C82</f>
        <v>604.45834962847084</v>
      </c>
      <c r="K82" s="245">
        <f>J82*$O$7</f>
        <v>81601.87719984357</v>
      </c>
      <c r="L82" s="246">
        <f>K82</f>
        <v>81601.87719984357</v>
      </c>
      <c r="M82" s="84">
        <f>HLOOKUP(N$10,InflationTable,2)/HLOOKUP($D82,InflationTable,2)*$C82</f>
        <v>628.63668361360965</v>
      </c>
      <c r="N82" s="166">
        <f>M82*$O$7</f>
        <v>84865.952287837295</v>
      </c>
      <c r="O82" s="167">
        <f>N82</f>
        <v>84865.952287837295</v>
      </c>
      <c r="P82" s="295">
        <f>HLOOKUP(Q$10,InflationTable,2)/HLOOKUP($D82,InflationTable,2)*$C82</f>
        <v>641.20941728588184</v>
      </c>
      <c r="Q82" s="245">
        <f>P82*$O$7</f>
        <v>86563.27133359405</v>
      </c>
      <c r="R82" s="620">
        <f>Q82</f>
        <v>86563.27133359405</v>
      </c>
      <c r="S82" s="625" t="s">
        <v>12</v>
      </c>
      <c r="T82" s="626">
        <f>AVERAGE(L82,O82,R82)</f>
        <v>84343.70027375831</v>
      </c>
      <c r="U82" s="628" t="s">
        <v>12</v>
      </c>
    </row>
    <row r="83" spans="1:21" ht="13" x14ac:dyDescent="0.3">
      <c r="A83" s="510"/>
      <c r="B83" s="378" t="s">
        <v>25</v>
      </c>
      <c r="C83" s="86" t="s">
        <v>45</v>
      </c>
      <c r="D83" s="86" t="s">
        <v>46</v>
      </c>
      <c r="E83" s="86" t="s">
        <v>47</v>
      </c>
      <c r="F83" s="86" t="s">
        <v>48</v>
      </c>
      <c r="G83" s="86" t="s">
        <v>49</v>
      </c>
      <c r="H83" s="86" t="s">
        <v>50</v>
      </c>
      <c r="I83" s="145" t="s">
        <v>74</v>
      </c>
      <c r="J83" s="292"/>
      <c r="K83" s="293"/>
      <c r="L83" s="296"/>
      <c r="M83" s="88"/>
      <c r="N83" s="86"/>
      <c r="O83" s="87"/>
      <c r="P83" s="292"/>
      <c r="Q83" s="293"/>
      <c r="R83" s="296"/>
      <c r="S83" s="109"/>
      <c r="T83" s="42"/>
      <c r="U83" s="182"/>
    </row>
    <row r="84" spans="1:21" x14ac:dyDescent="0.25">
      <c r="A84" s="510"/>
      <c r="B84" s="845" t="s">
        <v>365</v>
      </c>
      <c r="C84" s="18">
        <v>0</v>
      </c>
      <c r="D84" s="18">
        <v>2</v>
      </c>
      <c r="E84" s="18">
        <v>6</v>
      </c>
      <c r="F84" s="18">
        <v>6</v>
      </c>
      <c r="G84" s="18">
        <v>0</v>
      </c>
      <c r="H84" s="18">
        <v>0</v>
      </c>
      <c r="I84" s="45">
        <f t="shared" ref="I84:I89" si="24">SUM(C84:H84)</f>
        <v>14</v>
      </c>
      <c r="J84" s="825">
        <f>$I84</f>
        <v>14</v>
      </c>
      <c r="K84" s="231">
        <f>J84*$O$3</f>
        <v>5810</v>
      </c>
      <c r="L84" s="239">
        <f t="shared" ref="L84:L104" si="25">K84</f>
        <v>5810</v>
      </c>
      <c r="M84" s="830">
        <f>$I84</f>
        <v>14</v>
      </c>
      <c r="N84" s="58">
        <f>M84*$O$3</f>
        <v>5810</v>
      </c>
      <c r="O84" s="57">
        <f t="shared" ref="O84:O104" si="26">N84</f>
        <v>5810</v>
      </c>
      <c r="P84" s="825">
        <f>$I84</f>
        <v>14</v>
      </c>
      <c r="Q84" s="231">
        <f>P84*$O$3</f>
        <v>5810</v>
      </c>
      <c r="R84" s="239">
        <f t="shared" ref="R84:R104" si="27">Q84</f>
        <v>5810</v>
      </c>
      <c r="S84" s="96">
        <f t="shared" ref="S84:S93" si="28">AVERAGE(L84,O84,R84)</f>
        <v>5810</v>
      </c>
      <c r="T84" s="94" t="s">
        <v>12</v>
      </c>
      <c r="U84" s="187" t="s">
        <v>12</v>
      </c>
    </row>
    <row r="85" spans="1:21" s="1" customFormat="1" ht="13.5" thickBot="1" x14ac:dyDescent="0.35">
      <c r="A85" s="511"/>
      <c r="B85" s="990" t="s">
        <v>8</v>
      </c>
      <c r="C85" s="175">
        <f>ROUND(C84*Labor!$D$3,0)</f>
        <v>0</v>
      </c>
      <c r="D85" s="175">
        <f>ROUND(D84*Labor!$D$4,0)</f>
        <v>48</v>
      </c>
      <c r="E85" s="175">
        <f>ROUND(E84*Labor!$D$5,0)</f>
        <v>151</v>
      </c>
      <c r="F85" s="175">
        <f>ROUND(F84*Labor!$D$6,0)</f>
        <v>165</v>
      </c>
      <c r="G85" s="175">
        <f>ROUND(G84*Labor!$D$7,0)</f>
        <v>0</v>
      </c>
      <c r="H85" s="175">
        <f>ROUND(H84*Labor!$D$8,0)</f>
        <v>0</v>
      </c>
      <c r="I85" s="167">
        <f t="shared" si="24"/>
        <v>364</v>
      </c>
      <c r="J85" s="284">
        <f>HLOOKUP(K$10,InflationTable,2)/HLOOKUP(Labor!$B$11,InflationTable,2)*$I85</f>
        <v>778.68290657439445</v>
      </c>
      <c r="K85" s="245">
        <f>J85*$O$3</f>
        <v>323153.4062283737</v>
      </c>
      <c r="L85" s="246">
        <f t="shared" si="25"/>
        <v>323153.4062283737</v>
      </c>
      <c r="M85" s="169">
        <f>HLOOKUP(N$10,InflationTable,2)/HLOOKUP(Labor!$B$11,InflationTable,2)*$I85</f>
        <v>809.83022283737034</v>
      </c>
      <c r="N85" s="166">
        <f>M85*$O$3</f>
        <v>336079.54247750872</v>
      </c>
      <c r="O85" s="167">
        <f t="shared" si="26"/>
        <v>336079.54247750872</v>
      </c>
      <c r="P85" s="284">
        <f>HLOOKUP(Q$10,InflationTable,2)/HLOOKUP(Labor!$B$11,InflationTable,2)*$I85</f>
        <v>826.02682729411754</v>
      </c>
      <c r="Q85" s="245">
        <f>P85*$O$3</f>
        <v>342801.13332705875</v>
      </c>
      <c r="R85" s="246">
        <f t="shared" si="27"/>
        <v>342801.13332705875</v>
      </c>
      <c r="S85" s="169">
        <f t="shared" si="28"/>
        <v>334011.36067764706</v>
      </c>
      <c r="T85" s="834" t="s">
        <v>12</v>
      </c>
      <c r="U85" s="860" t="s">
        <v>12</v>
      </c>
    </row>
    <row r="86" spans="1:21" x14ac:dyDescent="0.25">
      <c r="A86" s="510"/>
      <c r="B86" s="846" t="s">
        <v>366</v>
      </c>
      <c r="C86" s="18">
        <v>0</v>
      </c>
      <c r="D86" s="18">
        <v>2</v>
      </c>
      <c r="E86" s="18">
        <v>2</v>
      </c>
      <c r="F86" s="18">
        <v>4</v>
      </c>
      <c r="G86" s="18">
        <v>0</v>
      </c>
      <c r="H86" s="18">
        <v>0</v>
      </c>
      <c r="I86" s="45">
        <f>SUM(C86:H86)</f>
        <v>8</v>
      </c>
      <c r="J86" s="825">
        <f>$I86</f>
        <v>8</v>
      </c>
      <c r="K86" s="231">
        <f>J86*($O$4+$O$5)</f>
        <v>587.20000000000005</v>
      </c>
      <c r="L86" s="239">
        <f t="shared" si="25"/>
        <v>587.20000000000005</v>
      </c>
      <c r="M86" s="830">
        <f>$I86</f>
        <v>8</v>
      </c>
      <c r="N86" s="58">
        <f>M86*($O$4+$O$5)</f>
        <v>587.20000000000005</v>
      </c>
      <c r="O86" s="57">
        <f t="shared" si="26"/>
        <v>587.20000000000005</v>
      </c>
      <c r="P86" s="825">
        <f>$I86</f>
        <v>8</v>
      </c>
      <c r="Q86" s="231">
        <f>P86*($O$4+$O$5)</f>
        <v>587.20000000000005</v>
      </c>
      <c r="R86" s="239">
        <f t="shared" si="27"/>
        <v>587.20000000000005</v>
      </c>
      <c r="S86" s="96">
        <f t="shared" si="28"/>
        <v>587.20000000000005</v>
      </c>
      <c r="T86" s="94" t="s">
        <v>12</v>
      </c>
      <c r="U86" s="187" t="s">
        <v>12</v>
      </c>
    </row>
    <row r="87" spans="1:21" s="1" customFormat="1" ht="13.5" thickBot="1" x14ac:dyDescent="0.35">
      <c r="A87" s="511"/>
      <c r="B87" s="847" t="s">
        <v>8</v>
      </c>
      <c r="C87" s="175">
        <f>ROUND(C86*Labor!$D$3,0)</f>
        <v>0</v>
      </c>
      <c r="D87" s="175">
        <f>ROUND(D86*Labor!$D$4,0)</f>
        <v>48</v>
      </c>
      <c r="E87" s="175">
        <f>ROUND(E86*Labor!$D$5,0)</f>
        <v>50</v>
      </c>
      <c r="F87" s="175">
        <f>ROUND(F86*Labor!$D$6,0)</f>
        <v>110</v>
      </c>
      <c r="G87" s="175">
        <f>ROUND(G86*Labor!$D$7,0)</f>
        <v>0</v>
      </c>
      <c r="H87" s="175">
        <f>ROUND(H86*Labor!$D$8,0)</f>
        <v>0</v>
      </c>
      <c r="I87" s="167">
        <f>SUM(C87:H87)</f>
        <v>208</v>
      </c>
      <c r="J87" s="284">
        <f>HLOOKUP(K$10,InflationTable,2)/HLOOKUP(Labor!$B$11,InflationTable,2)*$I87</f>
        <v>444.96166089965396</v>
      </c>
      <c r="K87" s="245">
        <f>J87*($O$4+$O$5)</f>
        <v>32660.185910034605</v>
      </c>
      <c r="L87" s="246">
        <f t="shared" si="25"/>
        <v>32660.185910034605</v>
      </c>
      <c r="M87" s="169">
        <f>HLOOKUP(N$10,InflationTable,2)/HLOOKUP(Labor!$B$11,InflationTable,2)*$I87</f>
        <v>462.76012733564016</v>
      </c>
      <c r="N87" s="166">
        <f>M87*($O$4+$O$5)</f>
        <v>33966.593346435991</v>
      </c>
      <c r="O87" s="167">
        <f t="shared" si="26"/>
        <v>33966.593346435991</v>
      </c>
      <c r="P87" s="284">
        <f>HLOOKUP(Q$10,InflationTable,2)/HLOOKUP(Labor!$B$11,InflationTable,2)*$I87</f>
        <v>472.01532988235289</v>
      </c>
      <c r="Q87" s="245">
        <f>P87*($O$4+$O$5)</f>
        <v>34645.925213364702</v>
      </c>
      <c r="R87" s="246">
        <f t="shared" si="27"/>
        <v>34645.925213364702</v>
      </c>
      <c r="S87" s="169">
        <f t="shared" si="28"/>
        <v>33757.568156611764</v>
      </c>
      <c r="T87" s="834" t="s">
        <v>12</v>
      </c>
      <c r="U87" s="860" t="s">
        <v>12</v>
      </c>
    </row>
    <row r="88" spans="1:21" x14ac:dyDescent="0.25">
      <c r="A88" s="510"/>
      <c r="B88" s="845" t="s">
        <v>367</v>
      </c>
      <c r="C88" s="826">
        <v>0</v>
      </c>
      <c r="D88" s="826">
        <v>2</v>
      </c>
      <c r="E88" s="826">
        <v>6</v>
      </c>
      <c r="F88" s="826">
        <v>6</v>
      </c>
      <c r="G88" s="832">
        <v>0</v>
      </c>
      <c r="H88" s="826">
        <v>0</v>
      </c>
      <c r="I88" s="827">
        <f t="shared" si="24"/>
        <v>14</v>
      </c>
      <c r="J88" s="213">
        <f>$I88</f>
        <v>14</v>
      </c>
      <c r="K88" s="231">
        <f>J88*$L$6</f>
        <v>0</v>
      </c>
      <c r="L88" s="239">
        <f t="shared" si="25"/>
        <v>0</v>
      </c>
      <c r="M88" s="51">
        <f>$I88</f>
        <v>14</v>
      </c>
      <c r="N88" s="58">
        <f>M88*$L$6</f>
        <v>0</v>
      </c>
      <c r="O88" s="57">
        <f t="shared" si="26"/>
        <v>0</v>
      </c>
      <c r="P88" s="213">
        <f>$I88</f>
        <v>14</v>
      </c>
      <c r="Q88" s="231">
        <f>P88*$L$6</f>
        <v>0</v>
      </c>
      <c r="R88" s="239">
        <f t="shared" si="27"/>
        <v>0</v>
      </c>
      <c r="S88" s="96">
        <f t="shared" si="28"/>
        <v>0</v>
      </c>
      <c r="T88" s="94" t="s">
        <v>12</v>
      </c>
      <c r="U88" s="187" t="s">
        <v>12</v>
      </c>
    </row>
    <row r="89" spans="1:21" s="1" customFormat="1" ht="13.5" thickBot="1" x14ac:dyDescent="0.35">
      <c r="A89" s="511"/>
      <c r="B89" s="990" t="s">
        <v>8</v>
      </c>
      <c r="C89" s="175">
        <f>ROUND(C88*Labor!$D$3,0)</f>
        <v>0</v>
      </c>
      <c r="D89" s="175">
        <f>ROUND(D88*Labor!$D$4,0)</f>
        <v>48</v>
      </c>
      <c r="E89" s="175">
        <f>ROUND(E88*Labor!$D$5,0)</f>
        <v>151</v>
      </c>
      <c r="F89" s="175">
        <f>ROUND(F88*Labor!$D$6,0)</f>
        <v>165</v>
      </c>
      <c r="G89" s="175">
        <f>ROUND(G88*Labor!$D$7,0)</f>
        <v>0</v>
      </c>
      <c r="H89" s="175">
        <f>ROUND(H88*Labor!$D$8,0)</f>
        <v>0</v>
      </c>
      <c r="I89" s="167">
        <f t="shared" si="24"/>
        <v>364</v>
      </c>
      <c r="J89" s="284">
        <f>HLOOKUP(K$10,InflationTable,2)/HLOOKUP(Labor!$B$11,InflationTable,2)*$I89</f>
        <v>778.68290657439445</v>
      </c>
      <c r="K89" s="245">
        <f>J89*$L$6</f>
        <v>0</v>
      </c>
      <c r="L89" s="246">
        <f t="shared" si="25"/>
        <v>0</v>
      </c>
      <c r="M89" s="169">
        <f>HLOOKUP(N$10,InflationTable,2)/HLOOKUP(Labor!$B$11,InflationTable,2)*$I89</f>
        <v>809.83022283737034</v>
      </c>
      <c r="N89" s="166">
        <f>M89*$L$6</f>
        <v>0</v>
      </c>
      <c r="O89" s="167">
        <f t="shared" si="26"/>
        <v>0</v>
      </c>
      <c r="P89" s="284">
        <f>HLOOKUP(Q$10,InflationTable,2)/HLOOKUP(Labor!$B$11,InflationTable,2)*$I89</f>
        <v>826.02682729411754</v>
      </c>
      <c r="Q89" s="245">
        <f>P89*$L$6</f>
        <v>0</v>
      </c>
      <c r="R89" s="246">
        <f t="shared" si="27"/>
        <v>0</v>
      </c>
      <c r="S89" s="169">
        <f t="shared" si="28"/>
        <v>0</v>
      </c>
      <c r="T89" s="174" t="s">
        <v>12</v>
      </c>
      <c r="U89" s="183" t="s">
        <v>12</v>
      </c>
    </row>
    <row r="90" spans="1:21" x14ac:dyDescent="0.25">
      <c r="A90" s="510"/>
      <c r="B90" s="846" t="s">
        <v>297</v>
      </c>
      <c r="C90" s="826">
        <v>0</v>
      </c>
      <c r="D90" s="826">
        <v>2</v>
      </c>
      <c r="E90" s="826">
        <v>6</v>
      </c>
      <c r="F90" s="826">
        <v>6</v>
      </c>
      <c r="G90" s="832">
        <v>0</v>
      </c>
      <c r="H90" s="826">
        <v>0</v>
      </c>
      <c r="I90" s="827">
        <f>SUM(C90:H90)</f>
        <v>14</v>
      </c>
      <c r="J90" s="213">
        <f>$I90</f>
        <v>14</v>
      </c>
      <c r="K90" s="231">
        <f>J90*$O$6</f>
        <v>10458</v>
      </c>
      <c r="L90" s="239">
        <f t="shared" si="25"/>
        <v>10458</v>
      </c>
      <c r="M90" s="51">
        <f>$I90</f>
        <v>14</v>
      </c>
      <c r="N90" s="58">
        <f>M90*$O$6</f>
        <v>10458</v>
      </c>
      <c r="O90" s="57">
        <f t="shared" si="26"/>
        <v>10458</v>
      </c>
      <c r="P90" s="213">
        <f>$I90</f>
        <v>14</v>
      </c>
      <c r="Q90" s="231">
        <f>P90*$O$6</f>
        <v>10458</v>
      </c>
      <c r="R90" s="239">
        <f t="shared" si="27"/>
        <v>10458</v>
      </c>
      <c r="S90" s="96">
        <f t="shared" si="28"/>
        <v>10458</v>
      </c>
      <c r="T90" s="94" t="s">
        <v>12</v>
      </c>
      <c r="U90" s="187" t="s">
        <v>12</v>
      </c>
    </row>
    <row r="91" spans="1:21" s="1" customFormat="1" ht="13.5" thickBot="1" x14ac:dyDescent="0.35">
      <c r="A91" s="511"/>
      <c r="B91" s="847" t="s">
        <v>8</v>
      </c>
      <c r="C91" s="175">
        <f>ROUND(C90*Labor!$D$3,0)</f>
        <v>0</v>
      </c>
      <c r="D91" s="175">
        <f>ROUND(D90*Labor!$D$4,0)</f>
        <v>48</v>
      </c>
      <c r="E91" s="175">
        <f>ROUND(E90*Labor!$D$5,0)</f>
        <v>151</v>
      </c>
      <c r="F91" s="175">
        <f>ROUND(F90*Labor!$D$6,0)</f>
        <v>165</v>
      </c>
      <c r="G91" s="175">
        <f>ROUND(G90*Labor!$D$7,0)</f>
        <v>0</v>
      </c>
      <c r="H91" s="175">
        <f>ROUND(H90*Labor!$D$8,0)</f>
        <v>0</v>
      </c>
      <c r="I91" s="167">
        <f>SUM(C91:H91)</f>
        <v>364</v>
      </c>
      <c r="J91" s="284">
        <f>HLOOKUP(K$10,InflationTable,2)/HLOOKUP(Labor!$B$11,InflationTable,2)*$I91</f>
        <v>778.68290657439445</v>
      </c>
      <c r="K91" s="245">
        <f>J91*$O$6</f>
        <v>581676.13121107267</v>
      </c>
      <c r="L91" s="246">
        <f t="shared" si="25"/>
        <v>581676.13121107267</v>
      </c>
      <c r="M91" s="169">
        <f>HLOOKUP(N$10,InflationTable,2)/HLOOKUP(Labor!$B$11,InflationTable,2)*$I91</f>
        <v>809.83022283737034</v>
      </c>
      <c r="N91" s="166">
        <f>M91*$O$6</f>
        <v>604943.1764595157</v>
      </c>
      <c r="O91" s="167">
        <f t="shared" si="26"/>
        <v>604943.1764595157</v>
      </c>
      <c r="P91" s="284">
        <f>HLOOKUP(Q$10,InflationTable,2)/HLOOKUP(Labor!$B$11,InflationTable,2)*$I91</f>
        <v>826.02682729411754</v>
      </c>
      <c r="Q91" s="245">
        <f>P91*$O$6</f>
        <v>617042.03998870577</v>
      </c>
      <c r="R91" s="246">
        <f t="shared" si="27"/>
        <v>617042.03998870577</v>
      </c>
      <c r="S91" s="169">
        <f t="shared" si="28"/>
        <v>601220.44921976468</v>
      </c>
      <c r="T91" s="174" t="s">
        <v>12</v>
      </c>
      <c r="U91" s="183" t="s">
        <v>12</v>
      </c>
    </row>
    <row r="92" spans="1:21" x14ac:dyDescent="0.25">
      <c r="A92" s="510"/>
      <c r="B92" s="991" t="s">
        <v>335</v>
      </c>
      <c r="C92" s="826">
        <v>0</v>
      </c>
      <c r="D92" s="826">
        <v>0</v>
      </c>
      <c r="E92" s="826">
        <v>4</v>
      </c>
      <c r="F92" s="826">
        <v>6</v>
      </c>
      <c r="G92" s="832">
        <v>4</v>
      </c>
      <c r="H92" s="826">
        <v>0</v>
      </c>
      <c r="I92" s="827">
        <f>SUM(C92:H92)</f>
        <v>14</v>
      </c>
      <c r="J92" s="213">
        <f>$I92</f>
        <v>14</v>
      </c>
      <c r="K92" s="231">
        <f>$I92*$O$7</f>
        <v>1890</v>
      </c>
      <c r="L92" s="239">
        <f t="shared" si="25"/>
        <v>1890</v>
      </c>
      <c r="M92" s="51">
        <f>$I92</f>
        <v>14</v>
      </c>
      <c r="N92" s="58">
        <f>$I92*$O$7</f>
        <v>1890</v>
      </c>
      <c r="O92" s="57">
        <f t="shared" si="26"/>
        <v>1890</v>
      </c>
      <c r="P92" s="213">
        <f>$I92</f>
        <v>14</v>
      </c>
      <c r="Q92" s="231">
        <f>$I92*$O$7</f>
        <v>1890</v>
      </c>
      <c r="R92" s="239">
        <f t="shared" si="27"/>
        <v>1890</v>
      </c>
      <c r="S92" s="96">
        <f t="shared" si="28"/>
        <v>1890</v>
      </c>
      <c r="T92" s="94" t="s">
        <v>12</v>
      </c>
      <c r="U92" s="187" t="s">
        <v>12</v>
      </c>
    </row>
    <row r="93" spans="1:21" s="1" customFormat="1" ht="13.5" thickBot="1" x14ac:dyDescent="0.35">
      <c r="A93" s="511"/>
      <c r="B93" s="992" t="s">
        <v>8</v>
      </c>
      <c r="C93" s="175">
        <f>ROUND(C92*Labor!$D$3,0)</f>
        <v>0</v>
      </c>
      <c r="D93" s="175">
        <f>ROUND(D92*Labor!$D$4,0)</f>
        <v>0</v>
      </c>
      <c r="E93" s="175">
        <f>ROUND(E92*Labor!$D$5,0)</f>
        <v>101</v>
      </c>
      <c r="F93" s="175">
        <f>ROUND(F92*Labor!$D$6,0)</f>
        <v>165</v>
      </c>
      <c r="G93" s="175">
        <f>ROUND(G92*Labor!$D$7,0)</f>
        <v>125</v>
      </c>
      <c r="H93" s="175">
        <f>ROUND(H92*Labor!$D$8,0)</f>
        <v>0</v>
      </c>
      <c r="I93" s="167">
        <f>SUM(C93:H93)</f>
        <v>391</v>
      </c>
      <c r="J93" s="284">
        <f>HLOOKUP(K$10,InflationTable,2)/HLOOKUP(Labor!$B$11,InflationTable,2)*$I93</f>
        <v>836.44235294117641</v>
      </c>
      <c r="K93" s="245">
        <f>J93*$O$7</f>
        <v>112919.71764705882</v>
      </c>
      <c r="L93" s="246">
        <f t="shared" si="25"/>
        <v>112919.71764705882</v>
      </c>
      <c r="M93" s="169">
        <f>HLOOKUP(N$10,InflationTable,2)/HLOOKUP(Labor!$B$11,InflationTable,2)*$I93</f>
        <v>869.90004705882359</v>
      </c>
      <c r="N93" s="166">
        <f>M93*$O$7</f>
        <v>117436.50635294119</v>
      </c>
      <c r="O93" s="167">
        <f t="shared" si="26"/>
        <v>117436.50635294119</v>
      </c>
      <c r="P93" s="284">
        <f>HLOOKUP(Q$10,InflationTable,2)/HLOOKUP(Labor!$B$11,InflationTable,2)*$I93</f>
        <v>887.29804799999988</v>
      </c>
      <c r="Q93" s="245">
        <f>P93*$O$7</f>
        <v>119785.23647999998</v>
      </c>
      <c r="R93" s="246">
        <f t="shared" si="27"/>
        <v>119785.23647999998</v>
      </c>
      <c r="S93" s="169">
        <f t="shared" si="28"/>
        <v>116713.82015999999</v>
      </c>
      <c r="T93" s="174" t="s">
        <v>12</v>
      </c>
      <c r="U93" s="183" t="s">
        <v>12</v>
      </c>
    </row>
    <row r="94" spans="1:21" ht="13" x14ac:dyDescent="0.3">
      <c r="A94" s="510"/>
      <c r="B94" s="378" t="s">
        <v>374</v>
      </c>
      <c r="C94" s="86" t="s">
        <v>45</v>
      </c>
      <c r="D94" s="86" t="s">
        <v>46</v>
      </c>
      <c r="E94" s="86" t="s">
        <v>47</v>
      </c>
      <c r="F94" s="86" t="s">
        <v>48</v>
      </c>
      <c r="G94" s="86" t="s">
        <v>49</v>
      </c>
      <c r="H94" s="86" t="s">
        <v>50</v>
      </c>
      <c r="I94" s="145" t="s">
        <v>74</v>
      </c>
      <c r="J94" s="292"/>
      <c r="K94" s="293"/>
      <c r="L94" s="296"/>
      <c r="M94" s="88"/>
      <c r="N94" s="86"/>
      <c r="O94" s="87"/>
      <c r="P94" s="292"/>
      <c r="Q94" s="293"/>
      <c r="R94" s="296"/>
      <c r="S94" s="109"/>
      <c r="T94" s="42"/>
      <c r="U94" s="182"/>
    </row>
    <row r="95" spans="1:21" x14ac:dyDescent="0.25">
      <c r="A95" s="510"/>
      <c r="B95" s="846" t="s">
        <v>365</v>
      </c>
      <c r="C95" s="18">
        <v>0</v>
      </c>
      <c r="D95" s="18">
        <v>2</v>
      </c>
      <c r="E95" s="18">
        <v>6</v>
      </c>
      <c r="F95" s="18">
        <v>8</v>
      </c>
      <c r="G95" s="18">
        <v>0</v>
      </c>
      <c r="H95" s="18">
        <v>0</v>
      </c>
      <c r="I95" s="45">
        <f>SUM(C95:H95)</f>
        <v>16</v>
      </c>
      <c r="J95" s="825">
        <f>$I95</f>
        <v>16</v>
      </c>
      <c r="K95" s="231">
        <f>J95*$O$3</f>
        <v>6640</v>
      </c>
      <c r="L95" s="239">
        <f t="shared" si="25"/>
        <v>6640</v>
      </c>
      <c r="M95" s="830">
        <f>$I95</f>
        <v>16</v>
      </c>
      <c r="N95" s="58">
        <f>M95*$O$3</f>
        <v>6640</v>
      </c>
      <c r="O95" s="57">
        <f t="shared" si="26"/>
        <v>6640</v>
      </c>
      <c r="P95" s="825">
        <f>$I95</f>
        <v>16</v>
      </c>
      <c r="Q95" s="231">
        <f>P95*$O$3</f>
        <v>6640</v>
      </c>
      <c r="R95" s="239">
        <f t="shared" si="27"/>
        <v>6640</v>
      </c>
      <c r="S95" s="96">
        <f>AVERAGE(L95,O95,R95)</f>
        <v>6640</v>
      </c>
      <c r="T95" s="94" t="s">
        <v>12</v>
      </c>
      <c r="U95" s="187" t="s">
        <v>12</v>
      </c>
    </row>
    <row r="96" spans="1:21" s="1" customFormat="1" ht="13.5" thickBot="1" x14ac:dyDescent="0.35">
      <c r="A96" s="511"/>
      <c r="B96" s="847" t="s">
        <v>8</v>
      </c>
      <c r="C96" s="175">
        <f>ROUND(C95*Labor!$D$3,0)</f>
        <v>0</v>
      </c>
      <c r="D96" s="175">
        <f>ROUND(D95*Labor!$D$4,0)</f>
        <v>48</v>
      </c>
      <c r="E96" s="175">
        <f>ROUND(E95*Labor!$D$5,0)</f>
        <v>151</v>
      </c>
      <c r="F96" s="175">
        <f>ROUND(F95*Labor!$D$6,0)</f>
        <v>221</v>
      </c>
      <c r="G96" s="175">
        <f>ROUND(G95*Labor!$D$7,0)</f>
        <v>0</v>
      </c>
      <c r="H96" s="175">
        <f>ROUND(H95*Labor!$D$8,0)</f>
        <v>0</v>
      </c>
      <c r="I96" s="167">
        <f>SUM(C96:H96)</f>
        <v>420</v>
      </c>
      <c r="J96" s="284">
        <f>HLOOKUP(K$10,InflationTable,2)/HLOOKUP(Labor!$B$11,InflationTable,2)*$I96</f>
        <v>898.48027681660892</v>
      </c>
      <c r="K96" s="245">
        <f>J96*$O$3</f>
        <v>372869.31487889268</v>
      </c>
      <c r="L96" s="246">
        <f t="shared" si="25"/>
        <v>372869.31487889268</v>
      </c>
      <c r="M96" s="169">
        <f>HLOOKUP(N$10,InflationTable,2)/HLOOKUP(Labor!$B$11,InflationTable,2)*$I96</f>
        <v>934.41948788927346</v>
      </c>
      <c r="N96" s="166">
        <f>M96*$O$3</f>
        <v>387784.08747404849</v>
      </c>
      <c r="O96" s="167">
        <f t="shared" si="26"/>
        <v>387784.08747404849</v>
      </c>
      <c r="P96" s="284">
        <f>HLOOKUP(Q$10,InflationTable,2)/HLOOKUP(Labor!$B$11,InflationTable,2)*$I96</f>
        <v>953.10787764705867</v>
      </c>
      <c r="Q96" s="245">
        <f>P96*$O$3</f>
        <v>395539.76922352932</v>
      </c>
      <c r="R96" s="246">
        <f t="shared" si="27"/>
        <v>395539.76922352932</v>
      </c>
      <c r="S96" s="169">
        <f>AVERAGE(L96,O96,R96)</f>
        <v>385397.72385882353</v>
      </c>
      <c r="T96" s="834" t="s">
        <v>12</v>
      </c>
      <c r="U96" s="860" t="s">
        <v>12</v>
      </c>
    </row>
    <row r="97" spans="1:21" x14ac:dyDescent="0.25">
      <c r="A97" s="510"/>
      <c r="B97" s="846" t="s">
        <v>366</v>
      </c>
      <c r="C97" s="18">
        <v>0</v>
      </c>
      <c r="D97" s="18">
        <v>2</v>
      </c>
      <c r="E97" s="18">
        <v>4</v>
      </c>
      <c r="F97" s="18">
        <v>6</v>
      </c>
      <c r="G97" s="18">
        <v>0</v>
      </c>
      <c r="H97" s="18">
        <v>0</v>
      </c>
      <c r="I97" s="45">
        <f>SUM(C97:H97)</f>
        <v>12</v>
      </c>
      <c r="J97" s="825">
        <f>$I97</f>
        <v>12</v>
      </c>
      <c r="K97" s="231">
        <f>J97*($O$4+$O$5)</f>
        <v>880.80000000000007</v>
      </c>
      <c r="L97" s="239">
        <f t="shared" si="25"/>
        <v>880.80000000000007</v>
      </c>
      <c r="M97" s="830">
        <f>$I97</f>
        <v>12</v>
      </c>
      <c r="N97" s="58">
        <f>M97*($O$4+$O$5)</f>
        <v>880.80000000000007</v>
      </c>
      <c r="O97" s="57">
        <f t="shared" si="26"/>
        <v>880.80000000000007</v>
      </c>
      <c r="P97" s="825">
        <f>$I97</f>
        <v>12</v>
      </c>
      <c r="Q97" s="231">
        <f>P97*($O$4+$O$5)</f>
        <v>880.80000000000007</v>
      </c>
      <c r="R97" s="239">
        <f t="shared" si="27"/>
        <v>880.80000000000007</v>
      </c>
      <c r="S97" s="96">
        <f>AVERAGE(L97,O97,R97)</f>
        <v>880.80000000000007</v>
      </c>
      <c r="T97" s="94" t="s">
        <v>12</v>
      </c>
      <c r="U97" s="187" t="s">
        <v>12</v>
      </c>
    </row>
    <row r="98" spans="1:21" s="1" customFormat="1" ht="13.5" thickBot="1" x14ac:dyDescent="0.35">
      <c r="A98" s="511"/>
      <c r="B98" s="847" t="s">
        <v>8</v>
      </c>
      <c r="C98" s="175">
        <f>ROUND(C97*Labor!$D$3,0)</f>
        <v>0</v>
      </c>
      <c r="D98" s="175">
        <f>ROUND(D97*Labor!$D$4,0)</f>
        <v>48</v>
      </c>
      <c r="E98" s="175">
        <f>ROUND(E97*Labor!$D$5,0)</f>
        <v>101</v>
      </c>
      <c r="F98" s="175">
        <f>ROUND(F97*Labor!$D$6,0)</f>
        <v>165</v>
      </c>
      <c r="G98" s="175">
        <f>ROUND(G97*Labor!$D$7,0)</f>
        <v>0</v>
      </c>
      <c r="H98" s="175">
        <f>ROUND(H97*Labor!$D$8,0)</f>
        <v>0</v>
      </c>
      <c r="I98" s="167">
        <f>SUM(C98:H98)</f>
        <v>314</v>
      </c>
      <c r="J98" s="284">
        <f>HLOOKUP(K$10,InflationTable,2)/HLOOKUP(Labor!$B$11,InflationTable,2)*$I98</f>
        <v>671.72096885813141</v>
      </c>
      <c r="K98" s="245">
        <f>J98*($O$4+$O$5)</f>
        <v>49304.319114186852</v>
      </c>
      <c r="L98" s="246">
        <f t="shared" si="25"/>
        <v>49304.319114186852</v>
      </c>
      <c r="M98" s="169">
        <f>HLOOKUP(N$10,InflationTable,2)/HLOOKUP(Labor!$B$11,InflationTable,2)*$I98</f>
        <v>698.58980761245675</v>
      </c>
      <c r="N98" s="166">
        <f>M98*($O$4+$O$5)</f>
        <v>51276.491878754328</v>
      </c>
      <c r="O98" s="167">
        <f t="shared" si="26"/>
        <v>51276.491878754328</v>
      </c>
      <c r="P98" s="284">
        <f>HLOOKUP(Q$10,InflationTable,2)/HLOOKUP(Labor!$B$11,InflationTable,2)*$I98</f>
        <v>712.56160376470575</v>
      </c>
      <c r="Q98" s="245">
        <f>P98*($O$4+$O$5)</f>
        <v>52302.021716329407</v>
      </c>
      <c r="R98" s="246">
        <f t="shared" si="27"/>
        <v>52302.021716329407</v>
      </c>
      <c r="S98" s="169">
        <f>AVERAGE(L98,O98,R98)</f>
        <v>50960.944236423529</v>
      </c>
      <c r="T98" s="834" t="s">
        <v>12</v>
      </c>
      <c r="U98" s="860" t="s">
        <v>12</v>
      </c>
    </row>
    <row r="99" spans="1:21" x14ac:dyDescent="0.25">
      <c r="A99" s="510"/>
      <c r="B99" s="846" t="s">
        <v>367</v>
      </c>
      <c r="C99" s="826">
        <v>0</v>
      </c>
      <c r="D99" s="826">
        <v>2</v>
      </c>
      <c r="E99" s="826">
        <v>6</v>
      </c>
      <c r="F99" s="826">
        <v>8</v>
      </c>
      <c r="G99" s="832">
        <v>0</v>
      </c>
      <c r="H99" s="826">
        <v>0</v>
      </c>
      <c r="I99" s="827">
        <f t="shared" ref="I99:I104" si="29">SUM(C99:H99)</f>
        <v>16</v>
      </c>
      <c r="J99" s="213">
        <f>$I99</f>
        <v>16</v>
      </c>
      <c r="K99" s="231">
        <f>J99*$L$6</f>
        <v>0</v>
      </c>
      <c r="L99" s="239">
        <f t="shared" si="25"/>
        <v>0</v>
      </c>
      <c r="M99" s="51">
        <f>$I99</f>
        <v>16</v>
      </c>
      <c r="N99" s="58">
        <f>M99*$L$6</f>
        <v>0</v>
      </c>
      <c r="O99" s="57">
        <f t="shared" si="26"/>
        <v>0</v>
      </c>
      <c r="P99" s="213">
        <f>$I99</f>
        <v>16</v>
      </c>
      <c r="Q99" s="231">
        <f>P99*$L$6</f>
        <v>0</v>
      </c>
      <c r="R99" s="239">
        <f t="shared" si="27"/>
        <v>0</v>
      </c>
      <c r="S99" s="96">
        <f t="shared" ref="S99:S104" si="30">AVERAGE(L99,O99,R99)</f>
        <v>0</v>
      </c>
      <c r="T99" s="94" t="s">
        <v>12</v>
      </c>
      <c r="U99" s="857" t="s">
        <v>12</v>
      </c>
    </row>
    <row r="100" spans="1:21" s="1" customFormat="1" ht="13.5" thickBot="1" x14ac:dyDescent="0.35">
      <c r="A100" s="511"/>
      <c r="B100" s="992" t="s">
        <v>8</v>
      </c>
      <c r="C100" s="175">
        <f>ROUND(C99*Labor!$D$3,0)</f>
        <v>0</v>
      </c>
      <c r="D100" s="175">
        <f>ROUND(D99*Labor!$D$4,0)</f>
        <v>48</v>
      </c>
      <c r="E100" s="175">
        <f>ROUND(E99*Labor!$D$5,0)</f>
        <v>151</v>
      </c>
      <c r="F100" s="175">
        <f>ROUND(F99*Labor!$D$6,0)</f>
        <v>221</v>
      </c>
      <c r="G100" s="175">
        <f>ROUND(G99*Labor!$D$7,0)</f>
        <v>0</v>
      </c>
      <c r="H100" s="175">
        <f>ROUND(H99*Labor!$D$8,0)</f>
        <v>0</v>
      </c>
      <c r="I100" s="167">
        <f t="shared" si="29"/>
        <v>420</v>
      </c>
      <c r="J100" s="284">
        <f>HLOOKUP(K$10,InflationTable,2)/HLOOKUP(Labor!$B$11,InflationTable,2)*$I100</f>
        <v>898.48027681660892</v>
      </c>
      <c r="K100" s="245">
        <f>J100*$L$6</f>
        <v>0</v>
      </c>
      <c r="L100" s="246">
        <f t="shared" si="25"/>
        <v>0</v>
      </c>
      <c r="M100" s="169">
        <f>HLOOKUP(N$10,InflationTable,2)/HLOOKUP(Labor!$B$11,InflationTable,2)*$I100</f>
        <v>934.41948788927346</v>
      </c>
      <c r="N100" s="166">
        <f>M100*$L$6</f>
        <v>0</v>
      </c>
      <c r="O100" s="167">
        <f t="shared" si="26"/>
        <v>0</v>
      </c>
      <c r="P100" s="284">
        <f>HLOOKUP(Q$10,InflationTable,2)/HLOOKUP(Labor!$B$11,InflationTable,2)*$I100</f>
        <v>953.10787764705867</v>
      </c>
      <c r="Q100" s="245">
        <f>P100*$L$6</f>
        <v>0</v>
      </c>
      <c r="R100" s="246">
        <f t="shared" si="27"/>
        <v>0</v>
      </c>
      <c r="S100" s="169">
        <f t="shared" si="30"/>
        <v>0</v>
      </c>
      <c r="T100" s="174" t="s">
        <v>12</v>
      </c>
      <c r="U100" s="183" t="s">
        <v>12</v>
      </c>
    </row>
    <row r="101" spans="1:21" x14ac:dyDescent="0.25">
      <c r="A101" s="510"/>
      <c r="B101" s="846" t="s">
        <v>297</v>
      </c>
      <c r="C101" s="826">
        <v>0</v>
      </c>
      <c r="D101" s="826">
        <v>5</v>
      </c>
      <c r="E101" s="826">
        <v>5</v>
      </c>
      <c r="F101" s="826">
        <v>4</v>
      </c>
      <c r="G101" s="832">
        <v>0</v>
      </c>
      <c r="H101" s="826">
        <v>0</v>
      </c>
      <c r="I101" s="827">
        <f t="shared" si="29"/>
        <v>14</v>
      </c>
      <c r="J101" s="213">
        <f>$I101</f>
        <v>14</v>
      </c>
      <c r="K101" s="231">
        <f>J101*$O$6</f>
        <v>10458</v>
      </c>
      <c r="L101" s="239">
        <f t="shared" si="25"/>
        <v>10458</v>
      </c>
      <c r="M101" s="51">
        <f>$I101</f>
        <v>14</v>
      </c>
      <c r="N101" s="58">
        <f>M101*$O$6</f>
        <v>10458</v>
      </c>
      <c r="O101" s="57">
        <f t="shared" si="26"/>
        <v>10458</v>
      </c>
      <c r="P101" s="213">
        <f>$I101</f>
        <v>14</v>
      </c>
      <c r="Q101" s="231">
        <f>P101*$O$6</f>
        <v>10458</v>
      </c>
      <c r="R101" s="239">
        <f t="shared" si="27"/>
        <v>10458</v>
      </c>
      <c r="S101" s="96">
        <f t="shared" si="30"/>
        <v>10458</v>
      </c>
      <c r="T101" s="94" t="s">
        <v>12</v>
      </c>
      <c r="U101" s="187" t="s">
        <v>12</v>
      </c>
    </row>
    <row r="102" spans="1:21" s="1" customFormat="1" ht="13.5" thickBot="1" x14ac:dyDescent="0.35">
      <c r="A102" s="511"/>
      <c r="B102" s="847" t="s">
        <v>8</v>
      </c>
      <c r="C102" s="175">
        <f>ROUND(C101*Labor!$D$3,0)</f>
        <v>0</v>
      </c>
      <c r="D102" s="175">
        <f>ROUND(D101*Labor!$D$4,0)</f>
        <v>121</v>
      </c>
      <c r="E102" s="175">
        <f>ROUND(E101*Labor!$D$5,0)</f>
        <v>126</v>
      </c>
      <c r="F102" s="175">
        <f>ROUND(F101*Labor!$D$6,0)</f>
        <v>110</v>
      </c>
      <c r="G102" s="175">
        <f>ROUND(G101*Labor!$D$7,0)</f>
        <v>0</v>
      </c>
      <c r="H102" s="175">
        <f>ROUND(H101*Labor!$D$8,0)</f>
        <v>0</v>
      </c>
      <c r="I102" s="167">
        <f t="shared" si="29"/>
        <v>357</v>
      </c>
      <c r="J102" s="284">
        <f>HLOOKUP(K$10,InflationTable,2)/HLOOKUP(Labor!$B$11,InflationTable,2)*$I102</f>
        <v>763.70823529411757</v>
      </c>
      <c r="K102" s="245">
        <f>J102*$O$6</f>
        <v>570490.0517647058</v>
      </c>
      <c r="L102" s="246">
        <f t="shared" si="25"/>
        <v>570490.0517647058</v>
      </c>
      <c r="M102" s="169">
        <f>HLOOKUP(N$10,InflationTable,2)/HLOOKUP(Labor!$B$11,InflationTable,2)*$I102</f>
        <v>794.2565647058824</v>
      </c>
      <c r="N102" s="166">
        <f>M102*$O$6</f>
        <v>593309.65383529419</v>
      </c>
      <c r="O102" s="167">
        <f t="shared" si="26"/>
        <v>593309.65383529419</v>
      </c>
      <c r="P102" s="284">
        <f>HLOOKUP(Q$10,InflationTable,2)/HLOOKUP(Labor!$B$11,InflationTable,2)*$I102</f>
        <v>810.14169599999991</v>
      </c>
      <c r="Q102" s="245">
        <f>P102*$O$6</f>
        <v>605175.84691199998</v>
      </c>
      <c r="R102" s="246">
        <f t="shared" si="27"/>
        <v>605175.84691199998</v>
      </c>
      <c r="S102" s="169">
        <f t="shared" si="30"/>
        <v>589658.51750399999</v>
      </c>
      <c r="T102" s="174" t="s">
        <v>12</v>
      </c>
      <c r="U102" s="183" t="s">
        <v>12</v>
      </c>
    </row>
    <row r="103" spans="1:21" x14ac:dyDescent="0.25">
      <c r="A103" s="510"/>
      <c r="B103" s="845" t="s">
        <v>335</v>
      </c>
      <c r="C103" s="826">
        <v>0</v>
      </c>
      <c r="D103" s="826">
        <v>0</v>
      </c>
      <c r="E103" s="826">
        <v>4</v>
      </c>
      <c r="F103" s="826">
        <v>12</v>
      </c>
      <c r="G103" s="832">
        <v>0</v>
      </c>
      <c r="H103" s="826">
        <v>0</v>
      </c>
      <c r="I103" s="827">
        <f t="shared" si="29"/>
        <v>16</v>
      </c>
      <c r="J103" s="213">
        <f>$I103</f>
        <v>16</v>
      </c>
      <c r="K103" s="231">
        <f>$I103*$O$7</f>
        <v>2160</v>
      </c>
      <c r="L103" s="239">
        <f t="shared" si="25"/>
        <v>2160</v>
      </c>
      <c r="M103" s="51">
        <f>$I103</f>
        <v>16</v>
      </c>
      <c r="N103" s="58">
        <f>$I103*$O$7</f>
        <v>2160</v>
      </c>
      <c r="O103" s="57">
        <f t="shared" si="26"/>
        <v>2160</v>
      </c>
      <c r="P103" s="213">
        <f>$I103</f>
        <v>16</v>
      </c>
      <c r="Q103" s="231">
        <f>$I103*$O$7</f>
        <v>2160</v>
      </c>
      <c r="R103" s="239">
        <f t="shared" si="27"/>
        <v>2160</v>
      </c>
      <c r="S103" s="96">
        <f t="shared" si="30"/>
        <v>2160</v>
      </c>
      <c r="T103" s="94" t="s">
        <v>12</v>
      </c>
      <c r="U103" s="187" t="s">
        <v>12</v>
      </c>
    </row>
    <row r="104" spans="1:21" s="1" customFormat="1" ht="13.5" thickBot="1" x14ac:dyDescent="0.35">
      <c r="A104" s="511"/>
      <c r="B104" s="847" t="s">
        <v>8</v>
      </c>
      <c r="C104" s="175">
        <f>ROUND(C103*Labor!$D$3,0)</f>
        <v>0</v>
      </c>
      <c r="D104" s="175">
        <f>ROUND(D103*Labor!$D$4,0)</f>
        <v>0</v>
      </c>
      <c r="E104" s="175">
        <f>ROUND(E103*Labor!$D$5,0)</f>
        <v>101</v>
      </c>
      <c r="F104" s="175">
        <f>ROUND(F103*Labor!$D$6,0)</f>
        <v>331</v>
      </c>
      <c r="G104" s="175">
        <f>ROUND(G103*Labor!$D$7,0)</f>
        <v>0</v>
      </c>
      <c r="H104" s="175">
        <f>ROUND(H103*Labor!$D$8,0)</f>
        <v>0</v>
      </c>
      <c r="I104" s="167">
        <f t="shared" si="29"/>
        <v>432</v>
      </c>
      <c r="J104" s="284">
        <f>HLOOKUP(K$10,InflationTable,2)/HLOOKUP(Labor!$B$11,InflationTable,2)*$I104</f>
        <v>924.15114186851201</v>
      </c>
      <c r="K104" s="245">
        <f>J104*$O$7</f>
        <v>124760.40415224912</v>
      </c>
      <c r="L104" s="246">
        <f t="shared" si="25"/>
        <v>124760.40415224912</v>
      </c>
      <c r="M104" s="169">
        <f>HLOOKUP(N$10,InflationTable,2)/HLOOKUP(Labor!$B$11,InflationTable,2)*$I104</f>
        <v>961.11718754325261</v>
      </c>
      <c r="N104" s="166">
        <f>M104*$O$7</f>
        <v>129750.8203183391</v>
      </c>
      <c r="O104" s="167">
        <f t="shared" si="26"/>
        <v>129750.8203183391</v>
      </c>
      <c r="P104" s="284">
        <f>HLOOKUP(Q$10,InflationTable,2)/HLOOKUP(Labor!$B$11,InflationTable,2)*$I104</f>
        <v>980.33953129411748</v>
      </c>
      <c r="Q104" s="245">
        <f>P104*$O$7</f>
        <v>132345.83672470585</v>
      </c>
      <c r="R104" s="246">
        <f t="shared" si="27"/>
        <v>132345.83672470585</v>
      </c>
      <c r="S104" s="169">
        <f t="shared" si="30"/>
        <v>128952.35373176467</v>
      </c>
      <c r="T104" s="174" t="s">
        <v>12</v>
      </c>
      <c r="U104" s="183" t="s">
        <v>12</v>
      </c>
    </row>
    <row r="105" spans="1:21" ht="13" x14ac:dyDescent="0.3">
      <c r="A105" s="510"/>
      <c r="B105" s="501" t="s">
        <v>66</v>
      </c>
      <c r="C105" s="28">
        <f>C84+C86+C88+C90+C92+C95+C97+C99+C101+C103</f>
        <v>0</v>
      </c>
      <c r="D105" s="28">
        <f t="shared" ref="D105:I105" si="31">D84+D86+D88+D90+D92+D95+D97+D99+D101+D103</f>
        <v>19</v>
      </c>
      <c r="E105" s="28">
        <f t="shared" si="31"/>
        <v>49</v>
      </c>
      <c r="F105" s="28">
        <f t="shared" si="31"/>
        <v>66</v>
      </c>
      <c r="G105" s="28">
        <f t="shared" si="31"/>
        <v>4</v>
      </c>
      <c r="H105" s="28">
        <f t="shared" si="31"/>
        <v>0</v>
      </c>
      <c r="I105" s="81">
        <f t="shared" si="31"/>
        <v>138</v>
      </c>
      <c r="J105" s="234">
        <f t="shared" ref="J105:R105" si="32">J84+J86+J88+J90+J92+J95+J97+J99+J101+J103</f>
        <v>138</v>
      </c>
      <c r="K105" s="235">
        <f t="shared" si="32"/>
        <v>38884</v>
      </c>
      <c r="L105" s="260">
        <f t="shared" si="32"/>
        <v>38884</v>
      </c>
      <c r="M105" s="38">
        <f t="shared" si="32"/>
        <v>138</v>
      </c>
      <c r="N105" s="28">
        <f t="shared" si="32"/>
        <v>38884</v>
      </c>
      <c r="O105" s="81">
        <f t="shared" si="32"/>
        <v>38884</v>
      </c>
      <c r="P105" s="234">
        <f t="shared" si="32"/>
        <v>138</v>
      </c>
      <c r="Q105" s="235">
        <f t="shared" si="32"/>
        <v>38884</v>
      </c>
      <c r="R105" s="235">
        <f t="shared" si="32"/>
        <v>38884</v>
      </c>
      <c r="S105" s="96">
        <f>AVERAGE(L105,O105,R105)</f>
        <v>38884</v>
      </c>
      <c r="T105" s="42" t="s">
        <v>12</v>
      </c>
      <c r="U105" s="419" t="s">
        <v>12</v>
      </c>
    </row>
    <row r="106" spans="1:21" ht="13.5" thickBot="1" x14ac:dyDescent="0.35">
      <c r="A106" s="510"/>
      <c r="B106" s="502" t="s">
        <v>67</v>
      </c>
      <c r="C106" s="593">
        <f>C85+C87+C89+C91+C93+C96+C98+C100+C102+C104</f>
        <v>0</v>
      </c>
      <c r="D106" s="593">
        <f t="shared" ref="D106:M106" si="33">D85+D87+D89+D91+D93+D96+D98+D100+D102+D104</f>
        <v>457</v>
      </c>
      <c r="E106" s="593">
        <f t="shared" si="33"/>
        <v>1234</v>
      </c>
      <c r="F106" s="593">
        <f t="shared" si="33"/>
        <v>1818</v>
      </c>
      <c r="G106" s="593">
        <f t="shared" si="33"/>
        <v>125</v>
      </c>
      <c r="H106" s="593">
        <f t="shared" si="33"/>
        <v>0</v>
      </c>
      <c r="I106" s="1055">
        <f t="shared" si="33"/>
        <v>3634</v>
      </c>
      <c r="J106" s="1054">
        <f t="shared" si="33"/>
        <v>7773.9936332179941</v>
      </c>
      <c r="K106" s="759">
        <f>K85+K87+K89+K91+K93+K96+K98+K100+K102+K104+SUM(K78:K82)</f>
        <v>2562103.5786187365</v>
      </c>
      <c r="L106" s="1053">
        <f>L85+L87+L89+L91+L93+L96+L98+L100+L102+L104+SUM(L78:L82)</f>
        <v>2562103.5786187365</v>
      </c>
      <c r="M106" s="1052">
        <f t="shared" si="33"/>
        <v>8084.9533785467138</v>
      </c>
      <c r="N106" s="593">
        <f>N85+N87+N89+N91+N93+N96+N98+N100+N102+N104+SUM(N78:N82)</f>
        <v>2664587.7217634865</v>
      </c>
      <c r="O106" s="1055">
        <f>O85+O87+O89+O91+O93+O96+O98+O100+O102+O104+SUM(O78:O82)</f>
        <v>2664587.7217634865</v>
      </c>
      <c r="P106" s="1054">
        <f>P85+P87+P89+P91+P93+P96+P98+P100+P102+P104</f>
        <v>8246.652446117645</v>
      </c>
      <c r="Q106" s="759">
        <f>Q85+Q87+Q89+Q91+Q93+Q96+Q98+Q100+Q102+Q104+SUM(Q78:Q82)</f>
        <v>2717879.4761987561</v>
      </c>
      <c r="R106" s="1051">
        <f>R85+R87+R89+R91+R93+R96+R98+R100+R102+R104+SUM(R78:R82)</f>
        <v>2717879.4761987561</v>
      </c>
      <c r="S106" s="333">
        <f>S85+S87+S89+S91+S93+S96+S98+S100+S102+S104+SUM(S78:S82)</f>
        <v>2240672.7375450348</v>
      </c>
      <c r="T106" s="205">
        <f>SUM(T78:T82)</f>
        <v>407517.52131529135</v>
      </c>
      <c r="U106" s="186" t="s">
        <v>12</v>
      </c>
    </row>
    <row r="107" spans="1:21" ht="13.5" thickTop="1" thickBot="1" x14ac:dyDescent="0.3">
      <c r="B107" s="513"/>
      <c r="C107" s="513"/>
      <c r="D107" s="513"/>
      <c r="E107" s="513"/>
      <c r="F107" s="513"/>
      <c r="G107" s="513"/>
      <c r="H107" s="513"/>
      <c r="I107" s="513"/>
      <c r="J107" s="513"/>
      <c r="K107" s="513"/>
      <c r="L107" s="513"/>
      <c r="M107" s="513"/>
      <c r="N107" s="513"/>
      <c r="O107" s="513"/>
      <c r="P107" s="513"/>
      <c r="Q107" s="513"/>
      <c r="R107" s="513"/>
      <c r="S107" s="513"/>
      <c r="T107" s="513"/>
      <c r="U107" s="513"/>
    </row>
    <row r="108" spans="1:21" ht="16" thickTop="1" x14ac:dyDescent="0.35">
      <c r="A108" s="510"/>
      <c r="B108" s="508" t="s">
        <v>26</v>
      </c>
      <c r="F108" s="1" t="s">
        <v>6</v>
      </c>
      <c r="G108" s="1160"/>
      <c r="H108" s="1161"/>
      <c r="I108" s="1162"/>
      <c r="J108" s="2" t="s">
        <v>26</v>
      </c>
      <c r="L108" s="31"/>
      <c r="M108" s="199" t="s">
        <v>26</v>
      </c>
      <c r="P108" s="199" t="s">
        <v>26</v>
      </c>
      <c r="R108" s="31"/>
      <c r="S108" s="97"/>
      <c r="T108" s="31"/>
      <c r="U108" s="414"/>
    </row>
    <row r="109" spans="1:21" ht="13" x14ac:dyDescent="0.3">
      <c r="A109" s="510"/>
      <c r="I109" s="32" t="s">
        <v>61</v>
      </c>
      <c r="J109" s="50" t="s">
        <v>61</v>
      </c>
      <c r="K109" s="1177" t="s">
        <v>57</v>
      </c>
      <c r="L109" s="1178"/>
      <c r="M109" s="50" t="s">
        <v>61</v>
      </c>
      <c r="N109" s="1177" t="s">
        <v>57</v>
      </c>
      <c r="O109" s="1178"/>
      <c r="P109" s="50" t="s">
        <v>61</v>
      </c>
      <c r="Q109" s="1177" t="s">
        <v>57</v>
      </c>
      <c r="R109" s="1178"/>
      <c r="S109" s="106"/>
      <c r="T109" s="31"/>
      <c r="U109" s="182"/>
    </row>
    <row r="110" spans="1:21" ht="13" x14ac:dyDescent="0.3">
      <c r="A110" s="510"/>
      <c r="B110" s="506" t="s">
        <v>27</v>
      </c>
      <c r="C110" s="20" t="s">
        <v>45</v>
      </c>
      <c r="D110" s="20" t="s">
        <v>46</v>
      </c>
      <c r="E110" s="20" t="s">
        <v>47</v>
      </c>
      <c r="F110" s="20" t="s">
        <v>48</v>
      </c>
      <c r="G110" s="20" t="s">
        <v>49</v>
      </c>
      <c r="H110" s="20" t="s">
        <v>50</v>
      </c>
      <c r="I110" s="32" t="s">
        <v>13</v>
      </c>
      <c r="J110" s="66" t="s">
        <v>56</v>
      </c>
      <c r="K110" s="20" t="s">
        <v>13</v>
      </c>
      <c r="L110" s="32" t="s">
        <v>68</v>
      </c>
      <c r="M110" s="66" t="s">
        <v>56</v>
      </c>
      <c r="N110" s="20" t="s">
        <v>13</v>
      </c>
      <c r="O110" s="32" t="s">
        <v>68</v>
      </c>
      <c r="P110" s="66" t="s">
        <v>56</v>
      </c>
      <c r="Q110" s="20" t="s">
        <v>13</v>
      </c>
      <c r="R110" s="32" t="s">
        <v>68</v>
      </c>
      <c r="S110" s="98"/>
      <c r="T110" s="31"/>
      <c r="U110" s="182"/>
    </row>
    <row r="111" spans="1:21" x14ac:dyDescent="0.25">
      <c r="A111" s="510"/>
      <c r="B111" s="985" t="s">
        <v>350</v>
      </c>
      <c r="C111" s="18">
        <v>0</v>
      </c>
      <c r="D111" s="18">
        <f>4*4.5</f>
        <v>18</v>
      </c>
      <c r="E111" s="18">
        <f>12*4.5</f>
        <v>54</v>
      </c>
      <c r="F111" s="18">
        <f>4*4.5</f>
        <v>18</v>
      </c>
      <c r="G111" s="18">
        <v>0</v>
      </c>
      <c r="H111" s="18">
        <v>0</v>
      </c>
      <c r="I111" s="45">
        <f t="shared" ref="I111:I118" si="34">SUM(C111:H111)</f>
        <v>90</v>
      </c>
      <c r="J111" s="825">
        <f>$I111</f>
        <v>90</v>
      </c>
      <c r="K111" s="231">
        <f>J111*$O$3</f>
        <v>37350</v>
      </c>
      <c r="L111" s="239">
        <f t="shared" ref="L111:L147" si="35">K111</f>
        <v>37350</v>
      </c>
      <c r="M111" s="830">
        <f>$I111</f>
        <v>90</v>
      </c>
      <c r="N111" s="58">
        <f>M111*$O$3</f>
        <v>37350</v>
      </c>
      <c r="O111" s="57">
        <f t="shared" ref="O111:O147" si="36">N111</f>
        <v>37350</v>
      </c>
      <c r="P111" s="825">
        <f>$I111</f>
        <v>90</v>
      </c>
      <c r="Q111" s="231">
        <f>P111*$O$3</f>
        <v>37350</v>
      </c>
      <c r="R111" s="239">
        <f t="shared" ref="R111:R147" si="37">Q111</f>
        <v>37350</v>
      </c>
      <c r="S111" s="96">
        <f t="shared" ref="S111:S118" si="38">AVERAGE(L111,O111,R111)</f>
        <v>37350</v>
      </c>
      <c r="T111" s="34" t="s">
        <v>12</v>
      </c>
      <c r="U111" s="185" t="s">
        <v>12</v>
      </c>
    </row>
    <row r="112" spans="1:21" s="1" customFormat="1" ht="13.5" thickBot="1" x14ac:dyDescent="0.35">
      <c r="A112" s="511"/>
      <c r="B112" s="507" t="s">
        <v>8</v>
      </c>
      <c r="C112" s="310">
        <f>ROUND(C111*Labor!$D$3,0)</f>
        <v>0</v>
      </c>
      <c r="D112" s="310">
        <f>ROUND(D111*Labor!$D$4,0)</f>
        <v>436</v>
      </c>
      <c r="E112" s="310">
        <f>ROUND(E111*Labor!$D$5,0)</f>
        <v>1362</v>
      </c>
      <c r="F112" s="310">
        <f>ROUND(F111*Labor!$D$6,0)</f>
        <v>496</v>
      </c>
      <c r="G112" s="310">
        <f>ROUND(G111*Labor!$D$7,0)</f>
        <v>0</v>
      </c>
      <c r="H112" s="310">
        <f>ROUND(H111*Labor!$D$8,0)</f>
        <v>0</v>
      </c>
      <c r="I112" s="167">
        <f t="shared" si="34"/>
        <v>2294</v>
      </c>
      <c r="J112" s="284">
        <f>HLOOKUP(K$10,InflationTable,2)/HLOOKUP(Labor!$B$11,InflationTable,2)*$I112</f>
        <v>4907.4137024221445</v>
      </c>
      <c r="K112" s="245">
        <f>J112*$O$3</f>
        <v>2036576.6865051899</v>
      </c>
      <c r="L112" s="246">
        <f t="shared" si="35"/>
        <v>2036576.6865051899</v>
      </c>
      <c r="M112" s="169">
        <f>HLOOKUP(N$10,InflationTable,2)/HLOOKUP(Labor!$B$11,InflationTable,2)*$I112</f>
        <v>5103.7102505190314</v>
      </c>
      <c r="N112" s="166">
        <f>M112*$O$3</f>
        <v>2118039.7539653978</v>
      </c>
      <c r="O112" s="167">
        <f t="shared" si="36"/>
        <v>2118039.7539653978</v>
      </c>
      <c r="P112" s="284">
        <f>HLOOKUP(Q$10,InflationTable,2)/HLOOKUP(Labor!$B$11,InflationTable,2)*$I112</f>
        <v>5205.7844555294114</v>
      </c>
      <c r="Q112" s="245">
        <f>P112*$O$3</f>
        <v>2160400.5490447059</v>
      </c>
      <c r="R112" s="246">
        <f t="shared" si="37"/>
        <v>2160400.5490447059</v>
      </c>
      <c r="S112" s="169">
        <f t="shared" si="38"/>
        <v>2105005.6631717645</v>
      </c>
      <c r="T112" s="323" t="s">
        <v>12</v>
      </c>
      <c r="U112" s="183" t="s">
        <v>12</v>
      </c>
    </row>
    <row r="113" spans="1:21" x14ac:dyDescent="0.25">
      <c r="A113" s="510"/>
      <c r="B113" s="983" t="s">
        <v>351</v>
      </c>
      <c r="C113" s="18">
        <v>0</v>
      </c>
      <c r="D113" s="18">
        <v>0</v>
      </c>
      <c r="E113" s="18">
        <v>6</v>
      </c>
      <c r="F113" s="18">
        <v>12</v>
      </c>
      <c r="G113" s="18">
        <v>0</v>
      </c>
      <c r="H113" s="18">
        <v>0</v>
      </c>
      <c r="I113" s="45">
        <f t="shared" si="34"/>
        <v>18</v>
      </c>
      <c r="J113" s="825">
        <f>$I113</f>
        <v>18</v>
      </c>
      <c r="K113" s="231">
        <f>J113*($O$4+$O$5)</f>
        <v>1321.2</v>
      </c>
      <c r="L113" s="239">
        <f t="shared" si="35"/>
        <v>1321.2</v>
      </c>
      <c r="M113" s="830">
        <f>$I113</f>
        <v>18</v>
      </c>
      <c r="N113" s="58">
        <f>M113*($O$4+$O$5)</f>
        <v>1321.2</v>
      </c>
      <c r="O113" s="57">
        <f t="shared" si="36"/>
        <v>1321.2</v>
      </c>
      <c r="P113" s="825">
        <f>$I113</f>
        <v>18</v>
      </c>
      <c r="Q113" s="231">
        <f>P113*($O$4+$O$5)</f>
        <v>1321.2</v>
      </c>
      <c r="R113" s="239">
        <f t="shared" si="37"/>
        <v>1321.2</v>
      </c>
      <c r="S113" s="96">
        <f t="shared" si="38"/>
        <v>1321.2</v>
      </c>
      <c r="T113" s="34" t="s">
        <v>12</v>
      </c>
      <c r="U113" s="185" t="s">
        <v>12</v>
      </c>
    </row>
    <row r="114" spans="1:21" s="1" customFormat="1" ht="13.5" thickBot="1" x14ac:dyDescent="0.35">
      <c r="A114" s="511"/>
      <c r="B114" s="984" t="s">
        <v>8</v>
      </c>
      <c r="C114" s="310">
        <f>ROUND(C113*Labor!$D$3,0)</f>
        <v>0</v>
      </c>
      <c r="D114" s="310">
        <f>ROUND(D113*Labor!$D$4,0)</f>
        <v>0</v>
      </c>
      <c r="E114" s="310">
        <f>ROUND(E113*Labor!$D$5,0)</f>
        <v>151</v>
      </c>
      <c r="F114" s="310">
        <f>ROUND(F113*Labor!$D$6,0)</f>
        <v>331</v>
      </c>
      <c r="G114" s="310">
        <f>ROUND(G113*Labor!$D$7,0)</f>
        <v>0</v>
      </c>
      <c r="H114" s="310">
        <f>ROUND(H113*Labor!$D$8,0)</f>
        <v>0</v>
      </c>
      <c r="I114" s="167">
        <f t="shared" si="34"/>
        <v>482</v>
      </c>
      <c r="J114" s="284">
        <f>HLOOKUP(K$10,InflationTable,2)/HLOOKUP(Labor!$B$11,InflationTable,2)*$I114</f>
        <v>1031.1130795847751</v>
      </c>
      <c r="K114" s="245">
        <f>J114*($O$4+$O$5)</f>
        <v>75683.70004152249</v>
      </c>
      <c r="L114" s="246">
        <f t="shared" si="35"/>
        <v>75683.70004152249</v>
      </c>
      <c r="M114" s="169">
        <f>HLOOKUP(N$10,InflationTable,2)/HLOOKUP(Labor!$B$11,InflationTable,2)*$I114</f>
        <v>1072.3576027681661</v>
      </c>
      <c r="N114" s="166">
        <f>M114*($O$4+$O$5)</f>
        <v>78711.0480431834</v>
      </c>
      <c r="O114" s="167">
        <f t="shared" si="36"/>
        <v>78711.0480431834</v>
      </c>
      <c r="P114" s="284">
        <f>HLOOKUP(Q$10,InflationTable,2)/HLOOKUP(Labor!$B$11,InflationTable,2)*$I114</f>
        <v>1093.8047548235293</v>
      </c>
      <c r="Q114" s="245">
        <f>P114*($O$4+$O$5)</f>
        <v>80285.269004047048</v>
      </c>
      <c r="R114" s="246">
        <f t="shared" si="37"/>
        <v>80285.269004047048</v>
      </c>
      <c r="S114" s="169">
        <f t="shared" si="38"/>
        <v>78226.672362917641</v>
      </c>
      <c r="T114" s="323" t="s">
        <v>12</v>
      </c>
      <c r="U114" s="183" t="s">
        <v>12</v>
      </c>
    </row>
    <row r="115" spans="1:21" x14ac:dyDescent="0.25">
      <c r="A115" s="510"/>
      <c r="B115" s="985" t="s">
        <v>353</v>
      </c>
      <c r="C115" s="18">
        <v>0</v>
      </c>
      <c r="D115" s="18">
        <v>18</v>
      </c>
      <c r="E115" s="18">
        <v>54</v>
      </c>
      <c r="F115" s="18">
        <v>18</v>
      </c>
      <c r="G115" s="18">
        <v>0</v>
      </c>
      <c r="H115" s="18">
        <v>0</v>
      </c>
      <c r="I115" s="45">
        <f t="shared" si="34"/>
        <v>90</v>
      </c>
      <c r="J115" s="825">
        <f>$I115</f>
        <v>90</v>
      </c>
      <c r="K115" s="231">
        <f>J115*$L$6</f>
        <v>0</v>
      </c>
      <c r="L115" s="239">
        <f t="shared" si="35"/>
        <v>0</v>
      </c>
      <c r="M115" s="830">
        <f>$I115</f>
        <v>90</v>
      </c>
      <c r="N115" s="58">
        <f>M115*$L$6</f>
        <v>0</v>
      </c>
      <c r="O115" s="57">
        <f t="shared" si="36"/>
        <v>0</v>
      </c>
      <c r="P115" s="825">
        <f>$I115</f>
        <v>90</v>
      </c>
      <c r="Q115" s="231">
        <f>P115*$L$6</f>
        <v>0</v>
      </c>
      <c r="R115" s="239">
        <f t="shared" si="37"/>
        <v>0</v>
      </c>
      <c r="S115" s="96">
        <f t="shared" si="38"/>
        <v>0</v>
      </c>
      <c r="T115" s="34" t="s">
        <v>12</v>
      </c>
      <c r="U115" s="185" t="s">
        <v>12</v>
      </c>
    </row>
    <row r="116" spans="1:21" s="1" customFormat="1" ht="13.5" thickBot="1" x14ac:dyDescent="0.35">
      <c r="A116" s="511"/>
      <c r="B116" s="984" t="s">
        <v>8</v>
      </c>
      <c r="C116" s="310">
        <f>ROUND(C115*Labor!$D$3,0)</f>
        <v>0</v>
      </c>
      <c r="D116" s="310">
        <f>ROUND(D115*Labor!$D$4,0)</f>
        <v>436</v>
      </c>
      <c r="E116" s="310">
        <f>ROUND(E115*Labor!$D$5,0)</f>
        <v>1362</v>
      </c>
      <c r="F116" s="310">
        <f>ROUND(F115*Labor!$D$6,0)</f>
        <v>496</v>
      </c>
      <c r="G116" s="310">
        <f>ROUND(G115*Labor!$D$7,0)</f>
        <v>0</v>
      </c>
      <c r="H116" s="310">
        <f>ROUND(H115*Labor!$D$8,0)</f>
        <v>0</v>
      </c>
      <c r="I116" s="167">
        <f t="shared" si="34"/>
        <v>2294</v>
      </c>
      <c r="J116" s="284">
        <f>HLOOKUP(K$10,InflationTable,2)/HLOOKUP(Labor!$B$11,InflationTable,2)*$I116</f>
        <v>4907.4137024221445</v>
      </c>
      <c r="K116" s="245">
        <f>J116*$L$6</f>
        <v>0</v>
      </c>
      <c r="L116" s="246">
        <f t="shared" si="35"/>
        <v>0</v>
      </c>
      <c r="M116" s="169">
        <f>HLOOKUP(N$10,InflationTable,2)/HLOOKUP(Labor!$B$11,InflationTable,2)*$I116</f>
        <v>5103.7102505190314</v>
      </c>
      <c r="N116" s="166">
        <f>M116*$L$6</f>
        <v>0</v>
      </c>
      <c r="O116" s="167">
        <f t="shared" si="36"/>
        <v>0</v>
      </c>
      <c r="P116" s="284">
        <f>HLOOKUP(Q$10,InflationTable,2)/HLOOKUP(Labor!$B$11,InflationTable,2)*$I116</f>
        <v>5205.7844555294114</v>
      </c>
      <c r="Q116" s="245">
        <f>P116*$L$6</f>
        <v>0</v>
      </c>
      <c r="R116" s="246">
        <f t="shared" si="37"/>
        <v>0</v>
      </c>
      <c r="S116" s="169">
        <f t="shared" si="38"/>
        <v>0</v>
      </c>
      <c r="T116" s="323" t="s">
        <v>12</v>
      </c>
      <c r="U116" s="183" t="s">
        <v>12</v>
      </c>
    </row>
    <row r="117" spans="1:21" x14ac:dyDescent="0.25">
      <c r="A117" s="510"/>
      <c r="B117" s="983" t="s">
        <v>352</v>
      </c>
      <c r="C117" s="18">
        <v>0</v>
      </c>
      <c r="D117" s="18">
        <v>0</v>
      </c>
      <c r="E117" s="18">
        <v>2.5</v>
      </c>
      <c r="F117" s="18">
        <v>10.5</v>
      </c>
      <c r="G117" s="18">
        <v>3</v>
      </c>
      <c r="H117" s="18">
        <v>0</v>
      </c>
      <c r="I117" s="45">
        <f t="shared" si="34"/>
        <v>16</v>
      </c>
      <c r="J117" s="825">
        <f>$I117</f>
        <v>16</v>
      </c>
      <c r="K117" s="231">
        <f>J117*$O$6</f>
        <v>11952</v>
      </c>
      <c r="L117" s="239">
        <f t="shared" si="35"/>
        <v>11952</v>
      </c>
      <c r="M117" s="830">
        <f>$I117</f>
        <v>16</v>
      </c>
      <c r="N117" s="58">
        <f>M117*$O$6</f>
        <v>11952</v>
      </c>
      <c r="O117" s="57">
        <f t="shared" si="36"/>
        <v>11952</v>
      </c>
      <c r="P117" s="213">
        <f>$I$117</f>
        <v>16</v>
      </c>
      <c r="Q117" s="231">
        <f>P117*$O$6</f>
        <v>11952</v>
      </c>
      <c r="R117" s="239">
        <f t="shared" si="37"/>
        <v>11952</v>
      </c>
      <c r="S117" s="96">
        <f t="shared" si="38"/>
        <v>11952</v>
      </c>
      <c r="T117" s="34" t="s">
        <v>12</v>
      </c>
      <c r="U117" s="185" t="s">
        <v>12</v>
      </c>
    </row>
    <row r="118" spans="1:21" s="1" customFormat="1" ht="13.5" thickBot="1" x14ac:dyDescent="0.35">
      <c r="A118" s="511"/>
      <c r="B118" s="984" t="s">
        <v>8</v>
      </c>
      <c r="C118" s="310">
        <f>ROUND(C117*Labor!$D$3,0)</f>
        <v>0</v>
      </c>
      <c r="D118" s="310">
        <f>ROUND(D117*Labor!$D$4,0)</f>
        <v>0</v>
      </c>
      <c r="E118" s="310">
        <f>ROUND(E117*Labor!$D$5,0)</f>
        <v>63</v>
      </c>
      <c r="F118" s="310">
        <f>ROUND(F117*Labor!$D$6,0)</f>
        <v>289</v>
      </c>
      <c r="G118" s="310">
        <f>ROUND(G117*Labor!$D$7,0)</f>
        <v>94</v>
      </c>
      <c r="H118" s="310">
        <f>ROUND(H117*Labor!$D$8,0)</f>
        <v>0</v>
      </c>
      <c r="I118" s="167">
        <f t="shared" si="34"/>
        <v>446</v>
      </c>
      <c r="J118" s="284">
        <f>HLOOKUP(K$10,InflationTable,2)/HLOOKUP(Labor!$B$11,InflationTable,2)*$I118</f>
        <v>954.10048442906566</v>
      </c>
      <c r="K118" s="245">
        <f>J118*$O$6</f>
        <v>712713.06186851207</v>
      </c>
      <c r="L118" s="246">
        <f t="shared" si="35"/>
        <v>712713.06186851207</v>
      </c>
      <c r="M118" s="169">
        <f>HLOOKUP(N$10,InflationTable,2)/HLOOKUP(Labor!$B$11,InflationTable,2)*$I118</f>
        <v>992.26450380622839</v>
      </c>
      <c r="N118" s="166">
        <f>M118*$O$6</f>
        <v>741221.58434325259</v>
      </c>
      <c r="O118" s="167">
        <f t="shared" si="36"/>
        <v>741221.58434325259</v>
      </c>
      <c r="P118" s="284">
        <f>HLOOKUP(Q$10,InflationTable,2)/HLOOKUP(Labor!$B$11,InflationTable,2)*$I118</f>
        <v>1012.1097938823528</v>
      </c>
      <c r="Q118" s="245">
        <f>P118*$O$6</f>
        <v>756046.01603011752</v>
      </c>
      <c r="R118" s="246">
        <f t="shared" si="37"/>
        <v>756046.01603011752</v>
      </c>
      <c r="S118" s="169">
        <f t="shared" si="38"/>
        <v>736660.22074729402</v>
      </c>
      <c r="T118" s="323" t="s">
        <v>12</v>
      </c>
      <c r="U118" s="183" t="s">
        <v>12</v>
      </c>
    </row>
    <row r="119" spans="1:21" ht="13" x14ac:dyDescent="0.3">
      <c r="A119" s="510"/>
      <c r="B119" s="497" t="s">
        <v>357</v>
      </c>
      <c r="C119" s="20" t="s">
        <v>45</v>
      </c>
      <c r="D119" s="20" t="s">
        <v>46</v>
      </c>
      <c r="E119" s="20" t="s">
        <v>47</v>
      </c>
      <c r="F119" s="20" t="s">
        <v>48</v>
      </c>
      <c r="G119" s="20" t="s">
        <v>49</v>
      </c>
      <c r="H119" s="20" t="s">
        <v>50</v>
      </c>
      <c r="I119" s="32" t="s">
        <v>13</v>
      </c>
      <c r="J119" s="210" t="s">
        <v>56</v>
      </c>
      <c r="K119" s="211" t="s">
        <v>13</v>
      </c>
      <c r="L119" s="212" t="s">
        <v>68</v>
      </c>
      <c r="M119" s="66" t="s">
        <v>56</v>
      </c>
      <c r="N119" s="20" t="s">
        <v>13</v>
      </c>
      <c r="O119" s="32" t="s">
        <v>68</v>
      </c>
      <c r="P119" s="210" t="s">
        <v>56</v>
      </c>
      <c r="Q119" s="211" t="s">
        <v>13</v>
      </c>
      <c r="R119" s="212" t="s">
        <v>68</v>
      </c>
      <c r="S119" s="95"/>
      <c r="T119" s="108"/>
      <c r="U119" s="182"/>
    </row>
    <row r="120" spans="1:21" x14ac:dyDescent="0.25">
      <c r="A120" s="510"/>
      <c r="B120" s="985" t="s">
        <v>350</v>
      </c>
      <c r="C120" s="18">
        <v>0</v>
      </c>
      <c r="D120" s="18">
        <v>4.5</v>
      </c>
      <c r="E120" s="18">
        <v>13.5</v>
      </c>
      <c r="F120" s="18">
        <v>4.5</v>
      </c>
      <c r="G120" s="18">
        <v>0</v>
      </c>
      <c r="H120" s="18">
        <v>0</v>
      </c>
      <c r="I120" s="45">
        <f t="shared" ref="I120:I127" si="39">SUM(C120:H120)</f>
        <v>22.5</v>
      </c>
      <c r="J120" s="825">
        <f>$I120</f>
        <v>22.5</v>
      </c>
      <c r="K120" s="231">
        <f>J120*$O$3</f>
        <v>9337.5</v>
      </c>
      <c r="L120" s="239">
        <f t="shared" si="35"/>
        <v>9337.5</v>
      </c>
      <c r="M120" s="830">
        <f>$I120</f>
        <v>22.5</v>
      </c>
      <c r="N120" s="58">
        <f>M120*$O$3</f>
        <v>9337.5</v>
      </c>
      <c r="O120" s="57">
        <f t="shared" si="36"/>
        <v>9337.5</v>
      </c>
      <c r="P120" s="648">
        <f>$I120</f>
        <v>22.5</v>
      </c>
      <c r="Q120" s="231">
        <f>P120*$O$3</f>
        <v>9337.5</v>
      </c>
      <c r="R120" s="239">
        <f t="shared" si="37"/>
        <v>9337.5</v>
      </c>
      <c r="S120" s="96">
        <f t="shared" ref="S120:S127" si="40">AVERAGE(L120,O120,R120)</f>
        <v>9337.5</v>
      </c>
      <c r="T120" s="34" t="s">
        <v>12</v>
      </c>
      <c r="U120" s="185" t="s">
        <v>12</v>
      </c>
    </row>
    <row r="121" spans="1:21" s="1" customFormat="1" ht="13.5" thickBot="1" x14ac:dyDescent="0.35">
      <c r="A121" s="511"/>
      <c r="B121" s="984" t="s">
        <v>8</v>
      </c>
      <c r="C121" s="310">
        <f>ROUND(C120*Labor!$D$3,0)</f>
        <v>0</v>
      </c>
      <c r="D121" s="310">
        <f>ROUND(D120*Labor!$D$4,0)</f>
        <v>109</v>
      </c>
      <c r="E121" s="310">
        <f>ROUND(E120*Labor!$D$5,0)</f>
        <v>340</v>
      </c>
      <c r="F121" s="310">
        <f>ROUND(F120*Labor!$D$6,0)</f>
        <v>124</v>
      </c>
      <c r="G121" s="310">
        <f>ROUND(G120*Labor!$D$7,0)</f>
        <v>0</v>
      </c>
      <c r="H121" s="310">
        <f>ROUND(H120*Labor!$D$8,0)</f>
        <v>0</v>
      </c>
      <c r="I121" s="167">
        <f t="shared" si="39"/>
        <v>573</v>
      </c>
      <c r="J121" s="284">
        <f>HLOOKUP(K$10,InflationTable,2)/HLOOKUP(Labor!$B$11,InflationTable,2)*$I121</f>
        <v>1225.7838062283736</v>
      </c>
      <c r="K121" s="245">
        <f>J121*$O$3</f>
        <v>508700.27958477504</v>
      </c>
      <c r="L121" s="246">
        <f t="shared" si="35"/>
        <v>508700.27958477504</v>
      </c>
      <c r="M121" s="169">
        <f>HLOOKUP(N$10,InflationTable,2)/HLOOKUP(Labor!$B$11,InflationTable,2)*$I121</f>
        <v>1274.8151584775087</v>
      </c>
      <c r="N121" s="166">
        <f>M121*$O$3</f>
        <v>529048.29076816607</v>
      </c>
      <c r="O121" s="167">
        <f t="shared" si="36"/>
        <v>529048.29076816607</v>
      </c>
      <c r="P121" s="284">
        <f>HLOOKUP(Q$10,InflationTable,2)/HLOOKUP(Labor!$B$11,InflationTable,2)*$I121</f>
        <v>1300.3114616470586</v>
      </c>
      <c r="Q121" s="245">
        <f>P121*$O$3</f>
        <v>539629.25658352929</v>
      </c>
      <c r="R121" s="246">
        <f t="shared" si="37"/>
        <v>539629.25658352929</v>
      </c>
      <c r="S121" s="169">
        <f t="shared" si="40"/>
        <v>525792.60897882341</v>
      </c>
      <c r="T121" s="323" t="s">
        <v>12</v>
      </c>
      <c r="U121" s="183" t="s">
        <v>12</v>
      </c>
    </row>
    <row r="122" spans="1:21" x14ac:dyDescent="0.25">
      <c r="A122" s="510"/>
      <c r="B122" s="983" t="s">
        <v>351</v>
      </c>
      <c r="C122" s="18">
        <v>0</v>
      </c>
      <c r="D122" s="18">
        <v>1</v>
      </c>
      <c r="E122" s="18">
        <v>2</v>
      </c>
      <c r="F122" s="18">
        <v>1</v>
      </c>
      <c r="G122" s="18">
        <v>2</v>
      </c>
      <c r="H122" s="18">
        <v>0</v>
      </c>
      <c r="I122" s="45">
        <f t="shared" si="39"/>
        <v>6</v>
      </c>
      <c r="J122" s="825">
        <f>$I122</f>
        <v>6</v>
      </c>
      <c r="K122" s="231">
        <f>J122*($O$4+$O$5)</f>
        <v>440.40000000000003</v>
      </c>
      <c r="L122" s="239">
        <f t="shared" si="35"/>
        <v>440.40000000000003</v>
      </c>
      <c r="M122" s="830">
        <f>$I122</f>
        <v>6</v>
      </c>
      <c r="N122" s="58">
        <f>M122*($O$4+$O$5)</f>
        <v>440.40000000000003</v>
      </c>
      <c r="O122" s="57">
        <f t="shared" si="36"/>
        <v>440.40000000000003</v>
      </c>
      <c r="P122" s="648">
        <f>$I122</f>
        <v>6</v>
      </c>
      <c r="Q122" s="231">
        <f>P122*($O$4+$O$5)</f>
        <v>440.40000000000003</v>
      </c>
      <c r="R122" s="239">
        <f t="shared" si="37"/>
        <v>440.40000000000003</v>
      </c>
      <c r="S122" s="96">
        <f t="shared" si="40"/>
        <v>440.40000000000003</v>
      </c>
      <c r="T122" s="34" t="s">
        <v>12</v>
      </c>
      <c r="U122" s="185" t="s">
        <v>12</v>
      </c>
    </row>
    <row r="123" spans="1:21" s="1" customFormat="1" ht="13.5" thickBot="1" x14ac:dyDescent="0.35">
      <c r="A123" s="511"/>
      <c r="B123" s="984" t="s">
        <v>8</v>
      </c>
      <c r="C123" s="310">
        <f>ROUND(C122*Labor!$D$3,0)</f>
        <v>0</v>
      </c>
      <c r="D123" s="310">
        <f>ROUND(D122*Labor!$D$4,0)</f>
        <v>24</v>
      </c>
      <c r="E123" s="310">
        <f>ROUND(E122*Labor!$D$5,0)</f>
        <v>50</v>
      </c>
      <c r="F123" s="310">
        <f>ROUND(F122*Labor!$D$6,0)</f>
        <v>28</v>
      </c>
      <c r="G123" s="310">
        <f>ROUND(G122*Labor!$D$7,0)</f>
        <v>63</v>
      </c>
      <c r="H123" s="310">
        <f>ROUND(H122*Labor!$D$8,0)</f>
        <v>0</v>
      </c>
      <c r="I123" s="167">
        <f t="shared" si="39"/>
        <v>165</v>
      </c>
      <c r="J123" s="284">
        <f>HLOOKUP(K$10,InflationTable,2)/HLOOKUP(Labor!$B$11,InflationTable,2)*$I123</f>
        <v>352.97439446366781</v>
      </c>
      <c r="K123" s="245">
        <f>J123*($O$5+$O$4)</f>
        <v>25908.320553633221</v>
      </c>
      <c r="L123" s="246">
        <f t="shared" si="35"/>
        <v>25908.320553633221</v>
      </c>
      <c r="M123" s="169">
        <f>HLOOKUP(N$10,InflationTable,2)/HLOOKUP(Labor!$B$11,InflationTable,2)*$I123</f>
        <v>367.09337024221458</v>
      </c>
      <c r="N123" s="166">
        <f>M123*($O$5+$O$4)</f>
        <v>26944.653375778551</v>
      </c>
      <c r="O123" s="167">
        <f t="shared" si="36"/>
        <v>26944.653375778551</v>
      </c>
      <c r="P123" s="284">
        <f>HLOOKUP(Q$10,InflationTable,2)/HLOOKUP(Labor!$B$11,InflationTable,2)*$I123</f>
        <v>374.43523764705878</v>
      </c>
      <c r="Q123" s="245">
        <f>P123*($O$5+$O$4)</f>
        <v>27483.546443294115</v>
      </c>
      <c r="R123" s="246">
        <f t="shared" si="37"/>
        <v>27483.546443294115</v>
      </c>
      <c r="S123" s="169">
        <f t="shared" si="40"/>
        <v>26778.840124235296</v>
      </c>
      <c r="T123" s="323" t="s">
        <v>12</v>
      </c>
      <c r="U123" s="183" t="s">
        <v>12</v>
      </c>
    </row>
    <row r="124" spans="1:21" x14ac:dyDescent="0.25">
      <c r="A124" s="510"/>
      <c r="B124" s="985" t="s">
        <v>353</v>
      </c>
      <c r="C124" s="18">
        <v>0</v>
      </c>
      <c r="D124" s="18">
        <v>4.5</v>
      </c>
      <c r="E124" s="18">
        <v>13.5</v>
      </c>
      <c r="F124" s="18">
        <v>4.5</v>
      </c>
      <c r="G124" s="18">
        <v>0</v>
      </c>
      <c r="H124" s="18">
        <v>0</v>
      </c>
      <c r="I124" s="45">
        <f t="shared" si="39"/>
        <v>22.5</v>
      </c>
      <c r="J124" s="825">
        <f>$I124</f>
        <v>22.5</v>
      </c>
      <c r="K124" s="231">
        <f>J124*$L$6</f>
        <v>0</v>
      </c>
      <c r="L124" s="239">
        <f t="shared" si="35"/>
        <v>0</v>
      </c>
      <c r="M124" s="830">
        <f>$I124</f>
        <v>22.5</v>
      </c>
      <c r="N124" s="58">
        <f>M124*$L$6</f>
        <v>0</v>
      </c>
      <c r="O124" s="57">
        <f t="shared" si="36"/>
        <v>0</v>
      </c>
      <c r="P124" s="648">
        <f>$I124</f>
        <v>22.5</v>
      </c>
      <c r="Q124" s="231">
        <f>P124*$L$6</f>
        <v>0</v>
      </c>
      <c r="R124" s="239">
        <f t="shared" si="37"/>
        <v>0</v>
      </c>
      <c r="S124" s="96">
        <f t="shared" si="40"/>
        <v>0</v>
      </c>
      <c r="T124" s="34" t="s">
        <v>12</v>
      </c>
      <c r="U124" s="185" t="s">
        <v>12</v>
      </c>
    </row>
    <row r="125" spans="1:21" s="1" customFormat="1" ht="13.5" thickBot="1" x14ac:dyDescent="0.35">
      <c r="A125" s="511"/>
      <c r="B125" s="984" t="s">
        <v>8</v>
      </c>
      <c r="C125" s="310">
        <f>ROUND(C124*Labor!$D$3,0)</f>
        <v>0</v>
      </c>
      <c r="D125" s="310">
        <f>ROUND(D124*Labor!$D$4,0)</f>
        <v>109</v>
      </c>
      <c r="E125" s="310">
        <f>ROUND(E124*Labor!$D$5,0)</f>
        <v>340</v>
      </c>
      <c r="F125" s="310">
        <f>ROUND(F124*Labor!$D$6,0)</f>
        <v>124</v>
      </c>
      <c r="G125" s="310">
        <f>ROUND(G124*Labor!$D$7,0)</f>
        <v>0</v>
      </c>
      <c r="H125" s="310">
        <f>ROUND(H124*Labor!$D$8,0)</f>
        <v>0</v>
      </c>
      <c r="I125" s="167">
        <f t="shared" si="39"/>
        <v>573</v>
      </c>
      <c r="J125" s="284">
        <f>HLOOKUP(K$10,InflationTable,2)/HLOOKUP(Labor!$B$11,InflationTable,2)*$I125</f>
        <v>1225.7838062283736</v>
      </c>
      <c r="K125" s="245">
        <f>J125*L6</f>
        <v>0</v>
      </c>
      <c r="L125" s="246">
        <f t="shared" si="35"/>
        <v>0</v>
      </c>
      <c r="M125" s="169">
        <f>HLOOKUP(N$10,InflationTable,2)/HLOOKUP(Labor!$B$11,InflationTable,2)*$I125</f>
        <v>1274.8151584775087</v>
      </c>
      <c r="N125" s="166">
        <f>M125*$L$6</f>
        <v>0</v>
      </c>
      <c r="O125" s="167">
        <f t="shared" si="36"/>
        <v>0</v>
      </c>
      <c r="P125" s="284">
        <f>HLOOKUP(Q$10,InflationTable,2)/HLOOKUP(Labor!$B$11,InflationTable,2)*$I125</f>
        <v>1300.3114616470586</v>
      </c>
      <c r="Q125" s="245">
        <f>P125*$L$6</f>
        <v>0</v>
      </c>
      <c r="R125" s="246">
        <f t="shared" si="37"/>
        <v>0</v>
      </c>
      <c r="S125" s="169">
        <f t="shared" si="40"/>
        <v>0</v>
      </c>
      <c r="T125" s="323" t="s">
        <v>12</v>
      </c>
      <c r="U125" s="183" t="s">
        <v>12</v>
      </c>
    </row>
    <row r="126" spans="1:21" x14ac:dyDescent="0.25">
      <c r="A126" s="510"/>
      <c r="B126" s="983" t="s">
        <v>352</v>
      </c>
      <c r="C126" s="18">
        <v>0</v>
      </c>
      <c r="D126" s="18">
        <v>0</v>
      </c>
      <c r="E126" s="18">
        <v>4</v>
      </c>
      <c r="F126" s="18">
        <v>6</v>
      </c>
      <c r="G126" s="18">
        <v>2</v>
      </c>
      <c r="H126" s="18">
        <v>0</v>
      </c>
      <c r="I126" s="45">
        <f t="shared" si="39"/>
        <v>12</v>
      </c>
      <c r="J126" s="825">
        <f>$I126</f>
        <v>12</v>
      </c>
      <c r="K126" s="231">
        <f>J126*$O$6</f>
        <v>8964</v>
      </c>
      <c r="L126" s="239">
        <f t="shared" si="35"/>
        <v>8964</v>
      </c>
      <c r="M126" s="830">
        <f>$I126</f>
        <v>12</v>
      </c>
      <c r="N126" s="58">
        <f>M126*$O$6</f>
        <v>8964</v>
      </c>
      <c r="O126" s="57">
        <f t="shared" si="36"/>
        <v>8964</v>
      </c>
      <c r="P126" s="648">
        <f>$I126</f>
        <v>12</v>
      </c>
      <c r="Q126" s="231">
        <f>P126*$O$6</f>
        <v>8964</v>
      </c>
      <c r="R126" s="239">
        <f t="shared" si="37"/>
        <v>8964</v>
      </c>
      <c r="S126" s="96">
        <f t="shared" si="40"/>
        <v>8964</v>
      </c>
      <c r="T126" s="34" t="s">
        <v>12</v>
      </c>
      <c r="U126" s="185" t="s">
        <v>12</v>
      </c>
    </row>
    <row r="127" spans="1:21" s="1" customFormat="1" ht="13.5" thickBot="1" x14ac:dyDescent="0.35">
      <c r="A127" s="511"/>
      <c r="B127" s="984" t="s">
        <v>8</v>
      </c>
      <c r="C127" s="310">
        <f>ROUND(C126*Labor!$D$3,0)</f>
        <v>0</v>
      </c>
      <c r="D127" s="310">
        <f>ROUND(D126*Labor!$D$4,0)</f>
        <v>0</v>
      </c>
      <c r="E127" s="310">
        <f>ROUND(E126*Labor!$D$5,0)</f>
        <v>101</v>
      </c>
      <c r="F127" s="310">
        <f>ROUND(F126*Labor!$D$6,0)</f>
        <v>165</v>
      </c>
      <c r="G127" s="310">
        <f>ROUND(G126*Labor!$D$7,0)</f>
        <v>63</v>
      </c>
      <c r="H127" s="310">
        <f>ROUND(H126*Labor!$D$8,0)</f>
        <v>0</v>
      </c>
      <c r="I127" s="167">
        <f t="shared" si="39"/>
        <v>329</v>
      </c>
      <c r="J127" s="284">
        <f>HLOOKUP(K$10,InflationTable,2)/HLOOKUP(Labor!$B$11,InflationTable,2)*$I127</f>
        <v>703.80955017301028</v>
      </c>
      <c r="K127" s="245">
        <f>J127*$O$6</f>
        <v>525745.73397923866</v>
      </c>
      <c r="L127" s="246">
        <f t="shared" si="35"/>
        <v>525745.73397923866</v>
      </c>
      <c r="M127" s="169">
        <f>HLOOKUP(N$10,InflationTable,2)/HLOOKUP(Labor!$B$11,InflationTable,2)*$I127</f>
        <v>731.96193217993084</v>
      </c>
      <c r="N127" s="166">
        <f>M127*$O$6</f>
        <v>546775.56333840836</v>
      </c>
      <c r="O127" s="167">
        <f t="shared" si="36"/>
        <v>546775.56333840836</v>
      </c>
      <c r="P127" s="284">
        <f>HLOOKUP(Q$10,InflationTable,2)/HLOOKUP(Labor!$B$11,InflationTable,2)*$I127</f>
        <v>746.60117082352929</v>
      </c>
      <c r="Q127" s="245">
        <f>P127*$O$6</f>
        <v>557711.07460517634</v>
      </c>
      <c r="R127" s="246">
        <f t="shared" si="37"/>
        <v>557711.07460517634</v>
      </c>
      <c r="S127" s="169">
        <f t="shared" si="40"/>
        <v>543410.79064094101</v>
      </c>
      <c r="T127" s="323" t="s">
        <v>12</v>
      </c>
      <c r="U127" s="183" t="s">
        <v>12</v>
      </c>
    </row>
    <row r="128" spans="1:21" ht="13" x14ac:dyDescent="0.3">
      <c r="A128" s="510"/>
      <c r="B128" s="497" t="s">
        <v>358</v>
      </c>
      <c r="C128" s="20" t="s">
        <v>45</v>
      </c>
      <c r="D128" s="20" t="s">
        <v>46</v>
      </c>
      <c r="E128" s="20" t="s">
        <v>47</v>
      </c>
      <c r="F128" s="20" t="s">
        <v>48</v>
      </c>
      <c r="G128" s="20" t="s">
        <v>49</v>
      </c>
      <c r="H128" s="20" t="s">
        <v>50</v>
      </c>
      <c r="I128" s="32" t="s">
        <v>13</v>
      </c>
      <c r="J128" s="210" t="s">
        <v>56</v>
      </c>
      <c r="K128" s="211" t="s">
        <v>13</v>
      </c>
      <c r="L128" s="212" t="s">
        <v>68</v>
      </c>
      <c r="M128" s="66" t="s">
        <v>56</v>
      </c>
      <c r="N128" s="20" t="s">
        <v>13</v>
      </c>
      <c r="O128" s="32" t="s">
        <v>68</v>
      </c>
      <c r="P128" s="210" t="s">
        <v>56</v>
      </c>
      <c r="Q128" s="211" t="s">
        <v>13</v>
      </c>
      <c r="R128" s="212" t="s">
        <v>68</v>
      </c>
      <c r="S128" s="95"/>
      <c r="T128" s="108"/>
      <c r="U128" s="182"/>
    </row>
    <row r="129" spans="1:21" x14ac:dyDescent="0.25">
      <c r="A129" s="510"/>
      <c r="B129" s="985" t="s">
        <v>350</v>
      </c>
      <c r="C129" s="18">
        <v>0</v>
      </c>
      <c r="D129" s="18">
        <v>9</v>
      </c>
      <c r="E129" s="18">
        <v>9</v>
      </c>
      <c r="F129" s="18">
        <v>18</v>
      </c>
      <c r="G129" s="18">
        <v>27</v>
      </c>
      <c r="H129" s="18">
        <v>0</v>
      </c>
      <c r="I129" s="45">
        <f t="shared" ref="I129:I136" si="41">SUM(C129:H129)</f>
        <v>63</v>
      </c>
      <c r="J129" s="825">
        <f>$I129</f>
        <v>63</v>
      </c>
      <c r="K129" s="231">
        <f>J129*$O$3</f>
        <v>26145</v>
      </c>
      <c r="L129" s="239">
        <f t="shared" si="35"/>
        <v>26145</v>
      </c>
      <c r="M129" s="830">
        <f>$I129</f>
        <v>63</v>
      </c>
      <c r="N129" s="58">
        <f>M129*$O$3</f>
        <v>26145</v>
      </c>
      <c r="O129" s="57">
        <f t="shared" si="36"/>
        <v>26145</v>
      </c>
      <c r="P129" s="648">
        <f>$I129</f>
        <v>63</v>
      </c>
      <c r="Q129" s="231">
        <f>P129*$O$3</f>
        <v>26145</v>
      </c>
      <c r="R129" s="239">
        <f t="shared" si="37"/>
        <v>26145</v>
      </c>
      <c r="S129" s="96">
        <f t="shared" ref="S129:S136" si="42">AVERAGE(L129,O129,R129)</f>
        <v>26145</v>
      </c>
      <c r="T129" s="34" t="s">
        <v>12</v>
      </c>
      <c r="U129" s="185" t="s">
        <v>12</v>
      </c>
    </row>
    <row r="130" spans="1:21" s="1" customFormat="1" ht="13.5" thickBot="1" x14ac:dyDescent="0.35">
      <c r="A130" s="511"/>
      <c r="B130" s="507" t="s">
        <v>8</v>
      </c>
      <c r="C130" s="310">
        <f>ROUND(C129*Labor!$D$3,0)</f>
        <v>0</v>
      </c>
      <c r="D130" s="310">
        <f>ROUND(D129*Labor!$D$4,0)</f>
        <v>218</v>
      </c>
      <c r="E130" s="310">
        <f>ROUND(E129*Labor!$D$5,0)</f>
        <v>227</v>
      </c>
      <c r="F130" s="310">
        <f>ROUND(F129*Labor!$D$6,0)</f>
        <v>496</v>
      </c>
      <c r="G130" s="310">
        <f>ROUND(G129*Labor!$D$7,0)</f>
        <v>845</v>
      </c>
      <c r="H130" s="310">
        <f>ROUND(H129*Labor!$D$8,0)</f>
        <v>0</v>
      </c>
      <c r="I130" s="167">
        <f t="shared" si="41"/>
        <v>1786</v>
      </c>
      <c r="J130" s="284">
        <f>HLOOKUP(K$10,InflationTable,2)/HLOOKUP(Labor!$B$11,InflationTable,2)*$I130</f>
        <v>3820.6804152249133</v>
      </c>
      <c r="K130" s="245">
        <f>J130*$O$3</f>
        <v>1585582.3723183391</v>
      </c>
      <c r="L130" s="246">
        <f t="shared" si="35"/>
        <v>1585582.3723183391</v>
      </c>
      <c r="M130" s="169">
        <f>HLOOKUP(N$10,InflationTable,2)/HLOOKUP(Labor!$B$11,InflationTable,2)*$I130</f>
        <v>3973.5076318339102</v>
      </c>
      <c r="N130" s="166">
        <f>M130*$O$3</f>
        <v>1649005.6672110728</v>
      </c>
      <c r="O130" s="167">
        <f t="shared" si="36"/>
        <v>1649005.6672110728</v>
      </c>
      <c r="P130" s="284">
        <f>HLOOKUP(Q$10,InflationTable,2)/HLOOKUP(Labor!$B$11,InflationTable,2)*$I130</f>
        <v>4052.9777844705877</v>
      </c>
      <c r="Q130" s="245">
        <f>P130*$O$3</f>
        <v>1681985.7805552939</v>
      </c>
      <c r="R130" s="246">
        <f t="shared" si="37"/>
        <v>1681985.7805552939</v>
      </c>
      <c r="S130" s="169">
        <f t="shared" si="42"/>
        <v>1638857.9400282353</v>
      </c>
      <c r="T130" s="323" t="s">
        <v>12</v>
      </c>
      <c r="U130" s="183" t="s">
        <v>12</v>
      </c>
    </row>
    <row r="131" spans="1:21" x14ac:dyDescent="0.25">
      <c r="A131" s="510"/>
      <c r="B131" s="983" t="s">
        <v>351</v>
      </c>
      <c r="C131" s="18">
        <v>0</v>
      </c>
      <c r="D131" s="18">
        <v>0</v>
      </c>
      <c r="E131" s="18">
        <v>4</v>
      </c>
      <c r="F131" s="18">
        <v>6</v>
      </c>
      <c r="G131" s="18">
        <v>2</v>
      </c>
      <c r="H131" s="18">
        <v>0</v>
      </c>
      <c r="I131" s="45">
        <f t="shared" si="41"/>
        <v>12</v>
      </c>
      <c r="J131" s="825">
        <f>$I131</f>
        <v>12</v>
      </c>
      <c r="K131" s="231">
        <f>$I$161*($O$4+$O$5)</f>
        <v>734</v>
      </c>
      <c r="L131" s="239">
        <f t="shared" si="35"/>
        <v>734</v>
      </c>
      <c r="M131" s="830">
        <f>$I131</f>
        <v>12</v>
      </c>
      <c r="N131" s="58">
        <f>$I$161*($O$4+$O$5)</f>
        <v>734</v>
      </c>
      <c r="O131" s="57">
        <f t="shared" si="36"/>
        <v>734</v>
      </c>
      <c r="P131" s="648">
        <f>$I131</f>
        <v>12</v>
      </c>
      <c r="Q131" s="231">
        <f>$I$161*($O$4+$O$5)</f>
        <v>734</v>
      </c>
      <c r="R131" s="239">
        <f t="shared" si="37"/>
        <v>734</v>
      </c>
      <c r="S131" s="96">
        <f t="shared" si="42"/>
        <v>734</v>
      </c>
      <c r="T131" s="34" t="s">
        <v>12</v>
      </c>
      <c r="U131" s="185" t="s">
        <v>12</v>
      </c>
    </row>
    <row r="132" spans="1:21" s="1" customFormat="1" ht="13.5" thickBot="1" x14ac:dyDescent="0.35">
      <c r="A132" s="511"/>
      <c r="B132" s="984" t="s">
        <v>8</v>
      </c>
      <c r="C132" s="310">
        <f>ROUND(C131*Labor!$D$3,0)</f>
        <v>0</v>
      </c>
      <c r="D132" s="310">
        <f>ROUND(D131*Labor!$D$4,0)</f>
        <v>0</v>
      </c>
      <c r="E132" s="310">
        <f>ROUND(E131*Labor!$D$5,0)</f>
        <v>101</v>
      </c>
      <c r="F132" s="310">
        <f>ROUND(F131*Labor!$D$6,0)</f>
        <v>165</v>
      </c>
      <c r="G132" s="310">
        <f>ROUND(G131*Labor!$D$7,0)</f>
        <v>63</v>
      </c>
      <c r="H132" s="310">
        <f>ROUND(H131*Labor!$D$8,0)</f>
        <v>0</v>
      </c>
      <c r="I132" s="167">
        <f t="shared" si="41"/>
        <v>329</v>
      </c>
      <c r="J132" s="284">
        <f>HLOOKUP(K$10,InflationTable,2)/HLOOKUP(Labor!$B$11,InflationTable,2)*$I132</f>
        <v>703.80955017301028</v>
      </c>
      <c r="K132" s="245">
        <f>J132*($O$4+$O$5)</f>
        <v>51659.620982698958</v>
      </c>
      <c r="L132" s="246">
        <f t="shared" si="35"/>
        <v>51659.620982698958</v>
      </c>
      <c r="M132" s="169">
        <f>HLOOKUP(N$10,InflationTable,2)/HLOOKUP(Labor!$B$11,InflationTable,2)*$I132</f>
        <v>731.96193217993084</v>
      </c>
      <c r="N132" s="166">
        <f>M132*($O$4+$O$5)</f>
        <v>53726.005822006926</v>
      </c>
      <c r="O132" s="167">
        <f t="shared" si="36"/>
        <v>53726.005822006926</v>
      </c>
      <c r="P132" s="284">
        <f>HLOOKUP(Q$10,InflationTable,2)/HLOOKUP(Labor!$B$11,InflationTable,2)*$I132</f>
        <v>746.60117082352929</v>
      </c>
      <c r="Q132" s="245">
        <f>P132*($O$4+$O$5)</f>
        <v>54800.525938447056</v>
      </c>
      <c r="R132" s="246">
        <f t="shared" si="37"/>
        <v>54800.525938447056</v>
      </c>
      <c r="S132" s="169">
        <f t="shared" si="42"/>
        <v>53395.384247717644</v>
      </c>
      <c r="T132" s="323" t="s">
        <v>12</v>
      </c>
      <c r="U132" s="183" t="s">
        <v>12</v>
      </c>
    </row>
    <row r="133" spans="1:21" x14ac:dyDescent="0.25">
      <c r="A133" s="510"/>
      <c r="B133" s="983" t="s">
        <v>353</v>
      </c>
      <c r="C133" s="18">
        <v>0</v>
      </c>
      <c r="D133" s="18">
        <v>9</v>
      </c>
      <c r="E133" s="18">
        <v>9</v>
      </c>
      <c r="F133" s="18">
        <v>13.5</v>
      </c>
      <c r="G133" s="18">
        <v>27</v>
      </c>
      <c r="H133" s="18">
        <v>0</v>
      </c>
      <c r="I133" s="45">
        <f t="shared" si="41"/>
        <v>58.5</v>
      </c>
      <c r="J133" s="825">
        <f>$I133</f>
        <v>58.5</v>
      </c>
      <c r="K133" s="231">
        <f>J133*$L$6</f>
        <v>0</v>
      </c>
      <c r="L133" s="239">
        <f t="shared" si="35"/>
        <v>0</v>
      </c>
      <c r="M133" s="830">
        <f>$I133</f>
        <v>58.5</v>
      </c>
      <c r="N133" s="58">
        <f>M133*$L$6</f>
        <v>0</v>
      </c>
      <c r="O133" s="57">
        <f t="shared" si="36"/>
        <v>0</v>
      </c>
      <c r="P133" s="648">
        <f>$I133</f>
        <v>58.5</v>
      </c>
      <c r="Q133" s="231">
        <f>P133*$L$6</f>
        <v>0</v>
      </c>
      <c r="R133" s="239">
        <f t="shared" si="37"/>
        <v>0</v>
      </c>
      <c r="S133" s="96">
        <f t="shared" si="42"/>
        <v>0</v>
      </c>
      <c r="T133" s="34" t="s">
        <v>12</v>
      </c>
      <c r="U133" s="185" t="s">
        <v>12</v>
      </c>
    </row>
    <row r="134" spans="1:21" s="1" customFormat="1" ht="13.5" thickBot="1" x14ac:dyDescent="0.35">
      <c r="A134" s="511"/>
      <c r="B134" s="984" t="s">
        <v>8</v>
      </c>
      <c r="C134" s="310">
        <f>ROUND(C133*Labor!$D$3,0)</f>
        <v>0</v>
      </c>
      <c r="D134" s="310">
        <f>ROUND(D133*Labor!$D$4,0)</f>
        <v>218</v>
      </c>
      <c r="E134" s="310">
        <f>ROUND(E133*Labor!$D$5,0)</f>
        <v>227</v>
      </c>
      <c r="F134" s="310">
        <f>ROUND(F133*Labor!$D$6,0)</f>
        <v>372</v>
      </c>
      <c r="G134" s="310">
        <f>ROUND(G133*Labor!$D$7,0)</f>
        <v>845</v>
      </c>
      <c r="H134" s="310">
        <f>ROUND(H133*Labor!$D$8,0)</f>
        <v>0</v>
      </c>
      <c r="I134" s="167">
        <f t="shared" si="41"/>
        <v>1662</v>
      </c>
      <c r="J134" s="284">
        <f>HLOOKUP(K$10,InflationTable,2)/HLOOKUP(Labor!$B$11,InflationTable,2)*$I134</f>
        <v>3555.414809688581</v>
      </c>
      <c r="K134" s="245">
        <f>J134*$L$6</f>
        <v>0</v>
      </c>
      <c r="L134" s="246">
        <f t="shared" si="35"/>
        <v>0</v>
      </c>
      <c r="M134" s="169">
        <f>HLOOKUP(N$10,InflationTable,2)/HLOOKUP(Labor!$B$11,InflationTable,2)*$I134</f>
        <v>3697.6314020761247</v>
      </c>
      <c r="N134" s="166">
        <f>M134*$L$6</f>
        <v>0</v>
      </c>
      <c r="O134" s="167">
        <f t="shared" si="36"/>
        <v>0</v>
      </c>
      <c r="P134" s="284">
        <f>HLOOKUP(Q$10,InflationTable,2)/HLOOKUP(Labor!$B$11,InflationTable,2)*$I134</f>
        <v>3771.5840301176468</v>
      </c>
      <c r="Q134" s="245">
        <f>P134*$L$6</f>
        <v>0</v>
      </c>
      <c r="R134" s="246">
        <f t="shared" si="37"/>
        <v>0</v>
      </c>
      <c r="S134" s="169">
        <f t="shared" si="42"/>
        <v>0</v>
      </c>
      <c r="T134" s="323" t="s">
        <v>12</v>
      </c>
      <c r="U134" s="183" t="s">
        <v>12</v>
      </c>
    </row>
    <row r="135" spans="1:21" x14ac:dyDescent="0.25">
      <c r="A135" s="510"/>
      <c r="B135" s="983" t="s">
        <v>352</v>
      </c>
      <c r="C135" s="18">
        <v>0</v>
      </c>
      <c r="D135" s="18">
        <v>0</v>
      </c>
      <c r="E135" s="18">
        <v>5</v>
      </c>
      <c r="F135" s="18">
        <v>5</v>
      </c>
      <c r="G135" s="18">
        <v>2</v>
      </c>
      <c r="H135" s="18">
        <v>1</v>
      </c>
      <c r="I135" s="45">
        <f t="shared" si="41"/>
        <v>13</v>
      </c>
      <c r="J135" s="825">
        <f>$I135</f>
        <v>13</v>
      </c>
      <c r="K135" s="231">
        <f>J135*$O$3</f>
        <v>5395</v>
      </c>
      <c r="L135" s="239">
        <f t="shared" si="35"/>
        <v>5395</v>
      </c>
      <c r="M135" s="830">
        <f>$I135</f>
        <v>13</v>
      </c>
      <c r="N135" s="58">
        <f>M135*$O$3</f>
        <v>5395</v>
      </c>
      <c r="O135" s="57">
        <f t="shared" si="36"/>
        <v>5395</v>
      </c>
      <c r="P135" s="648">
        <f>$I135</f>
        <v>13</v>
      </c>
      <c r="Q135" s="231">
        <f>P135*$O$3</f>
        <v>5395</v>
      </c>
      <c r="R135" s="239">
        <f t="shared" si="37"/>
        <v>5395</v>
      </c>
      <c r="S135" s="96">
        <f t="shared" si="42"/>
        <v>5395</v>
      </c>
      <c r="T135" s="34" t="s">
        <v>12</v>
      </c>
      <c r="U135" s="185" t="s">
        <v>12</v>
      </c>
    </row>
    <row r="136" spans="1:21" s="1" customFormat="1" ht="13.5" thickBot="1" x14ac:dyDescent="0.35">
      <c r="A136" s="511"/>
      <c r="B136" s="984" t="s">
        <v>8</v>
      </c>
      <c r="C136" s="310">
        <f>ROUND(C135*Labor!$D$3,0)</f>
        <v>0</v>
      </c>
      <c r="D136" s="310">
        <f>ROUND(D135*Labor!$D$4,0)</f>
        <v>0</v>
      </c>
      <c r="E136" s="310">
        <f>ROUND(E135*Labor!$D$5,0)</f>
        <v>126</v>
      </c>
      <c r="F136" s="310">
        <f>ROUND(F135*Labor!$D$6,0)</f>
        <v>138</v>
      </c>
      <c r="G136" s="310">
        <f>ROUND(G135*Labor!$D$7,0)</f>
        <v>63</v>
      </c>
      <c r="H136" s="310">
        <f>ROUND(H135*Labor!$D$8,0)</f>
        <v>38</v>
      </c>
      <c r="I136" s="167">
        <f t="shared" si="41"/>
        <v>365</v>
      </c>
      <c r="J136" s="284">
        <f>HLOOKUP(K$10,InflationTable,2)/HLOOKUP(Labor!$B$11,InflationTable,2)*$I136</f>
        <v>780.82214532871967</v>
      </c>
      <c r="K136" s="245">
        <f>J136*$O$6</f>
        <v>583274.14256055362</v>
      </c>
      <c r="L136" s="246">
        <f t="shared" si="35"/>
        <v>583274.14256055362</v>
      </c>
      <c r="M136" s="169">
        <f>HLOOKUP(N$10,InflationTable,2)/HLOOKUP(Labor!$B$11,InflationTable,2)*$I136</f>
        <v>812.05503114186854</v>
      </c>
      <c r="N136" s="166">
        <f>M136*$O$6</f>
        <v>606605.10826297582</v>
      </c>
      <c r="O136" s="167">
        <f t="shared" si="36"/>
        <v>606605.10826297582</v>
      </c>
      <c r="P136" s="284">
        <f>HLOOKUP(Q$10,InflationTable,2)/HLOOKUP(Labor!$B$11,InflationTable,2)*$I136</f>
        <v>828.29613176470582</v>
      </c>
      <c r="Q136" s="245">
        <f>P136*$O$6</f>
        <v>618737.21042823524</v>
      </c>
      <c r="R136" s="246">
        <f t="shared" si="37"/>
        <v>618737.21042823524</v>
      </c>
      <c r="S136" s="169">
        <f t="shared" si="42"/>
        <v>602872.15375058819</v>
      </c>
      <c r="T136" s="323" t="s">
        <v>12</v>
      </c>
      <c r="U136" s="183" t="s">
        <v>12</v>
      </c>
    </row>
    <row r="137" spans="1:21" ht="13" x14ac:dyDescent="0.3">
      <c r="A137" s="510"/>
      <c r="B137" s="497" t="s">
        <v>359</v>
      </c>
      <c r="C137" s="20" t="s">
        <v>45</v>
      </c>
      <c r="D137" s="20" t="s">
        <v>46</v>
      </c>
      <c r="E137" s="20" t="s">
        <v>47</v>
      </c>
      <c r="F137" s="20" t="s">
        <v>48</v>
      </c>
      <c r="G137" s="20" t="s">
        <v>49</v>
      </c>
      <c r="H137" s="20" t="s">
        <v>50</v>
      </c>
      <c r="I137" s="32" t="s">
        <v>13</v>
      </c>
      <c r="J137" s="210" t="s">
        <v>56</v>
      </c>
      <c r="K137" s="211" t="s">
        <v>13</v>
      </c>
      <c r="L137" s="212" t="s">
        <v>68</v>
      </c>
      <c r="M137" s="66" t="s">
        <v>56</v>
      </c>
      <c r="N137" s="20" t="s">
        <v>13</v>
      </c>
      <c r="O137" s="32" t="s">
        <v>68</v>
      </c>
      <c r="P137" s="210" t="s">
        <v>56</v>
      </c>
      <c r="Q137" s="211" t="s">
        <v>13</v>
      </c>
      <c r="R137" s="212" t="s">
        <v>68</v>
      </c>
      <c r="S137" s="95"/>
      <c r="T137" s="108"/>
      <c r="U137" s="421"/>
    </row>
    <row r="138" spans="1:21" x14ac:dyDescent="0.25">
      <c r="A138" s="510"/>
      <c r="B138" s="985" t="s">
        <v>350</v>
      </c>
      <c r="C138" s="18">
        <v>0</v>
      </c>
      <c r="D138" s="18">
        <v>0</v>
      </c>
      <c r="E138" s="18">
        <v>0</v>
      </c>
      <c r="F138" s="18">
        <v>9</v>
      </c>
      <c r="G138" s="18">
        <v>9</v>
      </c>
      <c r="H138" s="18">
        <v>0</v>
      </c>
      <c r="I138" s="45">
        <f t="shared" ref="I138:I145" si="43">SUM(C138:H138)</f>
        <v>18</v>
      </c>
      <c r="J138" s="825">
        <f>$I138</f>
        <v>18</v>
      </c>
      <c r="K138" s="231">
        <f>J138*$O$3</f>
        <v>7470</v>
      </c>
      <c r="L138" s="239">
        <f t="shared" si="35"/>
        <v>7470</v>
      </c>
      <c r="M138" s="830">
        <f>$I138</f>
        <v>18</v>
      </c>
      <c r="N138" s="58">
        <f>M138*$O$3</f>
        <v>7470</v>
      </c>
      <c r="O138" s="57">
        <f t="shared" si="36"/>
        <v>7470</v>
      </c>
      <c r="P138" s="648">
        <f>$I138</f>
        <v>18</v>
      </c>
      <c r="Q138" s="231">
        <f>P138*$O$3</f>
        <v>7470</v>
      </c>
      <c r="R138" s="239">
        <f t="shared" si="37"/>
        <v>7470</v>
      </c>
      <c r="S138" s="96">
        <f t="shared" ref="S138:S147" si="44">AVERAGE(L138,O138,R138)</f>
        <v>7470</v>
      </c>
      <c r="T138" s="34" t="s">
        <v>12</v>
      </c>
      <c r="U138" s="185" t="s">
        <v>12</v>
      </c>
    </row>
    <row r="139" spans="1:21" s="1" customFormat="1" ht="13.5" thickBot="1" x14ac:dyDescent="0.35">
      <c r="A139" s="511"/>
      <c r="B139" s="984" t="s">
        <v>8</v>
      </c>
      <c r="C139" s="310">
        <f>ROUND(C138*Labor!$D$3,0)</f>
        <v>0</v>
      </c>
      <c r="D139" s="310">
        <f>ROUND(D138*Labor!$D$4,0)</f>
        <v>0</v>
      </c>
      <c r="E139" s="310">
        <f>ROUND(E138*Labor!$D$5,0)</f>
        <v>0</v>
      </c>
      <c r="F139" s="310">
        <f>ROUND(F138*Labor!$D$6,0)</f>
        <v>248</v>
      </c>
      <c r="G139" s="310">
        <f>ROUND(G138*Labor!$D$7,0)</f>
        <v>282</v>
      </c>
      <c r="H139" s="310">
        <f>ROUND(H138*Labor!$D$8,0)</f>
        <v>0</v>
      </c>
      <c r="I139" s="167">
        <f t="shared" si="43"/>
        <v>530</v>
      </c>
      <c r="J139" s="284">
        <f>HLOOKUP(K$10,InflationTable,2)/HLOOKUP(Labor!$B$11,InflationTable,2)*$I139</f>
        <v>1133.7965397923874</v>
      </c>
      <c r="K139" s="245">
        <f>J139*$O$3</f>
        <v>470525.56401384081</v>
      </c>
      <c r="L139" s="246">
        <f t="shared" si="35"/>
        <v>470525.56401384081</v>
      </c>
      <c r="M139" s="169">
        <f>HLOOKUP(N$10,InflationTable,2)/HLOOKUP(Labor!$B$11,InflationTable,2)*$I139</f>
        <v>1179.1484013840832</v>
      </c>
      <c r="N139" s="166">
        <f>M139*$O$3</f>
        <v>489346.58657439449</v>
      </c>
      <c r="O139" s="167">
        <f t="shared" si="36"/>
        <v>489346.58657439449</v>
      </c>
      <c r="P139" s="284">
        <f>HLOOKUP(Q$10,InflationTable,2)/HLOOKUP(Labor!$B$11,InflationTable,2)*$I139</f>
        <v>1202.7313694117645</v>
      </c>
      <c r="Q139" s="245">
        <f>P139*$O$3</f>
        <v>499133.51830588229</v>
      </c>
      <c r="R139" s="246">
        <f t="shared" si="37"/>
        <v>499133.51830588229</v>
      </c>
      <c r="S139" s="169">
        <f t="shared" si="44"/>
        <v>486335.2229647059</v>
      </c>
      <c r="T139" s="323" t="s">
        <v>12</v>
      </c>
      <c r="U139" s="183" t="s">
        <v>12</v>
      </c>
    </row>
    <row r="140" spans="1:21" x14ac:dyDescent="0.25">
      <c r="A140" s="510"/>
      <c r="B140" s="983" t="s">
        <v>351</v>
      </c>
      <c r="C140" s="18">
        <v>0</v>
      </c>
      <c r="D140" s="18">
        <v>0</v>
      </c>
      <c r="E140" s="18">
        <v>0</v>
      </c>
      <c r="F140" s="18">
        <v>1</v>
      </c>
      <c r="G140" s="18">
        <v>1</v>
      </c>
      <c r="H140" s="18">
        <v>0</v>
      </c>
      <c r="I140" s="45">
        <f t="shared" si="43"/>
        <v>2</v>
      </c>
      <c r="J140" s="825">
        <f>$I140</f>
        <v>2</v>
      </c>
      <c r="K140" s="231">
        <f>J140*($O$4+$O$5)</f>
        <v>146.80000000000001</v>
      </c>
      <c r="L140" s="239">
        <f t="shared" si="35"/>
        <v>146.80000000000001</v>
      </c>
      <c r="M140" s="830">
        <f>$I140</f>
        <v>2</v>
      </c>
      <c r="N140" s="58">
        <f>M140*($O$4+$O$5)</f>
        <v>146.80000000000001</v>
      </c>
      <c r="O140" s="57">
        <f t="shared" si="36"/>
        <v>146.80000000000001</v>
      </c>
      <c r="P140" s="648">
        <f>$I140</f>
        <v>2</v>
      </c>
      <c r="Q140" s="231">
        <f>P140*($O$4+$O$5)</f>
        <v>146.80000000000001</v>
      </c>
      <c r="R140" s="239">
        <f t="shared" si="37"/>
        <v>146.80000000000001</v>
      </c>
      <c r="S140" s="96">
        <f t="shared" si="44"/>
        <v>146.80000000000001</v>
      </c>
      <c r="T140" s="34" t="s">
        <v>12</v>
      </c>
      <c r="U140" s="185" t="s">
        <v>12</v>
      </c>
    </row>
    <row r="141" spans="1:21" s="1" customFormat="1" ht="13.5" thickBot="1" x14ac:dyDescent="0.35">
      <c r="A141" s="511"/>
      <c r="B141" s="984" t="s">
        <v>8</v>
      </c>
      <c r="C141" s="310">
        <f>ROUND(C140*Labor!$D$3,0)</f>
        <v>0</v>
      </c>
      <c r="D141" s="310">
        <f>ROUND(D140*Labor!$D$4,0)</f>
        <v>0</v>
      </c>
      <c r="E141" s="310">
        <f>ROUND(E140*Labor!$D$5,0)</f>
        <v>0</v>
      </c>
      <c r="F141" s="310">
        <f>ROUND(F140*Labor!$D$6,0)</f>
        <v>28</v>
      </c>
      <c r="G141" s="310">
        <f>ROUND(G140*Labor!$D$7,0)</f>
        <v>31</v>
      </c>
      <c r="H141" s="310">
        <f>ROUND(H140*Labor!$D$8,0)</f>
        <v>0</v>
      </c>
      <c r="I141" s="167">
        <f t="shared" si="43"/>
        <v>59</v>
      </c>
      <c r="J141" s="284">
        <f>HLOOKUP(K$10,InflationTable,2)/HLOOKUP(Labor!$B$11,InflationTable,2)*$I141</f>
        <v>126.2150865051903</v>
      </c>
      <c r="K141" s="245">
        <f>J141*($O$4+$O$5)</f>
        <v>9264.1873494809679</v>
      </c>
      <c r="L141" s="246">
        <f t="shared" si="35"/>
        <v>9264.1873494809679</v>
      </c>
      <c r="M141" s="169">
        <f>HLOOKUP(N$10,InflationTable,2)/HLOOKUP(Labor!$B$11,InflationTable,2)*$I141</f>
        <v>131.26368996539793</v>
      </c>
      <c r="N141" s="166">
        <f>M141*($O$4+$O$5)</f>
        <v>9634.7548434602086</v>
      </c>
      <c r="O141" s="167">
        <f t="shared" si="36"/>
        <v>9634.7548434602086</v>
      </c>
      <c r="P141" s="284">
        <f>HLOOKUP(Q$10,InflationTable,2)/HLOOKUP(Labor!$B$11,InflationTable,2)*$I141</f>
        <v>133.88896376470586</v>
      </c>
      <c r="Q141" s="245">
        <f>P141*($O$4+$O$5)</f>
        <v>9827.4499403294103</v>
      </c>
      <c r="R141" s="246">
        <f t="shared" si="37"/>
        <v>9827.4499403294103</v>
      </c>
      <c r="S141" s="169">
        <f t="shared" si="44"/>
        <v>9575.4640444235283</v>
      </c>
      <c r="T141" s="323" t="s">
        <v>12</v>
      </c>
      <c r="U141" s="183" t="s">
        <v>12</v>
      </c>
    </row>
    <row r="142" spans="1:21" x14ac:dyDescent="0.25">
      <c r="A142" s="510"/>
      <c r="B142" s="985" t="s">
        <v>353</v>
      </c>
      <c r="C142" s="18">
        <v>0</v>
      </c>
      <c r="D142" s="18">
        <v>0</v>
      </c>
      <c r="E142" s="18">
        <v>0</v>
      </c>
      <c r="F142" s="18">
        <v>9</v>
      </c>
      <c r="G142" s="18">
        <v>9</v>
      </c>
      <c r="H142" s="18">
        <v>0</v>
      </c>
      <c r="I142" s="45">
        <f t="shared" si="43"/>
        <v>18</v>
      </c>
      <c r="J142" s="825">
        <f>$I142</f>
        <v>18</v>
      </c>
      <c r="K142" s="231">
        <f>J142*$L$6</f>
        <v>0</v>
      </c>
      <c r="L142" s="239">
        <f t="shared" si="35"/>
        <v>0</v>
      </c>
      <c r="M142" s="830">
        <f>$I142</f>
        <v>18</v>
      </c>
      <c r="N142" s="58">
        <f>M142*$L$6</f>
        <v>0</v>
      </c>
      <c r="O142" s="57">
        <f t="shared" si="36"/>
        <v>0</v>
      </c>
      <c r="P142" s="648">
        <f>$I142</f>
        <v>18</v>
      </c>
      <c r="Q142" s="231">
        <f>P142*$L$6</f>
        <v>0</v>
      </c>
      <c r="R142" s="239">
        <f t="shared" si="37"/>
        <v>0</v>
      </c>
      <c r="S142" s="96">
        <f t="shared" si="44"/>
        <v>0</v>
      </c>
      <c r="T142" s="34" t="s">
        <v>12</v>
      </c>
      <c r="U142" s="185" t="s">
        <v>12</v>
      </c>
    </row>
    <row r="143" spans="1:21" s="1" customFormat="1" ht="13.5" thickBot="1" x14ac:dyDescent="0.35">
      <c r="A143" s="511"/>
      <c r="B143" s="984" t="s">
        <v>8</v>
      </c>
      <c r="C143" s="310">
        <f>ROUND(C142*Labor!$D$3,0)</f>
        <v>0</v>
      </c>
      <c r="D143" s="310">
        <f>ROUND(D142*Labor!$D$4,0)</f>
        <v>0</v>
      </c>
      <c r="E143" s="310">
        <f>ROUND(E142*Labor!$D$5,0)</f>
        <v>0</v>
      </c>
      <c r="F143" s="310">
        <f>ROUND(F142*Labor!$D$6,0)</f>
        <v>248</v>
      </c>
      <c r="G143" s="310">
        <f>ROUND(G142*Labor!$D$7,0)</f>
        <v>282</v>
      </c>
      <c r="H143" s="310">
        <f>ROUND(H142*Labor!$D$8,0)</f>
        <v>0</v>
      </c>
      <c r="I143" s="167">
        <f t="shared" si="43"/>
        <v>530</v>
      </c>
      <c r="J143" s="284">
        <f>HLOOKUP(K$10,InflationTable,2)/HLOOKUP(Labor!$B$11,InflationTable,2)*$I143</f>
        <v>1133.7965397923874</v>
      </c>
      <c r="K143" s="245">
        <f>J143*$L$6</f>
        <v>0</v>
      </c>
      <c r="L143" s="246">
        <f t="shared" si="35"/>
        <v>0</v>
      </c>
      <c r="M143" s="169">
        <f>HLOOKUP(N$10,InflationTable,2)/HLOOKUP(Labor!$B$11,InflationTable,2)*$I143</f>
        <v>1179.1484013840832</v>
      </c>
      <c r="N143" s="166">
        <f>M143*$L$6</f>
        <v>0</v>
      </c>
      <c r="O143" s="167">
        <f t="shared" si="36"/>
        <v>0</v>
      </c>
      <c r="P143" s="284">
        <f>HLOOKUP(Q$10,InflationTable,2)/HLOOKUP(Labor!$B$11,InflationTable,2)*$I143</f>
        <v>1202.7313694117645</v>
      </c>
      <c r="Q143" s="245">
        <f>P143*$L$6</f>
        <v>0</v>
      </c>
      <c r="R143" s="246">
        <f t="shared" si="37"/>
        <v>0</v>
      </c>
      <c r="S143" s="169">
        <f t="shared" si="44"/>
        <v>0</v>
      </c>
      <c r="T143" s="323" t="s">
        <v>12</v>
      </c>
      <c r="U143" s="183" t="s">
        <v>12</v>
      </c>
    </row>
    <row r="144" spans="1:21" x14ac:dyDescent="0.25">
      <c r="A144" s="510"/>
      <c r="B144" s="985" t="s">
        <v>352</v>
      </c>
      <c r="C144" s="18">
        <v>0</v>
      </c>
      <c r="D144" s="18">
        <v>0</v>
      </c>
      <c r="E144" s="18">
        <v>0</v>
      </c>
      <c r="F144" s="18">
        <v>3</v>
      </c>
      <c r="G144" s="18">
        <v>2</v>
      </c>
      <c r="H144" s="18">
        <v>0</v>
      </c>
      <c r="I144" s="45">
        <f t="shared" si="43"/>
        <v>5</v>
      </c>
      <c r="J144" s="825">
        <f>$I144</f>
        <v>5</v>
      </c>
      <c r="K144" s="231">
        <f>J144*$O$6</f>
        <v>3735</v>
      </c>
      <c r="L144" s="239">
        <f t="shared" si="35"/>
        <v>3735</v>
      </c>
      <c r="M144" s="830">
        <f>$I144</f>
        <v>5</v>
      </c>
      <c r="N144" s="58">
        <f>M144*$O$6</f>
        <v>3735</v>
      </c>
      <c r="O144" s="57">
        <f t="shared" si="36"/>
        <v>3735</v>
      </c>
      <c r="P144" s="648">
        <f>$I144</f>
        <v>5</v>
      </c>
      <c r="Q144" s="231">
        <f>P144*$O$6</f>
        <v>3735</v>
      </c>
      <c r="R144" s="239">
        <f t="shared" si="37"/>
        <v>3735</v>
      </c>
      <c r="S144" s="96">
        <f t="shared" si="44"/>
        <v>3735</v>
      </c>
      <c r="T144" s="34" t="s">
        <v>12</v>
      </c>
      <c r="U144" s="185" t="s">
        <v>12</v>
      </c>
    </row>
    <row r="145" spans="1:21" s="1" customFormat="1" ht="13.5" thickBot="1" x14ac:dyDescent="0.35">
      <c r="A145" s="511"/>
      <c r="B145" s="507" t="s">
        <v>8</v>
      </c>
      <c r="C145" s="310">
        <f>ROUND(C144*Labor!$D$3,0)</f>
        <v>0</v>
      </c>
      <c r="D145" s="310">
        <f>ROUND(D144*Labor!$D$4,0)</f>
        <v>0</v>
      </c>
      <c r="E145" s="310">
        <f>ROUND(E144*Labor!$D$5,0)</f>
        <v>0</v>
      </c>
      <c r="F145" s="310">
        <f>ROUND(F144*Labor!$D$6,0)</f>
        <v>83</v>
      </c>
      <c r="G145" s="310">
        <f>ROUND(G144*Labor!$D$7,0)</f>
        <v>63</v>
      </c>
      <c r="H145" s="310">
        <f>ROUND(H144*Labor!$D$8,0)</f>
        <v>0</v>
      </c>
      <c r="I145" s="167">
        <f t="shared" si="43"/>
        <v>146</v>
      </c>
      <c r="J145" s="284">
        <f>HLOOKUP(K$10,InflationTable,2)/HLOOKUP(Labor!$B$11,InflationTable,2)*$I145</f>
        <v>312.32885813148789</v>
      </c>
      <c r="K145" s="245">
        <f>J145*$O$6</f>
        <v>233309.65702422147</v>
      </c>
      <c r="L145" s="246">
        <f t="shared" si="35"/>
        <v>233309.65702422147</v>
      </c>
      <c r="M145" s="169">
        <f>HLOOKUP(N$10,InflationTable,2)/HLOOKUP(Labor!$B$11,InflationTable,2)*$I145</f>
        <v>324.82201245674742</v>
      </c>
      <c r="N145" s="166">
        <f>M145*$O$6</f>
        <v>242642.04330519031</v>
      </c>
      <c r="O145" s="167">
        <f t="shared" si="36"/>
        <v>242642.04330519031</v>
      </c>
      <c r="P145" s="284">
        <f>HLOOKUP(Q$10,InflationTable,2)/HLOOKUP(Labor!$B$11,InflationTable,2)*$I145</f>
        <v>331.31845270588229</v>
      </c>
      <c r="Q145" s="245">
        <f>P145*$O$6</f>
        <v>247494.88417129408</v>
      </c>
      <c r="R145" s="246">
        <f t="shared" si="37"/>
        <v>247494.88417129408</v>
      </c>
      <c r="S145" s="169">
        <f t="shared" si="44"/>
        <v>241148.86150023527</v>
      </c>
      <c r="T145" s="323" t="s">
        <v>12</v>
      </c>
      <c r="U145" s="183" t="s">
        <v>12</v>
      </c>
    </row>
    <row r="146" spans="1:21" ht="13" x14ac:dyDescent="0.3">
      <c r="B146" s="1103" t="s">
        <v>376</v>
      </c>
      <c r="C146" s="1100">
        <v>0</v>
      </c>
      <c r="D146" s="1100">
        <v>0.25</v>
      </c>
      <c r="E146" s="1100">
        <v>0</v>
      </c>
      <c r="F146" s="1100">
        <v>0</v>
      </c>
      <c r="G146" s="1100">
        <v>0</v>
      </c>
      <c r="H146" s="1100">
        <v>0</v>
      </c>
      <c r="I146" s="291">
        <f t="shared" ref="I146:I147" si="45">SUM(C146:H146)</f>
        <v>0.25</v>
      </c>
      <c r="J146" s="242">
        <f>I146</f>
        <v>0.25</v>
      </c>
      <c r="K146" s="273">
        <f>J146*(SUM($O$3:$O$7)+SUM($P$3:$P$6))</f>
        <v>360.46500000000003</v>
      </c>
      <c r="L146" s="274">
        <f t="shared" si="35"/>
        <v>360.46500000000003</v>
      </c>
      <c r="M146" s="53">
        <f>I146</f>
        <v>0.25</v>
      </c>
      <c r="N146" s="147">
        <f>M146*(SUM($O$3:$O$7)+SUM($P$3:$P$6))</f>
        <v>360.46500000000003</v>
      </c>
      <c r="O146" s="148">
        <f t="shared" si="36"/>
        <v>360.46500000000003</v>
      </c>
      <c r="P146" s="242">
        <f>I146</f>
        <v>0.25</v>
      </c>
      <c r="Q146" s="273">
        <f>P146*(SUM($O$3:$O$7)+SUM($P$3:$P$6))</f>
        <v>360.46500000000003</v>
      </c>
      <c r="R146" s="274">
        <f t="shared" si="37"/>
        <v>360.46500000000003</v>
      </c>
      <c r="S146" s="104">
        <f t="shared" si="44"/>
        <v>360.46499999999997</v>
      </c>
      <c r="T146" s="42" t="s">
        <v>12</v>
      </c>
      <c r="U146" s="119" t="s">
        <v>12</v>
      </c>
    </row>
    <row r="147" spans="1:21" ht="13.5" thickBot="1" x14ac:dyDescent="0.35">
      <c r="B147" s="465" t="s">
        <v>8</v>
      </c>
      <c r="C147" s="1097">
        <f>ROUND(C146*Labor!$D$3,0)</f>
        <v>0</v>
      </c>
      <c r="D147" s="1097">
        <f>ROUND(D146*Labor!$D$3,0)</f>
        <v>6</v>
      </c>
      <c r="E147" s="1097">
        <f>ROUND(E146*Labor!$D$3,0)</f>
        <v>0</v>
      </c>
      <c r="F147" s="1097">
        <f>ROUND(F146*Labor!$D$3,0)</f>
        <v>0</v>
      </c>
      <c r="G147" s="1097">
        <f>ROUND(G146*Labor!$D$3,0)</f>
        <v>0</v>
      </c>
      <c r="H147" s="1097">
        <f>ROUND(H146*Labor!$D$3,0)</f>
        <v>0</v>
      </c>
      <c r="I147" s="1094">
        <f t="shared" si="45"/>
        <v>6</v>
      </c>
      <c r="J147" s="284">
        <f>HLOOKUP(K$10,InflationTable,2)/HLOOKUP(Labor!$B$11,InflationTable,2)*$I147</f>
        <v>12.835432525951557</v>
      </c>
      <c r="K147" s="245">
        <f>K146*J147</f>
        <v>4626.7241854671283</v>
      </c>
      <c r="L147" s="246">
        <f t="shared" si="35"/>
        <v>4626.7241854671283</v>
      </c>
      <c r="M147" s="169">
        <f>HLOOKUP(N$10,InflationTable,2)/HLOOKUP(Labor!$B$11,InflationTable,2)*$I147</f>
        <v>13.348849826989621</v>
      </c>
      <c r="N147" s="166">
        <f>N146*M147</f>
        <v>4811.7931528858144</v>
      </c>
      <c r="O147" s="167">
        <f t="shared" si="36"/>
        <v>4811.7931528858144</v>
      </c>
      <c r="P147" s="284">
        <f>HLOOKUP(Q$10,InflationTable,2)/HLOOKUP(Labor!$B$11,InflationTable,2)*$I147</f>
        <v>13.61582682352941</v>
      </c>
      <c r="Q147" s="245">
        <f>Q146*P147</f>
        <v>4908.029015943529</v>
      </c>
      <c r="R147" s="246">
        <f t="shared" si="37"/>
        <v>4908.029015943529</v>
      </c>
      <c r="S147" s="169">
        <f t="shared" si="44"/>
        <v>4782.1821180988236</v>
      </c>
      <c r="T147" s="110" t="s">
        <v>12</v>
      </c>
      <c r="U147" s="115" t="s">
        <v>12</v>
      </c>
    </row>
    <row r="148" spans="1:21" ht="13" x14ac:dyDescent="0.3">
      <c r="A148" s="510"/>
      <c r="B148" s="501" t="s">
        <v>66</v>
      </c>
      <c r="C148" s="28">
        <f>C111+C113+C115+C117+C120+C122+C124+C126+C129+C131+C133+C135+C138+C140+C142+C144+C146</f>
        <v>0</v>
      </c>
      <c r="D148" s="28">
        <f t="shared" ref="D148:I148" si="46">D111+D113+D115+D117+D120+D122+D124+D126+D129+D131+D133+D135+D138+D140+D142+D144+D146</f>
        <v>64.25</v>
      </c>
      <c r="E148" s="28">
        <f t="shared" si="46"/>
        <v>176.5</v>
      </c>
      <c r="F148" s="28">
        <f t="shared" si="46"/>
        <v>139</v>
      </c>
      <c r="G148" s="28">
        <f t="shared" si="46"/>
        <v>86</v>
      </c>
      <c r="H148" s="28">
        <f t="shared" si="46"/>
        <v>1</v>
      </c>
      <c r="I148" s="28">
        <f t="shared" si="46"/>
        <v>466.75</v>
      </c>
      <c r="J148" s="235">
        <f t="shared" ref="J148:P148" si="47">J111+J113+J115+J117+J120+J122+J124+J126+J129+J131+J133+J135+J138+J140+J142+J144+J146</f>
        <v>466.75</v>
      </c>
      <c r="K148" s="235">
        <f t="shared" si="47"/>
        <v>113351.36500000001</v>
      </c>
      <c r="L148" s="235">
        <f t="shared" si="47"/>
        <v>113351.36500000001</v>
      </c>
      <c r="M148" s="28">
        <f t="shared" si="47"/>
        <v>466.75</v>
      </c>
      <c r="N148" s="28">
        <f t="shared" si="47"/>
        <v>113351.36500000001</v>
      </c>
      <c r="O148" s="28">
        <f t="shared" si="47"/>
        <v>113351.36500000001</v>
      </c>
      <c r="P148" s="235">
        <f t="shared" si="47"/>
        <v>466.75</v>
      </c>
      <c r="Q148" s="235">
        <f t="shared" ref="Q148:R148" si="48">Q111+Q113+Q115+Q117+Q120+Q122+Q124+Q126+Q129+Q131+Q133+Q135+Q138+Q140+Q142+Q144+Q146</f>
        <v>113351.36500000001</v>
      </c>
      <c r="R148" s="235">
        <f t="shared" si="48"/>
        <v>113351.36500000001</v>
      </c>
      <c r="S148" s="38">
        <f>S111+S113+S115+S117+S120+S122+S124+S126+S129+S131+S133+S135+S138+S140+S142+S144</f>
        <v>112990.90000000001</v>
      </c>
      <c r="T148" s="42" t="s">
        <v>12</v>
      </c>
      <c r="U148" s="185" t="s">
        <v>12</v>
      </c>
    </row>
    <row r="149" spans="1:21" ht="13.5" thickBot="1" x14ac:dyDescent="0.35">
      <c r="A149" s="510"/>
      <c r="B149" s="502" t="s">
        <v>67</v>
      </c>
      <c r="C149" s="593">
        <f>C112+C114+C116+C118+C121+C123+C125+C127+C130+C132+C134+C136+C139+C141+C143+C145+C147</f>
        <v>0</v>
      </c>
      <c r="D149" s="593">
        <f t="shared" ref="D149:I149" si="49">D112+D114+D116+D118+D121+D123+D125+D127+D130+D132+D134+D136+D139+D141+D143+D145+D147</f>
        <v>1556</v>
      </c>
      <c r="E149" s="593">
        <f t="shared" si="49"/>
        <v>4450</v>
      </c>
      <c r="F149" s="593">
        <f t="shared" si="49"/>
        <v>3831</v>
      </c>
      <c r="G149" s="593">
        <f t="shared" si="49"/>
        <v>2694</v>
      </c>
      <c r="H149" s="593">
        <f t="shared" si="49"/>
        <v>38</v>
      </c>
      <c r="I149" s="593">
        <f t="shared" si="49"/>
        <v>12569</v>
      </c>
      <c r="J149" s="225">
        <f>J112+J114+J116+J118+J121+J123+J125+J127+J130+J132+J134+J136+J139+J141+J143+J145+J147</f>
        <v>26888.091903114186</v>
      </c>
      <c r="K149" s="225">
        <f>K112+K114+K116+K118+K121+K123+K125+K127+K130+K132+K134+K136+K139+K141+K143+K145+K147</f>
        <v>6823570.0509674735</v>
      </c>
      <c r="L149" s="225">
        <f>L112+L114+L116+L118+L121+L123+L125+L127+L130+L132+L134+L136+L139+L141+L143+L145+L147</f>
        <v>6823570.0509674735</v>
      </c>
      <c r="M149" s="593">
        <f>M112+M114+M116+M118+M121+M123+M125+M127+M130+M132+M134+M136+M139+M141+M143+M145+M147</f>
        <v>27963.615579238754</v>
      </c>
      <c r="N149" s="593">
        <f t="shared" ref="N149" si="50">N112+N114+N116+N118+N121+N123+N125+N127+N130+N132+N134+N136+N139+N141+N143+N145+N147</f>
        <v>7096512.853006172</v>
      </c>
      <c r="O149" s="593">
        <f>O112+O114+O116+O118+O121+O123+O125+O127+O130+O132+O134+O136+O139+O141+O143+O145+O147</f>
        <v>7096512.853006172</v>
      </c>
      <c r="P149" s="225">
        <f>P112+P114+P116+P118+P121+P123+P125+P127+P130+P132+P134+P136+P139+P141+P143+P145+P147</f>
        <v>28522.887890823531</v>
      </c>
      <c r="Q149" s="225">
        <f>Q112+Q114+Q116+Q118+Q121+Q123+Q125+Q127+Q130+Q132+Q134+Q136+Q139+Q141+Q143+Q145+Q147</f>
        <v>7238443.1100662937</v>
      </c>
      <c r="R149" s="225">
        <f>R112+R114+R116+R118+R121+R123+R125+R127+R130+R132+R134+R136+R139+R141+R143+R145+R147</f>
        <v>7238443.1100662937</v>
      </c>
      <c r="S149" s="196">
        <f>S112+S114+S116+S118+S121+S123+S125+S127+S130+S132+S134+S136+S139+S141+S143+S145</f>
        <v>7048059.8225618815</v>
      </c>
      <c r="T149" s="203" t="s">
        <v>12</v>
      </c>
      <c r="U149" s="186" t="s">
        <v>12</v>
      </c>
    </row>
    <row r="150" spans="1:21" ht="13.5" thickTop="1" x14ac:dyDescent="0.3">
      <c r="B150" s="519"/>
      <c r="C150" s="516"/>
      <c r="D150" s="516"/>
      <c r="E150" s="516"/>
      <c r="F150" s="516"/>
      <c r="G150" s="516"/>
      <c r="H150" s="516"/>
      <c r="I150" s="517"/>
      <c r="J150" s="517"/>
      <c r="K150" s="517"/>
      <c r="L150" s="517"/>
      <c r="M150" s="517"/>
      <c r="N150" s="517"/>
      <c r="O150" s="517"/>
      <c r="P150" s="517"/>
      <c r="Q150" s="517"/>
      <c r="R150" s="517"/>
      <c r="S150" s="520"/>
      <c r="T150" s="521"/>
      <c r="U150" s="522"/>
    </row>
    <row r="151" spans="1:21" ht="13" thickBot="1" x14ac:dyDescent="0.3">
      <c r="B151" s="335"/>
      <c r="C151" s="335"/>
      <c r="D151" s="335"/>
      <c r="E151" s="335"/>
      <c r="F151" s="335"/>
      <c r="G151" s="335"/>
      <c r="H151" s="335"/>
      <c r="I151" s="335"/>
      <c r="J151" s="335"/>
      <c r="K151" s="335"/>
      <c r="L151" s="335"/>
      <c r="M151" s="335"/>
      <c r="N151" s="335"/>
      <c r="O151" s="335"/>
      <c r="P151" s="335"/>
      <c r="Q151" s="335"/>
      <c r="R151" s="335"/>
      <c r="S151" s="335"/>
      <c r="T151" s="335"/>
      <c r="U151" s="335"/>
    </row>
    <row r="152" spans="1:21" ht="27.5" thickTop="1" thickBot="1" x14ac:dyDescent="0.4">
      <c r="A152" s="510"/>
      <c r="B152" s="508" t="s">
        <v>28</v>
      </c>
      <c r="E152" s="775"/>
      <c r="F152" s="1" t="s">
        <v>6</v>
      </c>
      <c r="G152" s="1160"/>
      <c r="H152" s="1161"/>
      <c r="I152" s="1162"/>
      <c r="J152" s="2" t="s">
        <v>28</v>
      </c>
      <c r="L152" s="31"/>
      <c r="M152" s="2" t="s">
        <v>28</v>
      </c>
      <c r="O152" s="31"/>
      <c r="P152" s="2" t="s">
        <v>28</v>
      </c>
      <c r="R152" s="31"/>
      <c r="S152" s="448" t="s">
        <v>17</v>
      </c>
      <c r="T152" s="449" t="s">
        <v>103</v>
      </c>
      <c r="U152" s="970" t="s">
        <v>79</v>
      </c>
    </row>
    <row r="153" spans="1:21" ht="13" x14ac:dyDescent="0.3">
      <c r="A153" s="510"/>
      <c r="C153" s="61"/>
      <c r="D153" s="349" t="s">
        <v>54</v>
      </c>
      <c r="E153" s="59">
        <v>7</v>
      </c>
      <c r="I153" s="37"/>
      <c r="J153" s="50" t="s">
        <v>61</v>
      </c>
      <c r="K153" s="1177" t="s">
        <v>57</v>
      </c>
      <c r="L153" s="1178"/>
      <c r="M153" s="50" t="s">
        <v>61</v>
      </c>
      <c r="N153" s="1177" t="s">
        <v>57</v>
      </c>
      <c r="O153" s="1181"/>
      <c r="P153" s="95" t="s">
        <v>61</v>
      </c>
      <c r="Q153" s="1177" t="s">
        <v>57</v>
      </c>
      <c r="R153" s="1178"/>
      <c r="S153" s="139"/>
      <c r="T153" s="108"/>
      <c r="U153" s="182"/>
    </row>
    <row r="154" spans="1:21" ht="13" x14ac:dyDescent="0.3">
      <c r="A154" s="510"/>
      <c r="B154" s="501"/>
      <c r="C154" s="20" t="s">
        <v>60</v>
      </c>
      <c r="D154" s="20" t="s">
        <v>62</v>
      </c>
      <c r="E154" s="689"/>
      <c r="F154" s="326"/>
      <c r="G154" s="326"/>
      <c r="H154" s="326"/>
      <c r="I154" s="118"/>
      <c r="J154" s="66" t="s">
        <v>56</v>
      </c>
      <c r="K154" s="20" t="s">
        <v>13</v>
      </c>
      <c r="L154" s="32" t="s">
        <v>68</v>
      </c>
      <c r="M154" s="66" t="s">
        <v>56</v>
      </c>
      <c r="N154" s="20" t="s">
        <v>13</v>
      </c>
      <c r="O154" s="32" t="s">
        <v>68</v>
      </c>
      <c r="P154" s="66" t="s">
        <v>56</v>
      </c>
      <c r="Q154" s="20" t="s">
        <v>13</v>
      </c>
      <c r="R154" s="32" t="s">
        <v>68</v>
      </c>
      <c r="S154" s="95"/>
      <c r="T154" s="108"/>
      <c r="U154" s="182"/>
    </row>
    <row r="155" spans="1:21" ht="13.5" thickBot="1" x14ac:dyDescent="0.35">
      <c r="A155" s="510"/>
      <c r="B155" s="988" t="str">
        <f>VLOOKUP(C$2,Monitor_Costs,34,FALSE)</f>
        <v>Filter-based calibration kit</v>
      </c>
      <c r="C155" s="317">
        <f>VLOOKUP(C$2,Monitor_Costs,35,FALSE)</f>
        <v>120</v>
      </c>
      <c r="D155" s="20">
        <f>VLOOKUP(C$2,Monitor_Costs,36,FALSE)</f>
        <v>2019</v>
      </c>
      <c r="E155" s="63"/>
      <c r="F155" s="64"/>
      <c r="G155" s="65"/>
      <c r="H155" s="65"/>
      <c r="I155" s="711"/>
      <c r="J155" s="297">
        <f>HLOOKUP(K$10,InflationTable,2)/HLOOKUP($D155,InflationTable,2)*$C155</f>
        <v>145.07000391083301</v>
      </c>
      <c r="K155" s="295">
        <f>J155*$L$7</f>
        <v>64411.081736409855</v>
      </c>
      <c r="L155" s="256">
        <f>K155/$E$153*0.2</f>
        <v>1840.3166210402815</v>
      </c>
      <c r="M155" s="84">
        <f>HLOOKUP(N$10,InflationTable,2)/HLOOKUP($D155,InflationTable,2)*$C155</f>
        <v>150.87280406726632</v>
      </c>
      <c r="N155" s="84">
        <f>M155*$L$7</f>
        <v>66987.52500586625</v>
      </c>
      <c r="O155" s="77">
        <f>N155/$E$153*0.2</f>
        <v>1913.9292858818928</v>
      </c>
      <c r="P155" s="295">
        <f>HLOOKUP(Q$10,InflationTable,2)/HLOOKUP($D155,InflationTable,2)*$C155</f>
        <v>153.89026014861165</v>
      </c>
      <c r="Q155" s="295">
        <f>P155*$L$7</f>
        <v>68327.275505983576</v>
      </c>
      <c r="R155" s="256">
        <f>Q155/$E$153*0.2</f>
        <v>1952.2078715995308</v>
      </c>
      <c r="S155" s="298" t="s">
        <v>12</v>
      </c>
      <c r="T155" s="758" t="s">
        <v>12</v>
      </c>
      <c r="U155" s="969">
        <f>AVERAGE(L155,O155,R155)</f>
        <v>1902.1512595072352</v>
      </c>
    </row>
    <row r="156" spans="1:21" ht="13.5" thickBot="1" x14ac:dyDescent="0.35">
      <c r="A156" s="510"/>
      <c r="B156" s="989" t="str">
        <f>VLOOKUP(C$2,Monitor_Costs,37,FALSE)</f>
        <v>Continuous calibration kit</v>
      </c>
      <c r="C156" s="166">
        <f>VLOOKUP(C$2,Monitor_Costs,38,FALSE)</f>
        <v>75</v>
      </c>
      <c r="D156" s="310">
        <f>VLOOKUP(C$2,Monitor_Costs,39,FALSE)</f>
        <v>2019</v>
      </c>
      <c r="E156" s="534"/>
      <c r="F156" s="9"/>
      <c r="G156" s="3"/>
      <c r="H156" s="3"/>
      <c r="I156" s="35"/>
      <c r="J156" s="1155">
        <f>HLOOKUP(K$10,InflationTable,2)/HLOOKUP($D156,InflationTable,2)*$C156</f>
        <v>90.668752444270638</v>
      </c>
      <c r="K156" s="907">
        <f>J156*$O$6</f>
        <v>67729.558075870169</v>
      </c>
      <c r="L156" s="908">
        <f>K156/$E$153*0.2</f>
        <v>1935.1302307391479</v>
      </c>
      <c r="M156" s="535">
        <f>HLOOKUP(N$10,InflationTable,2)/HLOOKUP($D156,InflationTable,2)*$C156</f>
        <v>94.295502542041447</v>
      </c>
      <c r="N156" s="535">
        <f>M156*$O$6</f>
        <v>70438.740398904964</v>
      </c>
      <c r="O156" s="307">
        <f>N156/$E$153*0.2</f>
        <v>2012.5354399687135</v>
      </c>
      <c r="P156" s="907">
        <f>HLOOKUP(Q$10,InflationTable,2)/HLOOKUP($D156,InflationTable,2)*$C156</f>
        <v>96.181412592882282</v>
      </c>
      <c r="Q156" s="907">
        <f>P156*$O$6</f>
        <v>71847.515206883065</v>
      </c>
      <c r="R156" s="908">
        <f>Q156/$E$153*0.2</f>
        <v>2052.7861487680875</v>
      </c>
      <c r="S156" s="298" t="s">
        <v>12</v>
      </c>
      <c r="T156" s="758" t="s">
        <v>12</v>
      </c>
      <c r="U156" s="969">
        <f>AVERAGE(L156,O156,R156)</f>
        <v>2000.1506064919831</v>
      </c>
    </row>
    <row r="157" spans="1:21" ht="13" x14ac:dyDescent="0.3">
      <c r="A157" s="510"/>
      <c r="B157" s="1"/>
      <c r="I157" s="32" t="s">
        <v>61</v>
      </c>
      <c r="J157" s="209" t="s">
        <v>61</v>
      </c>
      <c r="K157" s="1176" t="s">
        <v>57</v>
      </c>
      <c r="L157" s="1184"/>
      <c r="M157" s="130" t="s">
        <v>61</v>
      </c>
      <c r="N157" s="1179" t="s">
        <v>57</v>
      </c>
      <c r="O157" s="1193"/>
      <c r="P157" s="1154" t="s">
        <v>61</v>
      </c>
      <c r="Q157" s="1176" t="s">
        <v>57</v>
      </c>
      <c r="R157" s="1168"/>
      <c r="S157" s="95"/>
      <c r="T157" s="108"/>
      <c r="U157" s="182"/>
    </row>
    <row r="158" spans="1:21" ht="13" x14ac:dyDescent="0.3">
      <c r="A158" s="510"/>
      <c r="B158" s="497" t="s">
        <v>349</v>
      </c>
      <c r="C158" s="20" t="s">
        <v>45</v>
      </c>
      <c r="D158" s="20" t="s">
        <v>46</v>
      </c>
      <c r="E158" s="20" t="s">
        <v>47</v>
      </c>
      <c r="F158" s="20" t="s">
        <v>48</v>
      </c>
      <c r="G158" s="20" t="s">
        <v>49</v>
      </c>
      <c r="H158" s="20" t="s">
        <v>50</v>
      </c>
      <c r="I158" s="32" t="s">
        <v>13</v>
      </c>
      <c r="J158" s="210" t="s">
        <v>56</v>
      </c>
      <c r="K158" s="211" t="s">
        <v>13</v>
      </c>
      <c r="L158" s="212" t="s">
        <v>68</v>
      </c>
      <c r="M158" s="66" t="s">
        <v>56</v>
      </c>
      <c r="N158" s="20" t="s">
        <v>13</v>
      </c>
      <c r="O158" s="32" t="s">
        <v>68</v>
      </c>
      <c r="P158" s="210" t="s">
        <v>56</v>
      </c>
      <c r="Q158" s="211" t="s">
        <v>13</v>
      </c>
      <c r="R158" s="212" t="s">
        <v>68</v>
      </c>
      <c r="S158" s="95"/>
      <c r="T158" s="108"/>
      <c r="U158" s="182"/>
    </row>
    <row r="159" spans="1:21" x14ac:dyDescent="0.25">
      <c r="A159" s="510"/>
      <c r="B159" s="985" t="s">
        <v>350</v>
      </c>
      <c r="C159" s="18">
        <v>0</v>
      </c>
      <c r="D159" s="18">
        <v>2</v>
      </c>
      <c r="E159" s="18">
        <v>6</v>
      </c>
      <c r="F159" s="18">
        <v>2</v>
      </c>
      <c r="G159" s="18">
        <v>0</v>
      </c>
      <c r="H159" s="18">
        <v>0</v>
      </c>
      <c r="I159" s="45">
        <f t="shared" ref="I159:I166" si="51">SUM(C159:H159)</f>
        <v>10</v>
      </c>
      <c r="J159" s="648">
        <f>$I159</f>
        <v>10</v>
      </c>
      <c r="K159" s="231">
        <f>J159*$O$3</f>
        <v>4150</v>
      </c>
      <c r="L159" s="239">
        <f t="shared" ref="L159:L193" si="52">K159</f>
        <v>4150</v>
      </c>
      <c r="M159" s="824">
        <f>$I159</f>
        <v>10</v>
      </c>
      <c r="N159" s="58">
        <f>M159*$O$3</f>
        <v>4150</v>
      </c>
      <c r="O159" s="57">
        <f t="shared" ref="O159:O193" si="53">N159</f>
        <v>4150</v>
      </c>
      <c r="P159" s="648">
        <f>$I159</f>
        <v>10</v>
      </c>
      <c r="Q159" s="231">
        <f>P159*$O$3</f>
        <v>4150</v>
      </c>
      <c r="R159" s="239">
        <f t="shared" ref="R159:R193" si="54">Q159</f>
        <v>4150</v>
      </c>
      <c r="S159" s="96">
        <f t="shared" ref="S159:S166" si="55">AVERAGE(L159,O159,R159)</f>
        <v>4150</v>
      </c>
      <c r="T159" s="34" t="s">
        <v>12</v>
      </c>
      <c r="U159" s="185" t="s">
        <v>12</v>
      </c>
    </row>
    <row r="160" spans="1:21" s="1" customFormat="1" ht="13.5" thickBot="1" x14ac:dyDescent="0.35">
      <c r="A160" s="511"/>
      <c r="B160" s="507" t="s">
        <v>8</v>
      </c>
      <c r="C160" s="310">
        <f>ROUND(C159*Labor!$D$3,0)</f>
        <v>0</v>
      </c>
      <c r="D160" s="310">
        <f>ROUND(D159*Labor!$D$4,0)</f>
        <v>48</v>
      </c>
      <c r="E160" s="310">
        <f>ROUND(E159*Labor!$D$5,0)</f>
        <v>151</v>
      </c>
      <c r="F160" s="310">
        <f>ROUND(F159*Labor!$D$6,0)</f>
        <v>55</v>
      </c>
      <c r="G160" s="310">
        <f>ROUND(G159*Labor!$D$7,0)</f>
        <v>0</v>
      </c>
      <c r="H160" s="310">
        <f>ROUND(H159*Labor!$D$8,0)</f>
        <v>0</v>
      </c>
      <c r="I160" s="167">
        <f t="shared" si="51"/>
        <v>254</v>
      </c>
      <c r="J160" s="284">
        <f>HLOOKUP(K$10,InflationTable,2)/HLOOKUP(Labor!$B$11,InflationTable,2)*$I160</f>
        <v>543.36664359861584</v>
      </c>
      <c r="K160" s="245">
        <f>J160*$O$3</f>
        <v>225497.15709342557</v>
      </c>
      <c r="L160" s="246">
        <f t="shared" si="52"/>
        <v>225497.15709342557</v>
      </c>
      <c r="M160" s="169">
        <f>HLOOKUP(N$10,InflationTable,2)/HLOOKUP(Labor!$B$11,InflationTable,2)*$I160</f>
        <v>565.10130934256063</v>
      </c>
      <c r="N160" s="166">
        <f>M160*$O$3</f>
        <v>234517.04337716266</v>
      </c>
      <c r="O160" s="167">
        <f t="shared" si="53"/>
        <v>234517.04337716266</v>
      </c>
      <c r="P160" s="284">
        <f>HLOOKUP(Q$10,InflationTable,2)/HLOOKUP(Labor!$B$11,InflationTable,2)*$I160</f>
        <v>576.40333552941172</v>
      </c>
      <c r="Q160" s="245">
        <f>P160*$O$3</f>
        <v>239207.38424470587</v>
      </c>
      <c r="R160" s="246">
        <f t="shared" si="54"/>
        <v>239207.38424470587</v>
      </c>
      <c r="S160" s="169">
        <f t="shared" si="55"/>
        <v>233073.86157176469</v>
      </c>
      <c r="T160" s="323" t="s">
        <v>12</v>
      </c>
      <c r="U160" s="183" t="s">
        <v>12</v>
      </c>
    </row>
    <row r="161" spans="1:21" x14ac:dyDescent="0.25">
      <c r="A161" s="510"/>
      <c r="B161" s="983" t="s">
        <v>351</v>
      </c>
      <c r="C161" s="18">
        <v>0</v>
      </c>
      <c r="D161" s="18">
        <v>2</v>
      </c>
      <c r="E161" s="18">
        <v>6</v>
      </c>
      <c r="F161" s="18">
        <v>2</v>
      </c>
      <c r="G161" s="18">
        <v>0</v>
      </c>
      <c r="H161" s="18">
        <v>0</v>
      </c>
      <c r="I161" s="45">
        <f t="shared" si="51"/>
        <v>10</v>
      </c>
      <c r="J161" s="213">
        <f>$I$161</f>
        <v>10</v>
      </c>
      <c r="K161" s="231">
        <f>$I$161*($O$4+$O$5)</f>
        <v>734</v>
      </c>
      <c r="L161" s="239">
        <f t="shared" si="52"/>
        <v>734</v>
      </c>
      <c r="M161" s="51">
        <f>$I$161</f>
        <v>10</v>
      </c>
      <c r="N161" s="58">
        <f>$I$161*($O$4+$O$5)</f>
        <v>734</v>
      </c>
      <c r="O161" s="57">
        <f t="shared" si="53"/>
        <v>734</v>
      </c>
      <c r="P161" s="213">
        <f>$I$161</f>
        <v>10</v>
      </c>
      <c r="Q161" s="231">
        <f>$I$161*($O$4+$O$5)</f>
        <v>734</v>
      </c>
      <c r="R161" s="239">
        <f t="shared" si="54"/>
        <v>734</v>
      </c>
      <c r="S161" s="96">
        <f t="shared" si="55"/>
        <v>734</v>
      </c>
      <c r="T161" s="34" t="s">
        <v>12</v>
      </c>
      <c r="U161" s="185" t="s">
        <v>12</v>
      </c>
    </row>
    <row r="162" spans="1:21" s="1" customFormat="1" ht="13.5" thickBot="1" x14ac:dyDescent="0.35">
      <c r="A162" s="511"/>
      <c r="B162" s="984" t="s">
        <v>8</v>
      </c>
      <c r="C162" s="310">
        <f>ROUND(C161*Labor!$D$3,0)</f>
        <v>0</v>
      </c>
      <c r="D162" s="310">
        <f>ROUND(D161*Labor!$D$4,0)</f>
        <v>48</v>
      </c>
      <c r="E162" s="310">
        <f>ROUND(E161*Labor!$D$5,0)</f>
        <v>151</v>
      </c>
      <c r="F162" s="310">
        <f>ROUND(F161*Labor!$D$6,0)</f>
        <v>55</v>
      </c>
      <c r="G162" s="310">
        <f>ROUND(G161*Labor!$D$7,0)</f>
        <v>0</v>
      </c>
      <c r="H162" s="310">
        <f>ROUND(H161*Labor!$D$8,0)</f>
        <v>0</v>
      </c>
      <c r="I162" s="167">
        <f t="shared" si="51"/>
        <v>254</v>
      </c>
      <c r="J162" s="284">
        <f>HLOOKUP(K$10,InflationTable,2)/HLOOKUP(Labor!$B$11,InflationTable,2)*$I162</f>
        <v>543.36664359861584</v>
      </c>
      <c r="K162" s="245">
        <f>J162*($O$4+$O$5)</f>
        <v>39883.111640138406</v>
      </c>
      <c r="L162" s="246">
        <f t="shared" si="52"/>
        <v>39883.111640138406</v>
      </c>
      <c r="M162" s="169">
        <f>HLOOKUP(N$10,InflationTable,2)/HLOOKUP(Labor!$B$11,InflationTable,2)*$I162</f>
        <v>565.10130934256063</v>
      </c>
      <c r="N162" s="166">
        <f>M162*($O$4+$O$5)</f>
        <v>41478.436105743953</v>
      </c>
      <c r="O162" s="167">
        <f t="shared" si="53"/>
        <v>41478.436105743953</v>
      </c>
      <c r="P162" s="284">
        <f>HLOOKUP(Q$10,InflationTable,2)/HLOOKUP(Labor!$B$11,InflationTable,2)*$I162</f>
        <v>576.40333552941172</v>
      </c>
      <c r="Q162" s="245">
        <f>P162*($O$4+$O$5)</f>
        <v>42308.004827858822</v>
      </c>
      <c r="R162" s="246">
        <f t="shared" si="54"/>
        <v>42308.004827858822</v>
      </c>
      <c r="S162" s="169">
        <f t="shared" si="55"/>
        <v>41223.184191247063</v>
      </c>
      <c r="T162" s="323" t="s">
        <v>12</v>
      </c>
      <c r="U162" s="183" t="s">
        <v>12</v>
      </c>
    </row>
    <row r="163" spans="1:21" x14ac:dyDescent="0.25">
      <c r="A163" s="510"/>
      <c r="B163" s="985" t="s">
        <v>353</v>
      </c>
      <c r="C163" s="18">
        <v>0</v>
      </c>
      <c r="D163" s="18">
        <v>2</v>
      </c>
      <c r="E163" s="18">
        <v>6</v>
      </c>
      <c r="F163" s="18">
        <v>2</v>
      </c>
      <c r="G163" s="18">
        <v>0</v>
      </c>
      <c r="H163" s="18">
        <v>0</v>
      </c>
      <c r="I163" s="45">
        <f t="shared" si="51"/>
        <v>10</v>
      </c>
      <c r="J163" s="213">
        <f>$I$163</f>
        <v>10</v>
      </c>
      <c r="K163" s="231">
        <f>J163*$L$6</f>
        <v>0</v>
      </c>
      <c r="L163" s="239">
        <f t="shared" si="52"/>
        <v>0</v>
      </c>
      <c r="M163" s="51">
        <f>$I$163</f>
        <v>10</v>
      </c>
      <c r="N163" s="58">
        <f>M163*$L$6</f>
        <v>0</v>
      </c>
      <c r="O163" s="57">
        <f t="shared" si="53"/>
        <v>0</v>
      </c>
      <c r="P163" s="213">
        <f>$I$163</f>
        <v>10</v>
      </c>
      <c r="Q163" s="231">
        <f>P163*$L$6</f>
        <v>0</v>
      </c>
      <c r="R163" s="239">
        <f t="shared" si="54"/>
        <v>0</v>
      </c>
      <c r="S163" s="96">
        <f t="shared" si="55"/>
        <v>0</v>
      </c>
      <c r="T163" s="34" t="s">
        <v>12</v>
      </c>
      <c r="U163" s="185" t="s">
        <v>12</v>
      </c>
    </row>
    <row r="164" spans="1:21" s="1" customFormat="1" ht="13.5" thickBot="1" x14ac:dyDescent="0.35">
      <c r="A164" s="511"/>
      <c r="B164" s="507" t="s">
        <v>8</v>
      </c>
      <c r="C164" s="310">
        <f>ROUND(C163*Labor!$D$3,0)</f>
        <v>0</v>
      </c>
      <c r="D164" s="310">
        <f>ROUND(D163*Labor!$D$4,0)</f>
        <v>48</v>
      </c>
      <c r="E164" s="310">
        <f>ROUND(E163*Labor!$D$5,0)</f>
        <v>151</v>
      </c>
      <c r="F164" s="310">
        <f>ROUND(F163*Labor!$D$6,0)</f>
        <v>55</v>
      </c>
      <c r="G164" s="310">
        <f>ROUND(G163*Labor!$D$7,0)</f>
        <v>0</v>
      </c>
      <c r="H164" s="310">
        <f>ROUND(H163*Labor!$D$8,0)</f>
        <v>0</v>
      </c>
      <c r="I164" s="167">
        <f t="shared" si="51"/>
        <v>254</v>
      </c>
      <c r="J164" s="284">
        <f>HLOOKUP(K$10,InflationTable,2)/HLOOKUP(Labor!$B$11,InflationTable,2)*$I164</f>
        <v>543.36664359861584</v>
      </c>
      <c r="K164" s="245">
        <f>J164*$L$6</f>
        <v>0</v>
      </c>
      <c r="L164" s="246">
        <f t="shared" si="52"/>
        <v>0</v>
      </c>
      <c r="M164" s="169">
        <f>HLOOKUP(N$10,InflationTable,2)/HLOOKUP(Labor!$B$11,InflationTable,2)*$I164</f>
        <v>565.10130934256063</v>
      </c>
      <c r="N164" s="166">
        <f>M164*$L$6</f>
        <v>0</v>
      </c>
      <c r="O164" s="167">
        <f t="shared" si="53"/>
        <v>0</v>
      </c>
      <c r="P164" s="284">
        <f>HLOOKUP(Q$10,InflationTable,2)/HLOOKUP(Labor!$B$11,InflationTable,2)*$I164</f>
        <v>576.40333552941172</v>
      </c>
      <c r="Q164" s="245">
        <f>P164*$L$6</f>
        <v>0</v>
      </c>
      <c r="R164" s="246">
        <f t="shared" si="54"/>
        <v>0</v>
      </c>
      <c r="S164" s="169">
        <f t="shared" si="55"/>
        <v>0</v>
      </c>
      <c r="T164" s="323" t="s">
        <v>12</v>
      </c>
      <c r="U164" s="183" t="s">
        <v>12</v>
      </c>
    </row>
    <row r="165" spans="1:21" x14ac:dyDescent="0.25">
      <c r="A165" s="510"/>
      <c r="B165" s="983" t="s">
        <v>352</v>
      </c>
      <c r="C165" s="18">
        <v>0</v>
      </c>
      <c r="D165" s="18">
        <v>3</v>
      </c>
      <c r="E165" s="18">
        <v>5</v>
      </c>
      <c r="F165" s="18">
        <v>2</v>
      </c>
      <c r="G165" s="18">
        <v>0</v>
      </c>
      <c r="H165" s="18">
        <v>0</v>
      </c>
      <c r="I165" s="45">
        <f t="shared" si="51"/>
        <v>10</v>
      </c>
      <c r="J165" s="213">
        <f>$I$165</f>
        <v>10</v>
      </c>
      <c r="K165" s="231">
        <f>J165*$O$6</f>
        <v>7470</v>
      </c>
      <c r="L165" s="239">
        <f t="shared" si="52"/>
        <v>7470</v>
      </c>
      <c r="M165" s="51">
        <f>$I$165</f>
        <v>10</v>
      </c>
      <c r="N165" s="58">
        <f>M165*$O$6</f>
        <v>7470</v>
      </c>
      <c r="O165" s="57">
        <f t="shared" si="53"/>
        <v>7470</v>
      </c>
      <c r="P165" s="213">
        <f>$I$165</f>
        <v>10</v>
      </c>
      <c r="Q165" s="231">
        <f>P165*$O$6</f>
        <v>7470</v>
      </c>
      <c r="R165" s="239">
        <f t="shared" si="54"/>
        <v>7470</v>
      </c>
      <c r="S165" s="96">
        <f t="shared" si="55"/>
        <v>7470</v>
      </c>
      <c r="T165" s="34" t="s">
        <v>12</v>
      </c>
      <c r="U165" s="185" t="s">
        <v>12</v>
      </c>
    </row>
    <row r="166" spans="1:21" s="1" customFormat="1" ht="13.5" thickBot="1" x14ac:dyDescent="0.35">
      <c r="A166" s="511"/>
      <c r="B166" s="984" t="s">
        <v>8</v>
      </c>
      <c r="C166" s="310">
        <f>ROUND(C165*Labor!$D$3,0)</f>
        <v>0</v>
      </c>
      <c r="D166" s="310">
        <f>ROUND(D165*Labor!$D$4,0)</f>
        <v>73</v>
      </c>
      <c r="E166" s="310">
        <f>ROUND(E165*Labor!$D$5,0)</f>
        <v>126</v>
      </c>
      <c r="F166" s="310">
        <f>ROUND(F165*Labor!$D$6,0)</f>
        <v>55</v>
      </c>
      <c r="G166" s="310">
        <f>ROUND(G165*Labor!$D$7,0)</f>
        <v>0</v>
      </c>
      <c r="H166" s="310">
        <f>ROUND(H165*Labor!$D$8,0)</f>
        <v>0</v>
      </c>
      <c r="I166" s="167">
        <f t="shared" si="51"/>
        <v>254</v>
      </c>
      <c r="J166" s="284">
        <f>HLOOKUP(K$10,InflationTable,2)/HLOOKUP(Labor!$B$11,InflationTable,2)*$I166</f>
        <v>543.36664359861584</v>
      </c>
      <c r="K166" s="245">
        <f>J166*$O$6</f>
        <v>405894.88276816602</v>
      </c>
      <c r="L166" s="246">
        <f t="shared" si="52"/>
        <v>405894.88276816602</v>
      </c>
      <c r="M166" s="169">
        <f>HLOOKUP(N$10,InflationTable,2)/HLOOKUP(Labor!$B$11,InflationTable,2)*$I166</f>
        <v>565.10130934256063</v>
      </c>
      <c r="N166" s="166">
        <f>M166*$O$6</f>
        <v>422130.67807889282</v>
      </c>
      <c r="O166" s="167">
        <f t="shared" si="53"/>
        <v>422130.67807889282</v>
      </c>
      <c r="P166" s="284">
        <f>HLOOKUP(Q$10,InflationTable,2)/HLOOKUP(Labor!$B$11,InflationTable,2)*$I166</f>
        <v>576.40333552941172</v>
      </c>
      <c r="Q166" s="245">
        <f>P166*$O$6</f>
        <v>430573.29164047056</v>
      </c>
      <c r="R166" s="246">
        <f t="shared" si="54"/>
        <v>430573.29164047056</v>
      </c>
      <c r="S166" s="169">
        <f t="shared" si="55"/>
        <v>419532.95082917647</v>
      </c>
      <c r="T166" s="323" t="s">
        <v>12</v>
      </c>
      <c r="U166" s="183" t="s">
        <v>12</v>
      </c>
    </row>
    <row r="167" spans="1:21" ht="13" x14ac:dyDescent="0.3">
      <c r="A167" s="510"/>
      <c r="B167" s="497" t="s">
        <v>354</v>
      </c>
      <c r="C167" s="20" t="s">
        <v>45</v>
      </c>
      <c r="D167" s="20" t="s">
        <v>46</v>
      </c>
      <c r="E167" s="20" t="s">
        <v>47</v>
      </c>
      <c r="F167" s="20" t="s">
        <v>48</v>
      </c>
      <c r="G167" s="20" t="s">
        <v>49</v>
      </c>
      <c r="H167" s="20" t="s">
        <v>50</v>
      </c>
      <c r="I167" s="32" t="s">
        <v>13</v>
      </c>
      <c r="J167" s="210" t="s">
        <v>56</v>
      </c>
      <c r="K167" s="211" t="s">
        <v>13</v>
      </c>
      <c r="L167" s="212" t="s">
        <v>68</v>
      </c>
      <c r="M167" s="66" t="s">
        <v>56</v>
      </c>
      <c r="N167" s="20" t="s">
        <v>13</v>
      </c>
      <c r="O167" s="32" t="s">
        <v>68</v>
      </c>
      <c r="P167" s="210" t="s">
        <v>56</v>
      </c>
      <c r="Q167" s="211" t="s">
        <v>13</v>
      </c>
      <c r="R167" s="212" t="s">
        <v>68</v>
      </c>
      <c r="S167" s="95"/>
      <c r="T167" s="108"/>
      <c r="U167" s="182"/>
    </row>
    <row r="168" spans="1:21" x14ac:dyDescent="0.25">
      <c r="A168" s="510"/>
      <c r="B168" s="985" t="s">
        <v>350</v>
      </c>
      <c r="C168" s="18">
        <v>0</v>
      </c>
      <c r="D168" s="18">
        <v>0</v>
      </c>
      <c r="E168" s="18">
        <v>0</v>
      </c>
      <c r="F168" s="18">
        <v>2</v>
      </c>
      <c r="G168" s="18">
        <v>2</v>
      </c>
      <c r="H168" s="18">
        <v>0</v>
      </c>
      <c r="I168" s="45">
        <f t="shared" ref="I168:I175" si="56">SUM(C168:H168)</f>
        <v>4</v>
      </c>
      <c r="J168" s="825">
        <f>$I168</f>
        <v>4</v>
      </c>
      <c r="K168" s="231">
        <f>J168*$O$3</f>
        <v>1660</v>
      </c>
      <c r="L168" s="239">
        <f t="shared" si="52"/>
        <v>1660</v>
      </c>
      <c r="M168" s="830">
        <f>$I168</f>
        <v>4</v>
      </c>
      <c r="N168" s="58">
        <f>M168*$O$3</f>
        <v>1660</v>
      </c>
      <c r="O168" s="57">
        <f t="shared" si="53"/>
        <v>1660</v>
      </c>
      <c r="P168" s="825">
        <f>$I168</f>
        <v>4</v>
      </c>
      <c r="Q168" s="231">
        <f>P168*$O$3</f>
        <v>1660</v>
      </c>
      <c r="R168" s="239">
        <f t="shared" si="54"/>
        <v>1660</v>
      </c>
      <c r="S168" s="96">
        <f t="shared" ref="S168:S175" si="57">AVERAGE(L168,O168,R168)</f>
        <v>1660</v>
      </c>
      <c r="T168" s="34" t="s">
        <v>12</v>
      </c>
      <c r="U168" s="185" t="s">
        <v>12</v>
      </c>
    </row>
    <row r="169" spans="1:21" s="1" customFormat="1" ht="13.5" thickBot="1" x14ac:dyDescent="0.35">
      <c r="A169" s="511"/>
      <c r="B169" s="507" t="s">
        <v>8</v>
      </c>
      <c r="C169" s="310">
        <f>ROUND(C168*Labor!$D$3,0)</f>
        <v>0</v>
      </c>
      <c r="D169" s="310">
        <f>ROUND(D168*Labor!$D$4,0)</f>
        <v>0</v>
      </c>
      <c r="E169" s="310">
        <f>ROUND(E168*Labor!$D$5,0)</f>
        <v>0</v>
      </c>
      <c r="F169" s="310">
        <f>ROUND(F168*Labor!$D$6,0)</f>
        <v>55</v>
      </c>
      <c r="G169" s="310">
        <f>ROUND(G168*Labor!$D$7,0)</f>
        <v>63</v>
      </c>
      <c r="H169" s="310">
        <f>ROUND(H168*Labor!$D$8,0)</f>
        <v>0</v>
      </c>
      <c r="I169" s="167">
        <f t="shared" si="56"/>
        <v>118</v>
      </c>
      <c r="J169" s="284">
        <f>HLOOKUP(K$10,InflationTable,2)/HLOOKUP(Labor!$B$11,InflationTable,2)*$I169</f>
        <v>252.4301730103806</v>
      </c>
      <c r="K169" s="245">
        <f>J169*$O$3</f>
        <v>104758.52179930794</v>
      </c>
      <c r="L169" s="246">
        <f t="shared" si="52"/>
        <v>104758.52179930794</v>
      </c>
      <c r="M169" s="169">
        <f>HLOOKUP(N$10,InflationTable,2)/HLOOKUP(Labor!$B$11,InflationTable,2)*$I169</f>
        <v>262.52737993079586</v>
      </c>
      <c r="N169" s="166">
        <f>M169*$O$3</f>
        <v>108948.86267128028</v>
      </c>
      <c r="O169" s="167">
        <f t="shared" si="53"/>
        <v>108948.86267128028</v>
      </c>
      <c r="P169" s="284">
        <f>HLOOKUP(Q$10,InflationTable,2)/HLOOKUP(Labor!$B$11,InflationTable,2)*$I169</f>
        <v>267.77792752941173</v>
      </c>
      <c r="Q169" s="245">
        <f>P169*$O$3</f>
        <v>111127.83992470587</v>
      </c>
      <c r="R169" s="246">
        <f t="shared" si="54"/>
        <v>111127.83992470587</v>
      </c>
      <c r="S169" s="169">
        <f t="shared" si="57"/>
        <v>108278.40813176469</v>
      </c>
      <c r="T169" s="323" t="s">
        <v>12</v>
      </c>
      <c r="U169" s="183" t="s">
        <v>12</v>
      </c>
    </row>
    <row r="170" spans="1:21" x14ac:dyDescent="0.25">
      <c r="A170" s="510"/>
      <c r="B170" s="983" t="s">
        <v>351</v>
      </c>
      <c r="C170" s="18">
        <v>0</v>
      </c>
      <c r="D170" s="18">
        <v>0</v>
      </c>
      <c r="E170" s="18">
        <v>0</v>
      </c>
      <c r="F170" s="18">
        <v>2</v>
      </c>
      <c r="G170" s="18">
        <v>2</v>
      </c>
      <c r="H170" s="18">
        <v>0</v>
      </c>
      <c r="I170" s="45">
        <f t="shared" si="56"/>
        <v>4</v>
      </c>
      <c r="J170" s="825">
        <f>$I170</f>
        <v>4</v>
      </c>
      <c r="K170" s="231">
        <f>$I$161*($O$4+$O$5)</f>
        <v>734</v>
      </c>
      <c r="L170" s="239">
        <f t="shared" si="52"/>
        <v>734</v>
      </c>
      <c r="M170" s="830">
        <f>$I170</f>
        <v>4</v>
      </c>
      <c r="N170" s="58">
        <f>$I$161*($O$4+$O$5)</f>
        <v>734</v>
      </c>
      <c r="O170" s="57">
        <f t="shared" si="53"/>
        <v>734</v>
      </c>
      <c r="P170" s="825">
        <f>$I170</f>
        <v>4</v>
      </c>
      <c r="Q170" s="231">
        <f>$I$161*($O$4+$O$5)</f>
        <v>734</v>
      </c>
      <c r="R170" s="239">
        <f t="shared" si="54"/>
        <v>734</v>
      </c>
      <c r="S170" s="96">
        <f t="shared" si="57"/>
        <v>734</v>
      </c>
      <c r="T170" s="34" t="s">
        <v>12</v>
      </c>
      <c r="U170" s="185" t="s">
        <v>12</v>
      </c>
    </row>
    <row r="171" spans="1:21" s="1" customFormat="1" ht="13.5" thickBot="1" x14ac:dyDescent="0.35">
      <c r="A171" s="511"/>
      <c r="B171" s="984" t="s">
        <v>8</v>
      </c>
      <c r="C171" s="310">
        <f>ROUND(C170*Labor!$D$3,0)</f>
        <v>0</v>
      </c>
      <c r="D171" s="310">
        <f>ROUND(D170*Labor!$D$4,0)</f>
        <v>0</v>
      </c>
      <c r="E171" s="310">
        <f>ROUND(E170*Labor!$D$5,0)</f>
        <v>0</v>
      </c>
      <c r="F171" s="310">
        <f>ROUND(F170*Labor!$D$6,0)</f>
        <v>55</v>
      </c>
      <c r="G171" s="310">
        <f>ROUND(G170*Labor!$D$7,0)</f>
        <v>63</v>
      </c>
      <c r="H171" s="310">
        <f>ROUND(H170*Labor!$D$8,0)</f>
        <v>0</v>
      </c>
      <c r="I171" s="167">
        <f t="shared" si="56"/>
        <v>118</v>
      </c>
      <c r="J171" s="284">
        <f>HLOOKUP(K$10,InflationTable,2)/HLOOKUP(Labor!$B$11,InflationTable,2)*$I171</f>
        <v>252.4301730103806</v>
      </c>
      <c r="K171" s="245">
        <f>J171*($O$4+$O$5)</f>
        <v>18528.374698961936</v>
      </c>
      <c r="L171" s="246">
        <f t="shared" si="52"/>
        <v>18528.374698961936</v>
      </c>
      <c r="M171" s="169">
        <f>HLOOKUP(N$10,InflationTable,2)/HLOOKUP(Labor!$B$11,InflationTable,2)*$I171</f>
        <v>262.52737993079586</v>
      </c>
      <c r="N171" s="166">
        <f>M171*($O$4+$O$5)</f>
        <v>19269.509686920417</v>
      </c>
      <c r="O171" s="167">
        <f t="shared" si="53"/>
        <v>19269.509686920417</v>
      </c>
      <c r="P171" s="284">
        <f>HLOOKUP(Q$10,InflationTable,2)/HLOOKUP(Labor!$B$11,InflationTable,2)*$I171</f>
        <v>267.77792752941173</v>
      </c>
      <c r="Q171" s="245">
        <f>P171*($O$4+$O$5)</f>
        <v>19654.899880658821</v>
      </c>
      <c r="R171" s="246">
        <f t="shared" si="54"/>
        <v>19654.899880658821</v>
      </c>
      <c r="S171" s="169">
        <f t="shared" si="57"/>
        <v>19150.928088847057</v>
      </c>
      <c r="T171" s="323" t="s">
        <v>12</v>
      </c>
      <c r="U171" s="183" t="s">
        <v>12</v>
      </c>
    </row>
    <row r="172" spans="1:21" x14ac:dyDescent="0.25">
      <c r="A172" s="510"/>
      <c r="B172" s="983" t="s">
        <v>353</v>
      </c>
      <c r="C172" s="18">
        <v>0</v>
      </c>
      <c r="D172" s="18">
        <v>0</v>
      </c>
      <c r="E172" s="18">
        <v>0</v>
      </c>
      <c r="F172" s="18">
        <v>2</v>
      </c>
      <c r="G172" s="18">
        <v>2</v>
      </c>
      <c r="H172" s="18">
        <v>0</v>
      </c>
      <c r="I172" s="45">
        <f t="shared" si="56"/>
        <v>4</v>
      </c>
      <c r="J172" s="825">
        <f>$I172</f>
        <v>4</v>
      </c>
      <c r="K172" s="231">
        <f>J172*$L$6</f>
        <v>0</v>
      </c>
      <c r="L172" s="239">
        <f t="shared" si="52"/>
        <v>0</v>
      </c>
      <c r="M172" s="830">
        <f>$I172</f>
        <v>4</v>
      </c>
      <c r="N172" s="58">
        <f>M172*$L$6</f>
        <v>0</v>
      </c>
      <c r="O172" s="57">
        <f t="shared" si="53"/>
        <v>0</v>
      </c>
      <c r="P172" s="825">
        <f>$I172</f>
        <v>4</v>
      </c>
      <c r="Q172" s="231">
        <f>P172*$L$6</f>
        <v>0</v>
      </c>
      <c r="R172" s="239">
        <f t="shared" si="54"/>
        <v>0</v>
      </c>
      <c r="S172" s="96">
        <f t="shared" si="57"/>
        <v>0</v>
      </c>
      <c r="T172" s="34" t="s">
        <v>12</v>
      </c>
      <c r="U172" s="185" t="s">
        <v>12</v>
      </c>
    </row>
    <row r="173" spans="1:21" s="1" customFormat="1" ht="13.5" thickBot="1" x14ac:dyDescent="0.35">
      <c r="A173" s="511"/>
      <c r="B173" s="507" t="s">
        <v>8</v>
      </c>
      <c r="C173" s="310">
        <f>ROUND(C172*Labor!$D$3,0)</f>
        <v>0</v>
      </c>
      <c r="D173" s="310">
        <f>ROUND(D172*Labor!$D$4,0)</f>
        <v>0</v>
      </c>
      <c r="E173" s="310">
        <f>ROUND(E172*Labor!$D$5,0)</f>
        <v>0</v>
      </c>
      <c r="F173" s="310">
        <f>ROUND(F172*Labor!$D$6,0)</f>
        <v>55</v>
      </c>
      <c r="G173" s="310">
        <f>ROUND(G172*Labor!$D$7,0)</f>
        <v>63</v>
      </c>
      <c r="H173" s="310">
        <f>ROUND(H172*Labor!$D$8,0)</f>
        <v>0</v>
      </c>
      <c r="I173" s="167">
        <f t="shared" si="56"/>
        <v>118</v>
      </c>
      <c r="J173" s="284">
        <f>HLOOKUP(K$10,InflationTable,2)/HLOOKUP(Labor!$B$11,InflationTable,2)*$I173</f>
        <v>252.4301730103806</v>
      </c>
      <c r="K173" s="245">
        <f>J173*$L$6</f>
        <v>0</v>
      </c>
      <c r="L173" s="246">
        <f t="shared" si="52"/>
        <v>0</v>
      </c>
      <c r="M173" s="169">
        <f>HLOOKUP(N$10,InflationTable,2)/HLOOKUP(Labor!$B$11,InflationTable,2)*$I173</f>
        <v>262.52737993079586</v>
      </c>
      <c r="N173" s="166">
        <f>M173*$L$6</f>
        <v>0</v>
      </c>
      <c r="O173" s="167">
        <f t="shared" si="53"/>
        <v>0</v>
      </c>
      <c r="P173" s="284">
        <f>HLOOKUP(Q$10,InflationTable,2)/HLOOKUP(Labor!$B$11,InflationTable,2)*$I173</f>
        <v>267.77792752941173</v>
      </c>
      <c r="Q173" s="245">
        <f>P173*$L$6</f>
        <v>0</v>
      </c>
      <c r="R173" s="246">
        <f t="shared" si="54"/>
        <v>0</v>
      </c>
      <c r="S173" s="169">
        <f t="shared" si="57"/>
        <v>0</v>
      </c>
      <c r="T173" s="323" t="s">
        <v>12</v>
      </c>
      <c r="U173" s="183" t="s">
        <v>12</v>
      </c>
    </row>
    <row r="174" spans="1:21" x14ac:dyDescent="0.25">
      <c r="A174" s="510"/>
      <c r="B174" s="983" t="s">
        <v>352</v>
      </c>
      <c r="C174" s="18">
        <v>0</v>
      </c>
      <c r="D174" s="18">
        <v>0</v>
      </c>
      <c r="E174" s="18">
        <v>0</v>
      </c>
      <c r="F174" s="18">
        <v>2</v>
      </c>
      <c r="G174" s="18">
        <v>2</v>
      </c>
      <c r="H174" s="18">
        <v>0</v>
      </c>
      <c r="I174" s="45">
        <f t="shared" si="56"/>
        <v>4</v>
      </c>
      <c r="J174" s="825">
        <f>$I174</f>
        <v>4</v>
      </c>
      <c r="K174" s="231">
        <f>J174*$O$6</f>
        <v>2988</v>
      </c>
      <c r="L174" s="239">
        <f t="shared" si="52"/>
        <v>2988</v>
      </c>
      <c r="M174" s="830">
        <f>$I174</f>
        <v>4</v>
      </c>
      <c r="N174" s="58">
        <f>M174*$O$6</f>
        <v>2988</v>
      </c>
      <c r="O174" s="57">
        <f t="shared" si="53"/>
        <v>2988</v>
      </c>
      <c r="P174" s="825">
        <f>$I174</f>
        <v>4</v>
      </c>
      <c r="Q174" s="231">
        <f>P174*$O$6</f>
        <v>2988</v>
      </c>
      <c r="R174" s="239">
        <f t="shared" si="54"/>
        <v>2988</v>
      </c>
      <c r="S174" s="96">
        <f t="shared" si="57"/>
        <v>2988</v>
      </c>
      <c r="T174" s="34" t="s">
        <v>12</v>
      </c>
      <c r="U174" s="185" t="s">
        <v>12</v>
      </c>
    </row>
    <row r="175" spans="1:21" s="1" customFormat="1" ht="13.5" thickBot="1" x14ac:dyDescent="0.35">
      <c r="A175" s="511"/>
      <c r="B175" s="984" t="s">
        <v>8</v>
      </c>
      <c r="C175" s="310">
        <f>ROUND(C174*Labor!$D$3,0)</f>
        <v>0</v>
      </c>
      <c r="D175" s="310">
        <f>ROUND(D174*Labor!$D$4,0)</f>
        <v>0</v>
      </c>
      <c r="E175" s="310">
        <f>ROUND(E174*Labor!$D$5,0)</f>
        <v>0</v>
      </c>
      <c r="F175" s="310">
        <f>ROUND(F174*Labor!$D$6,0)</f>
        <v>55</v>
      </c>
      <c r="G175" s="310">
        <f>ROUND(G174*Labor!$D$7,0)</f>
        <v>63</v>
      </c>
      <c r="H175" s="310">
        <f>ROUND(H174*Labor!$D$8,0)</f>
        <v>0</v>
      </c>
      <c r="I175" s="167">
        <f t="shared" si="56"/>
        <v>118</v>
      </c>
      <c r="J175" s="284">
        <f>HLOOKUP(K$10,InflationTable,2)/HLOOKUP(Labor!$B$11,InflationTable,2)*$I175</f>
        <v>252.4301730103806</v>
      </c>
      <c r="K175" s="245">
        <f>J175*$O$6</f>
        <v>188565.3392387543</v>
      </c>
      <c r="L175" s="246">
        <f t="shared" si="52"/>
        <v>188565.3392387543</v>
      </c>
      <c r="M175" s="169">
        <f>HLOOKUP(N$10,InflationTable,2)/HLOOKUP(Labor!$B$11,InflationTable,2)*$I175</f>
        <v>262.52737993079586</v>
      </c>
      <c r="N175" s="166">
        <f>M175*$O$6</f>
        <v>196107.95280830452</v>
      </c>
      <c r="O175" s="167">
        <f t="shared" si="53"/>
        <v>196107.95280830452</v>
      </c>
      <c r="P175" s="284">
        <f>HLOOKUP(Q$10,InflationTable,2)/HLOOKUP(Labor!$B$11,InflationTable,2)*$I175</f>
        <v>267.77792752941173</v>
      </c>
      <c r="Q175" s="245">
        <f>P175*$O$6</f>
        <v>200030.11186447056</v>
      </c>
      <c r="R175" s="246">
        <f t="shared" si="54"/>
        <v>200030.11186447056</v>
      </c>
      <c r="S175" s="169">
        <f t="shared" si="57"/>
        <v>194901.13463717644</v>
      </c>
      <c r="T175" s="323" t="s">
        <v>12</v>
      </c>
      <c r="U175" s="183" t="s">
        <v>12</v>
      </c>
    </row>
    <row r="176" spans="1:21" ht="13" x14ac:dyDescent="0.3">
      <c r="A176" s="510"/>
      <c r="B176" s="497" t="s">
        <v>355</v>
      </c>
      <c r="C176" s="20" t="s">
        <v>45</v>
      </c>
      <c r="D176" s="20" t="s">
        <v>46</v>
      </c>
      <c r="E176" s="20" t="s">
        <v>47</v>
      </c>
      <c r="F176" s="20" t="s">
        <v>48</v>
      </c>
      <c r="G176" s="20" t="s">
        <v>49</v>
      </c>
      <c r="H176" s="20" t="s">
        <v>50</v>
      </c>
      <c r="I176" s="32" t="s">
        <v>13</v>
      </c>
      <c r="J176" s="210" t="s">
        <v>56</v>
      </c>
      <c r="K176" s="211" t="s">
        <v>13</v>
      </c>
      <c r="L176" s="212" t="s">
        <v>68</v>
      </c>
      <c r="M176" s="66" t="s">
        <v>56</v>
      </c>
      <c r="N176" s="20" t="s">
        <v>13</v>
      </c>
      <c r="O176" s="32" t="s">
        <v>68</v>
      </c>
      <c r="P176" s="210" t="s">
        <v>56</v>
      </c>
      <c r="Q176" s="211" t="s">
        <v>13</v>
      </c>
      <c r="R176" s="212" t="s">
        <v>68</v>
      </c>
      <c r="S176" s="95"/>
      <c r="T176" s="108"/>
      <c r="U176" s="182"/>
    </row>
    <row r="177" spans="1:21" x14ac:dyDescent="0.25">
      <c r="A177" s="510"/>
      <c r="B177" s="985" t="s">
        <v>350</v>
      </c>
      <c r="C177" s="18">
        <v>0</v>
      </c>
      <c r="D177" s="18">
        <v>5</v>
      </c>
      <c r="E177" s="18">
        <v>5</v>
      </c>
      <c r="F177" s="18">
        <v>2</v>
      </c>
      <c r="G177" s="18">
        <v>1</v>
      </c>
      <c r="H177" s="18">
        <v>0</v>
      </c>
      <c r="I177" s="45">
        <f t="shared" ref="I177:I184" si="58">SUM(C177:H177)</f>
        <v>13</v>
      </c>
      <c r="J177" s="213">
        <f>$I177</f>
        <v>13</v>
      </c>
      <c r="K177" s="231">
        <f>J177*$O$3</f>
        <v>5395</v>
      </c>
      <c r="L177" s="239">
        <f t="shared" si="52"/>
        <v>5395</v>
      </c>
      <c r="M177" s="830">
        <f>$I177</f>
        <v>13</v>
      </c>
      <c r="N177" s="58">
        <f>M177*$O$3</f>
        <v>5395</v>
      </c>
      <c r="O177" s="57">
        <f t="shared" si="53"/>
        <v>5395</v>
      </c>
      <c r="P177" s="825">
        <f>$I177</f>
        <v>13</v>
      </c>
      <c r="Q177" s="231">
        <f>P177*$O$3</f>
        <v>5395</v>
      </c>
      <c r="R177" s="239">
        <f t="shared" si="54"/>
        <v>5395</v>
      </c>
      <c r="S177" s="96">
        <f t="shared" ref="S177:S184" si="59">AVERAGE(L177,O177,R177)</f>
        <v>5395</v>
      </c>
      <c r="T177" s="34" t="s">
        <v>12</v>
      </c>
      <c r="U177" s="185" t="s">
        <v>12</v>
      </c>
    </row>
    <row r="178" spans="1:21" s="1" customFormat="1" ht="13.5" thickBot="1" x14ac:dyDescent="0.35">
      <c r="A178" s="511"/>
      <c r="B178" s="507" t="s">
        <v>8</v>
      </c>
      <c r="C178" s="310">
        <f>ROUND(C177*Labor!$D$3,0)</f>
        <v>0</v>
      </c>
      <c r="D178" s="310">
        <f>ROUND(D177*Labor!$D$4,0)</f>
        <v>121</v>
      </c>
      <c r="E178" s="310">
        <f>ROUND(E177*Labor!$D$5,0)</f>
        <v>126</v>
      </c>
      <c r="F178" s="310">
        <f>ROUND(F177*Labor!$D$6,0)</f>
        <v>55</v>
      </c>
      <c r="G178" s="310">
        <f>ROUND(G177*Labor!$D$7,0)</f>
        <v>31</v>
      </c>
      <c r="H178" s="310">
        <f>ROUND(H177*Labor!$D$8,0)</f>
        <v>0</v>
      </c>
      <c r="I178" s="167">
        <f t="shared" si="58"/>
        <v>333</v>
      </c>
      <c r="J178" s="284">
        <f>HLOOKUP(K$10,InflationTable,2)/HLOOKUP(Labor!$B$11,InflationTable,2)*$I178</f>
        <v>712.36650519031139</v>
      </c>
      <c r="K178" s="245">
        <f>J178*$O$3</f>
        <v>295632.09965397924</v>
      </c>
      <c r="L178" s="246">
        <f t="shared" si="52"/>
        <v>295632.09965397924</v>
      </c>
      <c r="M178" s="169">
        <f>HLOOKUP(N$10,InflationTable,2)/HLOOKUP(Labor!$B$11,InflationTable,2)*$I178</f>
        <v>740.86116539792397</v>
      </c>
      <c r="N178" s="166">
        <f>M178*$O$3</f>
        <v>307457.38364013843</v>
      </c>
      <c r="O178" s="167">
        <f t="shared" si="53"/>
        <v>307457.38364013843</v>
      </c>
      <c r="P178" s="284">
        <f>HLOOKUP(Q$10,InflationTable,2)/HLOOKUP(Labor!$B$11,InflationTable,2)*$I178</f>
        <v>755.6783887058823</v>
      </c>
      <c r="Q178" s="245">
        <f>P178*$O$3</f>
        <v>313606.53131294117</v>
      </c>
      <c r="R178" s="246">
        <f t="shared" si="54"/>
        <v>313606.53131294117</v>
      </c>
      <c r="S178" s="169">
        <f t="shared" si="59"/>
        <v>305565.33820235293</v>
      </c>
      <c r="T178" s="323" t="s">
        <v>12</v>
      </c>
      <c r="U178" s="183" t="s">
        <v>12</v>
      </c>
    </row>
    <row r="179" spans="1:21" x14ac:dyDescent="0.25">
      <c r="A179" s="510"/>
      <c r="B179" s="983" t="s">
        <v>351</v>
      </c>
      <c r="C179" s="18">
        <v>0</v>
      </c>
      <c r="D179" s="18">
        <v>5</v>
      </c>
      <c r="E179" s="18">
        <v>5</v>
      </c>
      <c r="F179" s="18">
        <v>2</v>
      </c>
      <c r="G179" s="18">
        <v>1</v>
      </c>
      <c r="H179" s="18">
        <v>0</v>
      </c>
      <c r="I179" s="45">
        <f t="shared" si="58"/>
        <v>13</v>
      </c>
      <c r="J179" s="213">
        <f>$I179</f>
        <v>13</v>
      </c>
      <c r="K179" s="231">
        <f>$I$161*($O$4+$O$5)</f>
        <v>734</v>
      </c>
      <c r="L179" s="239">
        <f t="shared" si="52"/>
        <v>734</v>
      </c>
      <c r="M179" s="830">
        <f>$I179</f>
        <v>13</v>
      </c>
      <c r="N179" s="58">
        <f>$I$161*($O$4+$O$5)</f>
        <v>734</v>
      </c>
      <c r="O179" s="57">
        <f t="shared" si="53"/>
        <v>734</v>
      </c>
      <c r="P179" s="825">
        <f>$I179</f>
        <v>13</v>
      </c>
      <c r="Q179" s="231">
        <f>$I$161*($O$4+$O$5)</f>
        <v>734</v>
      </c>
      <c r="R179" s="239">
        <f t="shared" si="54"/>
        <v>734</v>
      </c>
      <c r="S179" s="96">
        <f t="shared" si="59"/>
        <v>734</v>
      </c>
      <c r="T179" s="34" t="s">
        <v>12</v>
      </c>
      <c r="U179" s="185" t="s">
        <v>12</v>
      </c>
    </row>
    <row r="180" spans="1:21" s="1" customFormat="1" ht="13.5" thickBot="1" x14ac:dyDescent="0.35">
      <c r="A180" s="511"/>
      <c r="B180" s="984" t="s">
        <v>8</v>
      </c>
      <c r="C180" s="310">
        <f>ROUND(C179*Labor!$D$3,0)</f>
        <v>0</v>
      </c>
      <c r="D180" s="310">
        <f>ROUND(D179*Labor!$D$4,0)</f>
        <v>121</v>
      </c>
      <c r="E180" s="310">
        <f>ROUND(E179*Labor!$D$5,0)</f>
        <v>126</v>
      </c>
      <c r="F180" s="310">
        <f>ROUND(F179*Labor!$D$6,0)</f>
        <v>55</v>
      </c>
      <c r="G180" s="310">
        <f>ROUND(G179*Labor!$D$7,0)</f>
        <v>31</v>
      </c>
      <c r="H180" s="310">
        <f>ROUND(H179*Labor!$D$8,0)</f>
        <v>0</v>
      </c>
      <c r="I180" s="167">
        <f t="shared" si="58"/>
        <v>333</v>
      </c>
      <c r="J180" s="284">
        <f>HLOOKUP(K$10,InflationTable,2)/HLOOKUP(Labor!$B$11,InflationTable,2)*$I180</f>
        <v>712.36650519031139</v>
      </c>
      <c r="K180" s="245">
        <f>J180*($O$4+$O$5)</f>
        <v>52287.701480968863</v>
      </c>
      <c r="L180" s="246">
        <f t="shared" si="52"/>
        <v>52287.701480968863</v>
      </c>
      <c r="M180" s="169">
        <f>HLOOKUP(N$10,InflationTable,2)/HLOOKUP(Labor!$B$11,InflationTable,2)*$I180</f>
        <v>740.86116539792397</v>
      </c>
      <c r="N180" s="166">
        <f>M180*($O$4+$O$5)</f>
        <v>54379.209540207623</v>
      </c>
      <c r="O180" s="167">
        <f t="shared" si="53"/>
        <v>54379.209540207623</v>
      </c>
      <c r="P180" s="284">
        <f>HLOOKUP(Q$10,InflationTable,2)/HLOOKUP(Labor!$B$11,InflationTable,2)*$I180</f>
        <v>755.6783887058823</v>
      </c>
      <c r="Q180" s="245">
        <f>P180*($O$4+$O$5)</f>
        <v>55466.793731011763</v>
      </c>
      <c r="R180" s="246">
        <f t="shared" si="54"/>
        <v>55466.793731011763</v>
      </c>
      <c r="S180" s="169">
        <f t="shared" si="59"/>
        <v>54044.568250729419</v>
      </c>
      <c r="T180" s="323" t="s">
        <v>12</v>
      </c>
      <c r="U180" s="183" t="s">
        <v>12</v>
      </c>
    </row>
    <row r="181" spans="1:21" x14ac:dyDescent="0.25">
      <c r="A181" s="510"/>
      <c r="B181" s="983" t="s">
        <v>353</v>
      </c>
      <c r="C181" s="18">
        <v>0</v>
      </c>
      <c r="D181" s="18">
        <v>5</v>
      </c>
      <c r="E181" s="18">
        <v>5</v>
      </c>
      <c r="F181" s="18">
        <v>2</v>
      </c>
      <c r="G181" s="18">
        <v>1</v>
      </c>
      <c r="H181" s="18">
        <v>0</v>
      </c>
      <c r="I181" s="45">
        <f t="shared" si="58"/>
        <v>13</v>
      </c>
      <c r="J181" s="213">
        <f>$I181</f>
        <v>13</v>
      </c>
      <c r="K181" s="231">
        <f>J181*$L$6</f>
        <v>0</v>
      </c>
      <c r="L181" s="239">
        <f t="shared" si="52"/>
        <v>0</v>
      </c>
      <c r="M181" s="830">
        <f>$I181</f>
        <v>13</v>
      </c>
      <c r="N181" s="58">
        <f>M181*$L$6</f>
        <v>0</v>
      </c>
      <c r="O181" s="57">
        <f t="shared" si="53"/>
        <v>0</v>
      </c>
      <c r="P181" s="825">
        <f>$I181</f>
        <v>13</v>
      </c>
      <c r="Q181" s="231">
        <f>P181*$L$6</f>
        <v>0</v>
      </c>
      <c r="R181" s="239">
        <f t="shared" si="54"/>
        <v>0</v>
      </c>
      <c r="S181" s="96">
        <f t="shared" si="59"/>
        <v>0</v>
      </c>
      <c r="T181" s="34" t="s">
        <v>12</v>
      </c>
      <c r="U181" s="185" t="s">
        <v>12</v>
      </c>
    </row>
    <row r="182" spans="1:21" s="1" customFormat="1" ht="13.5" thickBot="1" x14ac:dyDescent="0.35">
      <c r="A182" s="511"/>
      <c r="B182" s="507" t="s">
        <v>8</v>
      </c>
      <c r="C182" s="310">
        <f>ROUND(C181*Labor!$D$3,0)</f>
        <v>0</v>
      </c>
      <c r="D182" s="310">
        <f>ROUND(D181*Labor!$D$4,0)</f>
        <v>121</v>
      </c>
      <c r="E182" s="310">
        <f>ROUND(E181*Labor!$D$5,0)</f>
        <v>126</v>
      </c>
      <c r="F182" s="310">
        <f>ROUND(F181*Labor!$D$6,0)</f>
        <v>55</v>
      </c>
      <c r="G182" s="310">
        <f>ROUND(G181*Labor!$D$7,0)</f>
        <v>31</v>
      </c>
      <c r="H182" s="310">
        <f>ROUND(H181*Labor!$D$8,0)</f>
        <v>0</v>
      </c>
      <c r="I182" s="167">
        <f t="shared" si="58"/>
        <v>333</v>
      </c>
      <c r="J182" s="284">
        <f>HLOOKUP(K$10,InflationTable,2)/HLOOKUP(Labor!$B$11,InflationTable,2)*$I182</f>
        <v>712.36650519031139</v>
      </c>
      <c r="K182" s="245">
        <f>J182*$L$6</f>
        <v>0</v>
      </c>
      <c r="L182" s="246">
        <f t="shared" si="52"/>
        <v>0</v>
      </c>
      <c r="M182" s="169">
        <f>HLOOKUP(N$10,InflationTable,2)/HLOOKUP(Labor!$B$11,InflationTable,2)*$I182</f>
        <v>740.86116539792397</v>
      </c>
      <c r="N182" s="166">
        <f>M182*$L$6</f>
        <v>0</v>
      </c>
      <c r="O182" s="167">
        <f t="shared" si="53"/>
        <v>0</v>
      </c>
      <c r="P182" s="284">
        <f>HLOOKUP(Q$10,InflationTable,2)/HLOOKUP(Labor!$B$11,InflationTable,2)*$I182</f>
        <v>755.6783887058823</v>
      </c>
      <c r="Q182" s="245">
        <f>P182*$L$6</f>
        <v>0</v>
      </c>
      <c r="R182" s="246">
        <f t="shared" si="54"/>
        <v>0</v>
      </c>
      <c r="S182" s="169">
        <f t="shared" si="59"/>
        <v>0</v>
      </c>
      <c r="T182" s="323" t="s">
        <v>12</v>
      </c>
      <c r="U182" s="183" t="s">
        <v>12</v>
      </c>
    </row>
    <row r="183" spans="1:21" x14ac:dyDescent="0.25">
      <c r="A183" s="510"/>
      <c r="B183" s="983" t="s">
        <v>352</v>
      </c>
      <c r="C183" s="18">
        <v>0</v>
      </c>
      <c r="D183" s="18">
        <v>0</v>
      </c>
      <c r="E183" s="18">
        <v>5</v>
      </c>
      <c r="F183" s="18">
        <v>5</v>
      </c>
      <c r="G183" s="18">
        <v>2</v>
      </c>
      <c r="H183" s="18">
        <v>1</v>
      </c>
      <c r="I183" s="45">
        <f t="shared" si="58"/>
        <v>13</v>
      </c>
      <c r="J183" s="213">
        <f>$I183</f>
        <v>13</v>
      </c>
      <c r="K183" s="231">
        <f>J183*$O$6</f>
        <v>9711</v>
      </c>
      <c r="L183" s="239">
        <f t="shared" si="52"/>
        <v>9711</v>
      </c>
      <c r="M183" s="830">
        <f>$I183</f>
        <v>13</v>
      </c>
      <c r="N183" s="58">
        <f>M183*$O$6</f>
        <v>9711</v>
      </c>
      <c r="O183" s="57">
        <f t="shared" si="53"/>
        <v>9711</v>
      </c>
      <c r="P183" s="825">
        <f>$I183</f>
        <v>13</v>
      </c>
      <c r="Q183" s="231">
        <f>P183*$O$6</f>
        <v>9711</v>
      </c>
      <c r="R183" s="239">
        <f t="shared" si="54"/>
        <v>9711</v>
      </c>
      <c r="S183" s="96">
        <f t="shared" si="59"/>
        <v>9711</v>
      </c>
      <c r="T183" s="34" t="s">
        <v>12</v>
      </c>
      <c r="U183" s="185" t="s">
        <v>12</v>
      </c>
    </row>
    <row r="184" spans="1:21" s="1" customFormat="1" ht="13.5" thickBot="1" x14ac:dyDescent="0.35">
      <c r="A184" s="511"/>
      <c r="B184" s="984" t="s">
        <v>8</v>
      </c>
      <c r="C184" s="310">
        <f>ROUND(C183*Labor!$D$3,0)</f>
        <v>0</v>
      </c>
      <c r="D184" s="310">
        <f>ROUND(D183*Labor!$D$4,0)</f>
        <v>0</v>
      </c>
      <c r="E184" s="310">
        <f>ROUND(E183*Labor!$D$5,0)</f>
        <v>126</v>
      </c>
      <c r="F184" s="310">
        <f>ROUND(F183*Labor!$D$6,0)</f>
        <v>138</v>
      </c>
      <c r="G184" s="310">
        <f>ROUND(G183*Labor!$D$7,0)</f>
        <v>63</v>
      </c>
      <c r="H184" s="310">
        <f>ROUND(H183*Labor!$D$8,0)</f>
        <v>38</v>
      </c>
      <c r="I184" s="167">
        <f t="shared" si="58"/>
        <v>365</v>
      </c>
      <c r="J184" s="284">
        <f>HLOOKUP(K$10,InflationTable,2)/HLOOKUP(Labor!$B$11,InflationTable,2)*$I184</f>
        <v>780.82214532871967</v>
      </c>
      <c r="K184" s="245">
        <f>J184*$O$6</f>
        <v>583274.14256055362</v>
      </c>
      <c r="L184" s="246">
        <f t="shared" si="52"/>
        <v>583274.14256055362</v>
      </c>
      <c r="M184" s="169">
        <f>HLOOKUP(N$10,InflationTable,2)/HLOOKUP(Labor!$B$11,InflationTable,2)*$I184</f>
        <v>812.05503114186854</v>
      </c>
      <c r="N184" s="166">
        <f>M184*$O$6</f>
        <v>606605.10826297582</v>
      </c>
      <c r="O184" s="167">
        <f t="shared" si="53"/>
        <v>606605.10826297582</v>
      </c>
      <c r="P184" s="284">
        <f>HLOOKUP(Q$10,InflationTable,2)/HLOOKUP(Labor!$B$11,InflationTable,2)*$I184</f>
        <v>828.29613176470582</v>
      </c>
      <c r="Q184" s="245">
        <f>P184*$O$6</f>
        <v>618737.21042823524</v>
      </c>
      <c r="R184" s="246">
        <f t="shared" si="54"/>
        <v>618737.21042823524</v>
      </c>
      <c r="S184" s="169">
        <f t="shared" si="59"/>
        <v>602872.15375058819</v>
      </c>
      <c r="T184" s="323" t="s">
        <v>12</v>
      </c>
      <c r="U184" s="183" t="s">
        <v>12</v>
      </c>
    </row>
    <row r="185" spans="1:21" ht="13" x14ac:dyDescent="0.3">
      <c r="A185" s="510"/>
      <c r="B185" s="497" t="s">
        <v>356</v>
      </c>
      <c r="C185" s="20" t="s">
        <v>45</v>
      </c>
      <c r="D185" s="20" t="s">
        <v>46</v>
      </c>
      <c r="E185" s="20" t="s">
        <v>47</v>
      </c>
      <c r="F185" s="20" t="s">
        <v>48</v>
      </c>
      <c r="G185" s="20" t="s">
        <v>49</v>
      </c>
      <c r="H185" s="20" t="s">
        <v>50</v>
      </c>
      <c r="I185" s="32" t="s">
        <v>13</v>
      </c>
      <c r="J185" s="210" t="s">
        <v>56</v>
      </c>
      <c r="K185" s="211" t="s">
        <v>13</v>
      </c>
      <c r="L185" s="212" t="s">
        <v>68</v>
      </c>
      <c r="M185" s="66" t="s">
        <v>56</v>
      </c>
      <c r="N185" s="20" t="s">
        <v>13</v>
      </c>
      <c r="O185" s="32" t="s">
        <v>68</v>
      </c>
      <c r="P185" s="210" t="s">
        <v>56</v>
      </c>
      <c r="Q185" s="211" t="s">
        <v>13</v>
      </c>
      <c r="R185" s="212" t="s">
        <v>68</v>
      </c>
      <c r="S185" s="95"/>
      <c r="T185" s="108"/>
      <c r="U185" s="182"/>
    </row>
    <row r="186" spans="1:21" x14ac:dyDescent="0.25">
      <c r="A186" s="510"/>
      <c r="B186" s="985" t="s">
        <v>350</v>
      </c>
      <c r="C186" s="18">
        <v>0</v>
      </c>
      <c r="D186" s="18">
        <v>0</v>
      </c>
      <c r="E186" s="18">
        <v>3</v>
      </c>
      <c r="F186" s="18">
        <v>2</v>
      </c>
      <c r="G186" s="18">
        <v>1</v>
      </c>
      <c r="H186" s="18">
        <v>0</v>
      </c>
      <c r="I186" s="45">
        <f t="shared" ref="I186:I193" si="60">SUM(C186:H186)</f>
        <v>6</v>
      </c>
      <c r="J186" s="213">
        <f>$I186</f>
        <v>6</v>
      </c>
      <c r="K186" s="231">
        <f>J186*$O$3</f>
        <v>2490</v>
      </c>
      <c r="L186" s="239">
        <f t="shared" si="52"/>
        <v>2490</v>
      </c>
      <c r="M186" s="830">
        <f>$I186</f>
        <v>6</v>
      </c>
      <c r="N186" s="58">
        <f>M186*$O$3</f>
        <v>2490</v>
      </c>
      <c r="O186" s="57">
        <f t="shared" si="53"/>
        <v>2490</v>
      </c>
      <c r="P186" s="825">
        <f>$I186</f>
        <v>6</v>
      </c>
      <c r="Q186" s="231">
        <f>P186*$O$3</f>
        <v>2490</v>
      </c>
      <c r="R186" s="239">
        <f t="shared" si="54"/>
        <v>2490</v>
      </c>
      <c r="S186" s="96">
        <f t="shared" ref="S186:S193" si="61">AVERAGE(L186,O186,R186)</f>
        <v>2490</v>
      </c>
      <c r="T186" s="34" t="s">
        <v>12</v>
      </c>
      <c r="U186" s="185" t="s">
        <v>12</v>
      </c>
    </row>
    <row r="187" spans="1:21" s="1" customFormat="1" ht="13.5" thickBot="1" x14ac:dyDescent="0.35">
      <c r="A187" s="511"/>
      <c r="B187" s="507" t="s">
        <v>8</v>
      </c>
      <c r="C187" s="310">
        <f>ROUND(C186*Labor!$D$3,0)</f>
        <v>0</v>
      </c>
      <c r="D187" s="310">
        <f>ROUND(D186*Labor!$D$4,0)</f>
        <v>0</v>
      </c>
      <c r="E187" s="310">
        <f>ROUND(E186*Labor!$D$5,0)</f>
        <v>76</v>
      </c>
      <c r="F187" s="310">
        <f>ROUND(F186*Labor!$D$6,0)</f>
        <v>55</v>
      </c>
      <c r="G187" s="310">
        <f>ROUND(G186*Labor!$D$7,0)</f>
        <v>31</v>
      </c>
      <c r="H187" s="310">
        <f>ROUND(H186*Labor!$D$8,0)</f>
        <v>0</v>
      </c>
      <c r="I187" s="167">
        <f t="shared" si="60"/>
        <v>162</v>
      </c>
      <c r="J187" s="284">
        <f>HLOOKUP(K$10,InflationTable,2)/HLOOKUP(Labor!$B$11,InflationTable,2)*$I187</f>
        <v>346.55667820069203</v>
      </c>
      <c r="K187" s="245">
        <f>J187*$O$3</f>
        <v>143821.02145328719</v>
      </c>
      <c r="L187" s="246">
        <f t="shared" si="52"/>
        <v>143821.02145328719</v>
      </c>
      <c r="M187" s="169">
        <f>HLOOKUP(N$10,InflationTable,2)/HLOOKUP(Labor!$B$11,InflationTable,2)*$I187</f>
        <v>360.41894532871976</v>
      </c>
      <c r="N187" s="166">
        <f>M187*$O$3</f>
        <v>149573.86231141869</v>
      </c>
      <c r="O187" s="167">
        <f t="shared" si="53"/>
        <v>149573.86231141869</v>
      </c>
      <c r="P187" s="284">
        <f>HLOOKUP(Q$10,InflationTable,2)/HLOOKUP(Labor!$B$11,InflationTable,2)*$I187</f>
        <v>367.62732423529405</v>
      </c>
      <c r="Q187" s="245">
        <f>P187*$O$3</f>
        <v>152565.33955764704</v>
      </c>
      <c r="R187" s="246">
        <f t="shared" si="54"/>
        <v>152565.33955764704</v>
      </c>
      <c r="S187" s="169">
        <f t="shared" si="61"/>
        <v>148653.40777411763</v>
      </c>
      <c r="T187" s="323" t="s">
        <v>12</v>
      </c>
      <c r="U187" s="183" t="s">
        <v>12</v>
      </c>
    </row>
    <row r="188" spans="1:21" x14ac:dyDescent="0.25">
      <c r="A188" s="510"/>
      <c r="B188" s="983" t="s">
        <v>351</v>
      </c>
      <c r="C188" s="18">
        <v>0</v>
      </c>
      <c r="D188" s="18">
        <v>0</v>
      </c>
      <c r="E188" s="18">
        <v>3</v>
      </c>
      <c r="F188" s="18">
        <v>2</v>
      </c>
      <c r="G188" s="18">
        <v>1</v>
      </c>
      <c r="H188" s="18">
        <v>0</v>
      </c>
      <c r="I188" s="45">
        <f t="shared" si="60"/>
        <v>6</v>
      </c>
      <c r="J188" s="213">
        <f>$I188</f>
        <v>6</v>
      </c>
      <c r="K188" s="231">
        <f>$I$161*($O$4+$O$5)</f>
        <v>734</v>
      </c>
      <c r="L188" s="239">
        <f t="shared" si="52"/>
        <v>734</v>
      </c>
      <c r="M188" s="830">
        <f>$I188</f>
        <v>6</v>
      </c>
      <c r="N188" s="58">
        <f>$I$161*($O$4+$O$5)</f>
        <v>734</v>
      </c>
      <c r="O188" s="57">
        <f t="shared" si="53"/>
        <v>734</v>
      </c>
      <c r="P188" s="825">
        <f>$I188</f>
        <v>6</v>
      </c>
      <c r="Q188" s="231">
        <f>$I$161*($O$4+$O$5)</f>
        <v>734</v>
      </c>
      <c r="R188" s="239">
        <f t="shared" si="54"/>
        <v>734</v>
      </c>
      <c r="S188" s="96">
        <f t="shared" si="61"/>
        <v>734</v>
      </c>
      <c r="T188" s="34" t="s">
        <v>12</v>
      </c>
      <c r="U188" s="185" t="s">
        <v>12</v>
      </c>
    </row>
    <row r="189" spans="1:21" s="1" customFormat="1" ht="13.5" thickBot="1" x14ac:dyDescent="0.35">
      <c r="A189" s="511"/>
      <c r="B189" s="984" t="s">
        <v>8</v>
      </c>
      <c r="C189" s="310">
        <f>ROUND(C188*Labor!$D$3,0)</f>
        <v>0</v>
      </c>
      <c r="D189" s="310">
        <f>ROUND(D188*Labor!$D$4,0)</f>
        <v>0</v>
      </c>
      <c r="E189" s="310">
        <f>ROUND(E188*Labor!$D$5,0)</f>
        <v>76</v>
      </c>
      <c r="F189" s="310">
        <f>ROUND(F188*Labor!$D$6,0)</f>
        <v>55</v>
      </c>
      <c r="G189" s="310">
        <f>ROUND(G188*Labor!$D$7,0)</f>
        <v>31</v>
      </c>
      <c r="H189" s="310">
        <f>ROUND(H188*Labor!$D$8,0)</f>
        <v>0</v>
      </c>
      <c r="I189" s="167">
        <f t="shared" si="60"/>
        <v>162</v>
      </c>
      <c r="J189" s="284">
        <f>HLOOKUP(K$10,InflationTable,2)/HLOOKUP(Labor!$B$11,InflationTable,2)*$I189</f>
        <v>346.55667820069203</v>
      </c>
      <c r="K189" s="245">
        <f>J189*($O$4+$O$5)</f>
        <v>25437.260179930796</v>
      </c>
      <c r="L189" s="246">
        <f t="shared" si="52"/>
        <v>25437.260179930796</v>
      </c>
      <c r="M189" s="169">
        <f>HLOOKUP(N$10,InflationTable,2)/HLOOKUP(Labor!$B$11,InflationTable,2)*$I189</f>
        <v>360.41894532871976</v>
      </c>
      <c r="N189" s="166">
        <f>M189*($O$4+$O$5)</f>
        <v>26454.750587128034</v>
      </c>
      <c r="O189" s="167">
        <f t="shared" si="53"/>
        <v>26454.750587128034</v>
      </c>
      <c r="P189" s="284">
        <f>HLOOKUP(Q$10,InflationTable,2)/HLOOKUP(Labor!$B$11,InflationTable,2)*$I189</f>
        <v>367.62732423529405</v>
      </c>
      <c r="Q189" s="245">
        <f>P189*($O$4+$O$5)</f>
        <v>26983.845598870586</v>
      </c>
      <c r="R189" s="246">
        <f t="shared" si="54"/>
        <v>26983.845598870586</v>
      </c>
      <c r="S189" s="169">
        <f t="shared" si="61"/>
        <v>26291.952121976472</v>
      </c>
      <c r="T189" s="323" t="s">
        <v>12</v>
      </c>
      <c r="U189" s="183" t="s">
        <v>12</v>
      </c>
    </row>
    <row r="190" spans="1:21" x14ac:dyDescent="0.25">
      <c r="A190" s="510"/>
      <c r="B190" s="985" t="s">
        <v>353</v>
      </c>
      <c r="C190" s="18">
        <v>0</v>
      </c>
      <c r="D190" s="18">
        <v>0</v>
      </c>
      <c r="E190" s="18">
        <v>3</v>
      </c>
      <c r="F190" s="18">
        <v>2</v>
      </c>
      <c r="G190" s="18">
        <v>1</v>
      </c>
      <c r="H190" s="18">
        <v>0</v>
      </c>
      <c r="I190" s="45">
        <f t="shared" si="60"/>
        <v>6</v>
      </c>
      <c r="J190" s="213">
        <f>$I190</f>
        <v>6</v>
      </c>
      <c r="K190" s="231">
        <f>J190*$L$6</f>
        <v>0</v>
      </c>
      <c r="L190" s="239">
        <f t="shared" si="52"/>
        <v>0</v>
      </c>
      <c r="M190" s="830">
        <f>$I190</f>
        <v>6</v>
      </c>
      <c r="N190" s="58">
        <f>M190*$L$6</f>
        <v>0</v>
      </c>
      <c r="O190" s="57">
        <f t="shared" si="53"/>
        <v>0</v>
      </c>
      <c r="P190" s="825">
        <f>$I190</f>
        <v>6</v>
      </c>
      <c r="Q190" s="231">
        <f>P190*$L$6</f>
        <v>0</v>
      </c>
      <c r="R190" s="239">
        <f t="shared" si="54"/>
        <v>0</v>
      </c>
      <c r="S190" s="96">
        <f t="shared" si="61"/>
        <v>0</v>
      </c>
      <c r="T190" s="34" t="s">
        <v>12</v>
      </c>
      <c r="U190" s="185" t="s">
        <v>12</v>
      </c>
    </row>
    <row r="191" spans="1:21" s="1" customFormat="1" ht="13.5" thickBot="1" x14ac:dyDescent="0.35">
      <c r="A191" s="511"/>
      <c r="B191" s="984" t="s">
        <v>8</v>
      </c>
      <c r="C191" s="310">
        <f>ROUND(C190*Labor!$D$3,0)</f>
        <v>0</v>
      </c>
      <c r="D191" s="310">
        <f>ROUND(D190*Labor!$D$4,0)</f>
        <v>0</v>
      </c>
      <c r="E191" s="310">
        <f>ROUND(E190*Labor!$D$5,0)</f>
        <v>76</v>
      </c>
      <c r="F191" s="310">
        <f>ROUND(F190*Labor!$D$6,0)</f>
        <v>55</v>
      </c>
      <c r="G191" s="310">
        <f>ROUND(G190*Labor!$D$7,0)</f>
        <v>31</v>
      </c>
      <c r="H191" s="310">
        <f>ROUND(H190*Labor!$D$8,0)</f>
        <v>0</v>
      </c>
      <c r="I191" s="167">
        <f t="shared" si="60"/>
        <v>162</v>
      </c>
      <c r="J191" s="284">
        <f>HLOOKUP(K$10,InflationTable,2)/HLOOKUP(Labor!$B$11,InflationTable,2)*$I191</f>
        <v>346.55667820069203</v>
      </c>
      <c r="K191" s="245">
        <f>J191*$L$6</f>
        <v>0</v>
      </c>
      <c r="L191" s="246">
        <f t="shared" si="52"/>
        <v>0</v>
      </c>
      <c r="M191" s="169">
        <f>HLOOKUP(N$10,InflationTable,2)/HLOOKUP(Labor!$B$11,InflationTable,2)*$I191</f>
        <v>360.41894532871976</v>
      </c>
      <c r="N191" s="166">
        <f>M191*$L$6</f>
        <v>0</v>
      </c>
      <c r="O191" s="167">
        <f t="shared" si="53"/>
        <v>0</v>
      </c>
      <c r="P191" s="284">
        <f>HLOOKUP(Q$10,InflationTable,2)/HLOOKUP(Labor!$B$11,InflationTable,2)*$I191</f>
        <v>367.62732423529405</v>
      </c>
      <c r="Q191" s="245">
        <f>P191*$L$6</f>
        <v>0</v>
      </c>
      <c r="R191" s="246">
        <f t="shared" si="54"/>
        <v>0</v>
      </c>
      <c r="S191" s="169">
        <f t="shared" si="61"/>
        <v>0</v>
      </c>
      <c r="T191" s="323" t="s">
        <v>12</v>
      </c>
      <c r="U191" s="183" t="s">
        <v>12</v>
      </c>
    </row>
    <row r="192" spans="1:21" x14ac:dyDescent="0.25">
      <c r="A192" s="510"/>
      <c r="B192" s="983" t="s">
        <v>352</v>
      </c>
      <c r="C192" s="18">
        <v>0</v>
      </c>
      <c r="D192" s="18">
        <v>0</v>
      </c>
      <c r="E192" s="18">
        <v>3</v>
      </c>
      <c r="F192" s="18">
        <v>2</v>
      </c>
      <c r="G192" s="18">
        <v>1</v>
      </c>
      <c r="H192" s="18">
        <v>0</v>
      </c>
      <c r="I192" s="45">
        <f t="shared" si="60"/>
        <v>6</v>
      </c>
      <c r="J192" s="213">
        <f>$I192</f>
        <v>6</v>
      </c>
      <c r="K192" s="231">
        <f>J192*$O$6</f>
        <v>4482</v>
      </c>
      <c r="L192" s="239">
        <f t="shared" si="52"/>
        <v>4482</v>
      </c>
      <c r="M192" s="830">
        <f>$I192</f>
        <v>6</v>
      </c>
      <c r="N192" s="58">
        <f>M192*$O$6</f>
        <v>4482</v>
      </c>
      <c r="O192" s="57">
        <f t="shared" si="53"/>
        <v>4482</v>
      </c>
      <c r="P192" s="825">
        <f>$I192</f>
        <v>6</v>
      </c>
      <c r="Q192" s="231">
        <f>P192*$O$6</f>
        <v>4482</v>
      </c>
      <c r="R192" s="239">
        <f t="shared" si="54"/>
        <v>4482</v>
      </c>
      <c r="S192" s="96">
        <f t="shared" si="61"/>
        <v>4482</v>
      </c>
      <c r="T192" s="34" t="s">
        <v>12</v>
      </c>
      <c r="U192" s="185" t="s">
        <v>12</v>
      </c>
    </row>
    <row r="193" spans="1:21" s="1" customFormat="1" ht="13.5" thickBot="1" x14ac:dyDescent="0.35">
      <c r="A193" s="511"/>
      <c r="B193" s="984" t="s">
        <v>8</v>
      </c>
      <c r="C193" s="310">
        <f>ROUND(C192*Labor!$D$3,0)</f>
        <v>0</v>
      </c>
      <c r="D193" s="310">
        <f>ROUND(D192*Labor!$D$4,0)</f>
        <v>0</v>
      </c>
      <c r="E193" s="310">
        <f>ROUND(E192*Labor!$D$5,0)</f>
        <v>76</v>
      </c>
      <c r="F193" s="310">
        <f>ROUND(F192*Labor!$D$6,0)</f>
        <v>55</v>
      </c>
      <c r="G193" s="310">
        <f>ROUND(G192*Labor!$D$7,0)</f>
        <v>31</v>
      </c>
      <c r="H193" s="310">
        <f>ROUND(H192*Labor!$D$8,0)</f>
        <v>0</v>
      </c>
      <c r="I193" s="167">
        <f t="shared" si="60"/>
        <v>162</v>
      </c>
      <c r="J193" s="284">
        <f>HLOOKUP(K$10,InflationTable,2)/HLOOKUP(Labor!$B$11,InflationTable,2)*$I193</f>
        <v>346.55667820069203</v>
      </c>
      <c r="K193" s="245">
        <f>J193*$O$6</f>
        <v>258877.83861591696</v>
      </c>
      <c r="L193" s="246">
        <f t="shared" si="52"/>
        <v>258877.83861591696</v>
      </c>
      <c r="M193" s="169">
        <f>HLOOKUP(N$10,InflationTable,2)/HLOOKUP(Labor!$B$11,InflationTable,2)*$I193</f>
        <v>360.41894532871976</v>
      </c>
      <c r="N193" s="166">
        <f>M193*$O$6</f>
        <v>269232.95216055366</v>
      </c>
      <c r="O193" s="167">
        <f t="shared" si="53"/>
        <v>269232.95216055366</v>
      </c>
      <c r="P193" s="284">
        <f>HLOOKUP(Q$10,InflationTable,2)/HLOOKUP(Labor!$B$11,InflationTable,2)*$I193</f>
        <v>367.62732423529405</v>
      </c>
      <c r="Q193" s="245">
        <f>P193*$O$6</f>
        <v>274617.61120376468</v>
      </c>
      <c r="R193" s="246">
        <f t="shared" si="54"/>
        <v>274617.61120376468</v>
      </c>
      <c r="S193" s="169">
        <f t="shared" si="61"/>
        <v>267576.13399341179</v>
      </c>
      <c r="T193" s="323" t="s">
        <v>12</v>
      </c>
      <c r="U193" s="183" t="s">
        <v>12</v>
      </c>
    </row>
    <row r="194" spans="1:21" ht="13" x14ac:dyDescent="0.3">
      <c r="A194" s="510"/>
      <c r="B194" s="378" t="s">
        <v>106</v>
      </c>
      <c r="C194" s="5"/>
      <c r="D194" s="349" t="s">
        <v>54</v>
      </c>
      <c r="E194" s="24">
        <v>5</v>
      </c>
      <c r="I194" s="87" t="s">
        <v>55</v>
      </c>
      <c r="J194" s="209"/>
      <c r="K194" s="445"/>
      <c r="L194" s="446"/>
      <c r="M194" s="130" t="s">
        <v>55</v>
      </c>
      <c r="N194" s="1179" t="s">
        <v>57</v>
      </c>
      <c r="O194" s="1180"/>
      <c r="P194" s="209" t="s">
        <v>55</v>
      </c>
      <c r="Q194" s="1176" t="s">
        <v>57</v>
      </c>
      <c r="R194" s="1184"/>
      <c r="S194" s="139"/>
      <c r="T194" s="108"/>
      <c r="U194" s="182"/>
    </row>
    <row r="195" spans="1:21" x14ac:dyDescent="0.25">
      <c r="A195" s="510"/>
      <c r="B195" s="607" t="s">
        <v>51</v>
      </c>
      <c r="C195" s="18">
        <v>0</v>
      </c>
      <c r="D195" s="18">
        <v>0</v>
      </c>
      <c r="E195" s="18">
        <v>5</v>
      </c>
      <c r="F195" s="18">
        <v>5</v>
      </c>
      <c r="G195" s="18">
        <v>5</v>
      </c>
      <c r="H195" s="18">
        <v>0</v>
      </c>
      <c r="I195" s="45">
        <f>SUM(C195:H195)</f>
        <v>15</v>
      </c>
      <c r="J195" s="213" t="s">
        <v>12</v>
      </c>
      <c r="K195" s="233">
        <f>$I195*$I$4</f>
        <v>1395</v>
      </c>
      <c r="L195" s="232">
        <f>K195/$E$194</f>
        <v>279</v>
      </c>
      <c r="M195" s="51" t="s">
        <v>12</v>
      </c>
      <c r="N195" s="10">
        <f>$I195*$I$4</f>
        <v>1395</v>
      </c>
      <c r="O195" s="52">
        <f>N195/$E$194</f>
        <v>279</v>
      </c>
      <c r="P195" s="213" t="s">
        <v>12</v>
      </c>
      <c r="Q195" s="233">
        <f>$I195*$I$4</f>
        <v>1395</v>
      </c>
      <c r="R195" s="232">
        <f>Q195/$E$194</f>
        <v>279</v>
      </c>
      <c r="S195" s="96">
        <f>AVERAGE(L195,O195,R195)</f>
        <v>279</v>
      </c>
      <c r="T195" s="93" t="s">
        <v>12</v>
      </c>
      <c r="U195" s="187" t="s">
        <v>12</v>
      </c>
    </row>
    <row r="196" spans="1:21" ht="13.5" thickBot="1" x14ac:dyDescent="0.35">
      <c r="A196" s="510"/>
      <c r="B196" s="986" t="s">
        <v>105</v>
      </c>
      <c r="C196" s="29">
        <f>ROUND(C195*Labor!$D$3,0)</f>
        <v>0</v>
      </c>
      <c r="D196" s="29">
        <f>ROUND(D195*Labor!$D$4,0)</f>
        <v>0</v>
      </c>
      <c r="E196" s="29">
        <f>ROUND(E195*Labor!$D$5,0)</f>
        <v>126</v>
      </c>
      <c r="F196" s="29">
        <f>ROUND(F195*Labor!$D$6,0)</f>
        <v>138</v>
      </c>
      <c r="G196" s="29">
        <f>ROUND(G195*Labor!$D$7,0)</f>
        <v>157</v>
      </c>
      <c r="H196" s="29">
        <f>ROUND(H195*Labor!$D$8,0)</f>
        <v>0</v>
      </c>
      <c r="I196" s="33">
        <f>SUM(C196:H196)</f>
        <v>421</v>
      </c>
      <c r="J196" s="218">
        <f>HLOOKUP(Labor!$B$11,InflationTable,2)*I196</f>
        <v>60834.5</v>
      </c>
      <c r="K196" s="219">
        <f>J196*$I$4</f>
        <v>5657608.5</v>
      </c>
      <c r="L196" s="220">
        <f>K196/$E$194</f>
        <v>1131521.7</v>
      </c>
      <c r="M196" s="169">
        <f>HLOOKUP(N$10,InflationTable,2)/HLOOKUP(Labor!$B$11,InflationTable,2)*$I196</f>
        <v>936.64429619377165</v>
      </c>
      <c r="N196" s="55">
        <f>M196*$I$4</f>
        <v>87107.91954602077</v>
      </c>
      <c r="O196" s="33">
        <f>N196/$E$194</f>
        <v>17421.583909204153</v>
      </c>
      <c r="P196" s="284">
        <f>HLOOKUP(Q$10,InflationTable,2)/HLOOKUP(Labor!$B$11,InflationTable,2)*$I196</f>
        <v>955.37718211764695</v>
      </c>
      <c r="Q196" s="219">
        <f>P196*$I$4</f>
        <v>88850.077936941161</v>
      </c>
      <c r="R196" s="220">
        <f>Q196/$E$194</f>
        <v>17770.015587388232</v>
      </c>
      <c r="S196" s="103">
        <f>AVERAGE(L196,O196,R196)</f>
        <v>388904.43316553085</v>
      </c>
      <c r="T196" s="110" t="s">
        <v>12</v>
      </c>
      <c r="U196" s="425" t="s">
        <v>12</v>
      </c>
    </row>
    <row r="197" spans="1:21" ht="13" x14ac:dyDescent="0.3">
      <c r="A197" s="510"/>
      <c r="B197" s="378" t="s">
        <v>29</v>
      </c>
      <c r="C197" s="86" t="s">
        <v>45</v>
      </c>
      <c r="D197" s="86" t="s">
        <v>46</v>
      </c>
      <c r="E197" s="86" t="s">
        <v>47</v>
      </c>
      <c r="F197" s="86" t="s">
        <v>48</v>
      </c>
      <c r="G197" s="86" t="s">
        <v>49</v>
      </c>
      <c r="H197" s="86" t="s">
        <v>50</v>
      </c>
      <c r="I197" s="87" t="s">
        <v>112</v>
      </c>
      <c r="J197" s="292"/>
      <c r="K197" s="293"/>
      <c r="L197" s="296"/>
      <c r="M197" s="88" t="s">
        <v>113</v>
      </c>
      <c r="N197" s="86" t="s">
        <v>13</v>
      </c>
      <c r="O197" s="87" t="s">
        <v>68</v>
      </c>
      <c r="P197" s="292" t="s">
        <v>113</v>
      </c>
      <c r="Q197" s="293" t="s">
        <v>13</v>
      </c>
      <c r="R197" s="296" t="s">
        <v>68</v>
      </c>
      <c r="S197" s="98"/>
      <c r="T197" s="108"/>
      <c r="U197" s="182"/>
    </row>
    <row r="198" spans="1:21" x14ac:dyDescent="0.25">
      <c r="A198" s="510"/>
      <c r="B198" s="987" t="s">
        <v>51</v>
      </c>
      <c r="C198" s="18">
        <v>0</v>
      </c>
      <c r="D198" s="18">
        <v>0</v>
      </c>
      <c r="E198" s="18">
        <v>0</v>
      </c>
      <c r="F198" s="18">
        <v>5</v>
      </c>
      <c r="G198" s="18">
        <v>5</v>
      </c>
      <c r="H198" s="18">
        <v>5</v>
      </c>
      <c r="I198" s="45">
        <f>SUM(C198:H198)</f>
        <v>15</v>
      </c>
      <c r="J198" s="213" t="s">
        <v>12</v>
      </c>
      <c r="K198" s="262">
        <f>$I198*$I$4</f>
        <v>1395</v>
      </c>
      <c r="L198" s="239">
        <f>K198</f>
        <v>1395</v>
      </c>
      <c r="M198" s="51" t="s">
        <v>12</v>
      </c>
      <c r="N198" s="73">
        <f>$I198*$I$4</f>
        <v>1395</v>
      </c>
      <c r="O198" s="57">
        <f>N198</f>
        <v>1395</v>
      </c>
      <c r="P198" s="213" t="s">
        <v>12</v>
      </c>
      <c r="Q198" s="262">
        <f>$I198*$I$4</f>
        <v>1395</v>
      </c>
      <c r="R198" s="239">
        <f>Q198</f>
        <v>1395</v>
      </c>
      <c r="S198" s="96">
        <f>AVERAGE(L198,O198,R198)</f>
        <v>1395</v>
      </c>
      <c r="T198" s="34" t="s">
        <v>12</v>
      </c>
      <c r="U198" s="185" t="s">
        <v>12</v>
      </c>
    </row>
    <row r="199" spans="1:21" ht="13.5" thickBot="1" x14ac:dyDescent="0.35">
      <c r="A199" s="510"/>
      <c r="B199" s="884" t="s">
        <v>107</v>
      </c>
      <c r="C199" s="29">
        <f>ROUND(C198*Labor!$D$3,0)</f>
        <v>0</v>
      </c>
      <c r="D199" s="29">
        <f>ROUND(D198*Labor!$D$4,0)</f>
        <v>0</v>
      </c>
      <c r="E199" s="29">
        <f>ROUND(E198*Labor!$D$5,0)</f>
        <v>0</v>
      </c>
      <c r="F199" s="29">
        <f>ROUND(F198*Labor!$D$6,0)</f>
        <v>138</v>
      </c>
      <c r="G199" s="29">
        <f>ROUND(G198*Labor!$D$7,0)</f>
        <v>157</v>
      </c>
      <c r="H199" s="29">
        <f>ROUND(H198*Labor!$D$8,0)</f>
        <v>189</v>
      </c>
      <c r="I199" s="33">
        <f>SUM(C199:H199)</f>
        <v>484</v>
      </c>
      <c r="J199" s="218">
        <f>HLOOKUP(Labor!$B$11,InflationTable,2)*I199</f>
        <v>69938</v>
      </c>
      <c r="K199" s="219">
        <f>J199*$I$4</f>
        <v>6504234</v>
      </c>
      <c r="L199" s="256">
        <f>K199/$E$194</f>
        <v>1300846.8</v>
      </c>
      <c r="M199" s="169">
        <f>HLOOKUP(N$10,InflationTable,2)/HLOOKUP(Labor!$B$11,InflationTable,2)*$I199</f>
        <v>1076.8072193771627</v>
      </c>
      <c r="N199" s="55">
        <f>M199*$I$4</f>
        <v>100143.07140207614</v>
      </c>
      <c r="O199" s="77">
        <f>N199/$E$194</f>
        <v>20028.614280415226</v>
      </c>
      <c r="P199" s="284">
        <f>HLOOKUP(Q$10,InflationTable,2)/HLOOKUP(Labor!$B$11,InflationTable,2)*$I199</f>
        <v>1098.3433637647058</v>
      </c>
      <c r="Q199" s="219">
        <f>P199*$I$4</f>
        <v>102145.93283011764</v>
      </c>
      <c r="R199" s="256">
        <f>Q199/$E$194</f>
        <v>20429.186566023527</v>
      </c>
      <c r="S199" s="103">
        <f>AVERAGE(L199,O199,R199)</f>
        <v>447101.53361547965</v>
      </c>
      <c r="T199" s="110" t="s">
        <v>12</v>
      </c>
      <c r="U199" s="425" t="s">
        <v>12</v>
      </c>
    </row>
    <row r="200" spans="1:21" ht="13" x14ac:dyDescent="0.3">
      <c r="A200" s="510"/>
      <c r="B200" s="501" t="s">
        <v>66</v>
      </c>
      <c r="C200" s="36">
        <f t="shared" ref="C200:I201" si="62">C159+C161+C163+C165+C168+C170+C172+C174+C177+C179+C181+C183+C186+C188+C190+C192+C195+C198</f>
        <v>0</v>
      </c>
      <c r="D200" s="36">
        <f t="shared" si="62"/>
        <v>24</v>
      </c>
      <c r="E200" s="36">
        <f t="shared" si="62"/>
        <v>60</v>
      </c>
      <c r="F200" s="36">
        <f t="shared" si="62"/>
        <v>45</v>
      </c>
      <c r="G200" s="36">
        <f t="shared" si="62"/>
        <v>27</v>
      </c>
      <c r="H200" s="36">
        <f t="shared" si="62"/>
        <v>6</v>
      </c>
      <c r="I200" s="1062">
        <f t="shared" si="62"/>
        <v>162</v>
      </c>
      <c r="J200" s="282">
        <f t="shared" ref="J200:R200" si="63">J159+J161+J163+J165+J168+J170+J172+J174+J177+J179+J181+J183+J186+J188+J190+J192</f>
        <v>132</v>
      </c>
      <c r="K200" s="235">
        <f t="shared" si="63"/>
        <v>41282</v>
      </c>
      <c r="L200" s="260">
        <f t="shared" si="63"/>
        <v>41282</v>
      </c>
      <c r="M200" s="173">
        <f t="shared" si="63"/>
        <v>132</v>
      </c>
      <c r="N200" s="28">
        <f t="shared" si="63"/>
        <v>41282</v>
      </c>
      <c r="O200" s="81">
        <f t="shared" si="63"/>
        <v>41282</v>
      </c>
      <c r="P200" s="173">
        <f t="shared" si="63"/>
        <v>132</v>
      </c>
      <c r="Q200" s="28">
        <f t="shared" si="63"/>
        <v>41282</v>
      </c>
      <c r="R200" s="28">
        <f t="shared" si="63"/>
        <v>41282</v>
      </c>
      <c r="S200" s="122">
        <f>AVERAGE(L200,O200,R200)</f>
        <v>41282</v>
      </c>
      <c r="T200" s="1064" t="s">
        <v>12</v>
      </c>
      <c r="U200" s="1065" t="s">
        <v>12</v>
      </c>
    </row>
    <row r="201" spans="1:21" ht="13.5" thickBot="1" x14ac:dyDescent="0.35">
      <c r="A201" s="510"/>
      <c r="B201" s="502" t="s">
        <v>67</v>
      </c>
      <c r="C201" s="593">
        <f t="shared" si="62"/>
        <v>0</v>
      </c>
      <c r="D201" s="593">
        <f t="shared" si="62"/>
        <v>580</v>
      </c>
      <c r="E201" s="593">
        <f t="shared" si="62"/>
        <v>1513</v>
      </c>
      <c r="F201" s="593">
        <f t="shared" si="62"/>
        <v>1239</v>
      </c>
      <c r="G201" s="593">
        <f t="shared" si="62"/>
        <v>846</v>
      </c>
      <c r="H201" s="593">
        <f t="shared" si="62"/>
        <v>227</v>
      </c>
      <c r="I201" s="1055">
        <f t="shared" si="62"/>
        <v>4405</v>
      </c>
      <c r="J201" s="1054">
        <f>J160+J162+J164+J166+J169+J171+J173+J175+J178+J180+J182+J184+J187+J189+J191+J193+J196+J199</f>
        <v>138259.83564013842</v>
      </c>
      <c r="K201" s="759">
        <f>K160+K162+K164+K166+K169+K171+K173+K175+K178+K180+K182+K184+K187+K189+K191+K193+K196+K199+K156+K155</f>
        <v>14636440.590995669</v>
      </c>
      <c r="L201" s="1053">
        <f>L160+L162+L164+L166+L169+L171+L173+L175+L178+L180+L182+L184+L187+L189+L191+L193+L196+L199+L156+L155</f>
        <v>4778601.3980351696</v>
      </c>
      <c r="M201" s="1052">
        <f>M160+M162+M164+M166+M169+M171+M173+M175+M178+M180+M182+M184+M187+M189+M191+M193+M196+M199</f>
        <v>9800.2805813148807</v>
      </c>
      <c r="N201" s="593">
        <f>N160+N162+N164+N166+N169+N171+N173+N175+N178+N180+N182+N184+N187+N189+N191+N193+N196+N199+N156+N155</f>
        <v>2760833.005583595</v>
      </c>
      <c r="O201" s="1055">
        <f>O160+O162+O164+O166+O169+O171+O173+O175+O178+O180+O182+O184+O187+O189+O191+O193+O196+O199+O156+O155</f>
        <v>2477532.4121461972</v>
      </c>
      <c r="P201" s="1052">
        <f>P160+P162+P164+P166+P169+P171+P173+P175+P178+P180+P182+P184+P187+P189+P191+P193+P196+P199</f>
        <v>9996.2861929411774</v>
      </c>
      <c r="Q201" s="593">
        <f>Q160+Q162+Q164+Q166+Q169+Q171+Q173+Q175+Q178+Q180+Q182+Q184+Q187+Q189+Q191+Q193+Q196+Q199+Q156+Q155</f>
        <v>2816049.6656952668</v>
      </c>
      <c r="R201" s="1067">
        <f>R160+R162+R164+R166+R169+R171+R173+R175+R178+R180+R182+R184+R187+R189+R191+R193+R196+R199+R156+R155</f>
        <v>2527083.0603891201</v>
      </c>
      <c r="S201" s="1063">
        <f>SUM(S153:S199)</f>
        <v>3300125.9883241635</v>
      </c>
      <c r="T201" s="964">
        <f>SUM(T153:T199)</f>
        <v>0</v>
      </c>
      <c r="U201" s="971">
        <f>SUM(U153:U199)</f>
        <v>3902.3018659992185</v>
      </c>
    </row>
    <row r="202" spans="1:21" ht="13.5" thickTop="1" thickBot="1" x14ac:dyDescent="0.3">
      <c r="B202" s="513"/>
      <c r="C202" s="513"/>
      <c r="D202" s="513"/>
      <c r="E202" s="513"/>
      <c r="F202" s="513"/>
      <c r="G202" s="513"/>
      <c r="H202" s="513"/>
      <c r="I202" s="513"/>
      <c r="J202" s="513"/>
      <c r="K202" s="513"/>
      <c r="L202" s="513"/>
      <c r="M202" s="513"/>
      <c r="N202" s="513"/>
      <c r="O202" s="513"/>
      <c r="P202" s="513"/>
      <c r="Q202" s="513"/>
      <c r="R202" s="513"/>
      <c r="S202" s="513"/>
      <c r="T202" s="513"/>
      <c r="U202" s="513"/>
    </row>
    <row r="203" spans="1:21" ht="16" thickTop="1" x14ac:dyDescent="0.35">
      <c r="A203" s="510"/>
      <c r="B203" s="2" t="s">
        <v>30</v>
      </c>
      <c r="F203" s="1" t="s">
        <v>6</v>
      </c>
      <c r="G203" s="1160"/>
      <c r="H203" s="1161"/>
      <c r="I203" s="1162"/>
      <c r="J203" s="2" t="s">
        <v>30</v>
      </c>
      <c r="L203" s="31"/>
      <c r="M203" s="2" t="s">
        <v>30</v>
      </c>
      <c r="O203" s="31"/>
      <c r="P203" s="2" t="s">
        <v>30</v>
      </c>
      <c r="Q203" s="61"/>
      <c r="R203" s="62"/>
      <c r="S203" s="97"/>
      <c r="T203" s="108"/>
      <c r="U203" s="414"/>
    </row>
    <row r="204" spans="1:21" ht="13" x14ac:dyDescent="0.3">
      <c r="A204" s="510"/>
      <c r="B204" s="61"/>
      <c r="I204" s="32" t="s">
        <v>61</v>
      </c>
      <c r="J204" s="227" t="s">
        <v>61</v>
      </c>
      <c r="K204" s="1167" t="s">
        <v>57</v>
      </c>
      <c r="L204" s="1168"/>
      <c r="M204" s="50" t="s">
        <v>61</v>
      </c>
      <c r="N204" s="1177" t="s">
        <v>57</v>
      </c>
      <c r="O204" s="1181"/>
      <c r="P204" s="266" t="s">
        <v>61</v>
      </c>
      <c r="Q204" s="1176" t="s">
        <v>57</v>
      </c>
      <c r="R204" s="1184"/>
      <c r="S204" s="106"/>
      <c r="T204" s="108"/>
      <c r="U204" s="182"/>
    </row>
    <row r="205" spans="1:21" ht="13" x14ac:dyDescent="0.3">
      <c r="A205" s="510"/>
      <c r="B205" s="506" t="s">
        <v>21</v>
      </c>
      <c r="C205" s="20" t="s">
        <v>45</v>
      </c>
      <c r="D205" s="20" t="s">
        <v>46</v>
      </c>
      <c r="E205" s="20" t="s">
        <v>47</v>
      </c>
      <c r="F205" s="20" t="s">
        <v>48</v>
      </c>
      <c r="G205" s="20" t="s">
        <v>49</v>
      </c>
      <c r="H205" s="20" t="s">
        <v>50</v>
      </c>
      <c r="I205" s="32" t="s">
        <v>13</v>
      </c>
      <c r="J205" s="210" t="s">
        <v>56</v>
      </c>
      <c r="K205" s="211" t="s">
        <v>13</v>
      </c>
      <c r="L205" s="212" t="s">
        <v>68</v>
      </c>
      <c r="M205" s="66" t="s">
        <v>56</v>
      </c>
      <c r="N205" s="20" t="s">
        <v>13</v>
      </c>
      <c r="O205" s="32" t="s">
        <v>68</v>
      </c>
      <c r="P205" s="210" t="s">
        <v>56</v>
      </c>
      <c r="Q205" s="211" t="s">
        <v>13</v>
      </c>
      <c r="R205" s="212" t="s">
        <v>68</v>
      </c>
      <c r="S205" s="98"/>
      <c r="T205" s="157"/>
      <c r="U205" s="423"/>
    </row>
    <row r="206" spans="1:21" x14ac:dyDescent="0.25">
      <c r="A206" s="510"/>
      <c r="B206" s="982" t="s">
        <v>339</v>
      </c>
      <c r="C206" s="18">
        <v>0</v>
      </c>
      <c r="D206" s="18">
        <v>6</v>
      </c>
      <c r="E206" s="18">
        <v>3</v>
      </c>
      <c r="F206" s="18">
        <v>3</v>
      </c>
      <c r="G206" s="18">
        <v>0</v>
      </c>
      <c r="H206" s="18">
        <v>0</v>
      </c>
      <c r="I206" s="45">
        <f t="shared" ref="I206:I215" si="64">SUM(C206:H206)</f>
        <v>12</v>
      </c>
      <c r="J206" s="213" t="s">
        <v>12</v>
      </c>
      <c r="K206" s="231">
        <f>$I206*$O$3</f>
        <v>4980</v>
      </c>
      <c r="L206" s="239">
        <f t="shared" ref="L206:L215" si="65">K206</f>
        <v>4980</v>
      </c>
      <c r="M206" s="51" t="s">
        <v>12</v>
      </c>
      <c r="N206" s="58">
        <f>$I206*$O$3</f>
        <v>4980</v>
      </c>
      <c r="O206" s="57">
        <f t="shared" ref="O206:O215" si="66">N206</f>
        <v>4980</v>
      </c>
      <c r="P206" s="213" t="s">
        <v>12</v>
      </c>
      <c r="Q206" s="231">
        <f>$I206*$O$3</f>
        <v>4980</v>
      </c>
      <c r="R206" s="239">
        <f t="shared" ref="R206:R215" si="67">Q206</f>
        <v>4980</v>
      </c>
      <c r="S206" s="96">
        <f t="shared" ref="S206:S215" si="68">AVERAGE(L206,O206,R206)</f>
        <v>4980</v>
      </c>
      <c r="T206" s="34" t="s">
        <v>12</v>
      </c>
      <c r="U206" s="185" t="s">
        <v>12</v>
      </c>
    </row>
    <row r="207" spans="1:21" s="1" customFormat="1" ht="13.5" thickBot="1" x14ac:dyDescent="0.35">
      <c r="A207" s="511"/>
      <c r="B207" s="847" t="s">
        <v>8</v>
      </c>
      <c r="C207" s="310">
        <f>ROUND(C206*Labor!$D$3,0)</f>
        <v>0</v>
      </c>
      <c r="D207" s="310">
        <f>ROUND(D206*Labor!$D$4,0)</f>
        <v>145</v>
      </c>
      <c r="E207" s="310">
        <f>ROUND(E206*Labor!$D$5,0)</f>
        <v>76</v>
      </c>
      <c r="F207" s="310">
        <f>ROUND(F206*Labor!$D$6,0)</f>
        <v>83</v>
      </c>
      <c r="G207" s="310">
        <f>ROUND(G206*Labor!$D$7,0)</f>
        <v>0</v>
      </c>
      <c r="H207" s="310">
        <f>ROUND(H206*Labor!$D$8,0)</f>
        <v>0</v>
      </c>
      <c r="I207" s="167">
        <f t="shared" si="64"/>
        <v>304</v>
      </c>
      <c r="J207" s="284">
        <f>HLOOKUP(K$10,InflationTable,2)/HLOOKUP(Labor!$B$11,InflationTable,2)*$I207</f>
        <v>650.32858131487887</v>
      </c>
      <c r="K207" s="245">
        <f>J207*$O$3</f>
        <v>269886.36124567472</v>
      </c>
      <c r="L207" s="246">
        <f t="shared" si="65"/>
        <v>269886.36124567472</v>
      </c>
      <c r="M207" s="169">
        <f>HLOOKUP(N$10,InflationTable,2)/HLOOKUP(Labor!$B$11,InflationTable,2)*$I207</f>
        <v>676.3417245674741</v>
      </c>
      <c r="N207" s="166">
        <f>M207*$O$3</f>
        <v>280681.81569550175</v>
      </c>
      <c r="O207" s="167">
        <f t="shared" si="66"/>
        <v>280681.81569550175</v>
      </c>
      <c r="P207" s="284">
        <f>HLOOKUP(Q$10,InflationTable,2)/HLOOKUP(Labor!$B$11,InflationTable,2)*$I207</f>
        <v>689.86855905882339</v>
      </c>
      <c r="Q207" s="245">
        <f>P207*$O$3</f>
        <v>286295.4520094117</v>
      </c>
      <c r="R207" s="246">
        <f t="shared" si="67"/>
        <v>286295.4520094117</v>
      </c>
      <c r="S207" s="169">
        <f t="shared" si="68"/>
        <v>278954.54298352939</v>
      </c>
      <c r="T207" s="323" t="s">
        <v>12</v>
      </c>
      <c r="U207" s="183" t="s">
        <v>12</v>
      </c>
    </row>
    <row r="208" spans="1:21" x14ac:dyDescent="0.25">
      <c r="A208" s="510"/>
      <c r="B208" s="846" t="s">
        <v>338</v>
      </c>
      <c r="C208" s="18">
        <v>0</v>
      </c>
      <c r="D208" s="18">
        <v>6</v>
      </c>
      <c r="E208" s="18">
        <v>3</v>
      </c>
      <c r="F208" s="18">
        <v>3</v>
      </c>
      <c r="G208" s="18">
        <v>0</v>
      </c>
      <c r="H208" s="18">
        <v>0</v>
      </c>
      <c r="I208" s="45">
        <f t="shared" si="64"/>
        <v>12</v>
      </c>
      <c r="J208" s="242" t="s">
        <v>12</v>
      </c>
      <c r="K208" s="273">
        <f>$I208*$O$4</f>
        <v>348</v>
      </c>
      <c r="L208" s="274">
        <f t="shared" si="65"/>
        <v>348</v>
      </c>
      <c r="M208" s="53" t="s">
        <v>12</v>
      </c>
      <c r="N208" s="147">
        <f>$I208*$O$4</f>
        <v>348</v>
      </c>
      <c r="O208" s="148">
        <f t="shared" si="66"/>
        <v>348</v>
      </c>
      <c r="P208" s="242" t="s">
        <v>12</v>
      </c>
      <c r="Q208" s="273">
        <f>$I208*$O$4</f>
        <v>348</v>
      </c>
      <c r="R208" s="239">
        <f t="shared" si="67"/>
        <v>348</v>
      </c>
      <c r="S208" s="96">
        <f t="shared" si="68"/>
        <v>348</v>
      </c>
      <c r="T208" s="34" t="s">
        <v>12</v>
      </c>
      <c r="U208" s="185" t="s">
        <v>12</v>
      </c>
    </row>
    <row r="209" spans="1:21" s="1" customFormat="1" ht="13.5" thickBot="1" x14ac:dyDescent="0.35">
      <c r="A209" s="511"/>
      <c r="B209" s="847" t="s">
        <v>8</v>
      </c>
      <c r="C209" s="310">
        <f>ROUND(C208*Labor!$D$3,0)</f>
        <v>0</v>
      </c>
      <c r="D209" s="310">
        <f>ROUND(D208*Labor!$D$4,0)</f>
        <v>145</v>
      </c>
      <c r="E209" s="310">
        <f>ROUND(E208*Labor!$D$5,0)</f>
        <v>76</v>
      </c>
      <c r="F209" s="310">
        <f>ROUND(F208*Labor!$D$6,0)</f>
        <v>83</v>
      </c>
      <c r="G209" s="310">
        <f>ROUND(G208*Labor!$D$7,0)</f>
        <v>0</v>
      </c>
      <c r="H209" s="310">
        <f>ROUND(H208*Labor!$D$8,0)</f>
        <v>0</v>
      </c>
      <c r="I209" s="167">
        <f t="shared" si="64"/>
        <v>304</v>
      </c>
      <c r="J209" s="284">
        <f>HLOOKUP(K$10,InflationTable,2)/HLOOKUP(Labor!$B$11,InflationTable,2)*$I209</f>
        <v>650.32858131487887</v>
      </c>
      <c r="K209" s="245">
        <f>J209*$O$4</f>
        <v>18859.528858131489</v>
      </c>
      <c r="L209" s="246">
        <f t="shared" si="65"/>
        <v>18859.528858131489</v>
      </c>
      <c r="M209" s="169">
        <f>HLOOKUP(N$10,InflationTable,2)/HLOOKUP(Labor!$B$11,InflationTable,2)*$I209</f>
        <v>676.3417245674741</v>
      </c>
      <c r="N209" s="166">
        <f>M209*$O$4</f>
        <v>19613.910012456749</v>
      </c>
      <c r="O209" s="167">
        <f t="shared" si="66"/>
        <v>19613.910012456749</v>
      </c>
      <c r="P209" s="284">
        <f>HLOOKUP(Q$10,InflationTable,2)/HLOOKUP(Labor!$B$11,InflationTable,2)*$I209</f>
        <v>689.86855905882339</v>
      </c>
      <c r="Q209" s="245">
        <f>P209*$O$4</f>
        <v>20006.188212705878</v>
      </c>
      <c r="R209" s="246">
        <f t="shared" si="67"/>
        <v>20006.188212705878</v>
      </c>
      <c r="S209" s="169">
        <f t="shared" si="68"/>
        <v>19493.209027764704</v>
      </c>
      <c r="T209" s="323" t="s">
        <v>12</v>
      </c>
      <c r="U209" s="183" t="s">
        <v>12</v>
      </c>
    </row>
    <row r="210" spans="1:21" x14ac:dyDescent="0.25">
      <c r="A210" s="510"/>
      <c r="B210" s="846" t="s">
        <v>340</v>
      </c>
      <c r="C210" s="18">
        <v>0</v>
      </c>
      <c r="D210" s="18">
        <v>6</v>
      </c>
      <c r="E210" s="18">
        <v>3</v>
      </c>
      <c r="F210" s="18">
        <v>3</v>
      </c>
      <c r="G210" s="18">
        <v>0</v>
      </c>
      <c r="H210" s="18">
        <v>0</v>
      </c>
      <c r="I210" s="45">
        <f t="shared" si="64"/>
        <v>12</v>
      </c>
      <c r="J210" s="213" t="s">
        <v>12</v>
      </c>
      <c r="K210" s="231">
        <f>$I210*$L$6</f>
        <v>0</v>
      </c>
      <c r="L210" s="239">
        <f t="shared" si="65"/>
        <v>0</v>
      </c>
      <c r="M210" s="51" t="s">
        <v>12</v>
      </c>
      <c r="N210" s="58">
        <f>$I210*$L$6</f>
        <v>0</v>
      </c>
      <c r="O210" s="57">
        <f t="shared" si="66"/>
        <v>0</v>
      </c>
      <c r="P210" s="213" t="s">
        <v>12</v>
      </c>
      <c r="Q210" s="231">
        <f>$I210*$L$6</f>
        <v>0</v>
      </c>
      <c r="R210" s="239">
        <f t="shared" si="67"/>
        <v>0</v>
      </c>
      <c r="S210" s="96">
        <f t="shared" si="68"/>
        <v>0</v>
      </c>
      <c r="T210" s="34" t="s">
        <v>12</v>
      </c>
      <c r="U210" s="185" t="s">
        <v>12</v>
      </c>
    </row>
    <row r="211" spans="1:21" s="1" customFormat="1" ht="13.5" thickBot="1" x14ac:dyDescent="0.35">
      <c r="A211" s="511"/>
      <c r="B211" s="847" t="s">
        <v>8</v>
      </c>
      <c r="C211" s="310">
        <f>ROUND(C210*Labor!$D$3,0)</f>
        <v>0</v>
      </c>
      <c r="D211" s="310">
        <f>ROUND(D210*Labor!$D$4,0)</f>
        <v>145</v>
      </c>
      <c r="E211" s="310">
        <f>ROUND(E210*Labor!$D$5,0)</f>
        <v>76</v>
      </c>
      <c r="F211" s="310">
        <f>ROUND(F210*Labor!$D$6,0)</f>
        <v>83</v>
      </c>
      <c r="G211" s="310">
        <f>ROUND(G210*Labor!$D$7,0)</f>
        <v>0</v>
      </c>
      <c r="H211" s="310">
        <f>ROUND(H210*Labor!$D$8,0)</f>
        <v>0</v>
      </c>
      <c r="I211" s="167">
        <f t="shared" si="64"/>
        <v>304</v>
      </c>
      <c r="J211" s="284">
        <f>HLOOKUP(K$10,InflationTable,2)/HLOOKUP(Labor!$B$11,InflationTable,2)*$I211</f>
        <v>650.32858131487887</v>
      </c>
      <c r="K211" s="245">
        <f>J211*$L$6</f>
        <v>0</v>
      </c>
      <c r="L211" s="246">
        <f t="shared" si="65"/>
        <v>0</v>
      </c>
      <c r="M211" s="169">
        <f>HLOOKUP(N$10,InflationTable,2)/HLOOKUP(Labor!$B$11,InflationTable,2)*$I211</f>
        <v>676.3417245674741</v>
      </c>
      <c r="N211" s="166">
        <f>M211*$L$6</f>
        <v>0</v>
      </c>
      <c r="O211" s="167">
        <f t="shared" si="66"/>
        <v>0</v>
      </c>
      <c r="P211" s="284">
        <f>HLOOKUP(Q$10,InflationTable,2)/HLOOKUP(Labor!$B$11,InflationTable,2)*$I211</f>
        <v>689.86855905882339</v>
      </c>
      <c r="Q211" s="245">
        <f>P211*$L$6</f>
        <v>0</v>
      </c>
      <c r="R211" s="246">
        <f t="shared" si="67"/>
        <v>0</v>
      </c>
      <c r="S211" s="169">
        <f t="shared" si="68"/>
        <v>0</v>
      </c>
      <c r="T211" s="323" t="s">
        <v>12</v>
      </c>
      <c r="U211" s="183" t="s">
        <v>12</v>
      </c>
    </row>
    <row r="212" spans="1:21" x14ac:dyDescent="0.25">
      <c r="A212" s="510"/>
      <c r="B212" s="846" t="s">
        <v>342</v>
      </c>
      <c r="C212" s="18">
        <v>0</v>
      </c>
      <c r="D212" s="18">
        <v>0</v>
      </c>
      <c r="E212" s="18">
        <v>0</v>
      </c>
      <c r="F212" s="18">
        <v>12</v>
      </c>
      <c r="G212" s="18">
        <v>24</v>
      </c>
      <c r="H212" s="18">
        <v>0</v>
      </c>
      <c r="I212" s="45">
        <f t="shared" si="64"/>
        <v>36</v>
      </c>
      <c r="J212" s="213" t="s">
        <v>12</v>
      </c>
      <c r="K212" s="231">
        <f>$I212*$O$6</f>
        <v>26892</v>
      </c>
      <c r="L212" s="239">
        <f t="shared" si="65"/>
        <v>26892</v>
      </c>
      <c r="M212" s="51" t="s">
        <v>12</v>
      </c>
      <c r="N212" s="58">
        <f>$I212*$O$6</f>
        <v>26892</v>
      </c>
      <c r="O212" s="57">
        <f t="shared" si="66"/>
        <v>26892</v>
      </c>
      <c r="P212" s="213" t="s">
        <v>12</v>
      </c>
      <c r="Q212" s="231">
        <f>$I212*$O$6</f>
        <v>26892</v>
      </c>
      <c r="R212" s="239">
        <f t="shared" si="67"/>
        <v>26892</v>
      </c>
      <c r="S212" s="96">
        <f t="shared" si="68"/>
        <v>26892</v>
      </c>
      <c r="T212" s="34" t="s">
        <v>12</v>
      </c>
      <c r="U212" s="185" t="s">
        <v>12</v>
      </c>
    </row>
    <row r="213" spans="1:21" s="1" customFormat="1" ht="13.5" thickBot="1" x14ac:dyDescent="0.35">
      <c r="A213" s="511"/>
      <c r="B213" s="847" t="s">
        <v>8</v>
      </c>
      <c r="C213" s="310">
        <f>ROUND(C212*Labor!$D$3,0)</f>
        <v>0</v>
      </c>
      <c r="D213" s="310">
        <f>ROUND(D212*Labor!$D$4,0)</f>
        <v>0</v>
      </c>
      <c r="E213" s="310">
        <f>ROUND(E212*Labor!$D$5,0)</f>
        <v>0</v>
      </c>
      <c r="F213" s="310">
        <f>ROUND(F212*Labor!$D$6,0)</f>
        <v>331</v>
      </c>
      <c r="G213" s="310">
        <f>ROUND(G212*Labor!$D$7,0)</f>
        <v>751</v>
      </c>
      <c r="H213" s="310">
        <f>ROUND(H212*Labor!$D$8,0)</f>
        <v>0</v>
      </c>
      <c r="I213" s="167">
        <f t="shared" si="64"/>
        <v>1082</v>
      </c>
      <c r="J213" s="284">
        <f>HLOOKUP(K$10,InflationTable,2)/HLOOKUP(Labor!$B$11,InflationTable,2)*$I213</f>
        <v>2314.6563321799308</v>
      </c>
      <c r="K213" s="245">
        <f>J213*$O$6</f>
        <v>1729048.2801384083</v>
      </c>
      <c r="L213" s="246">
        <f t="shared" si="65"/>
        <v>1729048.2801384083</v>
      </c>
      <c r="M213" s="169">
        <f>HLOOKUP(N$10,InflationTable,2)/HLOOKUP(Labor!$B$11,InflationTable,2)*$I213</f>
        <v>2407.2425854671283</v>
      </c>
      <c r="N213" s="166">
        <f>M213*$O$6</f>
        <v>1798210.2113439448</v>
      </c>
      <c r="O213" s="167">
        <f t="shared" si="66"/>
        <v>1798210.2113439448</v>
      </c>
      <c r="P213" s="284">
        <f>HLOOKUP(Q$10,InflationTable,2)/HLOOKUP(Labor!$B$11,InflationTable,2)*$I213</f>
        <v>2455.3874371764705</v>
      </c>
      <c r="Q213" s="245">
        <f>P213*$O$6</f>
        <v>1834174.4155708235</v>
      </c>
      <c r="R213" s="246">
        <f t="shared" si="67"/>
        <v>1834174.4155708235</v>
      </c>
      <c r="S213" s="169">
        <f t="shared" si="68"/>
        <v>1787144.3023510587</v>
      </c>
      <c r="T213" s="323" t="s">
        <v>12</v>
      </c>
      <c r="U213" s="183" t="s">
        <v>12</v>
      </c>
    </row>
    <row r="214" spans="1:21" x14ac:dyDescent="0.25">
      <c r="A214" s="510"/>
      <c r="B214" s="846" t="s">
        <v>341</v>
      </c>
      <c r="C214" s="18">
        <v>0</v>
      </c>
      <c r="D214" s="18">
        <v>0</v>
      </c>
      <c r="E214" s="18">
        <v>0</v>
      </c>
      <c r="F214" s="18">
        <v>7</v>
      </c>
      <c r="G214" s="18">
        <v>7</v>
      </c>
      <c r="H214" s="18">
        <v>0</v>
      </c>
      <c r="I214" s="45">
        <f t="shared" si="64"/>
        <v>14</v>
      </c>
      <c r="J214" s="213" t="s">
        <v>12</v>
      </c>
      <c r="K214" s="231">
        <f>$I214*$O$7</f>
        <v>1890</v>
      </c>
      <c r="L214" s="239">
        <f t="shared" si="65"/>
        <v>1890</v>
      </c>
      <c r="M214" s="51" t="s">
        <v>12</v>
      </c>
      <c r="N214" s="58">
        <f>$I214*$O$7</f>
        <v>1890</v>
      </c>
      <c r="O214" s="57">
        <f t="shared" si="66"/>
        <v>1890</v>
      </c>
      <c r="P214" s="213" t="s">
        <v>12</v>
      </c>
      <c r="Q214" s="231">
        <f>$I214*$O$7</f>
        <v>1890</v>
      </c>
      <c r="R214" s="239">
        <f t="shared" si="67"/>
        <v>1890</v>
      </c>
      <c r="S214" s="96">
        <f t="shared" si="68"/>
        <v>1890</v>
      </c>
      <c r="T214" s="34" t="s">
        <v>12</v>
      </c>
      <c r="U214" s="185" t="s">
        <v>12</v>
      </c>
    </row>
    <row r="215" spans="1:21" s="1" customFormat="1" ht="13.5" thickBot="1" x14ac:dyDescent="0.35">
      <c r="A215" s="511"/>
      <c r="B215" s="847" t="s">
        <v>8</v>
      </c>
      <c r="C215" s="310">
        <f>ROUND(C214*Labor!$D$3,0)</f>
        <v>0</v>
      </c>
      <c r="D215" s="310">
        <f>ROUND(D214*Labor!$D$4,0)</f>
        <v>0</v>
      </c>
      <c r="E215" s="310">
        <f>ROUND(E214*Labor!$D$5,0)</f>
        <v>0</v>
      </c>
      <c r="F215" s="310">
        <f>ROUND(F214*Labor!$D$6,0)</f>
        <v>193</v>
      </c>
      <c r="G215" s="310">
        <f>ROUND(G214*Labor!$D$7,0)</f>
        <v>219</v>
      </c>
      <c r="H215" s="310">
        <f>ROUND(H214*Labor!$D$8,0)</f>
        <v>0</v>
      </c>
      <c r="I215" s="167">
        <f t="shared" si="64"/>
        <v>412</v>
      </c>
      <c r="J215" s="284">
        <f>HLOOKUP(K$10,InflationTable,2)/HLOOKUP(Labor!$B$11,InflationTable,2)*$I215</f>
        <v>881.36636678200682</v>
      </c>
      <c r="K215" s="245">
        <f>J215*$O$7</f>
        <v>118984.45951557092</v>
      </c>
      <c r="L215" s="246">
        <f t="shared" si="65"/>
        <v>118984.45951557092</v>
      </c>
      <c r="M215" s="169">
        <f>HLOOKUP(N$10,InflationTable,2)/HLOOKUP(Labor!$B$11,InflationTable,2)*$I215</f>
        <v>916.62102145328731</v>
      </c>
      <c r="N215" s="166">
        <f>M215*$O$7</f>
        <v>123743.83789619379</v>
      </c>
      <c r="O215" s="167">
        <f t="shared" si="66"/>
        <v>123743.83789619379</v>
      </c>
      <c r="P215" s="284">
        <f>HLOOKUP(Q$10,InflationTable,2)/HLOOKUP(Labor!$B$11,InflationTable,2)*$I215</f>
        <v>934.95344188235288</v>
      </c>
      <c r="Q215" s="245">
        <f>P215*$O$7</f>
        <v>126218.71465411763</v>
      </c>
      <c r="R215" s="246">
        <f t="shared" si="67"/>
        <v>126218.71465411763</v>
      </c>
      <c r="S215" s="169">
        <f t="shared" si="68"/>
        <v>122982.3373552941</v>
      </c>
      <c r="T215" s="323" t="s">
        <v>12</v>
      </c>
      <c r="U215" s="183" t="s">
        <v>12</v>
      </c>
    </row>
    <row r="216" spans="1:21" ht="13" x14ac:dyDescent="0.3">
      <c r="A216" s="510"/>
      <c r="B216" s="1" t="s">
        <v>219</v>
      </c>
      <c r="C216" s="915"/>
      <c r="D216" s="915"/>
      <c r="E216" s="915"/>
      <c r="F216" s="915"/>
      <c r="G216" s="915"/>
      <c r="H216" s="915"/>
      <c r="I216" s="925"/>
      <c r="J216" s="922"/>
      <c r="K216" s="917"/>
      <c r="L216" s="918"/>
      <c r="M216" s="919"/>
      <c r="N216" s="920"/>
      <c r="O216" s="921"/>
      <c r="P216" s="922"/>
      <c r="Q216" s="273"/>
      <c r="R216" s="918"/>
      <c r="S216" s="1066"/>
      <c r="T216" s="81"/>
      <c r="U216" s="972"/>
    </row>
    <row r="217" spans="1:21" x14ac:dyDescent="0.25">
      <c r="A217" s="510"/>
      <c r="B217" s="980" t="s">
        <v>343</v>
      </c>
      <c r="C217" s="290">
        <v>0</v>
      </c>
      <c r="D217" s="290">
        <v>0</v>
      </c>
      <c r="E217" s="290">
        <v>5</v>
      </c>
      <c r="F217" s="290">
        <v>5</v>
      </c>
      <c r="G217" s="290">
        <v>10</v>
      </c>
      <c r="H217" s="290">
        <v>10</v>
      </c>
      <c r="I217" s="291">
        <f t="shared" ref="I217:I226" si="69">SUM(C217:H217)</f>
        <v>30</v>
      </c>
      <c r="J217" s="242" t="s">
        <v>12</v>
      </c>
      <c r="K217" s="257">
        <f>$I217*$O$3</f>
        <v>12450</v>
      </c>
      <c r="L217" s="274">
        <f t="shared" ref="L217:L226" si="70">K217</f>
        <v>12450</v>
      </c>
      <c r="M217" s="53" t="s">
        <v>12</v>
      </c>
      <c r="N217" s="71">
        <f>$I217*$O$3</f>
        <v>12450</v>
      </c>
      <c r="O217" s="148">
        <f t="shared" ref="O217:O226" si="71">N217</f>
        <v>12450</v>
      </c>
      <c r="P217" s="242" t="s">
        <v>12</v>
      </c>
      <c r="Q217" s="257">
        <f>$I217*$O$3</f>
        <v>12450</v>
      </c>
      <c r="R217" s="274">
        <f t="shared" ref="R217:R226" si="72">Q217</f>
        <v>12450</v>
      </c>
      <c r="S217" s="104">
        <f t="shared" ref="S217:S228" si="73">AVERAGE(L217,O217,R217)</f>
        <v>12450</v>
      </c>
      <c r="T217" s="34" t="s">
        <v>12</v>
      </c>
      <c r="U217" s="187" t="s">
        <v>12</v>
      </c>
    </row>
    <row r="218" spans="1:21" ht="13.5" thickBot="1" x14ac:dyDescent="0.35">
      <c r="A218" s="510"/>
      <c r="B218" s="981" t="s">
        <v>8</v>
      </c>
      <c r="C218" s="29">
        <f>ROUND(C217*Labor!$D$3,0)</f>
        <v>0</v>
      </c>
      <c r="D218" s="29">
        <f>ROUND(D217*Labor!$D$4,0)</f>
        <v>0</v>
      </c>
      <c r="E218" s="29">
        <f>ROUND(E217*Labor!$D$5,0)</f>
        <v>126</v>
      </c>
      <c r="F218" s="29">
        <f>ROUND(F217*Labor!$D$6,0)</f>
        <v>138</v>
      </c>
      <c r="G218" s="29">
        <f>ROUND(G217*Labor!$D$7,0)</f>
        <v>313</v>
      </c>
      <c r="H218" s="29">
        <f>ROUND(H217*Labor!$D$8,0)</f>
        <v>378</v>
      </c>
      <c r="I218" s="33">
        <f t="shared" si="69"/>
        <v>955</v>
      </c>
      <c r="J218" s="284">
        <f>HLOOKUP(K$10,InflationTable,2)/HLOOKUP(Labor!$B$11,InflationTable,2)*$I218</f>
        <v>2042.9730103806228</v>
      </c>
      <c r="K218" s="295">
        <f>J218*$O$3</f>
        <v>847833.79930795846</v>
      </c>
      <c r="L218" s="256">
        <f t="shared" si="70"/>
        <v>847833.79930795846</v>
      </c>
      <c r="M218" s="169">
        <f>HLOOKUP(N$10,InflationTable,2)/HLOOKUP(Labor!$B$11,InflationTable,2)*$I218</f>
        <v>2124.6919307958478</v>
      </c>
      <c r="N218" s="84">
        <f>M218*$O$3</f>
        <v>881747.15128027683</v>
      </c>
      <c r="O218" s="77">
        <f t="shared" si="71"/>
        <v>881747.15128027683</v>
      </c>
      <c r="P218" s="284">
        <f>HLOOKUP(Q$10,InflationTable,2)/HLOOKUP(Labor!$B$11,InflationTable,2)*$I218</f>
        <v>2167.1857694117643</v>
      </c>
      <c r="Q218" s="644">
        <f>P218*$O$3</f>
        <v>899382.09430588223</v>
      </c>
      <c r="R218" s="248">
        <f t="shared" si="72"/>
        <v>899382.09430588223</v>
      </c>
      <c r="S218" s="103">
        <f t="shared" si="73"/>
        <v>876321.0149647058</v>
      </c>
      <c r="T218" s="110" t="s">
        <v>12</v>
      </c>
      <c r="U218" s="425" t="s">
        <v>12</v>
      </c>
    </row>
    <row r="219" spans="1:21" x14ac:dyDescent="0.25">
      <c r="A219" s="510"/>
      <c r="B219" s="980" t="s">
        <v>344</v>
      </c>
      <c r="C219" s="290">
        <v>0</v>
      </c>
      <c r="D219" s="290">
        <v>0</v>
      </c>
      <c r="E219" s="290">
        <v>5</v>
      </c>
      <c r="F219" s="290">
        <v>5</v>
      </c>
      <c r="G219" s="290">
        <v>10</v>
      </c>
      <c r="H219" s="290">
        <v>10</v>
      </c>
      <c r="I219" s="291">
        <f t="shared" si="69"/>
        <v>30</v>
      </c>
      <c r="J219" s="242" t="s">
        <v>12</v>
      </c>
      <c r="K219" s="273">
        <f>$I219*$O$4</f>
        <v>870</v>
      </c>
      <c r="L219" s="274">
        <f t="shared" si="70"/>
        <v>870</v>
      </c>
      <c r="M219" s="53" t="s">
        <v>12</v>
      </c>
      <c r="N219" s="147">
        <f>$I219*$O$4</f>
        <v>870</v>
      </c>
      <c r="O219" s="148">
        <f t="shared" si="71"/>
        <v>870</v>
      </c>
      <c r="P219" s="242" t="s">
        <v>12</v>
      </c>
      <c r="Q219" s="273">
        <f>$I219*$O$4</f>
        <v>870</v>
      </c>
      <c r="R219" s="274">
        <f t="shared" si="72"/>
        <v>870</v>
      </c>
      <c r="S219" s="96">
        <f t="shared" si="73"/>
        <v>870</v>
      </c>
      <c r="T219" s="34" t="s">
        <v>12</v>
      </c>
      <c r="U219" s="185" t="s">
        <v>12</v>
      </c>
    </row>
    <row r="220" spans="1:21" ht="13.5" thickBot="1" x14ac:dyDescent="0.35">
      <c r="A220" s="510"/>
      <c r="B220" s="981" t="s">
        <v>8</v>
      </c>
      <c r="C220" s="29">
        <f>ROUND(C219*Labor!$D$3,0)</f>
        <v>0</v>
      </c>
      <c r="D220" s="29">
        <f>ROUND(D219*Labor!$D$4,0)</f>
        <v>0</v>
      </c>
      <c r="E220" s="29">
        <f>ROUND(E219*Labor!$D$5,0)</f>
        <v>126</v>
      </c>
      <c r="F220" s="29">
        <f>ROUND(F219*Labor!$D$6,0)</f>
        <v>138</v>
      </c>
      <c r="G220" s="29">
        <f>ROUND(G219*Labor!$D$7,0)</f>
        <v>313</v>
      </c>
      <c r="H220" s="29">
        <f>ROUND(H219*Labor!$D$8,0)</f>
        <v>378</v>
      </c>
      <c r="I220" s="33">
        <f t="shared" si="69"/>
        <v>955</v>
      </c>
      <c r="J220" s="284">
        <f>HLOOKUP(K$10,InflationTable,2)/HLOOKUP(Labor!$B$11,InflationTable,2)*$I220</f>
        <v>2042.9730103806228</v>
      </c>
      <c r="K220" s="219">
        <f>J220*$O$4</f>
        <v>59246.217301038057</v>
      </c>
      <c r="L220" s="256">
        <f t="shared" si="70"/>
        <v>59246.217301038057</v>
      </c>
      <c r="M220" s="169">
        <f>HLOOKUP(N$10,InflationTable,2)/HLOOKUP(Labor!$B$11,InflationTable,2)*$I220</f>
        <v>2124.6919307958478</v>
      </c>
      <c r="N220" s="55">
        <f>M220*$O$4</f>
        <v>61616.065993079588</v>
      </c>
      <c r="O220" s="33">
        <f t="shared" si="71"/>
        <v>61616.065993079588</v>
      </c>
      <c r="P220" s="284">
        <f>HLOOKUP(Q$10,InflationTable,2)/HLOOKUP(Labor!$B$11,InflationTable,2)*$I220</f>
        <v>2167.1857694117643</v>
      </c>
      <c r="Q220" s="219">
        <f>P220*$O$4</f>
        <v>62848.387312941166</v>
      </c>
      <c r="R220" s="220">
        <f t="shared" si="72"/>
        <v>62848.387312941166</v>
      </c>
      <c r="S220" s="103">
        <f t="shared" si="73"/>
        <v>61236.89020235293</v>
      </c>
      <c r="T220" s="110" t="s">
        <v>12</v>
      </c>
      <c r="U220" s="425" t="s">
        <v>12</v>
      </c>
    </row>
    <row r="221" spans="1:21" x14ac:dyDescent="0.25">
      <c r="A221" s="510"/>
      <c r="B221" s="980" t="s">
        <v>345</v>
      </c>
      <c r="C221" s="290">
        <v>0</v>
      </c>
      <c r="D221" s="290">
        <v>0</v>
      </c>
      <c r="E221" s="290">
        <v>0</v>
      </c>
      <c r="F221" s="290">
        <v>5</v>
      </c>
      <c r="G221" s="290">
        <v>2</v>
      </c>
      <c r="H221" s="290">
        <v>2</v>
      </c>
      <c r="I221" s="291">
        <f t="shared" si="69"/>
        <v>9</v>
      </c>
      <c r="J221" s="242" t="s">
        <v>12</v>
      </c>
      <c r="K221" s="273">
        <f>$I221*$L$6</f>
        <v>0</v>
      </c>
      <c r="L221" s="274">
        <f t="shared" si="70"/>
        <v>0</v>
      </c>
      <c r="M221" s="53" t="s">
        <v>12</v>
      </c>
      <c r="N221" s="147">
        <f>$I221*$L$6</f>
        <v>0</v>
      </c>
      <c r="O221" s="148">
        <f t="shared" si="71"/>
        <v>0</v>
      </c>
      <c r="P221" s="242" t="s">
        <v>12</v>
      </c>
      <c r="Q221" s="273">
        <f>$I221*$L$6</f>
        <v>0</v>
      </c>
      <c r="R221" s="274">
        <f t="shared" si="72"/>
        <v>0</v>
      </c>
      <c r="S221" s="96">
        <f t="shared" ref="S221:S226" si="74">AVERAGE(L221,O221,R221)</f>
        <v>0</v>
      </c>
      <c r="T221" s="34" t="s">
        <v>12</v>
      </c>
      <c r="U221" s="185" t="s">
        <v>12</v>
      </c>
    </row>
    <row r="222" spans="1:21" ht="13.5" thickBot="1" x14ac:dyDescent="0.35">
      <c r="A222" s="510"/>
      <c r="B222" s="981" t="s">
        <v>8</v>
      </c>
      <c r="C222" s="29">
        <f>ROUND(C221*Labor!$D$3,0)</f>
        <v>0</v>
      </c>
      <c r="D222" s="29">
        <f>ROUND(D221*Labor!$D$4,0)</f>
        <v>0</v>
      </c>
      <c r="E222" s="29">
        <f>ROUND(E221*Labor!$D$5,0)</f>
        <v>0</v>
      </c>
      <c r="F222" s="29">
        <f>ROUND(F221*Labor!$D$6,0)</f>
        <v>138</v>
      </c>
      <c r="G222" s="29">
        <f>ROUND(G221*Labor!$D$7,0)</f>
        <v>63</v>
      </c>
      <c r="H222" s="29">
        <f>ROUND(H221*Labor!$D$8,0)</f>
        <v>76</v>
      </c>
      <c r="I222" s="33">
        <f t="shared" si="69"/>
        <v>277</v>
      </c>
      <c r="J222" s="284">
        <f>HLOOKUP(K$10,InflationTable,2)/HLOOKUP(Labor!$B$11,InflationTable,2)*$I222</f>
        <v>592.5691349480968</v>
      </c>
      <c r="K222" s="219">
        <f>J222*$L$6</f>
        <v>0</v>
      </c>
      <c r="L222" s="256">
        <f t="shared" si="70"/>
        <v>0</v>
      </c>
      <c r="M222" s="169">
        <f>HLOOKUP(N$10,InflationTable,2)/HLOOKUP(Labor!$B$11,InflationTable,2)*$I222</f>
        <v>616.27190034602086</v>
      </c>
      <c r="N222" s="55">
        <f>M222*$L$6</f>
        <v>0</v>
      </c>
      <c r="O222" s="33">
        <f t="shared" si="71"/>
        <v>0</v>
      </c>
      <c r="P222" s="284">
        <f>HLOOKUP(Q$10,InflationTable,2)/HLOOKUP(Labor!$B$11,InflationTable,2)*$I222</f>
        <v>628.59733835294105</v>
      </c>
      <c r="Q222" s="219">
        <f>P222*$L$6</f>
        <v>0</v>
      </c>
      <c r="R222" s="220">
        <f t="shared" si="72"/>
        <v>0</v>
      </c>
      <c r="S222" s="103">
        <f t="shared" si="74"/>
        <v>0</v>
      </c>
      <c r="T222" s="110" t="s">
        <v>12</v>
      </c>
      <c r="U222" s="425" t="s">
        <v>12</v>
      </c>
    </row>
    <row r="223" spans="1:21" x14ac:dyDescent="0.25">
      <c r="A223" s="510"/>
      <c r="B223" s="980" t="s">
        <v>346</v>
      </c>
      <c r="C223" s="290">
        <v>0</v>
      </c>
      <c r="D223" s="290">
        <v>0</v>
      </c>
      <c r="E223" s="290">
        <v>0</v>
      </c>
      <c r="F223" s="290">
        <v>12</v>
      </c>
      <c r="G223" s="290">
        <v>8</v>
      </c>
      <c r="H223" s="290">
        <v>4</v>
      </c>
      <c r="I223" s="291">
        <f t="shared" si="69"/>
        <v>24</v>
      </c>
      <c r="J223" s="242" t="s">
        <v>12</v>
      </c>
      <c r="K223" s="273">
        <f>$I223*$O$6</f>
        <v>17928</v>
      </c>
      <c r="L223" s="274">
        <f t="shared" si="70"/>
        <v>17928</v>
      </c>
      <c r="M223" s="53" t="s">
        <v>12</v>
      </c>
      <c r="N223" s="147">
        <f>$I223*$O$6</f>
        <v>17928</v>
      </c>
      <c r="O223" s="148">
        <f t="shared" si="71"/>
        <v>17928</v>
      </c>
      <c r="P223" s="242" t="s">
        <v>12</v>
      </c>
      <c r="Q223" s="273">
        <f>$I223*$O$6</f>
        <v>17928</v>
      </c>
      <c r="R223" s="274">
        <f t="shared" si="72"/>
        <v>17928</v>
      </c>
      <c r="S223" s="96">
        <f t="shared" si="74"/>
        <v>17928</v>
      </c>
      <c r="T223" s="34" t="s">
        <v>12</v>
      </c>
      <c r="U223" s="185" t="s">
        <v>12</v>
      </c>
    </row>
    <row r="224" spans="1:21" ht="13.5" thickBot="1" x14ac:dyDescent="0.35">
      <c r="A224" s="510"/>
      <c r="B224" s="981" t="s">
        <v>8</v>
      </c>
      <c r="C224" s="29">
        <f>ROUND(C223*Labor!$D$3,0)</f>
        <v>0</v>
      </c>
      <c r="D224" s="29">
        <f>ROUND(D223*Labor!$D$4,0)</f>
        <v>0</v>
      </c>
      <c r="E224" s="29">
        <f>ROUND(E223*Labor!$D$5,0)</f>
        <v>0</v>
      </c>
      <c r="F224" s="29">
        <f>ROUND(F223*Labor!$D$6,0)</f>
        <v>331</v>
      </c>
      <c r="G224" s="29">
        <f>ROUND(G223*Labor!$D$7,0)</f>
        <v>250</v>
      </c>
      <c r="H224" s="29">
        <f>ROUND(H223*Labor!$D$8,0)</f>
        <v>151</v>
      </c>
      <c r="I224" s="33">
        <f t="shared" si="69"/>
        <v>732</v>
      </c>
      <c r="J224" s="284">
        <f>HLOOKUP(K$10,InflationTable,2)/HLOOKUP(Labor!$B$11,InflationTable,2)*$I224</f>
        <v>1565.9227681660898</v>
      </c>
      <c r="K224" s="219">
        <f>J224*$O$6</f>
        <v>1169744.3078200691</v>
      </c>
      <c r="L224" s="256">
        <f t="shared" si="70"/>
        <v>1169744.3078200691</v>
      </c>
      <c r="M224" s="169">
        <f>HLOOKUP(N$10,InflationTable,2)/HLOOKUP(Labor!$B$11,InflationTable,2)*$I224</f>
        <v>1628.5596788927337</v>
      </c>
      <c r="N224" s="55">
        <f>M224*$O$6</f>
        <v>1216534.0801328721</v>
      </c>
      <c r="O224" s="33">
        <f t="shared" si="71"/>
        <v>1216534.0801328721</v>
      </c>
      <c r="P224" s="284">
        <f>HLOOKUP(Q$10,InflationTable,2)/HLOOKUP(Labor!$B$11,InflationTable,2)*$I224</f>
        <v>1661.130872470588</v>
      </c>
      <c r="Q224" s="219">
        <f>P224*$O$6</f>
        <v>1240864.7617355292</v>
      </c>
      <c r="R224" s="220">
        <f t="shared" si="72"/>
        <v>1240864.7617355292</v>
      </c>
      <c r="S224" s="103">
        <f t="shared" si="74"/>
        <v>1209047.7165628236</v>
      </c>
      <c r="T224" s="110" t="s">
        <v>12</v>
      </c>
      <c r="U224" s="425" t="s">
        <v>12</v>
      </c>
    </row>
    <row r="225" spans="1:21" x14ac:dyDescent="0.25">
      <c r="A225" s="510"/>
      <c r="B225" s="980" t="s">
        <v>341</v>
      </c>
      <c r="C225" s="290">
        <v>0</v>
      </c>
      <c r="D225" s="290">
        <v>0</v>
      </c>
      <c r="E225" s="290">
        <v>0</v>
      </c>
      <c r="F225" s="290">
        <v>2</v>
      </c>
      <c r="G225" s="290">
        <v>8</v>
      </c>
      <c r="H225" s="290">
        <v>4</v>
      </c>
      <c r="I225" s="291">
        <f t="shared" si="69"/>
        <v>14</v>
      </c>
      <c r="J225" s="242" t="s">
        <v>12</v>
      </c>
      <c r="K225" s="273">
        <f>$I225*$O$7</f>
        <v>1890</v>
      </c>
      <c r="L225" s="274">
        <f t="shared" si="70"/>
        <v>1890</v>
      </c>
      <c r="M225" s="53" t="s">
        <v>12</v>
      </c>
      <c r="N225" s="147">
        <f>$I225*$O$7</f>
        <v>1890</v>
      </c>
      <c r="O225" s="148">
        <f t="shared" si="71"/>
        <v>1890</v>
      </c>
      <c r="P225" s="242" t="s">
        <v>12</v>
      </c>
      <c r="Q225" s="273">
        <f>$I225*$O$7</f>
        <v>1890</v>
      </c>
      <c r="R225" s="274">
        <f t="shared" si="72"/>
        <v>1890</v>
      </c>
      <c r="S225" s="96">
        <f t="shared" si="74"/>
        <v>1890</v>
      </c>
      <c r="T225" s="34" t="s">
        <v>12</v>
      </c>
      <c r="U225" s="185" t="s">
        <v>12</v>
      </c>
    </row>
    <row r="226" spans="1:21" ht="13.5" thickBot="1" x14ac:dyDescent="0.35">
      <c r="A226" s="510"/>
      <c r="B226" s="981" t="s">
        <v>8</v>
      </c>
      <c r="C226" s="29">
        <f>ROUND(C225*Labor!$D$3,0)</f>
        <v>0</v>
      </c>
      <c r="D226" s="29">
        <f>ROUND(D225*Labor!$D$4,0)</f>
        <v>0</v>
      </c>
      <c r="E226" s="29">
        <f>ROUND(E225*Labor!$D$5,0)</f>
        <v>0</v>
      </c>
      <c r="F226" s="29">
        <f>ROUND(F225*Labor!$D$6,0)</f>
        <v>55</v>
      </c>
      <c r="G226" s="29">
        <f>ROUND(G225*Labor!$D$7,0)</f>
        <v>250</v>
      </c>
      <c r="H226" s="29">
        <f>ROUND(H225*Labor!$D$8,0)</f>
        <v>151</v>
      </c>
      <c r="I226" s="33">
        <f t="shared" si="69"/>
        <v>456</v>
      </c>
      <c r="J226" s="284">
        <f>HLOOKUP(K$10,InflationTable,2)/HLOOKUP(Labor!$B$11,InflationTable,2)*$I226</f>
        <v>975.49287197231831</v>
      </c>
      <c r="K226" s="219">
        <f>J226*$O$7</f>
        <v>131691.53771626297</v>
      </c>
      <c r="L226" s="256">
        <f t="shared" si="70"/>
        <v>131691.53771626297</v>
      </c>
      <c r="M226" s="169">
        <f>HLOOKUP(N$10,InflationTable,2)/HLOOKUP(Labor!$B$11,InflationTable,2)*$I226</f>
        <v>1014.5125868512112</v>
      </c>
      <c r="N226" s="55">
        <f>M226*$O$7</f>
        <v>136959.19922491349</v>
      </c>
      <c r="O226" s="33">
        <f t="shared" si="71"/>
        <v>136959.19922491349</v>
      </c>
      <c r="P226" s="284">
        <f>HLOOKUP(Q$10,InflationTable,2)/HLOOKUP(Labor!$B$11,InflationTable,2)*$I226</f>
        <v>1034.8028385882351</v>
      </c>
      <c r="Q226" s="219">
        <f>P226*$O$7</f>
        <v>139698.38320941172</v>
      </c>
      <c r="R226" s="220">
        <f t="shared" si="72"/>
        <v>139698.38320941172</v>
      </c>
      <c r="S226" s="103">
        <f t="shared" si="74"/>
        <v>136116.3733835294</v>
      </c>
      <c r="T226" s="110" t="s">
        <v>12</v>
      </c>
      <c r="U226" s="425" t="s">
        <v>12</v>
      </c>
    </row>
    <row r="227" spans="1:21" ht="13" x14ac:dyDescent="0.3">
      <c r="A227" s="510"/>
      <c r="B227" s="501" t="s">
        <v>66</v>
      </c>
      <c r="C227" s="28">
        <f>C206+C208+C210+C212+C214+C217+C219+C221+C223+C225</f>
        <v>0</v>
      </c>
      <c r="D227" s="28">
        <f t="shared" ref="D227:R227" si="75">D206+D208+D210+D212+D214+D217+D219+D221+D223+D225</f>
        <v>18</v>
      </c>
      <c r="E227" s="28">
        <f t="shared" si="75"/>
        <v>19</v>
      </c>
      <c r="F227" s="28">
        <f t="shared" si="75"/>
        <v>57</v>
      </c>
      <c r="G227" s="28">
        <f t="shared" si="75"/>
        <v>69</v>
      </c>
      <c r="H227" s="28">
        <f t="shared" si="75"/>
        <v>30</v>
      </c>
      <c r="I227" s="81">
        <f t="shared" si="75"/>
        <v>193</v>
      </c>
      <c r="J227" s="221" t="s">
        <v>12</v>
      </c>
      <c r="K227" s="235">
        <f t="shared" si="75"/>
        <v>67248</v>
      </c>
      <c r="L227" s="260">
        <f t="shared" si="75"/>
        <v>67248</v>
      </c>
      <c r="M227" s="963" t="s">
        <v>12</v>
      </c>
      <c r="N227" s="28">
        <f t="shared" si="75"/>
        <v>67248</v>
      </c>
      <c r="O227" s="81">
        <f t="shared" si="75"/>
        <v>67248</v>
      </c>
      <c r="P227" s="221" t="s">
        <v>12</v>
      </c>
      <c r="Q227" s="235">
        <f t="shared" si="75"/>
        <v>67248</v>
      </c>
      <c r="R227" s="235">
        <f t="shared" si="75"/>
        <v>67248</v>
      </c>
      <c r="S227" s="96">
        <f t="shared" si="73"/>
        <v>67248</v>
      </c>
      <c r="T227" s="34" t="s">
        <v>12</v>
      </c>
      <c r="U227" s="185" t="s">
        <v>12</v>
      </c>
    </row>
    <row r="228" spans="1:21" ht="13.5" thickBot="1" x14ac:dyDescent="0.35">
      <c r="A228" s="510"/>
      <c r="B228" s="502" t="s">
        <v>67</v>
      </c>
      <c r="C228" s="194">
        <f>C207+C209+C211+C213+C215+C218+C220+C222+C224+C226</f>
        <v>0</v>
      </c>
      <c r="D228" s="194">
        <f t="shared" ref="D228:R228" si="76">D207+D209+D211+D213+D215+D218+D220+D222+D224+D226</f>
        <v>435</v>
      </c>
      <c r="E228" s="194">
        <f t="shared" si="76"/>
        <v>480</v>
      </c>
      <c r="F228" s="194">
        <f t="shared" si="76"/>
        <v>1573</v>
      </c>
      <c r="G228" s="194">
        <f t="shared" si="76"/>
        <v>2159</v>
      </c>
      <c r="H228" s="194">
        <f t="shared" si="76"/>
        <v>1134</v>
      </c>
      <c r="I228" s="197">
        <f t="shared" si="76"/>
        <v>5781</v>
      </c>
      <c r="J228" s="224" t="s">
        <v>12</v>
      </c>
      <c r="K228" s="225">
        <f t="shared" si="76"/>
        <v>4345294.4919031141</v>
      </c>
      <c r="L228" s="237">
        <f t="shared" si="76"/>
        <v>4345294.4919031141</v>
      </c>
      <c r="M228" s="333" t="s">
        <v>12</v>
      </c>
      <c r="N228" s="194">
        <f t="shared" si="76"/>
        <v>4519106.2715792395</v>
      </c>
      <c r="O228" s="197">
        <f t="shared" si="76"/>
        <v>4519106.2715792395</v>
      </c>
      <c r="P228" s="224" t="s">
        <v>12</v>
      </c>
      <c r="Q228" s="225">
        <f t="shared" si="76"/>
        <v>4609488.3970108237</v>
      </c>
      <c r="R228" s="225">
        <f t="shared" si="76"/>
        <v>4609488.3970108237</v>
      </c>
      <c r="S228" s="206">
        <f t="shared" si="73"/>
        <v>4491296.3868310591</v>
      </c>
      <c r="T228" s="208" t="s">
        <v>12</v>
      </c>
      <c r="U228" s="186" t="s">
        <v>12</v>
      </c>
    </row>
    <row r="229" spans="1:21" ht="13.5" thickTop="1" x14ac:dyDescent="0.3">
      <c r="B229" s="1"/>
      <c r="C229" s="517"/>
      <c r="D229" s="516"/>
      <c r="E229" s="516"/>
      <c r="F229" s="516"/>
      <c r="G229" s="516"/>
      <c r="H229" s="516"/>
      <c r="I229" s="517"/>
      <c r="J229" s="516"/>
      <c r="K229" s="517"/>
      <c r="L229" s="517"/>
      <c r="M229" s="516"/>
      <c r="N229" s="516"/>
      <c r="O229" s="516"/>
      <c r="P229" s="516"/>
      <c r="Q229" s="516"/>
      <c r="R229" s="516"/>
      <c r="S229" s="1069"/>
      <c r="T229" s="522"/>
      <c r="U229" s="522"/>
    </row>
    <row r="230" spans="1:21" ht="13" thickBot="1" x14ac:dyDescent="0.3">
      <c r="B230" s="335"/>
      <c r="D230" s="335"/>
      <c r="E230" s="335"/>
      <c r="F230" s="335"/>
      <c r="G230" s="335"/>
      <c r="H230" s="335"/>
      <c r="I230" s="335"/>
      <c r="J230" s="335"/>
      <c r="K230" s="335"/>
      <c r="L230" s="335"/>
      <c r="M230" s="335"/>
      <c r="N230" s="335"/>
      <c r="O230" s="335"/>
      <c r="P230" s="335"/>
      <c r="Q230" s="335"/>
      <c r="R230" s="335"/>
      <c r="S230" s="335"/>
      <c r="T230" s="335"/>
      <c r="U230" s="335"/>
    </row>
    <row r="231" spans="1:21" ht="19" thickTop="1" thickBot="1" x14ac:dyDescent="0.45">
      <c r="A231" s="510"/>
      <c r="B231" s="496" t="s">
        <v>121</v>
      </c>
      <c r="C231" s="188" t="str">
        <f>C2</f>
        <v>PM25</v>
      </c>
      <c r="E231" s="3"/>
      <c r="F231" s="9"/>
      <c r="G231" s="3"/>
      <c r="H231" s="3"/>
      <c r="I231" s="35"/>
      <c r="J231" s="67" t="str">
        <f>J10</f>
        <v>Year 1</v>
      </c>
      <c r="K231" s="67">
        <f>K10</f>
        <v>2023</v>
      </c>
      <c r="L231" s="35"/>
      <c r="M231" s="67" t="str">
        <f>M10</f>
        <v>Year 2</v>
      </c>
      <c r="N231" s="67">
        <f>N10</f>
        <v>2024</v>
      </c>
      <c r="O231" s="35"/>
      <c r="P231" s="67" t="str">
        <f>P10</f>
        <v>Year 3</v>
      </c>
      <c r="Q231" s="67">
        <f>Q10</f>
        <v>2025</v>
      </c>
      <c r="R231" s="35"/>
      <c r="S231" s="124"/>
      <c r="T231" s="105"/>
      <c r="U231" s="956"/>
    </row>
    <row r="232" spans="1:21" ht="13.5" thickBot="1" x14ac:dyDescent="0.35">
      <c r="A232" s="510"/>
      <c r="C232" s="152" t="s">
        <v>45</v>
      </c>
      <c r="D232" s="149" t="s">
        <v>46</v>
      </c>
      <c r="E232" s="149" t="s">
        <v>47</v>
      </c>
      <c r="F232" s="160" t="s">
        <v>48</v>
      </c>
      <c r="G232" s="151" t="s">
        <v>49</v>
      </c>
      <c r="H232" s="149" t="s">
        <v>50</v>
      </c>
      <c r="I232" s="150" t="s">
        <v>13</v>
      </c>
      <c r="J232" s="270" t="s">
        <v>56</v>
      </c>
      <c r="K232" s="271" t="s">
        <v>13</v>
      </c>
      <c r="L232" s="272" t="s">
        <v>68</v>
      </c>
      <c r="M232" s="151" t="s">
        <v>56</v>
      </c>
      <c r="N232" s="149" t="s">
        <v>13</v>
      </c>
      <c r="O232" s="150" t="s">
        <v>68</v>
      </c>
      <c r="P232" s="270" t="s">
        <v>56</v>
      </c>
      <c r="Q232" s="271" t="s">
        <v>13</v>
      </c>
      <c r="R232" s="272" t="s">
        <v>68</v>
      </c>
      <c r="S232" s="152"/>
      <c r="T232" s="153"/>
      <c r="U232" s="973"/>
    </row>
    <row r="233" spans="1:21" ht="13" x14ac:dyDescent="0.3">
      <c r="A233" s="510"/>
      <c r="B233" s="877" t="s">
        <v>97</v>
      </c>
      <c r="C233" s="155">
        <f t="shared" ref="C233:S233" si="77">C19</f>
        <v>0</v>
      </c>
      <c r="D233" s="147">
        <f t="shared" si="77"/>
        <v>0</v>
      </c>
      <c r="E233" s="147">
        <f t="shared" si="77"/>
        <v>2</v>
      </c>
      <c r="F233" s="147">
        <f t="shared" si="77"/>
        <v>7</v>
      </c>
      <c r="G233" s="147">
        <f t="shared" si="77"/>
        <v>7</v>
      </c>
      <c r="H233" s="147">
        <f t="shared" si="77"/>
        <v>5</v>
      </c>
      <c r="I233" s="148">
        <f t="shared" si="77"/>
        <v>21</v>
      </c>
      <c r="J233" s="234" t="str">
        <f t="shared" si="77"/>
        <v>NA</v>
      </c>
      <c r="K233" s="273">
        <f t="shared" si="77"/>
        <v>1953</v>
      </c>
      <c r="L233" s="274">
        <f t="shared" si="77"/>
        <v>279</v>
      </c>
      <c r="M233" s="38" t="str">
        <f t="shared" si="77"/>
        <v>NA</v>
      </c>
      <c r="N233" s="147">
        <f t="shared" si="77"/>
        <v>1953</v>
      </c>
      <c r="O233" s="148">
        <f t="shared" si="77"/>
        <v>279</v>
      </c>
      <c r="P233" s="234" t="str">
        <f t="shared" si="77"/>
        <v>NA</v>
      </c>
      <c r="Q233" s="273">
        <f t="shared" si="77"/>
        <v>1953</v>
      </c>
      <c r="R233" s="274">
        <f t="shared" si="77"/>
        <v>279</v>
      </c>
      <c r="S233" s="148">
        <f t="shared" si="77"/>
        <v>279</v>
      </c>
      <c r="T233" s="31"/>
      <c r="U233" s="182"/>
    </row>
    <row r="234" spans="1:21" ht="13.5" thickBot="1" x14ac:dyDescent="0.35">
      <c r="A234" s="510"/>
      <c r="B234" s="878" t="s">
        <v>76</v>
      </c>
      <c r="C234" s="161">
        <f t="shared" ref="C234:S234" si="78">C20</f>
        <v>0</v>
      </c>
      <c r="D234" s="162">
        <f t="shared" si="78"/>
        <v>0</v>
      </c>
      <c r="E234" s="162">
        <f t="shared" si="78"/>
        <v>50</v>
      </c>
      <c r="F234" s="162">
        <f t="shared" si="78"/>
        <v>193</v>
      </c>
      <c r="G234" s="162">
        <f t="shared" si="78"/>
        <v>220</v>
      </c>
      <c r="H234" s="162">
        <f t="shared" si="78"/>
        <v>189</v>
      </c>
      <c r="I234" s="163">
        <f t="shared" si="78"/>
        <v>652</v>
      </c>
      <c r="J234" s="275">
        <f t="shared" si="78"/>
        <v>1394.783667820069</v>
      </c>
      <c r="K234" s="276">
        <f t="shared" si="78"/>
        <v>129714.88110726644</v>
      </c>
      <c r="L234" s="277">
        <f t="shared" si="78"/>
        <v>18530.697301038061</v>
      </c>
      <c r="M234" s="161">
        <f t="shared" si="78"/>
        <v>1450.575014532872</v>
      </c>
      <c r="N234" s="162">
        <f t="shared" si="78"/>
        <v>134903.47635155712</v>
      </c>
      <c r="O234" s="163">
        <f t="shared" si="78"/>
        <v>19271.925193079587</v>
      </c>
      <c r="P234" s="275">
        <f t="shared" si="78"/>
        <v>1479.5865148235293</v>
      </c>
      <c r="Q234" s="276">
        <f t="shared" si="78"/>
        <v>137601.54587858822</v>
      </c>
      <c r="R234" s="277">
        <f t="shared" si="78"/>
        <v>19657.363696941175</v>
      </c>
      <c r="S234" s="163">
        <f t="shared" si="78"/>
        <v>19153.32873035294</v>
      </c>
      <c r="T234" s="164" t="str">
        <f>T20</f>
        <v>NA</v>
      </c>
      <c r="U234" s="183" t="s">
        <v>12</v>
      </c>
    </row>
    <row r="235" spans="1:21" ht="13" x14ac:dyDescent="0.3">
      <c r="A235" s="510"/>
      <c r="B235" s="379" t="s">
        <v>98</v>
      </c>
      <c r="C235" s="155">
        <f t="shared" ref="C235:S235" si="79">C50</f>
        <v>0</v>
      </c>
      <c r="D235" s="147">
        <f t="shared" si="79"/>
        <v>16</v>
      </c>
      <c r="E235" s="147">
        <f t="shared" si="79"/>
        <v>17</v>
      </c>
      <c r="F235" s="147">
        <f t="shared" si="79"/>
        <v>11</v>
      </c>
      <c r="G235" s="147">
        <f t="shared" si="79"/>
        <v>0</v>
      </c>
      <c r="H235" s="147">
        <f t="shared" si="79"/>
        <v>0</v>
      </c>
      <c r="I235" s="148">
        <f t="shared" si="79"/>
        <v>44</v>
      </c>
      <c r="J235" s="234" t="str">
        <f t="shared" si="79"/>
        <v>NA</v>
      </c>
      <c r="K235" s="273">
        <f t="shared" si="79"/>
        <v>23656.960000000003</v>
      </c>
      <c r="L235" s="274">
        <f t="shared" si="79"/>
        <v>3610.994285714286</v>
      </c>
      <c r="M235" s="38" t="str">
        <f t="shared" si="79"/>
        <v>NA</v>
      </c>
      <c r="N235" s="147">
        <f t="shared" si="79"/>
        <v>23656.960000000003</v>
      </c>
      <c r="O235" s="148">
        <f t="shared" si="79"/>
        <v>3610.994285714286</v>
      </c>
      <c r="P235" s="234" t="str">
        <f t="shared" si="79"/>
        <v>NA</v>
      </c>
      <c r="Q235" s="273">
        <f t="shared" si="79"/>
        <v>23656.960000000003</v>
      </c>
      <c r="R235" s="274">
        <f t="shared" si="79"/>
        <v>3610.994285714286</v>
      </c>
      <c r="S235" s="148">
        <f t="shared" si="79"/>
        <v>3610.9942857142864</v>
      </c>
      <c r="T235" s="31"/>
      <c r="U235" s="182"/>
    </row>
    <row r="236" spans="1:21" ht="13.5" thickBot="1" x14ac:dyDescent="0.35">
      <c r="A236" s="510"/>
      <c r="B236" s="878" t="s">
        <v>76</v>
      </c>
      <c r="C236" s="165">
        <f t="shared" ref="C236:S236" si="80">C51</f>
        <v>0</v>
      </c>
      <c r="D236" s="166">
        <f t="shared" si="80"/>
        <v>387</v>
      </c>
      <c r="E236" s="166">
        <f t="shared" si="80"/>
        <v>428</v>
      </c>
      <c r="F236" s="166">
        <f t="shared" si="80"/>
        <v>303</v>
      </c>
      <c r="G236" s="166">
        <f t="shared" si="80"/>
        <v>0</v>
      </c>
      <c r="H236" s="166">
        <f t="shared" si="80"/>
        <v>0</v>
      </c>
      <c r="I236" s="167">
        <f t="shared" si="80"/>
        <v>1118</v>
      </c>
      <c r="J236" s="278">
        <f t="shared" si="80"/>
        <v>130232.82034239412</v>
      </c>
      <c r="K236" s="245">
        <f t="shared" si="80"/>
        <v>30586644.016198657</v>
      </c>
      <c r="L236" s="246">
        <f t="shared" si="80"/>
        <v>4369520.5737426663</v>
      </c>
      <c r="M236" s="165">
        <f t="shared" si="80"/>
        <v>135442.13315608984</v>
      </c>
      <c r="N236" s="166">
        <f t="shared" si="80"/>
        <v>31810109.77684661</v>
      </c>
      <c r="O236" s="167">
        <f t="shared" si="80"/>
        <v>4544301.3966923729</v>
      </c>
      <c r="P236" s="278">
        <f t="shared" si="80"/>
        <v>138150.97581921169</v>
      </c>
      <c r="Q236" s="245">
        <f t="shared" si="80"/>
        <v>32446311.972383544</v>
      </c>
      <c r="R236" s="246">
        <f t="shared" si="80"/>
        <v>4635187.42462622</v>
      </c>
      <c r="S236" s="167">
        <f t="shared" si="80"/>
        <v>285666.09856873419</v>
      </c>
      <c r="T236" s="168" t="str">
        <f>T51</f>
        <v>NA</v>
      </c>
      <c r="U236" s="184">
        <f>U51</f>
        <v>4230670.3664516853</v>
      </c>
    </row>
    <row r="237" spans="1:21" ht="13" x14ac:dyDescent="0.3">
      <c r="A237" s="510"/>
      <c r="B237" s="379" t="s">
        <v>96</v>
      </c>
      <c r="C237" s="156">
        <f t="shared" ref="C237:S237" si="81">C71</f>
        <v>0</v>
      </c>
      <c r="D237" s="21">
        <f t="shared" si="81"/>
        <v>208</v>
      </c>
      <c r="E237" s="21">
        <f t="shared" si="81"/>
        <v>196</v>
      </c>
      <c r="F237" s="21">
        <f t="shared" si="81"/>
        <v>273</v>
      </c>
      <c r="G237" s="21">
        <f t="shared" si="81"/>
        <v>0</v>
      </c>
      <c r="H237" s="21">
        <f t="shared" si="81"/>
        <v>0</v>
      </c>
      <c r="I237" s="157">
        <f t="shared" si="81"/>
        <v>677</v>
      </c>
      <c r="J237" s="234" t="str">
        <f t="shared" si="81"/>
        <v>NA</v>
      </c>
      <c r="K237" s="273">
        <f t="shared" si="81"/>
        <v>166891.77177177178</v>
      </c>
      <c r="L237" s="274">
        <f t="shared" si="81"/>
        <v>166891.77177177178</v>
      </c>
      <c r="M237" s="38" t="str">
        <f t="shared" si="81"/>
        <v>NA</v>
      </c>
      <c r="N237" s="147">
        <f t="shared" si="81"/>
        <v>166891.77177177178</v>
      </c>
      <c r="O237" s="148">
        <f t="shared" si="81"/>
        <v>166891.77177177178</v>
      </c>
      <c r="P237" s="234" t="str">
        <f t="shared" si="81"/>
        <v>NA</v>
      </c>
      <c r="Q237" s="273">
        <f t="shared" si="81"/>
        <v>166891.77177177178</v>
      </c>
      <c r="R237" s="274">
        <f t="shared" si="81"/>
        <v>166891.77177177178</v>
      </c>
      <c r="S237" s="148">
        <f t="shared" si="81"/>
        <v>23904</v>
      </c>
      <c r="T237" s="34" t="str">
        <f>T25</f>
        <v>NA</v>
      </c>
      <c r="U237" s="185" t="s">
        <v>12</v>
      </c>
    </row>
    <row r="238" spans="1:21" ht="13.5" thickBot="1" x14ac:dyDescent="0.35">
      <c r="A238" s="510"/>
      <c r="B238" s="878" t="s">
        <v>76</v>
      </c>
      <c r="C238" s="169">
        <f t="shared" ref="C238:S238" si="82">C72</f>
        <v>0</v>
      </c>
      <c r="D238" s="166">
        <f t="shared" si="82"/>
        <v>5033</v>
      </c>
      <c r="E238" s="166">
        <f t="shared" si="82"/>
        <v>2673</v>
      </c>
      <c r="F238" s="166">
        <f t="shared" si="82"/>
        <v>5045</v>
      </c>
      <c r="G238" s="166">
        <f t="shared" si="82"/>
        <v>0</v>
      </c>
      <c r="H238" s="166">
        <f t="shared" si="82"/>
        <v>0</v>
      </c>
      <c r="I238" s="167">
        <f t="shared" si="82"/>
        <v>12751</v>
      </c>
      <c r="J238" s="278">
        <f t="shared" si="82"/>
        <v>4215921.2933227057</v>
      </c>
      <c r="K238" s="245">
        <f t="shared" si="82"/>
        <v>14986255.183337608</v>
      </c>
      <c r="L238" s="246">
        <f t="shared" si="82"/>
        <v>14986255.183337608</v>
      </c>
      <c r="M238" s="165">
        <f t="shared" si="82"/>
        <v>4384558.1450556144</v>
      </c>
      <c r="N238" s="166">
        <f t="shared" si="82"/>
        <v>15585705.390671115</v>
      </c>
      <c r="O238" s="167">
        <f t="shared" si="82"/>
        <v>15585705.390671115</v>
      </c>
      <c r="P238" s="278">
        <f t="shared" si="82"/>
        <v>4472249.3079567272</v>
      </c>
      <c r="Q238" s="245">
        <f t="shared" si="82"/>
        <v>15897419.498484537</v>
      </c>
      <c r="R238" s="246">
        <f t="shared" si="82"/>
        <v>15897419.498484537</v>
      </c>
      <c r="S238" s="167">
        <f t="shared" si="82"/>
        <v>10949498.249119624</v>
      </c>
      <c r="T238" s="167">
        <f>T72</f>
        <v>221917.64694251076</v>
      </c>
      <c r="U238" s="974">
        <f>U72</f>
        <v>4332300.8659252562</v>
      </c>
    </row>
    <row r="239" spans="1:21" ht="13" x14ac:dyDescent="0.3">
      <c r="A239" s="510"/>
      <c r="B239" s="379" t="s">
        <v>99</v>
      </c>
      <c r="C239" s="156">
        <f t="shared" ref="C239:S239" si="83">C105</f>
        <v>0</v>
      </c>
      <c r="D239" s="21">
        <f t="shared" si="83"/>
        <v>19</v>
      </c>
      <c r="E239" s="21">
        <f t="shared" si="83"/>
        <v>49</v>
      </c>
      <c r="F239" s="21">
        <f t="shared" si="83"/>
        <v>66</v>
      </c>
      <c r="G239" s="21">
        <f t="shared" si="83"/>
        <v>4</v>
      </c>
      <c r="H239" s="21">
        <f t="shared" si="83"/>
        <v>0</v>
      </c>
      <c r="I239" s="157">
        <f t="shared" si="83"/>
        <v>138</v>
      </c>
      <c r="J239" s="234">
        <f>J105</f>
        <v>138</v>
      </c>
      <c r="K239" s="273">
        <f>K105</f>
        <v>38884</v>
      </c>
      <c r="L239" s="274">
        <f t="shared" si="83"/>
        <v>38884</v>
      </c>
      <c r="M239" s="38">
        <f t="shared" si="83"/>
        <v>138</v>
      </c>
      <c r="N239" s="147">
        <f t="shared" si="83"/>
        <v>38884</v>
      </c>
      <c r="O239" s="148">
        <f t="shared" si="83"/>
        <v>38884</v>
      </c>
      <c r="P239" s="234">
        <f t="shared" si="83"/>
        <v>138</v>
      </c>
      <c r="Q239" s="273">
        <f t="shared" si="83"/>
        <v>38884</v>
      </c>
      <c r="R239" s="274">
        <f t="shared" si="83"/>
        <v>38884</v>
      </c>
      <c r="S239" s="148">
        <f t="shared" si="83"/>
        <v>38884</v>
      </c>
      <c r="T239" s="31"/>
      <c r="U239" s="182"/>
    </row>
    <row r="240" spans="1:21" ht="13.5" thickBot="1" x14ac:dyDescent="0.35">
      <c r="A240" s="510"/>
      <c r="B240" s="878" t="s">
        <v>76</v>
      </c>
      <c r="C240" s="165">
        <f t="shared" ref="C240:S240" si="84">C106</f>
        <v>0</v>
      </c>
      <c r="D240" s="166">
        <f t="shared" si="84"/>
        <v>457</v>
      </c>
      <c r="E240" s="166">
        <f t="shared" si="84"/>
        <v>1234</v>
      </c>
      <c r="F240" s="166">
        <f t="shared" si="84"/>
        <v>1818</v>
      </c>
      <c r="G240" s="166">
        <f t="shared" si="84"/>
        <v>125</v>
      </c>
      <c r="H240" s="166">
        <f t="shared" si="84"/>
        <v>0</v>
      </c>
      <c r="I240" s="167">
        <f>J106</f>
        <v>7773.9936332179941</v>
      </c>
      <c r="J240" s="278" t="e">
        <f>#REF!</f>
        <v>#REF!</v>
      </c>
      <c r="K240" s="245">
        <f t="shared" si="84"/>
        <v>2562103.5786187365</v>
      </c>
      <c r="L240" s="246">
        <f t="shared" si="84"/>
        <v>2562103.5786187365</v>
      </c>
      <c r="M240" s="169">
        <f t="shared" si="84"/>
        <v>8084.9533785467138</v>
      </c>
      <c r="N240" s="166">
        <f t="shared" si="84"/>
        <v>2664587.7217634865</v>
      </c>
      <c r="O240" s="167">
        <f t="shared" si="84"/>
        <v>2664587.7217634865</v>
      </c>
      <c r="P240" s="278">
        <f t="shared" si="84"/>
        <v>8246.652446117645</v>
      </c>
      <c r="Q240" s="245">
        <f t="shared" si="84"/>
        <v>2717879.4761987561</v>
      </c>
      <c r="R240" s="246">
        <f t="shared" si="84"/>
        <v>2717879.4761987561</v>
      </c>
      <c r="S240" s="167">
        <f t="shared" si="84"/>
        <v>2240672.7375450348</v>
      </c>
      <c r="T240" s="167">
        <f>T106</f>
        <v>407517.52131529135</v>
      </c>
      <c r="U240" s="628" t="s">
        <v>12</v>
      </c>
    </row>
    <row r="241" spans="1:21" ht="13" x14ac:dyDescent="0.3">
      <c r="A241" s="510"/>
      <c r="B241" s="379" t="s">
        <v>100</v>
      </c>
      <c r="C241" s="156">
        <f t="shared" ref="C241:U241" si="85">C148</f>
        <v>0</v>
      </c>
      <c r="D241" s="21">
        <f t="shared" si="85"/>
        <v>64.25</v>
      </c>
      <c r="E241" s="21">
        <f t="shared" si="85"/>
        <v>176.5</v>
      </c>
      <c r="F241" s="21">
        <f t="shared" si="85"/>
        <v>139</v>
      </c>
      <c r="G241" s="21">
        <f t="shared" si="85"/>
        <v>86</v>
      </c>
      <c r="H241" s="21">
        <f t="shared" si="85"/>
        <v>1</v>
      </c>
      <c r="I241" s="157">
        <f t="shared" si="85"/>
        <v>466.75</v>
      </c>
      <c r="J241" s="234">
        <f t="shared" si="85"/>
        <v>466.75</v>
      </c>
      <c r="K241" s="273">
        <f t="shared" si="85"/>
        <v>113351.36500000001</v>
      </c>
      <c r="L241" s="274">
        <f t="shared" si="85"/>
        <v>113351.36500000001</v>
      </c>
      <c r="M241" s="38">
        <f t="shared" si="85"/>
        <v>466.75</v>
      </c>
      <c r="N241" s="147">
        <f t="shared" si="85"/>
        <v>113351.36500000001</v>
      </c>
      <c r="O241" s="148">
        <f t="shared" si="85"/>
        <v>113351.36500000001</v>
      </c>
      <c r="P241" s="234">
        <f t="shared" si="85"/>
        <v>466.75</v>
      </c>
      <c r="Q241" s="273">
        <f t="shared" si="85"/>
        <v>113351.36500000001</v>
      </c>
      <c r="R241" s="274">
        <f t="shared" si="85"/>
        <v>113351.36500000001</v>
      </c>
      <c r="S241" s="148">
        <f t="shared" si="85"/>
        <v>112990.90000000001</v>
      </c>
      <c r="T241" s="170" t="str">
        <f t="shared" si="85"/>
        <v>NA</v>
      </c>
      <c r="U241" s="867" t="str">
        <f t="shared" si="85"/>
        <v>NA</v>
      </c>
    </row>
    <row r="242" spans="1:21" ht="13.5" thickBot="1" x14ac:dyDescent="0.35">
      <c r="A242" s="510"/>
      <c r="B242" s="878" t="s">
        <v>76</v>
      </c>
      <c r="C242" s="165">
        <f t="shared" ref="C242:T242" si="86">C149</f>
        <v>0</v>
      </c>
      <c r="D242" s="166">
        <f t="shared" si="86"/>
        <v>1556</v>
      </c>
      <c r="E242" s="166">
        <f t="shared" si="86"/>
        <v>4450</v>
      </c>
      <c r="F242" s="166">
        <f t="shared" si="86"/>
        <v>3831</v>
      </c>
      <c r="G242" s="166">
        <f t="shared" si="86"/>
        <v>2694</v>
      </c>
      <c r="H242" s="166">
        <f t="shared" si="86"/>
        <v>38</v>
      </c>
      <c r="I242" s="167">
        <f t="shared" si="86"/>
        <v>12569</v>
      </c>
      <c r="J242" s="278">
        <f t="shared" si="86"/>
        <v>26888.091903114186</v>
      </c>
      <c r="K242" s="245">
        <f t="shared" si="86"/>
        <v>6823570.0509674735</v>
      </c>
      <c r="L242" s="246">
        <f t="shared" si="86"/>
        <v>6823570.0509674735</v>
      </c>
      <c r="M242" s="165">
        <f t="shared" si="86"/>
        <v>27963.615579238754</v>
      </c>
      <c r="N242" s="166">
        <f t="shared" si="86"/>
        <v>7096512.853006172</v>
      </c>
      <c r="O242" s="167">
        <f t="shared" si="86"/>
        <v>7096512.853006172</v>
      </c>
      <c r="P242" s="284">
        <f t="shared" si="86"/>
        <v>28522.887890823531</v>
      </c>
      <c r="Q242" s="245">
        <f t="shared" si="86"/>
        <v>7238443.1100662937</v>
      </c>
      <c r="R242" s="246">
        <f t="shared" si="86"/>
        <v>7238443.1100662937</v>
      </c>
      <c r="S242" s="167">
        <f t="shared" si="86"/>
        <v>7048059.8225618815</v>
      </c>
      <c r="T242" s="168" t="str">
        <f t="shared" si="86"/>
        <v>NA</v>
      </c>
      <c r="U242" s="183" t="s">
        <v>12</v>
      </c>
    </row>
    <row r="243" spans="1:21" ht="13" x14ac:dyDescent="0.3">
      <c r="A243" s="510"/>
      <c r="B243" s="379" t="s">
        <v>101</v>
      </c>
      <c r="C243" s="171">
        <f t="shared" ref="C243:S243" si="87">C200</f>
        <v>0</v>
      </c>
      <c r="D243" s="172">
        <f t="shared" si="87"/>
        <v>24</v>
      </c>
      <c r="E243" s="172">
        <f t="shared" si="87"/>
        <v>60</v>
      </c>
      <c r="F243" s="172">
        <f t="shared" si="87"/>
        <v>45</v>
      </c>
      <c r="G243" s="172">
        <f t="shared" si="87"/>
        <v>27</v>
      </c>
      <c r="H243" s="172">
        <f t="shared" si="87"/>
        <v>6</v>
      </c>
      <c r="I243" s="54">
        <f>I200</f>
        <v>162</v>
      </c>
      <c r="J243" s="282">
        <f>J200</f>
        <v>132</v>
      </c>
      <c r="K243" s="263">
        <f t="shared" si="87"/>
        <v>41282</v>
      </c>
      <c r="L243" s="243">
        <f t="shared" si="87"/>
        <v>41282</v>
      </c>
      <c r="M243" s="173">
        <f t="shared" si="87"/>
        <v>132</v>
      </c>
      <c r="N243" s="36">
        <f t="shared" si="87"/>
        <v>41282</v>
      </c>
      <c r="O243" s="54">
        <f t="shared" si="87"/>
        <v>41282</v>
      </c>
      <c r="P243" s="282">
        <f t="shared" si="87"/>
        <v>132</v>
      </c>
      <c r="Q243" s="263">
        <f t="shared" si="87"/>
        <v>41282</v>
      </c>
      <c r="R243" s="243">
        <f t="shared" si="87"/>
        <v>41282</v>
      </c>
      <c r="S243" s="54">
        <f t="shared" si="87"/>
        <v>41282</v>
      </c>
      <c r="T243" s="42" t="s">
        <v>12</v>
      </c>
      <c r="U243" s="185" t="s">
        <v>12</v>
      </c>
    </row>
    <row r="244" spans="1:21" ht="13.5" thickBot="1" x14ac:dyDescent="0.35">
      <c r="A244" s="510"/>
      <c r="B244" s="878" t="s">
        <v>76</v>
      </c>
      <c r="C244" s="165">
        <f t="shared" ref="C244:S244" si="88">C201</f>
        <v>0</v>
      </c>
      <c r="D244" s="166">
        <f>D201</f>
        <v>580</v>
      </c>
      <c r="E244" s="166">
        <f>E201</f>
        <v>1513</v>
      </c>
      <c r="F244" s="166">
        <f t="shared" si="88"/>
        <v>1239</v>
      </c>
      <c r="G244" s="166">
        <f t="shared" si="88"/>
        <v>846</v>
      </c>
      <c r="H244" s="166">
        <f t="shared" si="88"/>
        <v>227</v>
      </c>
      <c r="I244" s="167">
        <f t="shared" si="88"/>
        <v>4405</v>
      </c>
      <c r="J244" s="278">
        <f t="shared" si="88"/>
        <v>138259.83564013842</v>
      </c>
      <c r="K244" s="283">
        <f t="shared" si="88"/>
        <v>14636440.590995669</v>
      </c>
      <c r="L244" s="246">
        <f t="shared" si="88"/>
        <v>4778601.3980351696</v>
      </c>
      <c r="M244" s="169">
        <f t="shared" si="88"/>
        <v>9800.2805813148807</v>
      </c>
      <c r="N244" s="175">
        <f t="shared" si="88"/>
        <v>2760833.005583595</v>
      </c>
      <c r="O244" s="167">
        <f t="shared" si="88"/>
        <v>2477532.4121461972</v>
      </c>
      <c r="P244" s="278">
        <f t="shared" si="88"/>
        <v>9996.2861929411774</v>
      </c>
      <c r="Q244" s="283">
        <f t="shared" si="88"/>
        <v>2816049.6656952668</v>
      </c>
      <c r="R244" s="246">
        <f t="shared" si="88"/>
        <v>2527083.0603891201</v>
      </c>
      <c r="S244" s="167">
        <f t="shared" si="88"/>
        <v>3300125.9883241635</v>
      </c>
      <c r="T244" s="167">
        <f>T201</f>
        <v>0</v>
      </c>
      <c r="U244" s="974">
        <f>U201</f>
        <v>3902.3018659992185</v>
      </c>
    </row>
    <row r="245" spans="1:21" ht="13" x14ac:dyDescent="0.3">
      <c r="A245" s="510"/>
      <c r="B245" s="379" t="s">
        <v>102</v>
      </c>
      <c r="C245" s="156">
        <f t="shared" ref="C245:S245" si="89">C227</f>
        <v>0</v>
      </c>
      <c r="D245" s="21">
        <f t="shared" si="89"/>
        <v>18</v>
      </c>
      <c r="E245" s="21">
        <f t="shared" si="89"/>
        <v>19</v>
      </c>
      <c r="F245" s="21">
        <f t="shared" si="89"/>
        <v>57</v>
      </c>
      <c r="G245" s="21">
        <f t="shared" si="89"/>
        <v>69</v>
      </c>
      <c r="H245" s="21">
        <f t="shared" si="89"/>
        <v>30</v>
      </c>
      <c r="I245" s="157">
        <f t="shared" si="89"/>
        <v>193</v>
      </c>
      <c r="J245" s="279" t="str">
        <f t="shared" si="89"/>
        <v>NA</v>
      </c>
      <c r="K245" s="280">
        <f t="shared" si="89"/>
        <v>67248</v>
      </c>
      <c r="L245" s="281">
        <f t="shared" si="89"/>
        <v>67248</v>
      </c>
      <c r="M245" s="158" t="str">
        <f t="shared" si="89"/>
        <v>NA</v>
      </c>
      <c r="N245" s="21">
        <f t="shared" si="89"/>
        <v>67248</v>
      </c>
      <c r="O245" s="157">
        <f t="shared" si="89"/>
        <v>67248</v>
      </c>
      <c r="P245" s="279" t="str">
        <f t="shared" si="89"/>
        <v>NA</v>
      </c>
      <c r="Q245" s="280">
        <f t="shared" si="89"/>
        <v>67248</v>
      </c>
      <c r="R245" s="281">
        <f t="shared" si="89"/>
        <v>67248</v>
      </c>
      <c r="S245" s="157">
        <f t="shared" si="89"/>
        <v>67248</v>
      </c>
      <c r="T245" s="42" t="s">
        <v>12</v>
      </c>
      <c r="U245" s="185" t="s">
        <v>12</v>
      </c>
    </row>
    <row r="246" spans="1:21" ht="13.5" thickBot="1" x14ac:dyDescent="0.35">
      <c r="A246" s="510"/>
      <c r="B246" s="879" t="s">
        <v>76</v>
      </c>
      <c r="C246" s="176">
        <f t="shared" ref="C246:S246" si="90">C228</f>
        <v>0</v>
      </c>
      <c r="D246" s="177">
        <f t="shared" si="90"/>
        <v>435</v>
      </c>
      <c r="E246" s="177">
        <f t="shared" si="90"/>
        <v>480</v>
      </c>
      <c r="F246" s="177">
        <f t="shared" si="90"/>
        <v>1573</v>
      </c>
      <c r="G246" s="177">
        <f t="shared" si="90"/>
        <v>2159</v>
      </c>
      <c r="H246" s="177">
        <f t="shared" si="90"/>
        <v>1134</v>
      </c>
      <c r="I246" s="178">
        <f t="shared" si="90"/>
        <v>5781</v>
      </c>
      <c r="J246" s="252" t="str">
        <f t="shared" si="90"/>
        <v>NA</v>
      </c>
      <c r="K246" s="253">
        <f t="shared" si="90"/>
        <v>4345294.4919031141</v>
      </c>
      <c r="L246" s="254">
        <f t="shared" si="90"/>
        <v>4345294.4919031141</v>
      </c>
      <c r="M246" s="176" t="str">
        <f t="shared" si="90"/>
        <v>NA</v>
      </c>
      <c r="N246" s="177">
        <f t="shared" si="90"/>
        <v>4519106.2715792395</v>
      </c>
      <c r="O246" s="178">
        <f t="shared" si="90"/>
        <v>4519106.2715792395</v>
      </c>
      <c r="P246" s="259" t="str">
        <f t="shared" si="90"/>
        <v>NA</v>
      </c>
      <c r="Q246" s="253">
        <f t="shared" si="90"/>
        <v>4609488.3970108237</v>
      </c>
      <c r="R246" s="254">
        <f t="shared" si="90"/>
        <v>4609488.3970108237</v>
      </c>
      <c r="S246" s="178">
        <f t="shared" si="90"/>
        <v>4491296.3868310591</v>
      </c>
      <c r="T246" s="179" t="str">
        <f>T228</f>
        <v>NA</v>
      </c>
      <c r="U246" s="186" t="s">
        <v>12</v>
      </c>
    </row>
    <row r="247" spans="1:21" ht="18.5" thickTop="1" x14ac:dyDescent="0.4">
      <c r="A247" s="510"/>
      <c r="B247" s="880" t="s">
        <v>13</v>
      </c>
      <c r="C247" s="88" t="s">
        <v>45</v>
      </c>
      <c r="D247" s="86" t="s">
        <v>46</v>
      </c>
      <c r="E247" s="86" t="s">
        <v>47</v>
      </c>
      <c r="F247" s="86" t="s">
        <v>48</v>
      </c>
      <c r="G247" s="86" t="s">
        <v>49</v>
      </c>
      <c r="H247" s="86" t="s">
        <v>50</v>
      </c>
      <c r="I247" s="87" t="s">
        <v>13</v>
      </c>
      <c r="J247" s="88" t="s">
        <v>56</v>
      </c>
      <c r="K247" s="86" t="s">
        <v>13</v>
      </c>
      <c r="L247" s="87" t="s">
        <v>68</v>
      </c>
      <c r="M247" s="88" t="s">
        <v>56</v>
      </c>
      <c r="N247" s="86" t="s">
        <v>13</v>
      </c>
      <c r="O247" s="87" t="s">
        <v>68</v>
      </c>
      <c r="P247" s="88" t="s">
        <v>56</v>
      </c>
      <c r="Q247" s="86" t="s">
        <v>13</v>
      </c>
      <c r="R247" s="87" t="s">
        <v>68</v>
      </c>
      <c r="S247" s="87"/>
      <c r="T247" s="31"/>
      <c r="U247" s="182"/>
    </row>
    <row r="248" spans="1:21" x14ac:dyDescent="0.25">
      <c r="A248" s="510"/>
      <c r="B248" s="881" t="s">
        <v>75</v>
      </c>
      <c r="C248" s="154">
        <f t="shared" ref="C248:I249" si="91">C233+C235+C237+C239+C241+C243+C245</f>
        <v>0</v>
      </c>
      <c r="D248" s="58">
        <f t="shared" si="91"/>
        <v>349.25</v>
      </c>
      <c r="E248" s="58">
        <f t="shared" si="91"/>
        <v>519.5</v>
      </c>
      <c r="F248" s="58">
        <f t="shared" si="91"/>
        <v>598</v>
      </c>
      <c r="G248" s="58">
        <f t="shared" si="91"/>
        <v>193</v>
      </c>
      <c r="H248" s="58">
        <f t="shared" si="91"/>
        <v>42</v>
      </c>
      <c r="I248" s="57">
        <f t="shared" si="91"/>
        <v>1701.75</v>
      </c>
      <c r="J248" s="285" t="s">
        <v>12</v>
      </c>
      <c r="K248" s="231">
        <f>K233+K235+K237+K239+K241+K245</f>
        <v>411985.09677177179</v>
      </c>
      <c r="L248" s="239">
        <f>L233+L235+L237+L239+L241+L243+L245</f>
        <v>431547.13105748605</v>
      </c>
      <c r="M248" s="83" t="s">
        <v>12</v>
      </c>
      <c r="N248" s="58">
        <f>N233+N235+N237+N239+N241+N245</f>
        <v>411985.09677177179</v>
      </c>
      <c r="O248" s="57">
        <f>O233+O235+O237+O239+O241+O243+O245</f>
        <v>431547.13105748605</v>
      </c>
      <c r="P248" s="285" t="s">
        <v>12</v>
      </c>
      <c r="Q248" s="231">
        <f>Q233+Q235+Q237+Q239+Q241+Q245</f>
        <v>411985.09677177179</v>
      </c>
      <c r="R248" s="239">
        <f>R233+R235+R237+R239+R241+R243+R245</f>
        <v>431547.13105748605</v>
      </c>
      <c r="S248" s="57">
        <f>S233+S235+S237+S239+S241+S243+S245</f>
        <v>288198.89428571431</v>
      </c>
      <c r="T248" s="57"/>
      <c r="U248" s="187" t="s">
        <v>12</v>
      </c>
    </row>
    <row r="249" spans="1:21" s="189" customFormat="1" ht="16" thickBot="1" x14ac:dyDescent="0.4">
      <c r="A249" s="883"/>
      <c r="B249" s="882" t="s">
        <v>76</v>
      </c>
      <c r="C249" s="873">
        <f t="shared" si="91"/>
        <v>0</v>
      </c>
      <c r="D249" s="874">
        <f t="shared" si="91"/>
        <v>8448</v>
      </c>
      <c r="E249" s="874">
        <f t="shared" si="91"/>
        <v>10828</v>
      </c>
      <c r="F249" s="874">
        <f t="shared" si="91"/>
        <v>14002</v>
      </c>
      <c r="G249" s="874">
        <f t="shared" si="91"/>
        <v>6044</v>
      </c>
      <c r="H249" s="874">
        <f t="shared" si="91"/>
        <v>1588</v>
      </c>
      <c r="I249" s="871">
        <f t="shared" si="91"/>
        <v>45049.993633217993</v>
      </c>
      <c r="J249" s="868" t="s">
        <v>12</v>
      </c>
      <c r="K249" s="869">
        <f>K234+K236+K238+K240+K242+K246</f>
        <v>59433582.202132851</v>
      </c>
      <c r="L249" s="870">
        <f>L234+L236+L238+L240+L242+L244+L246</f>
        <v>37883875.973905802</v>
      </c>
      <c r="M249" s="875" t="s">
        <v>12</v>
      </c>
      <c r="N249" s="876">
        <f>N234+N236+N238+N240+N242+N246</f>
        <v>61810925.490218177</v>
      </c>
      <c r="O249" s="871">
        <f>O234+O236+O238+O240+O242+O244+O246</f>
        <v>36907017.971051663</v>
      </c>
      <c r="P249" s="975" t="s">
        <v>12</v>
      </c>
      <c r="Q249" s="869">
        <f>Q234+Q236+Q238+Q240+Q242+Q246</f>
        <v>63047144.000022545</v>
      </c>
      <c r="R249" s="870">
        <f>R234+R236+R238+R240+R242+R244+R246</f>
        <v>37645158.330472693</v>
      </c>
      <c r="S249" s="871">
        <f>S234+S236+S238+S240+S242+S244+S246</f>
        <v>28334472.61168085</v>
      </c>
      <c r="T249" s="976">
        <f>SUM(T233:T248)</f>
        <v>629435.16825780214</v>
      </c>
      <c r="U249" s="872">
        <f>SUM(U233:U248)</f>
        <v>8566873.5342429392</v>
      </c>
    </row>
    <row r="250" spans="1:21" ht="13" thickTop="1" x14ac:dyDescent="0.25"/>
    <row r="253" spans="1:21" x14ac:dyDescent="0.25">
      <c r="S253" s="545"/>
    </row>
  </sheetData>
  <mergeCells count="39">
    <mergeCell ref="F2:G2"/>
    <mergeCell ref="N2:O2"/>
    <mergeCell ref="K2:L2"/>
    <mergeCell ref="G203:I203"/>
    <mergeCell ref="K12:L12"/>
    <mergeCell ref="N12:O12"/>
    <mergeCell ref="G108:I108"/>
    <mergeCell ref="G152:I152"/>
    <mergeCell ref="N23:O23"/>
    <mergeCell ref="G76:I76"/>
    <mergeCell ref="K153:L153"/>
    <mergeCell ref="K76:L76"/>
    <mergeCell ref="C3:I3"/>
    <mergeCell ref="G75:I75"/>
    <mergeCell ref="K109:L109"/>
    <mergeCell ref="N194:O194"/>
    <mergeCell ref="Q23:R23"/>
    <mergeCell ref="G11:I11"/>
    <mergeCell ref="K23:L23"/>
    <mergeCell ref="Q12:R12"/>
    <mergeCell ref="G54:I54"/>
    <mergeCell ref="G22:I22"/>
    <mergeCell ref="G53:I53"/>
    <mergeCell ref="K204:L204"/>
    <mergeCell ref="N54:O54"/>
    <mergeCell ref="N76:O76"/>
    <mergeCell ref="N153:O153"/>
    <mergeCell ref="N204:O204"/>
    <mergeCell ref="N109:O109"/>
    <mergeCell ref="K54:L54"/>
    <mergeCell ref="K157:L157"/>
    <mergeCell ref="N157:O157"/>
    <mergeCell ref="Q204:R204"/>
    <mergeCell ref="Q54:R54"/>
    <mergeCell ref="Q76:R76"/>
    <mergeCell ref="Q109:R109"/>
    <mergeCell ref="Q194:R194"/>
    <mergeCell ref="Q153:R153"/>
    <mergeCell ref="Q157:R157"/>
  </mergeCells>
  <phoneticPr fontId="2" type="noConversion"/>
  <dataValidations disablePrompts="1" count="2">
    <dataValidation allowBlank="1" showInputMessage="1" showErrorMessage="1" sqref="D155:D156 D29:D35 D25:D26 D56:D59" xr:uid="{00000000-0002-0000-0800-000000000000}"/>
    <dataValidation type="list" allowBlank="1" showInputMessage="1" showErrorMessage="1" sqref="D78:D82" xr:uid="{00000000-0002-0000-0800-000001000000}">
      <formula1>YearList</formula1>
    </dataValidation>
  </dataValidations>
  <pageMargins left="0.25" right="0.28000000000000003" top="0.64" bottom="0.47" header="0.5" footer="0.44"/>
  <pageSetup scale="46" fitToHeight="25" orientation="landscape" r:id="rId1"/>
  <headerFooter alignWithMargins="0"/>
  <rowBreaks count="3" manualBreakCount="3">
    <brk id="73" max="16383" man="1"/>
    <brk id="150" max="16383" man="1"/>
    <brk id="22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8</vt:i4>
      </vt:variant>
    </vt:vector>
  </HeadingPairs>
  <TitlesOfParts>
    <vt:vector size="28" baseType="lpstr">
      <vt:lpstr>Labor</vt:lpstr>
      <vt:lpstr>Inflation</vt:lpstr>
      <vt:lpstr>MonitorEquip</vt:lpstr>
      <vt:lpstr>SO2</vt:lpstr>
      <vt:lpstr>CO</vt:lpstr>
      <vt:lpstr>NO2</vt:lpstr>
      <vt:lpstr>O3</vt:lpstr>
      <vt:lpstr>PM10</vt:lpstr>
      <vt:lpstr>PM25</vt:lpstr>
      <vt:lpstr>Pb</vt:lpstr>
      <vt:lpstr>PAMSVOC</vt:lpstr>
      <vt:lpstr>PAMS NO2</vt:lpstr>
      <vt:lpstr>NF_PAMSSurfMet</vt:lpstr>
      <vt:lpstr>PAMS_Upper_Air</vt:lpstr>
      <vt:lpstr>PAMSCarbonyls</vt:lpstr>
      <vt:lpstr>NATTS</vt:lpstr>
      <vt:lpstr>Generic</vt:lpstr>
      <vt:lpstr>Sensors</vt:lpstr>
      <vt:lpstr>Summary</vt:lpstr>
      <vt:lpstr>Grand Total</vt:lpstr>
      <vt:lpstr>InflationTable</vt:lpstr>
      <vt:lpstr>Labor_rates_based_on_year</vt:lpstr>
      <vt:lpstr>Monitor_Costs</vt:lpstr>
      <vt:lpstr>Generic!Print_Area</vt:lpstr>
      <vt:lpstr>PAMS_Upper_Air!Print_Area</vt:lpstr>
      <vt:lpstr>Summary!Print_Area</vt:lpstr>
      <vt:lpstr>MonitorEquip!Print_Titles</vt:lpstr>
      <vt:lpstr>YearList</vt:lpstr>
    </vt:vector>
  </TitlesOfParts>
  <Company>RTI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eer</dc:creator>
  <cp:lastModifiedBy>Salahuddin, Diane</cp:lastModifiedBy>
  <cp:lastPrinted>2023-04-24T12:29:33Z</cp:lastPrinted>
  <dcterms:created xsi:type="dcterms:W3CDTF">2009-06-01T18:12:38Z</dcterms:created>
  <dcterms:modified xsi:type="dcterms:W3CDTF">2023-07-25T15:29:01Z</dcterms:modified>
</cp:coreProperties>
</file>