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drawings/drawing1.xml" ContentType="application/vnd.openxmlformats-officedocument.drawing+xml"/>
  <Override PartName="/xl/tables/table26.xml" ContentType="application/vnd.openxmlformats-officedocument.spreadsheetml.table+xml"/>
  <Override PartName="/xl/drawings/drawing2.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drawings/drawing3.xml" ContentType="application/vnd.openxmlformats-officedocument.drawing+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39.xml" ContentType="application/vnd.openxmlformats-officedocument.spreadsheetml.table+xml"/>
  <Override PartName="/xl/tables/table40.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codeName="{37A63EE7-654F-3FA9-A528-636911D70600}"/>
  <workbookPr filterPrivacy="1" codeName="ThisWorkbook"/>
  <xr:revisionPtr revIDLastSave="0" documentId="8_{F1A82F54-1782-4717-A31B-F78ACF3897CA}" xr6:coauthVersionLast="47" xr6:coauthVersionMax="47" xr10:uidLastSave="{00000000-0000-0000-0000-000000000000}"/>
  <workbookProtection workbookAlgorithmName="SHA-512" workbookHashValue="tK8JhhxUY2wMKV86DVnDfkqiCA0nuZfda5wypbV7MAZx4T5jEr4UoAq1s+W4CxCW4ZaMgA1hVZd/3bf4Hjbvwg==" workbookSaltValue="0Fx/dQhWOYrwCojWq/V4MA==" workbookSpinCount="100000" lockStructure="1"/>
  <bookViews>
    <workbookView xWindow="-110" yWindow="-110" windowWidth="19420" windowHeight="10420" tabRatio="887" firstSheet="10" activeTab="20" xr2:uid="{AFAC04A8-360E-4366-8D83-A3FE805AEAFE}"/>
  </bookViews>
  <sheets>
    <sheet name="import" sheetId="30" state="hidden" r:id="rId1"/>
    <sheet name="selection" sheetId="33" state="hidden" r:id="rId2"/>
    <sheet name="TOC" sheetId="35" r:id="rId3"/>
    <sheet name="1-Cover" sheetId="2" r:id="rId4"/>
    <sheet name="2&amp;3-Bal" sheetId="19" r:id="rId5"/>
    <sheet name="4-NI" sheetId="21" r:id="rId6"/>
    <sheet name="5&amp;6-CF" sheetId="22" r:id="rId7"/>
    <sheet name="7-PCap" sheetId="24" r:id="rId8"/>
    <sheet name="8-READ_Cap" sheetId="25" r:id="rId9"/>
    <sheet name="S1Inv" sheetId="6" r:id="rId10"/>
    <sheet name="S1AB" sheetId="5" r:id="rId11"/>
    <sheet name="S1C" sheetId="34" r:id="rId12"/>
    <sheet name="S2RG" sheetId="7" r:id="rId13"/>
    <sheet name="S3NC" sheetId="8" r:id="rId14"/>
    <sheet name="S4Del" sheetId="9" r:id="rId15"/>
    <sheet name="S5Commit" sheetId="4" r:id="rId16"/>
    <sheet name="S6Guar" sheetId="3" r:id="rId17"/>
    <sheet name="S7Cash" sheetId="11" r:id="rId18"/>
    <sheet name="S8Dist" sheetId="28" r:id="rId19"/>
    <sheet name="Certifications" sheetId="17" r:id="rId20"/>
    <sheet name="S11cumperf" sheetId="16" r:id="rId21"/>
    <sheet name="ExecSum" sheetId="26" r:id="rId22"/>
    <sheet name="WDSup" sheetId="36" r:id="rId23"/>
    <sheet name="WDSupA" sheetId="37" r:id="rId24"/>
    <sheet name="WDSupB" sheetId="38" r:id="rId25"/>
    <sheet name="KeyLeverageMetrics" sheetId="31" r:id="rId26"/>
    <sheet name="NAICS Search" sheetId="40" r:id="rId27"/>
    <sheet name="Op Plan" sheetId="13" state="hidden" r:id="rId28"/>
  </sheets>
  <definedNames>
    <definedName name="ApprovedValuation">'1-Cover'!$C$26</definedName>
    <definedName name="aum">ExecSum!$I$8</definedName>
    <definedName name="ccert">Certifications!$O$2:$Y$51</definedName>
    <definedName name="cdiff">'1-Cover'!$A$43</definedName>
    <definedName name="CIPCalc">KeyLeverageMetrics!$G$59</definedName>
    <definedName name="CIPMax">KeyLeverageMetrics!$G$77</definedName>
    <definedName name="cqtrinterest">'4-NI'!$F$8</definedName>
    <definedName name="cy_UNRE">'2&amp;3-Bal'!$F$103</definedName>
    <definedName name="cy_unrealgainloss">'2&amp;3-Bal'!$F$101</definedName>
    <definedName name="cyaccountspayable">'2&amp;3-Bal'!$F$74</definedName>
    <definedName name="cyaccruedintpay">'2&amp;3-Bal'!$F$78</definedName>
    <definedName name="cyaccruedtaxpay">'2&amp;3-Bal'!$F$79</definedName>
    <definedName name="cycash">'2&amp;3-Bal'!$F$40</definedName>
    <definedName name="cycurrentassets">'2&amp;3-Bal'!$F$52</definedName>
    <definedName name="cycurrentliab">'2&amp;3-Bal'!$F$84</definedName>
    <definedName name="cydistpay">'2&amp;3-Bal'!$F$80</definedName>
    <definedName name="cygaapassets">'2&amp;3-Bal'!$J$61</definedName>
    <definedName name="cygaapotherassets">'2&amp;3-Bal'!$J$59</definedName>
    <definedName name="cygaaptotalliab">'2&amp;3-Bal'!$J$92</definedName>
    <definedName name="cyidle">'2&amp;3-Bal'!$F$41</definedName>
    <definedName name="cyintdivrec">'2&amp;3-Bal'!$F$42</definedName>
    <definedName name="cymgtexpaccountspayable">'2&amp;3-Bal'!$F$76</definedName>
    <definedName name="cynoncashbal">'2&amp;3-Bal'!$F$102</definedName>
    <definedName name="cyotherassets">'2&amp;3-Bal'!$F$59</definedName>
    <definedName name="cyotherliab">'2&amp;3-Bal'!$F$90</definedName>
    <definedName name="cyparentexpaccountspayable">'2&amp;3-Bal'!$F$77</definedName>
    <definedName name="cyprivcapbal">'2&amp;3-Bal'!$F$99</definedName>
    <definedName name="cysbabal">'2&amp;3-Bal'!$F$69</definedName>
    <definedName name="cytd_expenses">'4-NI'!$H$49</definedName>
    <definedName name="cytd_grossinvestinc">'4-NI'!$H$18</definedName>
    <definedName name="cytd_netincome">'4-NI'!$H$58</definedName>
    <definedName name="cytd_netinvestinc">'4-NI'!$H$50</definedName>
    <definedName name="cytotalassets">'2&amp;3-Bal'!$F$61</definedName>
    <definedName name="cytotalliab">'2&amp;3-Bal'!$F$92</definedName>
    <definedName name="cytotalLTLiab">'2&amp;3-Bal'!$F$71</definedName>
    <definedName name="cytotliabcap">'2&amp;3-Bal'!$F$112</definedName>
    <definedName name="cytotpartcap">'2&amp;3-Bal'!$F$110</definedName>
    <definedName name="cyunrebal">'2&amp;3-Bal'!$F$103</definedName>
    <definedName name="expirationdate">'1-Cover'!$G$2</definedName>
    <definedName name="Form468Date">'1-Cover'!$C$20</definedName>
    <definedName name="formtype">selection!$E$17</definedName>
    <definedName name="In_Wind_down">'1-Cover'!$C$35</definedName>
    <definedName name="InvestAmt">ExecSum!$I$28</definedName>
    <definedName name="LCR">KeyLeverageMetrics!$C$18</definedName>
    <definedName name="levcap">'8-READ_Cap'!$K$37</definedName>
    <definedName name="licenseno">selection!$E$19</definedName>
    <definedName name="licenseno_entry">'1-Cover'!$C$8</definedName>
    <definedName name="NAICSSearch">'NAICS Search'!$B$3:$C$4</definedName>
    <definedName name="NetAssetValue">KeyLeverageMetrics!$G$14</definedName>
    <definedName name="netincome">'4-NI'!$F$58</definedName>
    <definedName name="Number_of_Months">'1-Cover'!$C$22</definedName>
    <definedName name="ombapproval">'1-Cover'!$G$1</definedName>
    <definedName name="pccount">S11cumperf!$D$12</definedName>
    <definedName name="pcert">Certifications!$B$2:$L$51</definedName>
    <definedName name="PI_UnfundCommit">'8-READ_Cap'!$I$17</definedName>
    <definedName name="_xlnm.Print_Area" localSheetId="3">'1-Cover'!$A$1:$G$40</definedName>
    <definedName name="_xlnm.Print_Area" localSheetId="4">'2&amp;3-Bal'!$A$1:$L$112</definedName>
    <definedName name="_xlnm.Print_Area" localSheetId="5">'4-NI'!$A$1:$J$60</definedName>
    <definedName name="_xlnm.Print_Area" localSheetId="6">'5&amp;6-CF'!$A$1:$K$97</definedName>
    <definedName name="_xlnm.Print_Area" localSheetId="7">'7-PCap'!$A$1:$L$57</definedName>
    <definedName name="_xlnm.Print_Area" localSheetId="8">'8-READ_Cap'!$A$1:$K$56</definedName>
    <definedName name="_xlnm.Print_Area" localSheetId="19">Certifications!$B$2:$L$51</definedName>
    <definedName name="_xlnm.Print_Area" localSheetId="21">ExecSum!$A$1:$K$73</definedName>
    <definedName name="_xlnm.Print_Area" localSheetId="20">S11cumperf!$A$1:$AD$45</definedName>
    <definedName name="_xlnm.Print_Area" localSheetId="10">S1AB!$A$1:$H$35</definedName>
    <definedName name="_xlnm.Print_Area" localSheetId="9">S1Inv!$A$1:$AD$60</definedName>
    <definedName name="_xlnm.Print_Area" localSheetId="15">S5Commit!$A$1:$H$20</definedName>
    <definedName name="_xlnm.Print_Area" localSheetId="16">S6Guar!$A$1:$H$19</definedName>
    <definedName name="_xlnm.Print_Area" localSheetId="17">S7Cash!$A$1:$L$39</definedName>
    <definedName name="_xlnm.Print_Area" localSheetId="18">S8Dist!$A$2:$Q$38</definedName>
    <definedName name="_xlnm.Print_Area" localSheetId="2">TOC!$A$1:$D$34</definedName>
    <definedName name="_xlnm.Print_Area" localSheetId="22">WDSup!$A$1:$K$61</definedName>
    <definedName name="_xlnm.Print_Area" localSheetId="23">WDSupA!$A$1:$M$42</definedName>
    <definedName name="_xlnm.Print_Area" localSheetId="24">WDSupB!$A$1:$K$31</definedName>
    <definedName name="Print_Area1" localSheetId="3">'1-Cover'!$A$1:$G$40</definedName>
    <definedName name="_xlnm.Print_Titles" localSheetId="4">'2&amp;3-Bal'!$A:$E,'2&amp;3-Bal'!$1:$4</definedName>
    <definedName name="_xlnm.Print_Titles" localSheetId="6">'5&amp;6-CF'!$1:$4</definedName>
    <definedName name="_xlnm.Print_Titles" localSheetId="20">S11cumperf!$A:$C,S11cumperf!$1:$17</definedName>
    <definedName name="_xlnm.Print_Titles" localSheetId="9">S1Inv!$A:$J,S1Inv!$1:$21</definedName>
    <definedName name="_xlnm.Print_Titles" localSheetId="18">S8Dist!$A:$E,S8Dist!$2:$12</definedName>
    <definedName name="priorqtr">selection!$E$25</definedName>
    <definedName name="privatePIcap">ExecSum!$I$25</definedName>
    <definedName name="pyaccountspayable">'2&amp;3-Bal'!$H$74</definedName>
    <definedName name="pyaccruedintpay">'2&amp;3-Bal'!$H$78</definedName>
    <definedName name="pyaccruedtaxpay">'2&amp;3-Bal'!$H$79</definedName>
    <definedName name="pycash">'2&amp;3-Bal'!$H$40</definedName>
    <definedName name="pycurrentassets">'2&amp;3-Bal'!$H$52</definedName>
    <definedName name="pycurrentliab">'2&amp;3-Bal'!$H$84</definedName>
    <definedName name="pydistpay">'2&amp;3-Bal'!$H$80</definedName>
    <definedName name="PYEnd">'2&amp;3-Bal'!$H$8</definedName>
    <definedName name="pyFYEnd">'2&amp;3-Bal'!$H$8</definedName>
    <definedName name="pyidle">'2&amp;3-Bal'!$H$41</definedName>
    <definedName name="pyintdivrec">'2&amp;3-Bal'!$H$42</definedName>
    <definedName name="pymgtexpaccountspayable">'2&amp;3-Bal'!$H$76</definedName>
    <definedName name="pynoncashbal">'2&amp;3-Bal'!$H$102</definedName>
    <definedName name="pyotherassets">'2&amp;3-Bal'!$H$59</definedName>
    <definedName name="pyotherliab">'2&amp;3-Bal'!$H$90</definedName>
    <definedName name="pyparentexpaccountspayable">'2&amp;3-Bal'!$H$77</definedName>
    <definedName name="pyprivcapbal">'2&amp;3-Bal'!$H$99</definedName>
    <definedName name="pysbabal">'2&amp;3-Bal'!$H$69</definedName>
    <definedName name="pytotalassets">'2&amp;3-Bal'!$H$61</definedName>
    <definedName name="pytotalliab">'2&amp;3-Bal'!$H$92</definedName>
    <definedName name="PYTotalLiabCap">'2&amp;3-Bal'!$H$112</definedName>
    <definedName name="pytotalLTliab">'2&amp;3-Bal'!$H$71</definedName>
    <definedName name="PYTotalPartCap">'2&amp;3-Bal'!$H$110</definedName>
    <definedName name="pyunrebal">'2&amp;3-Bal'!$H$103</definedName>
    <definedName name="regcap">'8-READ_Cap'!$K$31</definedName>
    <definedName name="ReportType">'1-Cover'!$D$1</definedName>
    <definedName name="ReportType_Fulltext">'1-Cover'!$D$1</definedName>
    <definedName name="rptkey">import!$M$1</definedName>
    <definedName name="rptperiodtype">selection!$E$18</definedName>
    <definedName name="rpttype">selection!$E$18</definedName>
    <definedName name="S1_Class1Total">S1Inv!$U$18</definedName>
    <definedName name="S1_Class2Total">S1Inv!$V$18</definedName>
    <definedName name="S1_UnrealApp">S1Inv!$S$18</definedName>
    <definedName name="s1_unrealdep">S1Inv!$T$18</definedName>
    <definedName name="s11_gaapval">S11cumperf!$K$12</definedName>
    <definedName name="s11_pccount">S11cumperf!$D$12</definedName>
    <definedName name="s11_totreceipts">S11cumperf!$I$12</definedName>
    <definedName name="s3NC_includibleNC">S3NC!$H$7</definedName>
    <definedName name="s9totinvest">S11cumperf!$F$12</definedName>
    <definedName name="sbapct">S8Dist!$F$10</definedName>
    <definedName name="sbicname">'1-Cover'!$C$6</definedName>
    <definedName name="sbicstate">'1-Cover'!$D$14</definedName>
    <definedName name="shapct">S8Dist!$F$10</definedName>
    <definedName name="Strategy">'1-Cover'!$C$32</definedName>
    <definedName name="totassets">'2&amp;3-Bal'!$F$61</definedName>
    <definedName name="UNRE">'7-PCap'!$J$57</definedName>
    <definedName name="URE">'7-PCap'!$L$57</definedName>
    <definedName name="VintageYr">'1-Cover'!$C$28</definedName>
    <definedName name="WindDown">'1-Cover'!$C$35</definedName>
  </definedNames>
  <calcPr calcId="191028"/>
  <pivotCaches>
    <pivotCache cacheId="0" r:id="rId2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17" l="1"/>
  <c r="C19" i="17"/>
  <c r="B4" i="16"/>
  <c r="B4" i="26"/>
  <c r="D5" i="17"/>
  <c r="B4" i="36" l="1"/>
  <c r="AE174" i="6"/>
  <c r="AC174" i="6"/>
  <c r="AA174" i="6"/>
  <c r="X174" i="6"/>
  <c r="R174" i="6"/>
  <c r="P174" i="6"/>
  <c r="B174" i="6"/>
  <c r="AE173" i="6"/>
  <c r="AC173" i="6"/>
  <c r="AA173" i="6"/>
  <c r="X173" i="6"/>
  <c r="R173" i="6"/>
  <c r="P173" i="6"/>
  <c r="B173" i="6"/>
  <c r="AE172" i="6"/>
  <c r="AC172" i="6"/>
  <c r="AA172" i="6"/>
  <c r="X172" i="6"/>
  <c r="R172" i="6"/>
  <c r="P172" i="6"/>
  <c r="B172" i="6"/>
  <c r="AE171" i="6"/>
  <c r="AC171" i="6"/>
  <c r="AA171" i="6"/>
  <c r="X171" i="6"/>
  <c r="R171" i="6"/>
  <c r="P171" i="6"/>
  <c r="B171" i="6"/>
  <c r="AE170" i="6"/>
  <c r="AC170" i="6"/>
  <c r="AA170" i="6"/>
  <c r="X170" i="6"/>
  <c r="R170" i="6"/>
  <c r="P170" i="6"/>
  <c r="B170" i="6"/>
  <c r="AE169" i="6"/>
  <c r="AC169" i="6"/>
  <c r="AA169" i="6"/>
  <c r="X169" i="6"/>
  <c r="R169" i="6"/>
  <c r="P169" i="6"/>
  <c r="B169" i="6"/>
  <c r="AE168" i="6"/>
  <c r="AC168" i="6"/>
  <c r="AA168" i="6"/>
  <c r="X168" i="6"/>
  <c r="R168" i="6"/>
  <c r="P168" i="6"/>
  <c r="B168" i="6"/>
  <c r="AE167" i="6"/>
  <c r="AC167" i="6"/>
  <c r="AA167" i="6"/>
  <c r="X167" i="6"/>
  <c r="R167" i="6"/>
  <c r="P167" i="6"/>
  <c r="B167" i="6"/>
  <c r="AE166" i="6"/>
  <c r="AC166" i="6"/>
  <c r="AA166" i="6"/>
  <c r="X166" i="6"/>
  <c r="R166" i="6"/>
  <c r="P166" i="6"/>
  <c r="B166" i="6"/>
  <c r="AE165" i="6"/>
  <c r="AC165" i="6"/>
  <c r="AA165" i="6"/>
  <c r="X165" i="6"/>
  <c r="R165" i="6"/>
  <c r="P165" i="6"/>
  <c r="B165" i="6"/>
  <c r="AE164" i="6"/>
  <c r="AC164" i="6"/>
  <c r="AA164" i="6"/>
  <c r="X164" i="6"/>
  <c r="R164" i="6"/>
  <c r="P164" i="6"/>
  <c r="B164" i="6"/>
  <c r="AE163" i="6"/>
  <c r="AC163" i="6"/>
  <c r="AA163" i="6"/>
  <c r="X163" i="6"/>
  <c r="R163" i="6"/>
  <c r="P163" i="6"/>
  <c r="B163" i="6"/>
  <c r="AE162" i="6"/>
  <c r="AC162" i="6"/>
  <c r="AA162" i="6"/>
  <c r="X162" i="6"/>
  <c r="R162" i="6"/>
  <c r="P162" i="6"/>
  <c r="B162" i="6"/>
  <c r="AE161" i="6"/>
  <c r="AC161" i="6"/>
  <c r="AA161" i="6"/>
  <c r="X161" i="6"/>
  <c r="R161" i="6"/>
  <c r="P161" i="6"/>
  <c r="B161" i="6"/>
  <c r="AE160" i="6"/>
  <c r="AC160" i="6"/>
  <c r="AA160" i="6"/>
  <c r="X160" i="6"/>
  <c r="R160" i="6"/>
  <c r="P160" i="6"/>
  <c r="B160" i="6"/>
  <c r="AE159" i="6"/>
  <c r="AC159" i="6"/>
  <c r="AA159" i="6"/>
  <c r="X159" i="6"/>
  <c r="R159" i="6"/>
  <c r="P159" i="6"/>
  <c r="B159" i="6"/>
  <c r="AE158" i="6"/>
  <c r="AC158" i="6"/>
  <c r="AA158" i="6"/>
  <c r="X158" i="6"/>
  <c r="R158" i="6"/>
  <c r="P158" i="6"/>
  <c r="B158" i="6"/>
  <c r="AE157" i="6"/>
  <c r="AC157" i="6"/>
  <c r="AA157" i="6"/>
  <c r="X157" i="6"/>
  <c r="R157" i="6"/>
  <c r="P157" i="6"/>
  <c r="B157" i="6"/>
  <c r="AE156" i="6"/>
  <c r="AC156" i="6"/>
  <c r="AA156" i="6"/>
  <c r="X156" i="6"/>
  <c r="R156" i="6"/>
  <c r="P156" i="6"/>
  <c r="B156" i="6"/>
  <c r="AE155" i="6"/>
  <c r="AC155" i="6"/>
  <c r="AA155" i="6"/>
  <c r="X155" i="6"/>
  <c r="R155" i="6"/>
  <c r="P155" i="6"/>
  <c r="B155" i="6"/>
  <c r="AE154" i="6"/>
  <c r="AC154" i="6"/>
  <c r="AA154" i="6"/>
  <c r="X154" i="6"/>
  <c r="R154" i="6"/>
  <c r="P154" i="6"/>
  <c r="B154" i="6"/>
  <c r="AE153" i="6"/>
  <c r="AC153" i="6"/>
  <c r="AA153" i="6"/>
  <c r="X153" i="6"/>
  <c r="R153" i="6"/>
  <c r="P153" i="6"/>
  <c r="B153" i="6"/>
  <c r="AE152" i="6"/>
  <c r="AC152" i="6"/>
  <c r="AA152" i="6"/>
  <c r="X152" i="6"/>
  <c r="R152" i="6"/>
  <c r="P152" i="6"/>
  <c r="B152" i="6"/>
  <c r="AE151" i="6"/>
  <c r="AC151" i="6"/>
  <c r="AA151" i="6"/>
  <c r="X151" i="6"/>
  <c r="R151" i="6"/>
  <c r="P151" i="6"/>
  <c r="B151" i="6"/>
  <c r="AE150" i="6"/>
  <c r="AC150" i="6"/>
  <c r="AA150" i="6"/>
  <c r="X150" i="6"/>
  <c r="R150" i="6"/>
  <c r="P150" i="6"/>
  <c r="B150" i="6"/>
  <c r="AE149" i="6"/>
  <c r="AC149" i="6"/>
  <c r="AA149" i="6"/>
  <c r="X149" i="6"/>
  <c r="R149" i="6"/>
  <c r="P149" i="6"/>
  <c r="B149" i="6"/>
  <c r="AE148" i="6"/>
  <c r="AC148" i="6"/>
  <c r="AA148" i="6"/>
  <c r="X148" i="6"/>
  <c r="R148" i="6"/>
  <c r="P148" i="6"/>
  <c r="B148" i="6"/>
  <c r="AE147" i="6"/>
  <c r="AC147" i="6"/>
  <c r="AA147" i="6"/>
  <c r="X147" i="6"/>
  <c r="R147" i="6"/>
  <c r="P147" i="6"/>
  <c r="B147" i="6"/>
  <c r="AE146" i="6"/>
  <c r="AC146" i="6"/>
  <c r="AA146" i="6"/>
  <c r="X146" i="6"/>
  <c r="R146" i="6"/>
  <c r="P146" i="6"/>
  <c r="B146" i="6"/>
  <c r="AE145" i="6"/>
  <c r="AC145" i="6"/>
  <c r="AA145" i="6"/>
  <c r="X145" i="6"/>
  <c r="R145" i="6"/>
  <c r="P145" i="6"/>
  <c r="B145" i="6"/>
  <c r="AE144" i="6"/>
  <c r="AC144" i="6"/>
  <c r="AA144" i="6"/>
  <c r="X144" i="6"/>
  <c r="R144" i="6"/>
  <c r="P144" i="6"/>
  <c r="B144" i="6"/>
  <c r="AE143" i="6"/>
  <c r="AC143" i="6"/>
  <c r="AA143" i="6"/>
  <c r="X143" i="6"/>
  <c r="R143" i="6"/>
  <c r="P143" i="6"/>
  <c r="B143" i="6"/>
  <c r="AE142" i="6"/>
  <c r="AC142" i="6"/>
  <c r="AA142" i="6"/>
  <c r="X142" i="6"/>
  <c r="R142" i="6"/>
  <c r="P142" i="6"/>
  <c r="B142" i="6"/>
  <c r="AE141" i="6"/>
  <c r="AC141" i="6"/>
  <c r="AA141" i="6"/>
  <c r="X141" i="6"/>
  <c r="R141" i="6"/>
  <c r="P141" i="6"/>
  <c r="B141" i="6"/>
  <c r="AE140" i="6"/>
  <c r="AC140" i="6"/>
  <c r="AA140" i="6"/>
  <c r="X140" i="6"/>
  <c r="R140" i="6"/>
  <c r="P140" i="6"/>
  <c r="B140" i="6"/>
  <c r="AE139" i="6"/>
  <c r="AC139" i="6"/>
  <c r="AA139" i="6"/>
  <c r="X139" i="6"/>
  <c r="R139" i="6"/>
  <c r="P139" i="6"/>
  <c r="B139" i="6"/>
  <c r="AE138" i="6"/>
  <c r="AC138" i="6"/>
  <c r="AA138" i="6"/>
  <c r="X138" i="6"/>
  <c r="R138" i="6"/>
  <c r="P138" i="6"/>
  <c r="B138" i="6"/>
  <c r="AE137" i="6"/>
  <c r="AC137" i="6"/>
  <c r="AA137" i="6"/>
  <c r="X137" i="6"/>
  <c r="R137" i="6"/>
  <c r="P137" i="6"/>
  <c r="B137" i="6"/>
  <c r="AE136" i="6"/>
  <c r="AC136" i="6"/>
  <c r="AA136" i="6"/>
  <c r="X136" i="6"/>
  <c r="R136" i="6"/>
  <c r="P136" i="6"/>
  <c r="B136" i="6"/>
  <c r="AE135" i="6"/>
  <c r="AC135" i="6"/>
  <c r="AA135" i="6"/>
  <c r="X135" i="6"/>
  <c r="R135" i="6"/>
  <c r="P135" i="6"/>
  <c r="B135" i="6"/>
  <c r="AE134" i="6"/>
  <c r="AC134" i="6"/>
  <c r="AA134" i="6"/>
  <c r="X134" i="6"/>
  <c r="R134" i="6"/>
  <c r="P134" i="6"/>
  <c r="B134" i="6"/>
  <c r="AE133" i="6"/>
  <c r="AC133" i="6"/>
  <c r="AA133" i="6"/>
  <c r="X133" i="6"/>
  <c r="R133" i="6"/>
  <c r="P133" i="6"/>
  <c r="B133" i="6"/>
  <c r="AE132" i="6"/>
  <c r="AC132" i="6"/>
  <c r="AA132" i="6"/>
  <c r="X132" i="6"/>
  <c r="R132" i="6"/>
  <c r="P132" i="6"/>
  <c r="B132" i="6"/>
  <c r="AE131" i="6"/>
  <c r="AC131" i="6"/>
  <c r="AA131" i="6"/>
  <c r="X131" i="6"/>
  <c r="R131" i="6"/>
  <c r="P131" i="6"/>
  <c r="B131" i="6"/>
  <c r="AE130" i="6"/>
  <c r="AC130" i="6"/>
  <c r="AA130" i="6"/>
  <c r="X130" i="6"/>
  <c r="R130" i="6"/>
  <c r="P130" i="6"/>
  <c r="B130" i="6"/>
  <c r="AE129" i="6"/>
  <c r="AC129" i="6"/>
  <c r="AA129" i="6"/>
  <c r="X129" i="6"/>
  <c r="R129" i="6"/>
  <c r="P129" i="6"/>
  <c r="B129" i="6"/>
  <c r="AE128" i="6"/>
  <c r="AC128" i="6"/>
  <c r="AA128" i="6"/>
  <c r="X128" i="6"/>
  <c r="R128" i="6"/>
  <c r="P128" i="6"/>
  <c r="B128" i="6"/>
  <c r="AE127" i="6"/>
  <c r="AC127" i="6"/>
  <c r="AA127" i="6"/>
  <c r="X127" i="6"/>
  <c r="R127" i="6"/>
  <c r="P127" i="6"/>
  <c r="B127" i="6"/>
  <c r="AE126" i="6"/>
  <c r="AC126" i="6"/>
  <c r="AA126" i="6"/>
  <c r="X126" i="6"/>
  <c r="R126" i="6"/>
  <c r="P126" i="6"/>
  <c r="B126" i="6"/>
  <c r="AE125" i="6"/>
  <c r="AC125" i="6"/>
  <c r="AA125" i="6"/>
  <c r="X125" i="6"/>
  <c r="R125" i="6"/>
  <c r="P125" i="6"/>
  <c r="B125" i="6"/>
  <c r="AE124" i="6"/>
  <c r="AC124" i="6"/>
  <c r="AA124" i="6"/>
  <c r="X124" i="6"/>
  <c r="R124" i="6"/>
  <c r="P124" i="6"/>
  <c r="B124" i="6"/>
  <c r="AE123" i="6"/>
  <c r="AC123" i="6"/>
  <c r="AA123" i="6"/>
  <c r="X123" i="6"/>
  <c r="R123" i="6"/>
  <c r="P123" i="6"/>
  <c r="B123" i="6"/>
  <c r="AE122" i="6"/>
  <c r="AC122" i="6"/>
  <c r="AA122" i="6"/>
  <c r="X122" i="6"/>
  <c r="R122" i="6"/>
  <c r="P122" i="6"/>
  <c r="B122" i="6"/>
  <c r="AE121" i="6"/>
  <c r="AC121" i="6"/>
  <c r="AA121" i="6"/>
  <c r="X121" i="6"/>
  <c r="R121" i="6"/>
  <c r="P121" i="6"/>
  <c r="B121" i="6"/>
  <c r="AE120" i="6"/>
  <c r="AC120" i="6"/>
  <c r="AA120" i="6"/>
  <c r="X120" i="6"/>
  <c r="R120" i="6"/>
  <c r="P120" i="6"/>
  <c r="B120" i="6"/>
  <c r="AE119" i="6"/>
  <c r="AC119" i="6"/>
  <c r="AA119" i="6"/>
  <c r="X119" i="6"/>
  <c r="R119" i="6"/>
  <c r="P119" i="6"/>
  <c r="B119" i="6"/>
  <c r="AE118" i="6"/>
  <c r="AC118" i="6"/>
  <c r="AA118" i="6"/>
  <c r="X118" i="6"/>
  <c r="R118" i="6"/>
  <c r="P118" i="6"/>
  <c r="B118" i="6"/>
  <c r="AE117" i="6"/>
  <c r="AC117" i="6"/>
  <c r="AA117" i="6"/>
  <c r="X117" i="6"/>
  <c r="R117" i="6"/>
  <c r="P117" i="6"/>
  <c r="B117" i="6"/>
  <c r="AE116" i="6"/>
  <c r="AC116" i="6"/>
  <c r="AA116" i="6"/>
  <c r="X116" i="6"/>
  <c r="R116" i="6"/>
  <c r="P116" i="6"/>
  <c r="B116" i="6"/>
  <c r="AE115" i="6"/>
  <c r="AC115" i="6"/>
  <c r="AA115" i="6"/>
  <c r="X115" i="6"/>
  <c r="R115" i="6"/>
  <c r="P115" i="6"/>
  <c r="B115" i="6"/>
  <c r="AE114" i="6"/>
  <c r="AC114" i="6"/>
  <c r="AA114" i="6"/>
  <c r="X114" i="6"/>
  <c r="R114" i="6"/>
  <c r="P114" i="6"/>
  <c r="B114" i="6"/>
  <c r="AE113" i="6"/>
  <c r="AC113" i="6"/>
  <c r="AA113" i="6"/>
  <c r="X113" i="6"/>
  <c r="R113" i="6"/>
  <c r="P113" i="6"/>
  <c r="B113" i="6"/>
  <c r="AE112" i="6"/>
  <c r="AC112" i="6"/>
  <c r="AA112" i="6"/>
  <c r="X112" i="6"/>
  <c r="R112" i="6"/>
  <c r="P112" i="6"/>
  <c r="B112" i="6"/>
  <c r="AE111" i="6"/>
  <c r="AC111" i="6"/>
  <c r="AA111" i="6"/>
  <c r="X111" i="6"/>
  <c r="R111" i="6"/>
  <c r="P111" i="6"/>
  <c r="B111" i="6"/>
  <c r="AE110" i="6"/>
  <c r="AC110" i="6"/>
  <c r="AA110" i="6"/>
  <c r="X110" i="6"/>
  <c r="R110" i="6"/>
  <c r="P110" i="6"/>
  <c r="B110" i="6"/>
  <c r="AE109" i="6"/>
  <c r="AC109" i="6"/>
  <c r="AA109" i="6"/>
  <c r="X109" i="6"/>
  <c r="R109" i="6"/>
  <c r="P109" i="6"/>
  <c r="B109" i="6"/>
  <c r="AE108" i="6"/>
  <c r="AC108" i="6"/>
  <c r="AA108" i="6"/>
  <c r="X108" i="6"/>
  <c r="R108" i="6"/>
  <c r="P108" i="6"/>
  <c r="B108" i="6"/>
  <c r="AE107" i="6"/>
  <c r="AC107" i="6"/>
  <c r="AA107" i="6"/>
  <c r="X107" i="6"/>
  <c r="R107" i="6"/>
  <c r="P107" i="6"/>
  <c r="B107" i="6"/>
  <c r="AE106" i="6"/>
  <c r="AC106" i="6"/>
  <c r="AA106" i="6"/>
  <c r="X106" i="6"/>
  <c r="R106" i="6"/>
  <c r="P106" i="6"/>
  <c r="B106" i="6"/>
  <c r="AE105" i="6"/>
  <c r="AC105" i="6"/>
  <c r="AA105" i="6"/>
  <c r="X105" i="6"/>
  <c r="R105" i="6"/>
  <c r="P105" i="6"/>
  <c r="B105" i="6"/>
  <c r="AE104" i="6"/>
  <c r="AC104" i="6"/>
  <c r="AA104" i="6"/>
  <c r="X104" i="6"/>
  <c r="R104" i="6"/>
  <c r="P104" i="6"/>
  <c r="B104" i="6"/>
  <c r="AE103" i="6"/>
  <c r="AC103" i="6"/>
  <c r="AA103" i="6"/>
  <c r="X103" i="6"/>
  <c r="R103" i="6"/>
  <c r="P103" i="6"/>
  <c r="B103" i="6"/>
  <c r="AE102" i="6"/>
  <c r="AC102" i="6"/>
  <c r="AA102" i="6"/>
  <c r="X102" i="6"/>
  <c r="R102" i="6"/>
  <c r="P102" i="6"/>
  <c r="B102" i="6"/>
  <c r="AE101" i="6"/>
  <c r="AC101" i="6"/>
  <c r="AA101" i="6"/>
  <c r="X101" i="6"/>
  <c r="R101" i="6"/>
  <c r="P101" i="6"/>
  <c r="B101" i="6"/>
  <c r="AE100" i="6"/>
  <c r="AC100" i="6"/>
  <c r="AA100" i="6"/>
  <c r="X100" i="6"/>
  <c r="R100" i="6"/>
  <c r="P100" i="6"/>
  <c r="B100" i="6"/>
  <c r="AE99" i="6"/>
  <c r="AC99" i="6"/>
  <c r="AA99" i="6"/>
  <c r="X99" i="6"/>
  <c r="R99" i="6"/>
  <c r="P99" i="6"/>
  <c r="B99" i="6"/>
  <c r="AE98" i="6"/>
  <c r="AC98" i="6"/>
  <c r="AA98" i="6"/>
  <c r="X98" i="6"/>
  <c r="R98" i="6"/>
  <c r="P98" i="6"/>
  <c r="B98" i="6"/>
  <c r="AE97" i="6"/>
  <c r="AC97" i="6"/>
  <c r="AA97" i="6"/>
  <c r="X97" i="6"/>
  <c r="R97" i="6"/>
  <c r="P97" i="6"/>
  <c r="B97" i="6"/>
  <c r="AE96" i="6"/>
  <c r="AC96" i="6"/>
  <c r="AA96" i="6"/>
  <c r="X96" i="6"/>
  <c r="R96" i="6"/>
  <c r="P96" i="6"/>
  <c r="B96" i="6"/>
  <c r="AE95" i="6"/>
  <c r="AC95" i="6"/>
  <c r="AA95" i="6"/>
  <c r="X95" i="6"/>
  <c r="R95" i="6"/>
  <c r="P95" i="6"/>
  <c r="B95" i="6"/>
  <c r="AE94" i="6"/>
  <c r="AC94" i="6"/>
  <c r="AA94" i="6"/>
  <c r="X94" i="6"/>
  <c r="R94" i="6"/>
  <c r="P94" i="6"/>
  <c r="B94" i="6"/>
  <c r="AE93" i="6"/>
  <c r="AC93" i="6"/>
  <c r="AA93" i="6"/>
  <c r="X93" i="6"/>
  <c r="R93" i="6"/>
  <c r="P93" i="6"/>
  <c r="B93" i="6"/>
  <c r="AE92" i="6"/>
  <c r="AC92" i="6"/>
  <c r="AA92" i="6"/>
  <c r="X92" i="6"/>
  <c r="R92" i="6"/>
  <c r="P92" i="6"/>
  <c r="B92" i="6"/>
  <c r="AE91" i="6"/>
  <c r="AC91" i="6"/>
  <c r="AA91" i="6"/>
  <c r="X91" i="6"/>
  <c r="R91" i="6"/>
  <c r="P91" i="6"/>
  <c r="B91" i="6"/>
  <c r="AE90" i="6"/>
  <c r="AC90" i="6"/>
  <c r="AA90" i="6"/>
  <c r="X90" i="6"/>
  <c r="R90" i="6"/>
  <c r="P90" i="6"/>
  <c r="B90" i="6"/>
  <c r="AE89" i="6"/>
  <c r="AC89" i="6"/>
  <c r="AA89" i="6"/>
  <c r="X89" i="6"/>
  <c r="R89" i="6"/>
  <c r="P89" i="6"/>
  <c r="B89" i="6"/>
  <c r="AE88" i="6"/>
  <c r="AC88" i="6"/>
  <c r="AA88" i="6"/>
  <c r="X88" i="6"/>
  <c r="R88" i="6"/>
  <c r="P88" i="6"/>
  <c r="B88" i="6"/>
  <c r="AE87" i="6"/>
  <c r="AC87" i="6"/>
  <c r="AA87" i="6"/>
  <c r="X87" i="6"/>
  <c r="R87" i="6"/>
  <c r="P87" i="6"/>
  <c r="B87" i="6"/>
  <c r="AE86" i="6"/>
  <c r="AC86" i="6"/>
  <c r="AA86" i="6"/>
  <c r="X86" i="6"/>
  <c r="R86" i="6"/>
  <c r="P86" i="6"/>
  <c r="B86" i="6"/>
  <c r="AE85" i="6"/>
  <c r="AC85" i="6"/>
  <c r="AA85" i="6"/>
  <c r="X85" i="6"/>
  <c r="R85" i="6"/>
  <c r="P85" i="6"/>
  <c r="B85" i="6"/>
  <c r="AE84" i="6"/>
  <c r="AC84" i="6"/>
  <c r="AA84" i="6"/>
  <c r="X84" i="6"/>
  <c r="R84" i="6"/>
  <c r="P84" i="6"/>
  <c r="B84" i="6"/>
  <c r="AE83" i="6"/>
  <c r="AC83" i="6"/>
  <c r="AA83" i="6"/>
  <c r="X83" i="6"/>
  <c r="R83" i="6"/>
  <c r="P83" i="6"/>
  <c r="B83" i="6"/>
  <c r="AE82" i="6"/>
  <c r="AC82" i="6"/>
  <c r="AA82" i="6"/>
  <c r="X82" i="6"/>
  <c r="R82" i="6"/>
  <c r="P82" i="6"/>
  <c r="B82" i="6"/>
  <c r="AE81" i="6"/>
  <c r="AC81" i="6"/>
  <c r="AA81" i="6"/>
  <c r="X81" i="6"/>
  <c r="R81" i="6"/>
  <c r="P81" i="6"/>
  <c r="B81" i="6"/>
  <c r="AE80" i="6"/>
  <c r="AC80" i="6"/>
  <c r="AA80" i="6"/>
  <c r="X80" i="6"/>
  <c r="R80" i="6"/>
  <c r="P80" i="6"/>
  <c r="B80" i="6"/>
  <c r="AE79" i="6"/>
  <c r="AC79" i="6"/>
  <c r="AA79" i="6"/>
  <c r="X79" i="6"/>
  <c r="R79" i="6"/>
  <c r="P79" i="6"/>
  <c r="B79" i="6"/>
  <c r="AE78" i="6"/>
  <c r="AC78" i="6"/>
  <c r="AA78" i="6"/>
  <c r="X78" i="6"/>
  <c r="R78" i="6"/>
  <c r="P78" i="6"/>
  <c r="B78" i="6"/>
  <c r="AE77" i="6"/>
  <c r="AC77" i="6"/>
  <c r="AA77" i="6"/>
  <c r="X77" i="6"/>
  <c r="R77" i="6"/>
  <c r="P77" i="6"/>
  <c r="B77" i="6"/>
  <c r="AE76" i="6"/>
  <c r="AC76" i="6"/>
  <c r="AA76" i="6"/>
  <c r="X76" i="6"/>
  <c r="R76" i="6"/>
  <c r="P76" i="6"/>
  <c r="B76" i="6"/>
  <c r="AE75" i="6"/>
  <c r="AC75" i="6"/>
  <c r="AA75" i="6"/>
  <c r="X75" i="6"/>
  <c r="R75" i="6"/>
  <c r="P75" i="6"/>
  <c r="B75" i="6"/>
  <c r="AE74" i="6"/>
  <c r="AC74" i="6"/>
  <c r="AA74" i="6"/>
  <c r="X74" i="6"/>
  <c r="R74" i="6"/>
  <c r="P74" i="6"/>
  <c r="B74" i="6"/>
  <c r="AE73" i="6"/>
  <c r="AC73" i="6"/>
  <c r="AA73" i="6"/>
  <c r="X73" i="6"/>
  <c r="R73" i="6"/>
  <c r="P73" i="6"/>
  <c r="B73" i="6"/>
  <c r="AE72" i="6"/>
  <c r="AC72" i="6"/>
  <c r="AA72" i="6"/>
  <c r="X72" i="6"/>
  <c r="R72" i="6"/>
  <c r="P72" i="6"/>
  <c r="B72" i="6"/>
  <c r="AE71" i="6"/>
  <c r="AC71" i="6"/>
  <c r="AA71" i="6"/>
  <c r="X71" i="6"/>
  <c r="R71" i="6"/>
  <c r="P71" i="6"/>
  <c r="B71" i="6"/>
  <c r="AE70" i="6"/>
  <c r="AC70" i="6"/>
  <c r="AA70" i="6"/>
  <c r="X70" i="6"/>
  <c r="R70" i="6"/>
  <c r="P70" i="6"/>
  <c r="B70" i="6"/>
  <c r="AE69" i="6"/>
  <c r="AC69" i="6"/>
  <c r="AA69" i="6"/>
  <c r="X69" i="6"/>
  <c r="R69" i="6"/>
  <c r="P69" i="6"/>
  <c r="B69" i="6"/>
  <c r="AE68" i="6"/>
  <c r="AC68" i="6"/>
  <c r="AA68" i="6"/>
  <c r="X68" i="6"/>
  <c r="R68" i="6"/>
  <c r="P68" i="6"/>
  <c r="B68" i="6"/>
  <c r="AE67" i="6"/>
  <c r="AC67" i="6"/>
  <c r="AA67" i="6"/>
  <c r="X67" i="6"/>
  <c r="R67" i="6"/>
  <c r="P67" i="6"/>
  <c r="B67" i="6"/>
  <c r="AE66" i="6"/>
  <c r="AC66" i="6"/>
  <c r="AA66" i="6"/>
  <c r="X66" i="6"/>
  <c r="R66" i="6"/>
  <c r="P66" i="6"/>
  <c r="B66" i="6"/>
  <c r="AE65" i="6"/>
  <c r="AC65" i="6"/>
  <c r="AA65" i="6"/>
  <c r="X65" i="6"/>
  <c r="R65" i="6"/>
  <c r="P65" i="6"/>
  <c r="B65" i="6"/>
  <c r="AE64" i="6"/>
  <c r="AC64" i="6"/>
  <c r="AA64" i="6"/>
  <c r="X64" i="6"/>
  <c r="R64" i="6"/>
  <c r="P64" i="6"/>
  <c r="B64" i="6"/>
  <c r="AE63" i="6"/>
  <c r="AC63" i="6"/>
  <c r="AA63" i="6"/>
  <c r="X63" i="6"/>
  <c r="R63" i="6"/>
  <c r="P63" i="6"/>
  <c r="B63" i="6"/>
  <c r="AE62" i="6"/>
  <c r="AC62" i="6"/>
  <c r="AA62" i="6"/>
  <c r="X62" i="6"/>
  <c r="R62" i="6"/>
  <c r="P62" i="6"/>
  <c r="B62" i="6"/>
  <c r="AE61" i="6"/>
  <c r="AC61" i="6"/>
  <c r="AA61" i="6"/>
  <c r="X61" i="6"/>
  <c r="R61" i="6"/>
  <c r="P61" i="6"/>
  <c r="B61" i="6"/>
  <c r="C26" i="17"/>
  <c r="B4" i="19"/>
  <c r="B4" i="21" s="1"/>
  <c r="C4" i="22" s="1"/>
  <c r="B4" i="24" s="1"/>
  <c r="B5" i="25" s="1"/>
  <c r="B4" i="6" s="1"/>
  <c r="B4" i="5" s="1"/>
  <c r="B4" i="34" s="1"/>
  <c r="B4" i="7" s="1"/>
  <c r="B4" i="8" s="1"/>
  <c r="B4" i="9" s="1"/>
  <c r="B4" i="4" s="1"/>
  <c r="B4" i="3" s="1"/>
  <c r="C4" i="11" s="1"/>
  <c r="E5" i="28" s="1"/>
  <c r="K1" i="38"/>
  <c r="I25" i="26"/>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D12" i="16"/>
  <c r="P22" i="6"/>
  <c r="P9" i="6"/>
  <c r="I23" i="16"/>
  <c r="B12" i="4"/>
  <c r="B11" i="4"/>
  <c r="B10" i="4"/>
  <c r="B13" i="8"/>
  <c r="B12" i="8"/>
  <c r="B11" i="8"/>
  <c r="H15" i="34"/>
  <c r="B15" i="34"/>
  <c r="D15" i="34" s="1"/>
  <c r="H14" i="34"/>
  <c r="B14" i="34"/>
  <c r="D14" i="34" s="1"/>
  <c r="H13" i="34"/>
  <c r="B13" i="34"/>
  <c r="D13" i="34" s="1"/>
  <c r="H12" i="34"/>
  <c r="B12" i="34"/>
  <c r="D12" i="34" s="1"/>
  <c r="H11" i="34"/>
  <c r="B11" i="34"/>
  <c r="D11" i="34" s="1"/>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I87" i="22"/>
  <c r="J34" i="21"/>
  <c r="J33" i="21"/>
  <c r="J26" i="21"/>
  <c r="J27" i="21"/>
  <c r="J28" i="21"/>
  <c r="J29" i="21"/>
  <c r="J30" i="21"/>
  <c r="J31" i="21"/>
  <c r="J23" i="21"/>
  <c r="J22" i="21"/>
  <c r="J16" i="21"/>
  <c r="J9" i="21"/>
  <c r="J10" i="21"/>
  <c r="J11" i="21"/>
  <c r="J12" i="21"/>
  <c r="J13" i="21"/>
  <c r="J14" i="21"/>
  <c r="J8" i="21"/>
  <c r="B4" i="37" l="1"/>
  <c r="C4" i="38" s="1"/>
  <c r="B4" i="31" s="1"/>
  <c r="L23" i="16"/>
  <c r="J7" i="21" l="1"/>
  <c r="J24" i="21"/>
  <c r="J25" i="21"/>
  <c r="J35" i="21"/>
  <c r="J18" i="21" l="1"/>
  <c r="J48" i="21"/>
  <c r="J49" i="21" s="1"/>
  <c r="J50" i="21" l="1"/>
  <c r="I91" i="22"/>
  <c r="I90" i="22"/>
  <c r="I89" i="22"/>
  <c r="I88" i="22"/>
  <c r="I86" i="22"/>
  <c r="I85" i="22"/>
  <c r="J34" i="24"/>
  <c r="AE27" i="6"/>
  <c r="K25" i="26" l="1"/>
  <c r="K82" i="22"/>
  <c r="K81" i="22"/>
  <c r="K80" i="22"/>
  <c r="AE24" i="6" l="1"/>
  <c r="AE22" i="6"/>
  <c r="AE23" i="6"/>
  <c r="AE25" i="6"/>
  <c r="AE26" i="6"/>
  <c r="AE28" i="6"/>
  <c r="AE29" i="6"/>
  <c r="AE30" i="6"/>
  <c r="AE31" i="6"/>
  <c r="AE32" i="6"/>
  <c r="AE33" i="6"/>
  <c r="AE34" i="6"/>
  <c r="AE35" i="6"/>
  <c r="AE36" i="6"/>
  <c r="AE37" i="6"/>
  <c r="AE38" i="6"/>
  <c r="AE39" i="6"/>
  <c r="AE40" i="6"/>
  <c r="AE41" i="6"/>
  <c r="AE42" i="6"/>
  <c r="AE43" i="6"/>
  <c r="AE44" i="6"/>
  <c r="AE45" i="6"/>
  <c r="AE46" i="6"/>
  <c r="AE47" i="6"/>
  <c r="AE48" i="6"/>
  <c r="AE49" i="6"/>
  <c r="AE50" i="6"/>
  <c r="AE51" i="6"/>
  <c r="AE52" i="6"/>
  <c r="AE53" i="6"/>
  <c r="AE54" i="6"/>
  <c r="AE55" i="6"/>
  <c r="AE56" i="6"/>
  <c r="AE57" i="6"/>
  <c r="AE58" i="6"/>
  <c r="AE59" i="6"/>
  <c r="AE60" i="6"/>
  <c r="K93" i="22"/>
  <c r="K92" i="22"/>
  <c r="K91" i="22"/>
  <c r="K90" i="22"/>
  <c r="K87" i="22"/>
  <c r="AE91" i="22"/>
  <c r="AE90" i="22"/>
  <c r="AE89" i="22"/>
  <c r="AE88" i="22"/>
  <c r="AE87" i="22"/>
  <c r="AE86" i="22"/>
  <c r="AE85" i="22"/>
  <c r="K55" i="22"/>
  <c r="K54" i="22"/>
  <c r="K53" i="22"/>
  <c r="K52" i="22"/>
  <c r="K51" i="22"/>
  <c r="K50" i="22"/>
  <c r="K47" i="22"/>
  <c r="K46" i="22"/>
  <c r="K45" i="22"/>
  <c r="K44" i="22"/>
  <c r="K38" i="22"/>
  <c r="K37" i="22"/>
  <c r="K36" i="22"/>
  <c r="K35" i="22"/>
  <c r="K33" i="22"/>
  <c r="K32" i="22"/>
  <c r="K31" i="22"/>
  <c r="K30" i="22"/>
  <c r="K29" i="22"/>
  <c r="K22" i="22"/>
  <c r="K21" i="22"/>
  <c r="K20" i="22"/>
  <c r="K19" i="22"/>
  <c r="K18" i="22"/>
  <c r="K17" i="22"/>
  <c r="K15" i="22"/>
  <c r="K14" i="22"/>
  <c r="K13" i="22"/>
  <c r="K12" i="22"/>
  <c r="K11" i="22"/>
  <c r="K10" i="22"/>
  <c r="K9" i="22"/>
  <c r="L47" i="24" l="1"/>
  <c r="L48" i="24"/>
  <c r="L49" i="24"/>
  <c r="L50" i="24"/>
  <c r="L46" i="24"/>
  <c r="B10" i="3" l="1"/>
  <c r="B11" i="9"/>
  <c r="B20" i="8"/>
  <c r="B19" i="8"/>
  <c r="B18" i="8"/>
  <c r="B17" i="8"/>
  <c r="B16" i="8"/>
  <c r="B15" i="8"/>
  <c r="B14" i="8"/>
  <c r="K11" i="7"/>
  <c r="H11" i="7"/>
  <c r="B11" i="7"/>
  <c r="H22" i="34"/>
  <c r="B22" i="34"/>
  <c r="D22" i="34" s="1"/>
  <c r="H21" i="34"/>
  <c r="B21" i="34"/>
  <c r="D21" i="34" s="1"/>
  <c r="H20" i="34"/>
  <c r="B20" i="34"/>
  <c r="D20" i="34" s="1"/>
  <c r="H19" i="34"/>
  <c r="B19" i="34"/>
  <c r="D19" i="34" s="1"/>
  <c r="H18" i="34"/>
  <c r="B18" i="34"/>
  <c r="D18" i="34" s="1"/>
  <c r="H17" i="34"/>
  <c r="B17" i="34"/>
  <c r="D17" i="34" s="1"/>
  <c r="H16" i="34"/>
  <c r="B16" i="34"/>
  <c r="D16" i="34" s="1"/>
  <c r="H10" i="34"/>
  <c r="B10" i="34"/>
  <c r="D10" i="34" s="1"/>
  <c r="P46" i="6"/>
  <c r="R46" i="6" s="1"/>
  <c r="P45" i="6"/>
  <c r="R45" i="6" s="1"/>
  <c r="P44" i="6"/>
  <c r="R44" i="6" s="1"/>
  <c r="P43" i="6"/>
  <c r="R43" i="6" s="1"/>
  <c r="P42" i="6"/>
  <c r="R42" i="6" s="1"/>
  <c r="P41" i="6"/>
  <c r="R41" i="6" s="1"/>
  <c r="P40" i="6"/>
  <c r="R40" i="6" s="1"/>
  <c r="P39" i="6"/>
  <c r="R39" i="6" s="1"/>
  <c r="P38" i="6"/>
  <c r="R38" i="6" s="1"/>
  <c r="B23" i="6"/>
  <c r="B22" i="6"/>
  <c r="H67" i="19"/>
  <c r="F10" i="28"/>
  <c r="B21" i="8"/>
  <c r="K14" i="7"/>
  <c r="K18" i="7"/>
  <c r="K22" i="7"/>
  <c r="K26" i="7"/>
  <c r="K30" i="7"/>
  <c r="K34" i="7"/>
  <c r="I33" i="16"/>
  <c r="G31" i="5"/>
  <c r="J34" i="38"/>
  <c r="J35" i="38"/>
  <c r="J36" i="38"/>
  <c r="J37" i="38"/>
  <c r="J38" i="38"/>
  <c r="J39" i="38"/>
  <c r="J40" i="38"/>
  <c r="J41" i="38"/>
  <c r="J42" i="38"/>
  <c r="J43" i="38"/>
  <c r="J44" i="38"/>
  <c r="J45" i="38"/>
  <c r="J46" i="38"/>
  <c r="J47" i="38"/>
  <c r="J48" i="38"/>
  <c r="J49" i="38"/>
  <c r="J50" i="38"/>
  <c r="J26" i="38"/>
  <c r="J27" i="38"/>
  <c r="J28" i="38"/>
  <c r="J29" i="38"/>
  <c r="J30" i="38"/>
  <c r="J31" i="38"/>
  <c r="J32" i="38"/>
  <c r="J33" i="38"/>
  <c r="B30" i="37"/>
  <c r="B31" i="37"/>
  <c r="B32" i="37"/>
  <c r="B33" i="37"/>
  <c r="B34" i="37"/>
  <c r="B35" i="37"/>
  <c r="B36" i="37"/>
  <c r="B37" i="37"/>
  <c r="B38" i="37"/>
  <c r="B39" i="37"/>
  <c r="L30" i="37"/>
  <c r="L31" i="37"/>
  <c r="L32" i="37"/>
  <c r="L33" i="37"/>
  <c r="L34" i="37"/>
  <c r="L35" i="37"/>
  <c r="L36" i="37"/>
  <c r="L37" i="37"/>
  <c r="L38" i="37"/>
  <c r="L39" i="37"/>
  <c r="B26" i="37"/>
  <c r="B27" i="37"/>
  <c r="B28" i="37"/>
  <c r="B29" i="37"/>
  <c r="B40" i="37"/>
  <c r="B41" i="37"/>
  <c r="B25" i="37"/>
  <c r="L25" i="37"/>
  <c r="L26" i="37"/>
  <c r="L27" i="37"/>
  <c r="L28" i="37"/>
  <c r="L29" i="37"/>
  <c r="L40" i="37"/>
  <c r="B24" i="37"/>
  <c r="B23" i="37"/>
  <c r="B22" i="37"/>
  <c r="B21" i="37"/>
  <c r="B20" i="37"/>
  <c r="B19" i="37"/>
  <c r="B18" i="37"/>
  <c r="B17" i="37"/>
  <c r="B16" i="37"/>
  <c r="B15" i="37"/>
  <c r="B14" i="37"/>
  <c r="B13" i="37"/>
  <c r="B25" i="3"/>
  <c r="B24" i="3"/>
  <c r="B23" i="3"/>
  <c r="B22" i="3"/>
  <c r="B21" i="3"/>
  <c r="B20" i="3"/>
  <c r="B19" i="3"/>
  <c r="B18" i="3"/>
  <c r="B17" i="3"/>
  <c r="B16" i="3"/>
  <c r="B15" i="3"/>
  <c r="B14" i="3"/>
  <c r="B13" i="3"/>
  <c r="B12" i="3"/>
  <c r="B11" i="3"/>
  <c r="B30" i="4"/>
  <c r="B29" i="4"/>
  <c r="B28" i="4"/>
  <c r="B27" i="4"/>
  <c r="B26" i="4"/>
  <c r="B25" i="4"/>
  <c r="B24" i="4"/>
  <c r="B23" i="4"/>
  <c r="B22" i="4"/>
  <c r="B21" i="4"/>
  <c r="B20" i="4"/>
  <c r="B19" i="4"/>
  <c r="B18" i="4"/>
  <c r="B17" i="4"/>
  <c r="B16" i="4"/>
  <c r="B15" i="4"/>
  <c r="B14" i="4"/>
  <c r="B13" i="4"/>
  <c r="B38" i="9"/>
  <c r="B37" i="9"/>
  <c r="B36" i="9"/>
  <c r="B35" i="9"/>
  <c r="B34" i="9"/>
  <c r="B33" i="9"/>
  <c r="B32" i="9"/>
  <c r="B31" i="9"/>
  <c r="B30" i="9"/>
  <c r="B29" i="9"/>
  <c r="B28" i="9"/>
  <c r="B27" i="9"/>
  <c r="B26" i="9"/>
  <c r="B25" i="9"/>
  <c r="B24" i="9"/>
  <c r="B23" i="9"/>
  <c r="B22" i="9"/>
  <c r="B21" i="9"/>
  <c r="B20" i="9"/>
  <c r="B19" i="9"/>
  <c r="B18" i="9"/>
  <c r="B17" i="9"/>
  <c r="B16" i="9"/>
  <c r="B15" i="9"/>
  <c r="B14" i="9"/>
  <c r="B13" i="9"/>
  <c r="B12" i="9"/>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K36" i="7"/>
  <c r="H36" i="7"/>
  <c r="B36" i="7"/>
  <c r="K35" i="7"/>
  <c r="H35" i="7"/>
  <c r="B35" i="7"/>
  <c r="B34" i="7"/>
  <c r="K33" i="7"/>
  <c r="H33" i="7"/>
  <c r="B33" i="7"/>
  <c r="K32" i="7"/>
  <c r="H32" i="7"/>
  <c r="B32" i="7"/>
  <c r="K31" i="7"/>
  <c r="H31" i="7"/>
  <c r="B31" i="7"/>
  <c r="B30" i="7"/>
  <c r="K29" i="7"/>
  <c r="H29" i="7"/>
  <c r="B29" i="7"/>
  <c r="K28" i="7"/>
  <c r="H28" i="7"/>
  <c r="B28" i="7"/>
  <c r="K27" i="7"/>
  <c r="H27" i="7"/>
  <c r="B27" i="7"/>
  <c r="B26" i="7"/>
  <c r="K25" i="7"/>
  <c r="H25" i="7"/>
  <c r="B25" i="7"/>
  <c r="K24" i="7"/>
  <c r="H24" i="7"/>
  <c r="B24" i="7"/>
  <c r="K23" i="7"/>
  <c r="H23" i="7"/>
  <c r="B23" i="7"/>
  <c r="B22" i="7"/>
  <c r="K21" i="7"/>
  <c r="H21" i="7"/>
  <c r="B21" i="7"/>
  <c r="K20" i="7"/>
  <c r="H20" i="7"/>
  <c r="B20" i="7"/>
  <c r="K19" i="7"/>
  <c r="H19" i="7"/>
  <c r="B19" i="7"/>
  <c r="B18" i="7"/>
  <c r="K17" i="7"/>
  <c r="H17" i="7"/>
  <c r="B17" i="7"/>
  <c r="K16" i="7"/>
  <c r="H16" i="7"/>
  <c r="B16" i="7"/>
  <c r="K15" i="7"/>
  <c r="H15" i="7"/>
  <c r="B15" i="7"/>
  <c r="B14" i="7"/>
  <c r="K13" i="7"/>
  <c r="H13" i="7"/>
  <c r="B13" i="7"/>
  <c r="K12" i="7"/>
  <c r="H12" i="7"/>
  <c r="B12" i="7"/>
  <c r="B23" i="34"/>
  <c r="D23" i="34" s="1"/>
  <c r="H23" i="34"/>
  <c r="B24" i="34"/>
  <c r="D24" i="34" s="1"/>
  <c r="H24" i="34"/>
  <c r="B25" i="34"/>
  <c r="D25" i="34" s="1"/>
  <c r="H25" i="34"/>
  <c r="B26" i="34"/>
  <c r="D26" i="34" s="1"/>
  <c r="H26" i="34"/>
  <c r="B27" i="34"/>
  <c r="D27" i="34" s="1"/>
  <c r="H27" i="34"/>
  <c r="B28" i="34"/>
  <c r="D28" i="34" s="1"/>
  <c r="H28" i="34"/>
  <c r="B29" i="34"/>
  <c r="D29" i="34" s="1"/>
  <c r="H29" i="34"/>
  <c r="B30" i="34"/>
  <c r="D30" i="34" s="1"/>
  <c r="H30" i="34"/>
  <c r="B31" i="34"/>
  <c r="D31" i="34" s="1"/>
  <c r="H31" i="34"/>
  <c r="B32" i="34"/>
  <c r="D32" i="34" s="1"/>
  <c r="H32" i="34"/>
  <c r="B33" i="34"/>
  <c r="D33" i="34" s="1"/>
  <c r="H33" i="34"/>
  <c r="B34" i="34"/>
  <c r="D34" i="34" s="1"/>
  <c r="H34" i="34"/>
  <c r="B35" i="34"/>
  <c r="D35" i="34" s="1"/>
  <c r="H35" i="34"/>
  <c r="B36" i="34"/>
  <c r="D36" i="34" s="1"/>
  <c r="H36" i="34"/>
  <c r="B37" i="34"/>
  <c r="D37" i="34" s="1"/>
  <c r="H37" i="34"/>
  <c r="B38" i="34"/>
  <c r="D38" i="34" s="1"/>
  <c r="H38" i="34"/>
  <c r="B39" i="34"/>
  <c r="D39" i="34" s="1"/>
  <c r="H39" i="34"/>
  <c r="B40" i="34"/>
  <c r="D40" i="34" s="1"/>
  <c r="H40" i="34"/>
  <c r="B41" i="34"/>
  <c r="D41" i="34" s="1"/>
  <c r="H41" i="34"/>
  <c r="B42" i="34"/>
  <c r="D42" i="34" s="1"/>
  <c r="H42" i="34"/>
  <c r="B43" i="34"/>
  <c r="D43" i="34" s="1"/>
  <c r="H43" i="34"/>
  <c r="B44" i="34"/>
  <c r="D44" i="34" s="1"/>
  <c r="H44" i="34"/>
  <c r="B45" i="34"/>
  <c r="D45" i="34" s="1"/>
  <c r="H45" i="34"/>
  <c r="B46" i="34"/>
  <c r="D46" i="34" s="1"/>
  <c r="H46" i="34"/>
  <c r="B47" i="34"/>
  <c r="D47" i="34" s="1"/>
  <c r="H47" i="34"/>
  <c r="B48" i="34"/>
  <c r="D48" i="34" s="1"/>
  <c r="H48" i="34"/>
  <c r="B49" i="34"/>
  <c r="D49" i="34" s="1"/>
  <c r="H49" i="34"/>
  <c r="B50" i="34"/>
  <c r="D50" i="34" s="1"/>
  <c r="H50" i="34"/>
  <c r="B51" i="34"/>
  <c r="D51" i="34" s="1"/>
  <c r="H51" i="34"/>
  <c r="B52" i="34"/>
  <c r="D52" i="34" s="1"/>
  <c r="H52" i="34"/>
  <c r="B53" i="34"/>
  <c r="D53" i="34" s="1"/>
  <c r="H53" i="34"/>
  <c r="B54" i="34"/>
  <c r="D54" i="34" s="1"/>
  <c r="H54" i="34"/>
  <c r="B55" i="34"/>
  <c r="D55" i="34" s="1"/>
  <c r="H55" i="34"/>
  <c r="B56" i="34"/>
  <c r="D56" i="34" s="1"/>
  <c r="H56" i="34"/>
  <c r="B57" i="34"/>
  <c r="D57" i="34" s="1"/>
  <c r="H57" i="34"/>
  <c r="B58" i="34"/>
  <c r="D58" i="34" s="1"/>
  <c r="H58" i="34"/>
  <c r="B59" i="34"/>
  <c r="D59" i="34" s="1"/>
  <c r="H59" i="34"/>
  <c r="B60" i="34"/>
  <c r="D60" i="34" s="1"/>
  <c r="H60" i="34"/>
  <c r="B61" i="34"/>
  <c r="D61" i="34" s="1"/>
  <c r="H61" i="34"/>
  <c r="B62" i="34"/>
  <c r="D62" i="34" s="1"/>
  <c r="H62" i="34"/>
  <c r="B63" i="34"/>
  <c r="D63" i="34" s="1"/>
  <c r="H63" i="34"/>
  <c r="B64" i="34"/>
  <c r="D64" i="34" s="1"/>
  <c r="H64" i="34"/>
  <c r="B65" i="34"/>
  <c r="D65" i="34" s="1"/>
  <c r="H65" i="34"/>
  <c r="B66" i="34"/>
  <c r="D66" i="34" s="1"/>
  <c r="H66" i="34"/>
  <c r="B67" i="34"/>
  <c r="D67" i="34" s="1"/>
  <c r="H67" i="34"/>
  <c r="I100" i="16"/>
  <c r="I99" i="16"/>
  <c r="I98" i="16"/>
  <c r="I97" i="16"/>
  <c r="I96" i="16"/>
  <c r="I95" i="16"/>
  <c r="I94" i="16"/>
  <c r="I93" i="16"/>
  <c r="I92" i="16"/>
  <c r="I91" i="16"/>
  <c r="I90" i="16"/>
  <c r="I89" i="16"/>
  <c r="I88" i="16"/>
  <c r="I87" i="16"/>
  <c r="I86" i="16"/>
  <c r="I85" i="16"/>
  <c r="I84" i="16"/>
  <c r="I83" i="16"/>
  <c r="I82" i="16"/>
  <c r="I81" i="16"/>
  <c r="I80" i="16"/>
  <c r="I79" i="16"/>
  <c r="I78" i="16"/>
  <c r="I77" i="16"/>
  <c r="I76" i="16"/>
  <c r="I75" i="16"/>
  <c r="I74" i="16"/>
  <c r="I73" i="16"/>
  <c r="I72" i="16"/>
  <c r="I71" i="16"/>
  <c r="I70" i="16"/>
  <c r="I69" i="16"/>
  <c r="I68" i="16"/>
  <c r="I67" i="16"/>
  <c r="I66" i="16"/>
  <c r="I65" i="16"/>
  <c r="I64" i="16"/>
  <c r="I63" i="16"/>
  <c r="I62" i="16"/>
  <c r="I61" i="16"/>
  <c r="I60" i="16"/>
  <c r="I59" i="16"/>
  <c r="I58" i="16"/>
  <c r="I57" i="16"/>
  <c r="I56" i="16"/>
  <c r="I55" i="16"/>
  <c r="I54" i="16"/>
  <c r="I53" i="16"/>
  <c r="I52" i="16"/>
  <c r="I51" i="16"/>
  <c r="I50" i="16"/>
  <c r="I49" i="16"/>
  <c r="I48" i="16"/>
  <c r="I47" i="16"/>
  <c r="I46" i="16"/>
  <c r="L46" i="16" l="1"/>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33" i="16"/>
  <c r="K23" i="16"/>
  <c r="J23" i="16"/>
  <c r="M23" i="16" s="1"/>
  <c r="P27" i="6"/>
  <c r="R27" i="6" s="1"/>
  <c r="X38" i="6"/>
  <c r="AC38" i="6"/>
  <c r="X40" i="6"/>
  <c r="X42" i="6"/>
  <c r="AC42" i="6"/>
  <c r="X44" i="6"/>
  <c r="AC44" i="6"/>
  <c r="X46" i="6"/>
  <c r="AC46" i="6"/>
  <c r="X39" i="6"/>
  <c r="AC39" i="6"/>
  <c r="X41" i="6"/>
  <c r="AC41" i="6"/>
  <c r="X43" i="6"/>
  <c r="AC43" i="6"/>
  <c r="X45" i="6"/>
  <c r="AC45" i="6"/>
  <c r="P37" i="6"/>
  <c r="R37" i="6" s="1"/>
  <c r="P36" i="6"/>
  <c r="R36" i="6" s="1"/>
  <c r="P35" i="6"/>
  <c r="R35" i="6" s="1"/>
  <c r="P34" i="6"/>
  <c r="R34" i="6" s="1"/>
  <c r="P33" i="6"/>
  <c r="R33" i="6" s="1"/>
  <c r="P32" i="6"/>
  <c r="R32" i="6" s="1"/>
  <c r="P31" i="6"/>
  <c r="R31" i="6" s="1"/>
  <c r="P30" i="6"/>
  <c r="R30" i="6" s="1"/>
  <c r="P29" i="6"/>
  <c r="R29" i="6" s="1"/>
  <c r="P28" i="6"/>
  <c r="R28" i="6" s="1"/>
  <c r="P24" i="6"/>
  <c r="R24" i="6" s="1"/>
  <c r="AC40" i="6"/>
  <c r="P23" i="6"/>
  <c r="P26" i="6"/>
  <c r="P25" i="6"/>
  <c r="R25" i="6" s="1"/>
  <c r="H14" i="7"/>
  <c r="H18" i="7"/>
  <c r="H22" i="7"/>
  <c r="H26" i="7"/>
  <c r="H30" i="7"/>
  <c r="H34" i="7"/>
  <c r="D2" i="13"/>
  <c r="M2" i="16"/>
  <c r="M1" i="16"/>
  <c r="P60" i="6"/>
  <c r="R60" i="6" s="1"/>
  <c r="P59" i="6"/>
  <c r="R59" i="6" s="1"/>
  <c r="P58" i="6"/>
  <c r="R58" i="6" s="1"/>
  <c r="P57" i="6"/>
  <c r="R57" i="6" s="1"/>
  <c r="P56" i="6"/>
  <c r="R56" i="6" s="1"/>
  <c r="P55" i="6"/>
  <c r="R55" i="6" s="1"/>
  <c r="P54" i="6"/>
  <c r="R54" i="6" s="1"/>
  <c r="P53" i="6"/>
  <c r="R53" i="6" s="1"/>
  <c r="P52" i="6"/>
  <c r="R52" i="6" s="1"/>
  <c r="P51" i="6"/>
  <c r="R51" i="6" s="1"/>
  <c r="P50" i="6"/>
  <c r="R50" i="6" s="1"/>
  <c r="P49" i="6"/>
  <c r="R49" i="6" s="1"/>
  <c r="P48" i="6"/>
  <c r="R48" i="6" s="1"/>
  <c r="P47" i="6"/>
  <c r="R47" i="6" s="1"/>
  <c r="E89" i="33" a="1"/>
  <c r="E89" i="33" s="1"/>
  <c r="E30" i="33"/>
  <c r="E29" i="33"/>
  <c r="E27" i="33" a="1"/>
  <c r="E27" i="33" s="1"/>
  <c r="E26" i="33"/>
  <c r="E24" i="33"/>
  <c r="E20" i="33" a="1"/>
  <c r="E20" i="33" s="1"/>
  <c r="E75" i="33"/>
  <c r="E59" i="33"/>
  <c r="E66" i="33"/>
  <c r="E55" i="33"/>
  <c r="E54" i="33"/>
  <c r="E64" i="33"/>
  <c r="E65" i="33"/>
  <c r="E42" i="33"/>
  <c r="E48" i="33"/>
  <c r="E38" i="33"/>
  <c r="E37" i="33"/>
  <c r="E47" i="33"/>
  <c r="E36" i="33"/>
  <c r="E46" i="33"/>
  <c r="E45" i="33"/>
  <c r="E44" i="33"/>
  <c r="E63" i="33"/>
  <c r="E62" i="33"/>
  <c r="E61" i="33"/>
  <c r="E53" i="33"/>
  <c r="E22" i="33"/>
  <c r="E21" i="33"/>
  <c r="X27" i="6" l="1"/>
  <c r="AA27" i="6" s="1"/>
  <c r="AC27" i="6"/>
  <c r="X48" i="6"/>
  <c r="AA48" i="6" s="1"/>
  <c r="AC48" i="6"/>
  <c r="X52" i="6"/>
  <c r="AA52" i="6" s="1"/>
  <c r="AC52" i="6"/>
  <c r="X56" i="6"/>
  <c r="AA56" i="6" s="1"/>
  <c r="AC56" i="6"/>
  <c r="X60" i="6"/>
  <c r="AA60" i="6" s="1"/>
  <c r="AC60" i="6"/>
  <c r="X37" i="6"/>
  <c r="AA37" i="6" s="1"/>
  <c r="AC37" i="6"/>
  <c r="X49" i="6"/>
  <c r="AA49" i="6" s="1"/>
  <c r="AC49" i="6"/>
  <c r="X53" i="6"/>
  <c r="AA53" i="6" s="1"/>
  <c r="AC53" i="6"/>
  <c r="X57" i="6"/>
  <c r="AC57" i="6"/>
  <c r="X50" i="6"/>
  <c r="AA50" i="6" s="1"/>
  <c r="AC50" i="6"/>
  <c r="X54" i="6"/>
  <c r="AA54" i="6" s="1"/>
  <c r="AC54" i="6"/>
  <c r="X58" i="6"/>
  <c r="AA58" i="6" s="1"/>
  <c r="AC58" i="6"/>
  <c r="X47" i="6"/>
  <c r="X51" i="6"/>
  <c r="AC51" i="6"/>
  <c r="X55" i="6"/>
  <c r="AC55" i="6"/>
  <c r="X59" i="6"/>
  <c r="AC59" i="6"/>
  <c r="X36" i="6"/>
  <c r="AA36" i="6" s="1"/>
  <c r="AC36" i="6"/>
  <c r="X28" i="6"/>
  <c r="AA28" i="6" s="1"/>
  <c r="AC28" i="6"/>
  <c r="X32" i="6"/>
  <c r="AA32" i="6" s="1"/>
  <c r="AC32" i="6"/>
  <c r="X29" i="6"/>
  <c r="AA29" i="6" s="1"/>
  <c r="AC29" i="6"/>
  <c r="X33" i="6"/>
  <c r="AA33" i="6" s="1"/>
  <c r="AC33" i="6"/>
  <c r="X25" i="6"/>
  <c r="AA25" i="6" s="1"/>
  <c r="X30" i="6"/>
  <c r="AA30" i="6" s="1"/>
  <c r="AC30" i="6"/>
  <c r="X34" i="6"/>
  <c r="AA34" i="6" s="1"/>
  <c r="AC34" i="6"/>
  <c r="X24" i="6"/>
  <c r="AA24" i="6" s="1"/>
  <c r="X31" i="6"/>
  <c r="AA31" i="6" s="1"/>
  <c r="AC31" i="6"/>
  <c r="X35" i="6"/>
  <c r="AA35" i="6" s="1"/>
  <c r="AC35" i="6"/>
  <c r="R22" i="6"/>
  <c r="R23" i="6"/>
  <c r="R26" i="6"/>
  <c r="AC47" i="6"/>
  <c r="AA41" i="6"/>
  <c r="AA46" i="6"/>
  <c r="AA38" i="6"/>
  <c r="AA39" i="6"/>
  <c r="AA40" i="6"/>
  <c r="AC25" i="6"/>
  <c r="AA45" i="6"/>
  <c r="AA42" i="6"/>
  <c r="AA43" i="6"/>
  <c r="AA44" i="6"/>
  <c r="J33" i="16"/>
  <c r="M33" i="16" s="1"/>
  <c r="AC24" i="6" l="1"/>
  <c r="K33" i="16"/>
  <c r="X26" i="6"/>
  <c r="AA26" i="6" s="1"/>
  <c r="AC26" i="6"/>
  <c r="X23" i="6"/>
  <c r="Y18" i="6"/>
  <c r="X22" i="6"/>
  <c r="AC22" i="6"/>
  <c r="AA57" i="6"/>
  <c r="AA51" i="6"/>
  <c r="AA59" i="6"/>
  <c r="AA55" i="6"/>
  <c r="AA47" i="6"/>
  <c r="E19" i="33"/>
  <c r="M4" i="16" s="1"/>
  <c r="E17" i="33"/>
  <c r="BY19" i="33"/>
  <c r="BY18" i="33"/>
  <c r="BY17" i="33"/>
  <c r="E18" i="33"/>
  <c r="K49" i="16" l="1"/>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AC23" i="6"/>
  <c r="J52" i="21"/>
  <c r="J54" i="21"/>
  <c r="J58" i="21" s="1"/>
  <c r="AA23" i="6"/>
  <c r="AA22" i="6"/>
  <c r="E23" i="33"/>
  <c r="M1" i="30" s="1"/>
  <c r="M9" i="6"/>
  <c r="N9" i="6"/>
  <c r="Q9" i="6"/>
  <c r="S9" i="6"/>
  <c r="T9" i="6"/>
  <c r="U9" i="6"/>
  <c r="V9" i="6"/>
  <c r="Y9" i="6"/>
  <c r="Z9" i="6"/>
  <c r="M10" i="6"/>
  <c r="N10" i="6"/>
  <c r="Q10" i="6"/>
  <c r="S10" i="6"/>
  <c r="T10" i="6"/>
  <c r="U10" i="6"/>
  <c r="V10" i="6"/>
  <c r="Y10" i="6"/>
  <c r="Z10" i="6"/>
  <c r="M11" i="6"/>
  <c r="N11" i="6"/>
  <c r="S11" i="6"/>
  <c r="T11" i="6"/>
  <c r="U11" i="6"/>
  <c r="V11" i="6"/>
  <c r="Z11" i="6"/>
  <c r="M13" i="6"/>
  <c r="N13" i="6"/>
  <c r="P13" i="6"/>
  <c r="Q13" i="6"/>
  <c r="R13" i="6"/>
  <c r="S13" i="6"/>
  <c r="T13" i="6"/>
  <c r="U13" i="6"/>
  <c r="V13" i="6"/>
  <c r="X13" i="6"/>
  <c r="Y13" i="6"/>
  <c r="Z13" i="6"/>
  <c r="M14" i="6"/>
  <c r="N14" i="6"/>
  <c r="P14" i="6"/>
  <c r="Q14" i="6"/>
  <c r="R14" i="6"/>
  <c r="S14" i="6"/>
  <c r="T14" i="6"/>
  <c r="U14" i="6"/>
  <c r="V14" i="6"/>
  <c r="X14" i="6"/>
  <c r="Y14" i="6"/>
  <c r="Z14" i="6"/>
  <c r="M15" i="6"/>
  <c r="N15" i="6"/>
  <c r="P15" i="6"/>
  <c r="Q15" i="6"/>
  <c r="R15" i="6"/>
  <c r="S15" i="6"/>
  <c r="T15" i="6"/>
  <c r="U15" i="6"/>
  <c r="V15" i="6"/>
  <c r="X15" i="6"/>
  <c r="Y15" i="6"/>
  <c r="Z15" i="6"/>
  <c r="M16" i="6"/>
  <c r="N16" i="6"/>
  <c r="Q16" i="6"/>
  <c r="S16" i="6"/>
  <c r="T16" i="6"/>
  <c r="U16" i="6"/>
  <c r="V16" i="6"/>
  <c r="Y16" i="6"/>
  <c r="Z16" i="6"/>
  <c r="M17" i="6"/>
  <c r="N17" i="6"/>
  <c r="P17" i="6"/>
  <c r="Q17" i="6"/>
  <c r="R17" i="6"/>
  <c r="S17" i="6"/>
  <c r="T17" i="6"/>
  <c r="U17" i="6"/>
  <c r="V17" i="6"/>
  <c r="X17" i="6"/>
  <c r="Y17" i="6"/>
  <c r="Z17" i="6"/>
  <c r="M18" i="6"/>
  <c r="N18" i="6"/>
  <c r="S18" i="6"/>
  <c r="E84" i="33" s="1"/>
  <c r="T18" i="6" a="1"/>
  <c r="T18" i="6" s="1"/>
  <c r="E85" i="33" s="1"/>
  <c r="U18" i="6"/>
  <c r="E82" i="33" s="1"/>
  <c r="V18" i="6"/>
  <c r="E83" i="33" s="1"/>
  <c r="Z18" i="6"/>
  <c r="N12" i="6" l="1"/>
  <c r="M12" i="6"/>
  <c r="K48" i="16"/>
  <c r="K46" i="16"/>
  <c r="K47" i="16"/>
  <c r="S12" i="6"/>
  <c r="V12" i="6"/>
  <c r="G63" i="22"/>
  <c r="D2" i="31"/>
  <c r="I63" i="22"/>
  <c r="P11" i="17"/>
  <c r="C2" i="21"/>
  <c r="H2" i="6"/>
  <c r="H2" i="16"/>
  <c r="F2" i="26"/>
  <c r="K7" i="22"/>
  <c r="F3" i="28"/>
  <c r="E2" i="34"/>
  <c r="B41" i="25"/>
  <c r="F8" i="19"/>
  <c r="C2" i="8"/>
  <c r="H2" i="37"/>
  <c r="F7" i="21"/>
  <c r="F2" i="24"/>
  <c r="H7" i="21"/>
  <c r="C2" i="4"/>
  <c r="C2" i="19"/>
  <c r="G2" i="7"/>
  <c r="E2" i="36"/>
  <c r="I7" i="22"/>
  <c r="F2" i="11"/>
  <c r="G7" i="22"/>
  <c r="D2" i="22"/>
  <c r="C3" i="5"/>
  <c r="F2" i="38"/>
  <c r="F67" i="19"/>
  <c r="J67" i="19"/>
  <c r="B2" i="3"/>
  <c r="P40" i="17"/>
  <c r="K63" i="22"/>
  <c r="E3" i="25"/>
  <c r="J8" i="19"/>
  <c r="B2" i="9"/>
  <c r="E25" i="33"/>
  <c r="AA14" i="6"/>
  <c r="AC15" i="6"/>
  <c r="AA17" i="6"/>
  <c r="AA15" i="6"/>
  <c r="AC13" i="6"/>
  <c r="T12" i="6"/>
  <c r="AC16" i="6"/>
  <c r="AA13" i="6"/>
  <c r="AC10" i="6"/>
  <c r="AC14" i="6"/>
  <c r="Z12" i="6"/>
  <c r="U12" i="6"/>
  <c r="AC9" i="6"/>
  <c r="O5" i="17" l="1"/>
  <c r="Y5" i="17"/>
  <c r="Y3" i="17"/>
  <c r="Y2" i="17"/>
  <c r="K19" i="25"/>
  <c r="P39" i="17"/>
  <c r="P34" i="17"/>
  <c r="W23" i="17"/>
  <c r="P9" i="17"/>
  <c r="H17" i="24" l="1"/>
  <c r="J17" i="24"/>
  <c r="L17" i="24" l="1"/>
  <c r="H101" i="19"/>
  <c r="CC55" i="33"/>
  <c r="A19" i="25" s="1"/>
  <c r="H99" i="19"/>
  <c r="E68" i="33" s="1"/>
  <c r="CC53" i="33" l="1"/>
  <c r="A17" i="25" s="1"/>
  <c r="CC54" i="33"/>
  <c r="A18" i="25" s="1"/>
  <c r="CC58" i="33"/>
  <c r="A25" i="25" s="1"/>
  <c r="CC52" i="33"/>
  <c r="A14" i="25" s="1"/>
  <c r="CC57" i="33"/>
  <c r="A23" i="25" s="1"/>
  <c r="CC56" i="33"/>
  <c r="A22" i="25" s="1"/>
  <c r="CC59" i="33"/>
  <c r="A26" i="25" s="1"/>
  <c r="CC47" i="33"/>
  <c r="A25" i="24" s="1"/>
  <c r="CC49" i="33"/>
  <c r="A47" i="24" s="1"/>
  <c r="CC44" i="33"/>
  <c r="A22" i="24" s="1"/>
  <c r="CC40" i="33"/>
  <c r="A11" i="24" s="1"/>
  <c r="CC48" i="33"/>
  <c r="A46" i="24" s="1"/>
  <c r="CC43" i="33"/>
  <c r="A16" i="24" s="1"/>
  <c r="L16" i="24" s="1"/>
  <c r="CC39" i="33"/>
  <c r="A6" i="24" s="1"/>
  <c r="CC50" i="33"/>
  <c r="A48" i="24" s="1"/>
  <c r="CC41" i="33"/>
  <c r="A12" i="24" s="1"/>
  <c r="CC51" i="33"/>
  <c r="A58" i="24" s="1"/>
  <c r="CC46" i="33"/>
  <c r="A24" i="24" s="1"/>
  <c r="CC42" i="33"/>
  <c r="A13" i="24" s="1"/>
  <c r="CC38" i="33"/>
  <c r="A23" i="22" s="1"/>
  <c r="CC45" i="33"/>
  <c r="A23" i="24" s="1"/>
  <c r="CC17" i="33"/>
  <c r="A94" i="19" s="1"/>
  <c r="CC37" i="33"/>
  <c r="A22" i="22" s="1"/>
  <c r="H52" i="21"/>
  <c r="CC35" i="33"/>
  <c r="A53" i="21" s="1"/>
  <c r="CC31" i="33"/>
  <c r="A28" i="21" s="1"/>
  <c r="CC33" i="33"/>
  <c r="A51" i="21" s="1"/>
  <c r="CC36" i="33"/>
  <c r="A54" i="21" s="1"/>
  <c r="CC32" i="33"/>
  <c r="A50" i="21" s="1"/>
  <c r="CC34" i="33"/>
  <c r="A52" i="21" s="1"/>
  <c r="CC29" i="33"/>
  <c r="A108" i="19" s="1"/>
  <c r="CC28" i="33"/>
  <c r="A107" i="19" s="1"/>
  <c r="CC30" i="33"/>
  <c r="A109" i="19" s="1"/>
  <c r="CC24" i="33"/>
  <c r="A104" i="19" s="1"/>
  <c r="CC20" i="33"/>
  <c r="A97" i="19" s="1"/>
  <c r="CC27" i="33"/>
  <c r="A110" i="19" s="1"/>
  <c r="CC23" i="33"/>
  <c r="A103" i="19" s="1"/>
  <c r="CC19" i="33"/>
  <c r="A96" i="19" s="1"/>
  <c r="CC26" i="33"/>
  <c r="A106" i="19" s="1"/>
  <c r="CC22" i="33"/>
  <c r="A99" i="19" s="1"/>
  <c r="CC18" i="33"/>
  <c r="A95" i="19" s="1"/>
  <c r="CC25" i="33"/>
  <c r="A105" i="19" s="1"/>
  <c r="CC21" i="33"/>
  <c r="A98" i="19" s="1"/>
  <c r="E12" i="16" l="1"/>
  <c r="I27" i="26" s="1"/>
  <c r="F34" i="36" l="1"/>
  <c r="G34" i="36"/>
  <c r="H34" i="36"/>
  <c r="E34" i="36"/>
  <c r="L41" i="37"/>
  <c r="L24" i="37"/>
  <c r="L23" i="37"/>
  <c r="L22" i="37"/>
  <c r="L21" i="37"/>
  <c r="L20" i="37"/>
  <c r="L19" i="37"/>
  <c r="L18" i="37"/>
  <c r="L17" i="37"/>
  <c r="L16" i="37"/>
  <c r="L15" i="37"/>
  <c r="L14" i="37"/>
  <c r="L13" i="37"/>
  <c r="K8" i="37"/>
  <c r="J8" i="37"/>
  <c r="I8" i="37"/>
  <c r="H8" i="37"/>
  <c r="G8" i="37"/>
  <c r="F8" i="37"/>
  <c r="E8" i="37"/>
  <c r="K33" i="25"/>
  <c r="L8" i="37" l="1"/>
  <c r="K86" i="22"/>
  <c r="I77" i="22" l="1"/>
  <c r="G77" i="22"/>
  <c r="J8" i="24" l="1"/>
  <c r="H8" i="24"/>
  <c r="H36" i="19" l="1"/>
  <c r="F36" i="19"/>
  <c r="L4" i="19" l="1"/>
  <c r="C12" i="17" l="1"/>
  <c r="C14" i="17"/>
  <c r="C9" i="17"/>
  <c r="H6" i="38"/>
  <c r="I6" i="38"/>
  <c r="G6" i="38"/>
  <c r="J15" i="38"/>
  <c r="J16" i="38"/>
  <c r="J17" i="38"/>
  <c r="J18" i="38"/>
  <c r="J19" i="38"/>
  <c r="K4" i="38"/>
  <c r="A4" i="38"/>
  <c r="K2" i="38"/>
  <c r="K7" i="36"/>
  <c r="K12" i="36"/>
  <c r="K11" i="36"/>
  <c r="M4" i="37" l="1"/>
  <c r="A4" i="37"/>
  <c r="M2" i="37"/>
  <c r="M1" i="37"/>
  <c r="K4" i="36"/>
  <c r="A4" i="36"/>
  <c r="K2" i="36"/>
  <c r="K1" i="36"/>
  <c r="D45" i="36"/>
  <c r="K14" i="36"/>
  <c r="D48" i="36" s="1"/>
  <c r="E15" i="36"/>
  <c r="F35" i="36"/>
  <c r="G35" i="36"/>
  <c r="E35" i="36"/>
  <c r="E42" i="36" s="1"/>
  <c r="J25" i="38"/>
  <c r="J24" i="38"/>
  <c r="J23" i="38"/>
  <c r="J22" i="38"/>
  <c r="J21" i="38"/>
  <c r="J20" i="38"/>
  <c r="J14" i="38"/>
  <c r="J13" i="38"/>
  <c r="J12" i="38"/>
  <c r="J11" i="38"/>
  <c r="G26" i="36"/>
  <c r="G28" i="36" s="1"/>
  <c r="F26" i="36"/>
  <c r="F28" i="36" s="1"/>
  <c r="E26" i="36"/>
  <c r="E28" i="36" s="1"/>
  <c r="D59" i="36"/>
  <c r="D60" i="36" s="1"/>
  <c r="D55" i="36"/>
  <c r="D49" i="36"/>
  <c r="I40" i="36"/>
  <c r="H39" i="36"/>
  <c r="G39" i="36"/>
  <c r="F39" i="36"/>
  <c r="E39" i="36"/>
  <c r="I38" i="36"/>
  <c r="I37" i="36"/>
  <c r="I33" i="36"/>
  <c r="I32" i="36"/>
  <c r="I31" i="36"/>
  <c r="I34" i="36" s="1"/>
  <c r="I25" i="36"/>
  <c r="I24" i="36"/>
  <c r="I23" i="36"/>
  <c r="H35" i="36" l="1"/>
  <c r="H42" i="36" s="1"/>
  <c r="J6" i="38"/>
  <c r="F42" i="36"/>
  <c r="F43" i="36" s="1"/>
  <c r="G42" i="36"/>
  <c r="G43" i="36" s="1"/>
  <c r="I39" i="36"/>
  <c r="E59" i="36"/>
  <c r="E60" i="36" s="1"/>
  <c r="H26" i="36"/>
  <c r="H28" i="36" s="1"/>
  <c r="E20" i="36"/>
  <c r="D50" i="36"/>
  <c r="E50" i="36" s="1"/>
  <c r="F50" i="36" s="1"/>
  <c r="G50" i="36" s="1"/>
  <c r="H50" i="36" s="1"/>
  <c r="E48" i="36"/>
  <c r="E55" i="36"/>
  <c r="I39" i="16"/>
  <c r="I38" i="16"/>
  <c r="I37" i="16"/>
  <c r="I36" i="16"/>
  <c r="I35" i="16"/>
  <c r="I34" i="16"/>
  <c r="I32" i="16"/>
  <c r="I31" i="16"/>
  <c r="I30" i="16"/>
  <c r="I29" i="16"/>
  <c r="I28" i="16"/>
  <c r="I27" i="16"/>
  <c r="I26" i="16"/>
  <c r="I25" i="16"/>
  <c r="I24" i="16"/>
  <c r="I18" i="16"/>
  <c r="I20" i="16"/>
  <c r="I22" i="16"/>
  <c r="I19" i="16"/>
  <c r="I21" i="16"/>
  <c r="L97" i="19"/>
  <c r="L96" i="19"/>
  <c r="L89" i="19"/>
  <c r="L88" i="19"/>
  <c r="L87" i="19"/>
  <c r="J89" i="19"/>
  <c r="J88" i="19"/>
  <c r="J87" i="19"/>
  <c r="L83" i="19"/>
  <c r="L82" i="19"/>
  <c r="L81" i="19"/>
  <c r="L80" i="19"/>
  <c r="L79" i="19"/>
  <c r="L78" i="19"/>
  <c r="L77" i="19"/>
  <c r="J83" i="19"/>
  <c r="J82" i="19"/>
  <c r="J81" i="19"/>
  <c r="J80" i="19"/>
  <c r="J79" i="19"/>
  <c r="J78" i="19"/>
  <c r="J77" i="19"/>
  <c r="J76" i="19"/>
  <c r="L76" i="19"/>
  <c r="L74" i="19"/>
  <c r="J74" i="19"/>
  <c r="L51" i="19"/>
  <c r="L50" i="19"/>
  <c r="L49" i="19"/>
  <c r="L48" i="19"/>
  <c r="L47" i="19"/>
  <c r="L46" i="19"/>
  <c r="L45" i="19"/>
  <c r="L44" i="19"/>
  <c r="L43" i="19"/>
  <c r="L42" i="19"/>
  <c r="L41" i="19"/>
  <c r="L40" i="19"/>
  <c r="J51" i="19"/>
  <c r="J50" i="19"/>
  <c r="J49" i="19"/>
  <c r="J48" i="19"/>
  <c r="J47" i="19"/>
  <c r="J46" i="19"/>
  <c r="J45" i="19"/>
  <c r="J44" i="19"/>
  <c r="J43" i="19"/>
  <c r="J42" i="19"/>
  <c r="J41" i="19"/>
  <c r="J40" i="19"/>
  <c r="L19" i="16" l="1"/>
  <c r="L24" i="16"/>
  <c r="L28" i="16"/>
  <c r="L32" i="16"/>
  <c r="L37" i="16"/>
  <c r="J36" i="19"/>
  <c r="L36" i="19"/>
  <c r="I35" i="36"/>
  <c r="I42" i="36" s="1"/>
  <c r="H43" i="36"/>
  <c r="K20" i="16"/>
  <c r="K26" i="16"/>
  <c r="K30" i="16"/>
  <c r="K39" i="16"/>
  <c r="L21" i="16"/>
  <c r="K22" i="16"/>
  <c r="L18" i="16"/>
  <c r="K25" i="16"/>
  <c r="L27" i="16"/>
  <c r="K29" i="16"/>
  <c r="L31" i="16"/>
  <c r="K34" i="16"/>
  <c r="L36" i="16"/>
  <c r="L39" i="16"/>
  <c r="K19" i="16"/>
  <c r="L20" i="16"/>
  <c r="K24" i="16"/>
  <c r="L26" i="16"/>
  <c r="K28" i="16"/>
  <c r="L30" i="16"/>
  <c r="K32" i="16"/>
  <c r="L35" i="16"/>
  <c r="K21" i="16"/>
  <c r="L22" i="16"/>
  <c r="K18" i="16"/>
  <c r="L25" i="16"/>
  <c r="K27" i="16"/>
  <c r="L29" i="16"/>
  <c r="K31" i="16"/>
  <c r="L34" i="16"/>
  <c r="L38" i="16"/>
  <c r="E21" i="36"/>
  <c r="F21" i="36" s="1"/>
  <c r="J11" i="37" s="1"/>
  <c r="F59" i="36"/>
  <c r="F60" i="36" s="1"/>
  <c r="E43" i="36"/>
  <c r="E49" i="36" s="1"/>
  <c r="F49" i="36" s="1"/>
  <c r="G49" i="36" s="1"/>
  <c r="I26" i="36"/>
  <c r="I28" i="36" s="1"/>
  <c r="F55" i="36"/>
  <c r="F48" i="36"/>
  <c r="I4" i="34"/>
  <c r="A4" i="34"/>
  <c r="I2" i="34"/>
  <c r="I1" i="34"/>
  <c r="C17" i="5"/>
  <c r="C15" i="5"/>
  <c r="H20" i="19"/>
  <c r="L20" i="19" s="1"/>
  <c r="C14" i="5" l="1"/>
  <c r="I43" i="36"/>
  <c r="H49" i="36"/>
  <c r="I11" i="37"/>
  <c r="B10" i="5"/>
  <c r="H10" i="19"/>
  <c r="L10" i="19" s="1"/>
  <c r="B14" i="5"/>
  <c r="H19" i="19"/>
  <c r="L19" i="19" s="1"/>
  <c r="B17" i="5"/>
  <c r="H29" i="19"/>
  <c r="L29" i="19" s="1"/>
  <c r="B11" i="5"/>
  <c r="H11" i="19"/>
  <c r="L11" i="19" s="1"/>
  <c r="B16" i="5"/>
  <c r="H22" i="19"/>
  <c r="L22" i="19" s="1"/>
  <c r="B12" i="5"/>
  <c r="H12" i="19"/>
  <c r="L12" i="19" s="1"/>
  <c r="B15" i="5"/>
  <c r="H21" i="19"/>
  <c r="L21" i="19" s="1"/>
  <c r="G21" i="36"/>
  <c r="K11" i="37" s="1"/>
  <c r="H9" i="38"/>
  <c r="G9" i="38"/>
  <c r="G6" i="34"/>
  <c r="G59" i="36"/>
  <c r="H59" i="36" s="1"/>
  <c r="H60" i="36" s="1"/>
  <c r="H6" i="34"/>
  <c r="G55" i="36"/>
  <c r="G48" i="36"/>
  <c r="I6" i="34"/>
  <c r="B13" i="5"/>
  <c r="P10" i="6" l="1"/>
  <c r="C11" i="5" s="1"/>
  <c r="R10" i="6"/>
  <c r="P16" i="6"/>
  <c r="C16" i="5" s="1"/>
  <c r="R16" i="6"/>
  <c r="C10" i="5"/>
  <c r="P11" i="6"/>
  <c r="P18" i="6"/>
  <c r="C18" i="5" s="1"/>
  <c r="C13" i="37"/>
  <c r="G60" i="36"/>
  <c r="H21" i="36"/>
  <c r="L11" i="37" s="1"/>
  <c r="I9" i="38"/>
  <c r="J29" i="16"/>
  <c r="M29" i="16" s="1"/>
  <c r="J34" i="16"/>
  <c r="M34" i="16" s="1"/>
  <c r="J32" i="16"/>
  <c r="M32" i="16" s="1"/>
  <c r="J18" i="16"/>
  <c r="J31" i="16"/>
  <c r="M31" i="16" s="1"/>
  <c r="J20" i="16"/>
  <c r="M20" i="16" s="1"/>
  <c r="J39" i="16"/>
  <c r="M39" i="16" s="1"/>
  <c r="J19" i="16"/>
  <c r="M19" i="16" s="1"/>
  <c r="J26" i="16"/>
  <c r="M26" i="16" s="1"/>
  <c r="J35" i="16"/>
  <c r="M35" i="16" s="1"/>
  <c r="J25" i="16"/>
  <c r="M25" i="16" s="1"/>
  <c r="J24" i="16"/>
  <c r="M24" i="16" s="1"/>
  <c r="J30" i="16"/>
  <c r="M30" i="16" s="1"/>
  <c r="J22" i="16"/>
  <c r="M22" i="16" s="1"/>
  <c r="H55" i="36"/>
  <c r="H48" i="36"/>
  <c r="B18" i="5"/>
  <c r="M18" i="16" l="1"/>
  <c r="J28" i="16"/>
  <c r="M28" i="16" s="1"/>
  <c r="J27" i="16"/>
  <c r="M27" i="16" s="1"/>
  <c r="C32" i="37"/>
  <c r="C36" i="37"/>
  <c r="C22" i="37"/>
  <c r="C29" i="37"/>
  <c r="C15" i="37"/>
  <c r="C31" i="37"/>
  <c r="C38" i="37"/>
  <c r="C28" i="37"/>
  <c r="C21" i="37"/>
  <c r="C27" i="37"/>
  <c r="C40" i="37"/>
  <c r="C26" i="37"/>
  <c r="C33" i="37"/>
  <c r="C19" i="37"/>
  <c r="C25" i="37"/>
  <c r="C16" i="37"/>
  <c r="C39" i="37"/>
  <c r="C24" i="37"/>
  <c r="C14" i="37"/>
  <c r="C35" i="37"/>
  <c r="C37" i="37"/>
  <c r="C23" i="37"/>
  <c r="C30" i="37"/>
  <c r="C20" i="37"/>
  <c r="C17" i="37"/>
  <c r="C18" i="37"/>
  <c r="C41" i="37"/>
  <c r="C34" i="37"/>
  <c r="J38" i="16"/>
  <c r="M38" i="16" s="1"/>
  <c r="J36" i="16"/>
  <c r="M36" i="16" s="1"/>
  <c r="J37" i="16"/>
  <c r="M37" i="16" s="1"/>
  <c r="K37" i="16"/>
  <c r="K36" i="16"/>
  <c r="K38" i="16"/>
  <c r="Y11" i="6"/>
  <c r="AC18" i="6"/>
  <c r="K35" i="16"/>
  <c r="X10" i="6"/>
  <c r="AA10" i="6" s="1"/>
  <c r="X16" i="6"/>
  <c r="AA16" i="6" s="1"/>
  <c r="P12" i="6"/>
  <c r="C13" i="5" s="1"/>
  <c r="R9" i="6"/>
  <c r="Q18" i="6"/>
  <c r="Q11" i="6"/>
  <c r="Q12" i="6" s="1"/>
  <c r="C12" i="5"/>
  <c r="R11" i="6"/>
  <c r="R8" i="6"/>
  <c r="R18" i="6"/>
  <c r="D13" i="37"/>
  <c r="J21" i="16"/>
  <c r="J9" i="38"/>
  <c r="G57" i="22"/>
  <c r="L32" i="19"/>
  <c r="H32" i="19"/>
  <c r="M21" i="16" l="1"/>
  <c r="C8" i="37"/>
  <c r="J47" i="16"/>
  <c r="M47" i="16" s="1"/>
  <c r="J48" i="16"/>
  <c r="M48" i="16" s="1"/>
  <c r="J69" i="16"/>
  <c r="M69" i="16" s="1"/>
  <c r="J60" i="16"/>
  <c r="M60" i="16" s="1"/>
  <c r="J68" i="16"/>
  <c r="M68" i="16" s="1"/>
  <c r="J64" i="16"/>
  <c r="M64" i="16" s="1"/>
  <c r="J96" i="16"/>
  <c r="M96" i="16" s="1"/>
  <c r="J81" i="16"/>
  <c r="M81" i="16" s="1"/>
  <c r="J54" i="16"/>
  <c r="M54" i="16" s="1"/>
  <c r="J70" i="16"/>
  <c r="M70" i="16" s="1"/>
  <c r="J86" i="16"/>
  <c r="M86" i="16" s="1"/>
  <c r="J49" i="16"/>
  <c r="M49" i="16" s="1"/>
  <c r="J63" i="16"/>
  <c r="M63" i="16" s="1"/>
  <c r="J79" i="16"/>
  <c r="M79" i="16" s="1"/>
  <c r="J95" i="16"/>
  <c r="M95" i="16" s="1"/>
  <c r="D27" i="37"/>
  <c r="D39" i="37"/>
  <c r="D32" i="37"/>
  <c r="D40" i="37"/>
  <c r="D25" i="37"/>
  <c r="J93" i="16"/>
  <c r="M93" i="16" s="1"/>
  <c r="J73" i="16"/>
  <c r="M73" i="16" s="1"/>
  <c r="J66" i="16"/>
  <c r="M66" i="16" s="1"/>
  <c r="J75" i="16"/>
  <c r="M75" i="16" s="1"/>
  <c r="D38" i="37"/>
  <c r="D29" i="37"/>
  <c r="J46" i="16"/>
  <c r="M46" i="16" s="1"/>
  <c r="J77" i="16"/>
  <c r="M77" i="16" s="1"/>
  <c r="J76" i="16"/>
  <c r="M76" i="16" s="1"/>
  <c r="J84" i="16"/>
  <c r="M84" i="16" s="1"/>
  <c r="J72" i="16"/>
  <c r="M72" i="16" s="1"/>
  <c r="J57" i="16"/>
  <c r="M57" i="16" s="1"/>
  <c r="J89" i="16"/>
  <c r="M89" i="16" s="1"/>
  <c r="J58" i="16"/>
  <c r="M58" i="16" s="1"/>
  <c r="J74" i="16"/>
  <c r="M74" i="16" s="1"/>
  <c r="J90" i="16"/>
  <c r="M90" i="16" s="1"/>
  <c r="J51" i="16"/>
  <c r="M51" i="16" s="1"/>
  <c r="J67" i="16"/>
  <c r="M67" i="16" s="1"/>
  <c r="J83" i="16"/>
  <c r="M83" i="16" s="1"/>
  <c r="D30" i="37"/>
  <c r="D33" i="37"/>
  <c r="D28" i="37"/>
  <c r="D36" i="37"/>
  <c r="D37" i="37"/>
  <c r="J52" i="16"/>
  <c r="M52" i="16" s="1"/>
  <c r="J88" i="16"/>
  <c r="M88" i="16" s="1"/>
  <c r="J82" i="16"/>
  <c r="M82" i="16" s="1"/>
  <c r="J59" i="16"/>
  <c r="M59" i="16" s="1"/>
  <c r="J91" i="16"/>
  <c r="M91" i="16" s="1"/>
  <c r="D26" i="37"/>
  <c r="J85" i="16"/>
  <c r="M85" i="16" s="1"/>
  <c r="J61" i="16"/>
  <c r="M61" i="16" s="1"/>
  <c r="J92" i="16"/>
  <c r="M92" i="16" s="1"/>
  <c r="J100" i="16"/>
  <c r="M100" i="16" s="1"/>
  <c r="J80" i="16"/>
  <c r="M80" i="16" s="1"/>
  <c r="J65" i="16"/>
  <c r="M65" i="16" s="1"/>
  <c r="J97" i="16"/>
  <c r="M97" i="16" s="1"/>
  <c r="J62" i="16"/>
  <c r="M62" i="16" s="1"/>
  <c r="J78" i="16"/>
  <c r="M78" i="16" s="1"/>
  <c r="J94" i="16"/>
  <c r="M94" i="16" s="1"/>
  <c r="J55" i="16"/>
  <c r="M55" i="16" s="1"/>
  <c r="J71" i="16"/>
  <c r="M71" i="16" s="1"/>
  <c r="J87" i="16"/>
  <c r="M87" i="16" s="1"/>
  <c r="D34" i="37"/>
  <c r="D31" i="37"/>
  <c r="J53" i="16"/>
  <c r="M53" i="16" s="1"/>
  <c r="J56" i="16"/>
  <c r="M56" i="16" s="1"/>
  <c r="J50" i="16"/>
  <c r="M50" i="16" s="1"/>
  <c r="J98" i="16"/>
  <c r="M98" i="16" s="1"/>
  <c r="D35" i="37"/>
  <c r="D41" i="37"/>
  <c r="D23" i="37"/>
  <c r="D21" i="37"/>
  <c r="D19" i="37"/>
  <c r="D15" i="37"/>
  <c r="D24" i="37"/>
  <c r="D18" i="37"/>
  <c r="D14" i="37"/>
  <c r="D22" i="37"/>
  <c r="D20" i="37"/>
  <c r="D16" i="37"/>
  <c r="D17" i="37"/>
  <c r="J99" i="16"/>
  <c r="M99" i="16" s="1"/>
  <c r="AC11" i="6"/>
  <c r="Y12" i="6"/>
  <c r="AC12" i="6" s="1"/>
  <c r="R12" i="6"/>
  <c r="X9" i="6"/>
  <c r="AA9" i="6" s="1"/>
  <c r="X11" i="6"/>
  <c r="X18" i="6"/>
  <c r="AA18" i="6" s="1"/>
  <c r="K4" i="26"/>
  <c r="D8" i="37" l="1"/>
  <c r="X12" i="6"/>
  <c r="AA12" i="6" s="1"/>
  <c r="AA11" i="6"/>
  <c r="AR17" i="33"/>
  <c r="AU17" i="33"/>
  <c r="AR18" i="33"/>
  <c r="AU18" i="33"/>
  <c r="AR19" i="33"/>
  <c r="AU19" i="33"/>
  <c r="AR20" i="33"/>
  <c r="AU20" i="33"/>
  <c r="AR21" i="33"/>
  <c r="AU21" i="33"/>
  <c r="AR22" i="33"/>
  <c r="AU22" i="33"/>
  <c r="AR23" i="33"/>
  <c r="AU23" i="33"/>
  <c r="AR24" i="33"/>
  <c r="AU24" i="33"/>
  <c r="AR25" i="33"/>
  <c r="AU25" i="33"/>
  <c r="AR26" i="33"/>
  <c r="AU26" i="33"/>
  <c r="AR27" i="33"/>
  <c r="AU27" i="33"/>
  <c r="AR28" i="33"/>
  <c r="AU28" i="33"/>
  <c r="AR29" i="33"/>
  <c r="AU29" i="33"/>
  <c r="AR30" i="33"/>
  <c r="AU30" i="33"/>
  <c r="AR31" i="33"/>
  <c r="AU31" i="33"/>
  <c r="AR32" i="33"/>
  <c r="AU32" i="33"/>
  <c r="AR33" i="33"/>
  <c r="AU33" i="33"/>
  <c r="AR34" i="33"/>
  <c r="AU34" i="33"/>
  <c r="AR35" i="33"/>
  <c r="AU35" i="33"/>
  <c r="AR36" i="33"/>
  <c r="AU36" i="33"/>
  <c r="AR37" i="33"/>
  <c r="AU37" i="33"/>
  <c r="AR38" i="33"/>
  <c r="AU38" i="33"/>
  <c r="AR39" i="33"/>
  <c r="AU39" i="33"/>
  <c r="AR40" i="33"/>
  <c r="AU40" i="33"/>
  <c r="AR41" i="33"/>
  <c r="AU41" i="33"/>
  <c r="AR42" i="33"/>
  <c r="AU42" i="33"/>
  <c r="AR43" i="33"/>
  <c r="AU43" i="33"/>
  <c r="AR44" i="33"/>
  <c r="AU44" i="33"/>
  <c r="AR45" i="33"/>
  <c r="AU45" i="33"/>
  <c r="AR46" i="33"/>
  <c r="AU46" i="33"/>
  <c r="AR47" i="33"/>
  <c r="AU47" i="33"/>
  <c r="AR48" i="33"/>
  <c r="AU48" i="33"/>
  <c r="AR49" i="33"/>
  <c r="AU49" i="33"/>
  <c r="AR50" i="33"/>
  <c r="AU50" i="33"/>
  <c r="AR51" i="33"/>
  <c r="AU51" i="33"/>
  <c r="AR52" i="33"/>
  <c r="AU52" i="33"/>
  <c r="AR53" i="33"/>
  <c r="AU53" i="33"/>
  <c r="AR54" i="33"/>
  <c r="AU54" i="33"/>
  <c r="AR55" i="33"/>
  <c r="AU55" i="33"/>
  <c r="AR56" i="33"/>
  <c r="AU56" i="33"/>
  <c r="AR57" i="33"/>
  <c r="AU57" i="33"/>
  <c r="AR58" i="33"/>
  <c r="AU58" i="33"/>
  <c r="AR59" i="33"/>
  <c r="AU59" i="33"/>
  <c r="AR60" i="33"/>
  <c r="AU60" i="33"/>
  <c r="AR61" i="33"/>
  <c r="AU61" i="33"/>
  <c r="AR62" i="33"/>
  <c r="AU62" i="33"/>
  <c r="AR63" i="33"/>
  <c r="AU63" i="33"/>
  <c r="AR64" i="33"/>
  <c r="AU64" i="33"/>
  <c r="AR65" i="33"/>
  <c r="AU65" i="33"/>
  <c r="AR66" i="33"/>
  <c r="AU66" i="33"/>
  <c r="AR67" i="33"/>
  <c r="AU67" i="33"/>
  <c r="AR68" i="33"/>
  <c r="AU68" i="33"/>
  <c r="AR69" i="33"/>
  <c r="AU69" i="33"/>
  <c r="AR70" i="33"/>
  <c r="AU70" i="33"/>
  <c r="AR71" i="33"/>
  <c r="AU71" i="33"/>
  <c r="AR72" i="33"/>
  <c r="AU72" i="33"/>
  <c r="AR73" i="33"/>
  <c r="AU73" i="33"/>
  <c r="AR74" i="33"/>
  <c r="AU74" i="33"/>
  <c r="AR75" i="33"/>
  <c r="AU75" i="33"/>
  <c r="AR76" i="33"/>
  <c r="AU76" i="33"/>
  <c r="AR77" i="33"/>
  <c r="AU77" i="33"/>
  <c r="AR78" i="33"/>
  <c r="AU78" i="33"/>
  <c r="AR79" i="33"/>
  <c r="AU79" i="33"/>
  <c r="AR80" i="33"/>
  <c r="AU80" i="33"/>
  <c r="AR81" i="33"/>
  <c r="AU81" i="33"/>
  <c r="AR82" i="33"/>
  <c r="AU82" i="33"/>
  <c r="AR83" i="33"/>
  <c r="AU83" i="33"/>
  <c r="AR84" i="33"/>
  <c r="AU84" i="33"/>
  <c r="AR85" i="33"/>
  <c r="AU85" i="33"/>
  <c r="AR86" i="33"/>
  <c r="AU86" i="33"/>
  <c r="AR87" i="33"/>
  <c r="AU87" i="33"/>
  <c r="AR88" i="33"/>
  <c r="AU88" i="33"/>
  <c r="AR89" i="33"/>
  <c r="AU89" i="33"/>
  <c r="AR90" i="33"/>
  <c r="AU90" i="33"/>
  <c r="AR91" i="33"/>
  <c r="AU91" i="33"/>
  <c r="AR92" i="33"/>
  <c r="AU92" i="33"/>
  <c r="AR93" i="33"/>
  <c r="AU93" i="33"/>
  <c r="AR94" i="33"/>
  <c r="AU94" i="33"/>
  <c r="AR95" i="33"/>
  <c r="AU95" i="33"/>
  <c r="AR96" i="33"/>
  <c r="AU96" i="33"/>
  <c r="AR97" i="33"/>
  <c r="AU97" i="33"/>
  <c r="AR98" i="33"/>
  <c r="AU98" i="33"/>
  <c r="AR99" i="33"/>
  <c r="AU99" i="33"/>
  <c r="AR100" i="33"/>
  <c r="AU100" i="33"/>
  <c r="AR101" i="33"/>
  <c r="AU101" i="33"/>
  <c r="AR102" i="33"/>
  <c r="AU102" i="33"/>
  <c r="AR103" i="33"/>
  <c r="AU103" i="33"/>
  <c r="AR104" i="33"/>
  <c r="AU104" i="33"/>
  <c r="AR105" i="33"/>
  <c r="AU105" i="33"/>
  <c r="AR106" i="33"/>
  <c r="AU106" i="33"/>
  <c r="AR107" i="33"/>
  <c r="AU107" i="33"/>
  <c r="AR108" i="33"/>
  <c r="AU108" i="33"/>
  <c r="AR109" i="33"/>
  <c r="AU109" i="33"/>
  <c r="AR110" i="33"/>
  <c r="AU110" i="33"/>
  <c r="AR111" i="33"/>
  <c r="AU111" i="33"/>
  <c r="AR112" i="33"/>
  <c r="AU112" i="33"/>
  <c r="AR113" i="33"/>
  <c r="AU113" i="33"/>
  <c r="AR114" i="33"/>
  <c r="AU114" i="33"/>
  <c r="AR115" i="33"/>
  <c r="AU115" i="33"/>
  <c r="AR116" i="33"/>
  <c r="AU116" i="33"/>
  <c r="AR117" i="33"/>
  <c r="AU117" i="33"/>
  <c r="AR118" i="33"/>
  <c r="AU118" i="33"/>
  <c r="AR119" i="33"/>
  <c r="AU119" i="33"/>
  <c r="AR120" i="33"/>
  <c r="AU120" i="33"/>
  <c r="AR121" i="33"/>
  <c r="AU121" i="33"/>
  <c r="AR122" i="33"/>
  <c r="AU122" i="33"/>
  <c r="AR123" i="33"/>
  <c r="AU123" i="33"/>
  <c r="AR124" i="33"/>
  <c r="AU124" i="33"/>
  <c r="AR125" i="33"/>
  <c r="AU125" i="33"/>
  <c r="AR126" i="33"/>
  <c r="AU126" i="33"/>
  <c r="AR127" i="33"/>
  <c r="AU127" i="33"/>
  <c r="AR128" i="33"/>
  <c r="AU128" i="33"/>
  <c r="AR129" i="33"/>
  <c r="AU129" i="33"/>
  <c r="AR130" i="33"/>
  <c r="AU130" i="33"/>
  <c r="AR131" i="33"/>
  <c r="AU131" i="33"/>
  <c r="AR132" i="33"/>
  <c r="AU132" i="33"/>
  <c r="AR133" i="33"/>
  <c r="AU133" i="33"/>
  <c r="AR134" i="33"/>
  <c r="AU134" i="33"/>
  <c r="AR135" i="33"/>
  <c r="AU135" i="33"/>
  <c r="AR136" i="33"/>
  <c r="AU136" i="33"/>
  <c r="AR137" i="33"/>
  <c r="AU137" i="33"/>
  <c r="AR138" i="33"/>
  <c r="AU138" i="33"/>
  <c r="AR139" i="33"/>
  <c r="AU139" i="33"/>
  <c r="AR140" i="33"/>
  <c r="AU140" i="33"/>
  <c r="AR141" i="33"/>
  <c r="AU141" i="33"/>
  <c r="AR142" i="33"/>
  <c r="AU142" i="33"/>
  <c r="AR143" i="33"/>
  <c r="AU143" i="33"/>
  <c r="AR144" i="33"/>
  <c r="AU144" i="33"/>
  <c r="AR145" i="33"/>
  <c r="AU145" i="33"/>
  <c r="AR146" i="33"/>
  <c r="AU146" i="33"/>
  <c r="AR147" i="33"/>
  <c r="AU147" i="33"/>
  <c r="AR148" i="33"/>
  <c r="AU148" i="33"/>
  <c r="AR149" i="33"/>
  <c r="AU149" i="33"/>
  <c r="AR150" i="33"/>
  <c r="AU150" i="33"/>
  <c r="AR151" i="33"/>
  <c r="AU151" i="33"/>
  <c r="AR152" i="33"/>
  <c r="AU152" i="33"/>
  <c r="AR153" i="33"/>
  <c r="AU153" i="33"/>
  <c r="AR154" i="33"/>
  <c r="AU154" i="33"/>
  <c r="AR155" i="33"/>
  <c r="AU155" i="33"/>
  <c r="AR156" i="33"/>
  <c r="AU156" i="33"/>
  <c r="AR157" i="33"/>
  <c r="AU157" i="33"/>
  <c r="AR158" i="33"/>
  <c r="AU158" i="33"/>
  <c r="AR159" i="33"/>
  <c r="AU159" i="33"/>
  <c r="AR160" i="33"/>
  <c r="AU160" i="33"/>
  <c r="AR161" i="33"/>
  <c r="AU161" i="33"/>
  <c r="AR162" i="33"/>
  <c r="AU162" i="33"/>
  <c r="AR163" i="33"/>
  <c r="AU163" i="33"/>
  <c r="AR164" i="33"/>
  <c r="AU164" i="33"/>
  <c r="AR165" i="33"/>
  <c r="AU165" i="33"/>
  <c r="AR166" i="33"/>
  <c r="AU166" i="33"/>
  <c r="AR167" i="33"/>
  <c r="AU167" i="33"/>
  <c r="AR168" i="33"/>
  <c r="AU168" i="33"/>
  <c r="AR169" i="33"/>
  <c r="AU169" i="33"/>
  <c r="AR170" i="33"/>
  <c r="AU170" i="33"/>
  <c r="AR171" i="33"/>
  <c r="AU171" i="33"/>
  <c r="AR172" i="33"/>
  <c r="AU172" i="33"/>
  <c r="AR173" i="33"/>
  <c r="AU173" i="33"/>
  <c r="AR174" i="33"/>
  <c r="AU174" i="33"/>
  <c r="AR175" i="33"/>
  <c r="AU175" i="33"/>
  <c r="AR176" i="33"/>
  <c r="AU176" i="33"/>
  <c r="AR177" i="33"/>
  <c r="AU177" i="33"/>
  <c r="AR178" i="33"/>
  <c r="AU178" i="33"/>
  <c r="AR179" i="33"/>
  <c r="AU179" i="33"/>
  <c r="AR180" i="33"/>
  <c r="AU180" i="33"/>
  <c r="AR181" i="33"/>
  <c r="AU181" i="33"/>
  <c r="AR182" i="33"/>
  <c r="AU182" i="33"/>
  <c r="AR183" i="33"/>
  <c r="AU183" i="33"/>
  <c r="AR184" i="33"/>
  <c r="AU184" i="33"/>
  <c r="AR185" i="33"/>
  <c r="AU185" i="33"/>
  <c r="AR186" i="33"/>
  <c r="AU186" i="33"/>
  <c r="AR187" i="33"/>
  <c r="AU187" i="33"/>
  <c r="AR188" i="33"/>
  <c r="AU188" i="33"/>
  <c r="AR189" i="33"/>
  <c r="AU189" i="33"/>
  <c r="AR190" i="33"/>
  <c r="AU190" i="33"/>
  <c r="AR191" i="33"/>
  <c r="AU191" i="33"/>
  <c r="AR192" i="33"/>
  <c r="AU192" i="33"/>
  <c r="AR193" i="33"/>
  <c r="AU193" i="33"/>
  <c r="AR194" i="33"/>
  <c r="AU194" i="33"/>
  <c r="AR195" i="33"/>
  <c r="AU195" i="33"/>
  <c r="AR196" i="33"/>
  <c r="AU196" i="33"/>
  <c r="AR197" i="33"/>
  <c r="AU197" i="33"/>
  <c r="AR198" i="33"/>
  <c r="AU198" i="33"/>
  <c r="AR199" i="33"/>
  <c r="AU199" i="33"/>
  <c r="AR200" i="33"/>
  <c r="AU200" i="33"/>
  <c r="AR201" i="33"/>
  <c r="AU201" i="33"/>
  <c r="AR202" i="33"/>
  <c r="AU202" i="33"/>
  <c r="AR203" i="33"/>
  <c r="AU203" i="33"/>
  <c r="AR204" i="33"/>
  <c r="AU204" i="33"/>
  <c r="AR205" i="33"/>
  <c r="AU205" i="33"/>
  <c r="AR206" i="33"/>
  <c r="AU206" i="33"/>
  <c r="AR207" i="33"/>
  <c r="AU207" i="33"/>
  <c r="AR208" i="33"/>
  <c r="AU208" i="33"/>
  <c r="AR209" i="33"/>
  <c r="AU209" i="33"/>
  <c r="AR210" i="33"/>
  <c r="AU210" i="33"/>
  <c r="AR211" i="33"/>
  <c r="AU211" i="33"/>
  <c r="AR212" i="33"/>
  <c r="AU212" i="33"/>
  <c r="AR213" i="33"/>
  <c r="AU213" i="33"/>
  <c r="AR214" i="33"/>
  <c r="AU214" i="33"/>
  <c r="AR215" i="33"/>
  <c r="AU215" i="33"/>
  <c r="AR216" i="33"/>
  <c r="AU216" i="33"/>
  <c r="AR217" i="33"/>
  <c r="AU217" i="33"/>
  <c r="AR218" i="33"/>
  <c r="AU218" i="33"/>
  <c r="AR219" i="33"/>
  <c r="AU219" i="33"/>
  <c r="AR220" i="33"/>
  <c r="AU220" i="33"/>
  <c r="AR221" i="33"/>
  <c r="AU221" i="33"/>
  <c r="AR222" i="33"/>
  <c r="AU222" i="33"/>
  <c r="AR223" i="33"/>
  <c r="AU223" i="33"/>
  <c r="AR224" i="33"/>
  <c r="AU224" i="33"/>
  <c r="AR225" i="33"/>
  <c r="AU225" i="33"/>
  <c r="AR226" i="33"/>
  <c r="AU226" i="33"/>
  <c r="AR227" i="33"/>
  <c r="AU227" i="33"/>
  <c r="AR228" i="33"/>
  <c r="AU228" i="33"/>
  <c r="AR229" i="33"/>
  <c r="AU229" i="33"/>
  <c r="AR230" i="33"/>
  <c r="AU230" i="33"/>
  <c r="AR231" i="33"/>
  <c r="AU231" i="33"/>
  <c r="AR232" i="33"/>
  <c r="AU232" i="33"/>
  <c r="AR233" i="33"/>
  <c r="AU233" i="33"/>
  <c r="AR234" i="33"/>
  <c r="AU234" i="33"/>
  <c r="AR235" i="33"/>
  <c r="AU235" i="33"/>
  <c r="AR236" i="33"/>
  <c r="AU236" i="33"/>
  <c r="AR237" i="33"/>
  <c r="AU237" i="33"/>
  <c r="AR238" i="33"/>
  <c r="AU238" i="33"/>
  <c r="AR239" i="33"/>
  <c r="AU239" i="33"/>
  <c r="AR240" i="33"/>
  <c r="AU240" i="33"/>
  <c r="AR241" i="33"/>
  <c r="AU241" i="33"/>
  <c r="AR242" i="33"/>
  <c r="AU242" i="33"/>
  <c r="AR243" i="33"/>
  <c r="AU243" i="33"/>
  <c r="AR244" i="33"/>
  <c r="AU244" i="33"/>
  <c r="AR245" i="33"/>
  <c r="AU245" i="33"/>
  <c r="AR246" i="33"/>
  <c r="AU246" i="33"/>
  <c r="AR247" i="33"/>
  <c r="AU247" i="33"/>
  <c r="AR248" i="33"/>
  <c r="AU248" i="33"/>
  <c r="AR249" i="33"/>
  <c r="AU249" i="33"/>
  <c r="AR250" i="33"/>
  <c r="AU250" i="33"/>
  <c r="AR251" i="33"/>
  <c r="AU251" i="33"/>
  <c r="AR252" i="33"/>
  <c r="AU252" i="33"/>
  <c r="AR253" i="33"/>
  <c r="AU253" i="33"/>
  <c r="AR254" i="33"/>
  <c r="AU254" i="33"/>
  <c r="AR255" i="33"/>
  <c r="AU255" i="33"/>
  <c r="AR256" i="33"/>
  <c r="AU256" i="33"/>
  <c r="AR257" i="33"/>
  <c r="AU257" i="33"/>
  <c r="AR258" i="33"/>
  <c r="AU258" i="33"/>
  <c r="AR259" i="33"/>
  <c r="AU259" i="33"/>
  <c r="AR260" i="33"/>
  <c r="AU260" i="33"/>
  <c r="AR261" i="33"/>
  <c r="AU261" i="33"/>
  <c r="AR262" i="33"/>
  <c r="AU262" i="33"/>
  <c r="AR263" i="33"/>
  <c r="AU263" i="33"/>
  <c r="AR264" i="33"/>
  <c r="AU264" i="33"/>
  <c r="AR265" i="33"/>
  <c r="AU265" i="33"/>
  <c r="AR266" i="33"/>
  <c r="AU266" i="33"/>
  <c r="AR267" i="33"/>
  <c r="AU267" i="33"/>
  <c r="AR268" i="33"/>
  <c r="AU268" i="33"/>
  <c r="AR269" i="33"/>
  <c r="AU269" i="33"/>
  <c r="AR270" i="33"/>
  <c r="AU270" i="33"/>
  <c r="AR271" i="33"/>
  <c r="AU271" i="33"/>
  <c r="AR272" i="33"/>
  <c r="AU272" i="33"/>
  <c r="AR273" i="33"/>
  <c r="AU273" i="33"/>
  <c r="AR274" i="33"/>
  <c r="AU274" i="33"/>
  <c r="AR275" i="33"/>
  <c r="AU275" i="33"/>
  <c r="AR276" i="33"/>
  <c r="AU276" i="33"/>
  <c r="AR277" i="33"/>
  <c r="AU277" i="33"/>
  <c r="AR278" i="33"/>
  <c r="AU278" i="33"/>
  <c r="AR279" i="33"/>
  <c r="AU279" i="33"/>
  <c r="AR280" i="33"/>
  <c r="AU280" i="33"/>
  <c r="AR281" i="33"/>
  <c r="AU281" i="33"/>
  <c r="AR282" i="33"/>
  <c r="AU282" i="33"/>
  <c r="AR283" i="33"/>
  <c r="AU283" i="33"/>
  <c r="AR284" i="33"/>
  <c r="AU284" i="33"/>
  <c r="AR285" i="33"/>
  <c r="AU285" i="33"/>
  <c r="AR286" i="33"/>
  <c r="AU286" i="33"/>
  <c r="AR287" i="33"/>
  <c r="AU287" i="33"/>
  <c r="AR288" i="33"/>
  <c r="AU288" i="33"/>
  <c r="AR289" i="33"/>
  <c r="AU289" i="33"/>
  <c r="AR290" i="33"/>
  <c r="AU290" i="33"/>
  <c r="AR291" i="33"/>
  <c r="AU291" i="33"/>
  <c r="AR292" i="33"/>
  <c r="AU292" i="33"/>
  <c r="AR293" i="33"/>
  <c r="AU293" i="33"/>
  <c r="AR294" i="33"/>
  <c r="AU294" i="33"/>
  <c r="AR295" i="33"/>
  <c r="AU295" i="33"/>
  <c r="AR296" i="33"/>
  <c r="AU296" i="33"/>
  <c r="AR297" i="33"/>
  <c r="AU297" i="33"/>
  <c r="AR298" i="33"/>
  <c r="AU298" i="33"/>
  <c r="AR299" i="33"/>
  <c r="AU299" i="33"/>
  <c r="AR300" i="33"/>
  <c r="AU300" i="33"/>
  <c r="AR301" i="33"/>
  <c r="AU301" i="33"/>
  <c r="AR302" i="33"/>
  <c r="AU302" i="33"/>
  <c r="AR303" i="33"/>
  <c r="AU303" i="33"/>
  <c r="AR304" i="33"/>
  <c r="AU304" i="33"/>
  <c r="AR305" i="33"/>
  <c r="AU305" i="33"/>
  <c r="AR306" i="33"/>
  <c r="AU306" i="33"/>
  <c r="AR307" i="33"/>
  <c r="AU307" i="33"/>
  <c r="AR308" i="33"/>
  <c r="AU308" i="33"/>
  <c r="AR309" i="33"/>
  <c r="AU309" i="33"/>
  <c r="AR310" i="33"/>
  <c r="AU310" i="33"/>
  <c r="AR311" i="33"/>
  <c r="AU311" i="33"/>
  <c r="AR312" i="33"/>
  <c r="AU312" i="33"/>
  <c r="AR313" i="33"/>
  <c r="AU313" i="33"/>
  <c r="AR314" i="33"/>
  <c r="AU314" i="33"/>
  <c r="AR315" i="33"/>
  <c r="AU315" i="33"/>
  <c r="AR316" i="33"/>
  <c r="AU316" i="33"/>
  <c r="AR317" i="33"/>
  <c r="AU317" i="33"/>
  <c r="AR318" i="33"/>
  <c r="AU318" i="33"/>
  <c r="AR319" i="33"/>
  <c r="AU319" i="33"/>
  <c r="AR320" i="33"/>
  <c r="AU320" i="33"/>
  <c r="AR321" i="33"/>
  <c r="AU321" i="33"/>
  <c r="AR322" i="33"/>
  <c r="AU322" i="33"/>
  <c r="AR323" i="33"/>
  <c r="AU323" i="33"/>
  <c r="AR324" i="33"/>
  <c r="AU324" i="33"/>
  <c r="AR325" i="33"/>
  <c r="AU325" i="33"/>
  <c r="AR326" i="33"/>
  <c r="AU326" i="33"/>
  <c r="AR327" i="33"/>
  <c r="AU327" i="33"/>
  <c r="AR328" i="33"/>
  <c r="AU328" i="33"/>
  <c r="AR329" i="33"/>
  <c r="AU329" i="33"/>
  <c r="AR330" i="33"/>
  <c r="AU330" i="33"/>
  <c r="AR331" i="33"/>
  <c r="AU331" i="33"/>
  <c r="AR332" i="33"/>
  <c r="AU332" i="33"/>
  <c r="AR333" i="33"/>
  <c r="AU333" i="33"/>
  <c r="AR334" i="33"/>
  <c r="AU334" i="33"/>
  <c r="AR335" i="33"/>
  <c r="AU335" i="33"/>
  <c r="AR336" i="33"/>
  <c r="AU336" i="33"/>
  <c r="AR337" i="33"/>
  <c r="AU337" i="33"/>
  <c r="AR338" i="33"/>
  <c r="AU338" i="33"/>
  <c r="AR339" i="33"/>
  <c r="AU339" i="33"/>
  <c r="AR340" i="33"/>
  <c r="AU340" i="33"/>
  <c r="AR341" i="33"/>
  <c r="AU341" i="33"/>
  <c r="AR342" i="33"/>
  <c r="AU342" i="33"/>
  <c r="AR343" i="33"/>
  <c r="AU343" i="33"/>
  <c r="AR344" i="33"/>
  <c r="AU344" i="33"/>
  <c r="AR345" i="33"/>
  <c r="AU345" i="33"/>
  <c r="AR346" i="33"/>
  <c r="AU346" i="33"/>
  <c r="AR347" i="33"/>
  <c r="AU347" i="33"/>
  <c r="AR348" i="33"/>
  <c r="AU348" i="33"/>
  <c r="AR349" i="33"/>
  <c r="AU349" i="33"/>
  <c r="AR350" i="33"/>
  <c r="AU350" i="33"/>
  <c r="AR351" i="33"/>
  <c r="AU351" i="33"/>
  <c r="AR352" i="33"/>
  <c r="AU352" i="33"/>
  <c r="AR353" i="33"/>
  <c r="AU353" i="33"/>
  <c r="AR354" i="33"/>
  <c r="AU354" i="33"/>
  <c r="AR355" i="33"/>
  <c r="AU355" i="33"/>
  <c r="AR356" i="33"/>
  <c r="AU356" i="33"/>
  <c r="AR357" i="33"/>
  <c r="AU357" i="33"/>
  <c r="AR358" i="33"/>
  <c r="AU358" i="33"/>
  <c r="AR359" i="33"/>
  <c r="AU359" i="33"/>
  <c r="AR360" i="33"/>
  <c r="AU360" i="33"/>
  <c r="AR361" i="33"/>
  <c r="AU361" i="33"/>
  <c r="AR362" i="33"/>
  <c r="AU362" i="33"/>
  <c r="AR363" i="33"/>
  <c r="AU363" i="33"/>
  <c r="AR364" i="33"/>
  <c r="AU364" i="33"/>
  <c r="AR365" i="33"/>
  <c r="AU365" i="33"/>
  <c r="AR366" i="33"/>
  <c r="AU366" i="33"/>
  <c r="AR367" i="33"/>
  <c r="AU367" i="33"/>
  <c r="AR368" i="33"/>
  <c r="AU368" i="33"/>
  <c r="AR369" i="33"/>
  <c r="AU369" i="33"/>
  <c r="AR370" i="33"/>
  <c r="AU370" i="33"/>
  <c r="AR371" i="33"/>
  <c r="AU371" i="33"/>
  <c r="AR372" i="33"/>
  <c r="AU372" i="33"/>
  <c r="AR373" i="33"/>
  <c r="AU373" i="33"/>
  <c r="AR374" i="33"/>
  <c r="AU374" i="33"/>
  <c r="AR375" i="33"/>
  <c r="AU375" i="33"/>
  <c r="AR376" i="33"/>
  <c r="AU376" i="33"/>
  <c r="AR377" i="33"/>
  <c r="AU377" i="33"/>
  <c r="AR378" i="33"/>
  <c r="AU378" i="33"/>
  <c r="AR379" i="33"/>
  <c r="AU379" i="33"/>
  <c r="AR380" i="33"/>
  <c r="AU380" i="33"/>
  <c r="AR381" i="33"/>
  <c r="AU381" i="33"/>
  <c r="AR382" i="33"/>
  <c r="AU382" i="33"/>
  <c r="AR383" i="33"/>
  <c r="AU383" i="33"/>
  <c r="AR384" i="33"/>
  <c r="AU384" i="33"/>
  <c r="AR385" i="33"/>
  <c r="AU385" i="33"/>
  <c r="AR386" i="33"/>
  <c r="AU386" i="33"/>
  <c r="AR387" i="33"/>
  <c r="AU387" i="33"/>
  <c r="AR388" i="33"/>
  <c r="AU388" i="33"/>
  <c r="AR389" i="33"/>
  <c r="AU389" i="33"/>
  <c r="AR390" i="33"/>
  <c r="AU390" i="33"/>
  <c r="AR391" i="33"/>
  <c r="AU391" i="33"/>
  <c r="AR392" i="33"/>
  <c r="AU392" i="33"/>
  <c r="AR393" i="33"/>
  <c r="AU393" i="33"/>
  <c r="AR394" i="33"/>
  <c r="AU394" i="33"/>
  <c r="AR395" i="33"/>
  <c r="AU395" i="33"/>
  <c r="AR396" i="33"/>
  <c r="AU396" i="33"/>
  <c r="AR397" i="33"/>
  <c r="AU397" i="33"/>
  <c r="AR398" i="33"/>
  <c r="AU398" i="33"/>
  <c r="AR399" i="33"/>
  <c r="AU399" i="33"/>
  <c r="AR400" i="33"/>
  <c r="AU400" i="33"/>
  <c r="AR401" i="33"/>
  <c r="AU401" i="33"/>
  <c r="AR402" i="33"/>
  <c r="AU402" i="33"/>
  <c r="AR403" i="33"/>
  <c r="AU403" i="33"/>
  <c r="AR404" i="33"/>
  <c r="AU404" i="33"/>
  <c r="AR405" i="33"/>
  <c r="AU405" i="33"/>
  <c r="AR406" i="33"/>
  <c r="AU406" i="33"/>
  <c r="AR407" i="33"/>
  <c r="AU407" i="33"/>
  <c r="AR408" i="33"/>
  <c r="AU408" i="33"/>
  <c r="AR409" i="33"/>
  <c r="AU409" i="33"/>
  <c r="AR410" i="33"/>
  <c r="AU410" i="33"/>
  <c r="AR411" i="33"/>
  <c r="AU411" i="33"/>
  <c r="AR412" i="33"/>
  <c r="AU412" i="33"/>
  <c r="AR413" i="33"/>
  <c r="AU413" i="33"/>
  <c r="AR414" i="33"/>
  <c r="AU414" i="33"/>
  <c r="AR415" i="33"/>
  <c r="AU415" i="33"/>
  <c r="AR416" i="33"/>
  <c r="AU416" i="33"/>
  <c r="AR417" i="33"/>
  <c r="AU417" i="33"/>
  <c r="AR418" i="33"/>
  <c r="AU418" i="33"/>
  <c r="AR419" i="33"/>
  <c r="AU419" i="33"/>
  <c r="AR420" i="33"/>
  <c r="AU420" i="33"/>
  <c r="AR421" i="33"/>
  <c r="AU421" i="33"/>
  <c r="AR422" i="33"/>
  <c r="AU422" i="33"/>
  <c r="AR423" i="33"/>
  <c r="AU423" i="33"/>
  <c r="AR424" i="33"/>
  <c r="AU424" i="33"/>
  <c r="AR425" i="33"/>
  <c r="AU425" i="33"/>
  <c r="AR426" i="33"/>
  <c r="AU426" i="33"/>
  <c r="AR427" i="33"/>
  <c r="AU427" i="33"/>
  <c r="AR428" i="33"/>
  <c r="AU428" i="33"/>
  <c r="AR429" i="33"/>
  <c r="AU429" i="33"/>
  <c r="AR430" i="33"/>
  <c r="AU430" i="33"/>
  <c r="AR431" i="33"/>
  <c r="AU431" i="33"/>
  <c r="AR432" i="33"/>
  <c r="AU432" i="33"/>
  <c r="AR433" i="33"/>
  <c r="AU433" i="33"/>
  <c r="AR434" i="33"/>
  <c r="AU434" i="33"/>
  <c r="AR435" i="33"/>
  <c r="AU435" i="33"/>
  <c r="AR436" i="33"/>
  <c r="AU436" i="33"/>
  <c r="AR437" i="33"/>
  <c r="AU437" i="33"/>
  <c r="AR438" i="33"/>
  <c r="AU438" i="33"/>
  <c r="AR439" i="33"/>
  <c r="AU439" i="33"/>
  <c r="AR440" i="33"/>
  <c r="AU440" i="33"/>
  <c r="AR441" i="33"/>
  <c r="AU441" i="33"/>
  <c r="AR442" i="33"/>
  <c r="AU442" i="33"/>
  <c r="AR443" i="33"/>
  <c r="AU443" i="33"/>
  <c r="AR444" i="33"/>
  <c r="AU444" i="33"/>
  <c r="AR445" i="33"/>
  <c r="AU445" i="33"/>
  <c r="AR446" i="33"/>
  <c r="AU446" i="33"/>
  <c r="AR447" i="33"/>
  <c r="AU447" i="33"/>
  <c r="AR448" i="33"/>
  <c r="AU448" i="33"/>
  <c r="AR449" i="33"/>
  <c r="AU449" i="33"/>
  <c r="AR450" i="33"/>
  <c r="AU450" i="33"/>
  <c r="AR451" i="33"/>
  <c r="AU451" i="33"/>
  <c r="AR452" i="33"/>
  <c r="AU452" i="33"/>
  <c r="AR453" i="33"/>
  <c r="AU453" i="33"/>
  <c r="AR454" i="33"/>
  <c r="AU454" i="33"/>
  <c r="AR455" i="33"/>
  <c r="AU455" i="33"/>
  <c r="AR456" i="33"/>
  <c r="AU456" i="33"/>
  <c r="AR457" i="33"/>
  <c r="AU457" i="33"/>
  <c r="AR458" i="33"/>
  <c r="AU458" i="33"/>
  <c r="AR459" i="33"/>
  <c r="AU459" i="33"/>
  <c r="AR460" i="33"/>
  <c r="AU460" i="33"/>
  <c r="AR461" i="33"/>
  <c r="AU461" i="33"/>
  <c r="AR462" i="33"/>
  <c r="AU462" i="33"/>
  <c r="AR463" i="33"/>
  <c r="AU463" i="33"/>
  <c r="AR464" i="33"/>
  <c r="AU464" i="33"/>
  <c r="AR465" i="33"/>
  <c r="AU465" i="33"/>
  <c r="AR466" i="33"/>
  <c r="AU466" i="33"/>
  <c r="AR467" i="33"/>
  <c r="AU467" i="33"/>
  <c r="AR468" i="33"/>
  <c r="AU468" i="33"/>
  <c r="AR469" i="33"/>
  <c r="AU469" i="33"/>
  <c r="AR470" i="33"/>
  <c r="AU470" i="33"/>
  <c r="AR471" i="33"/>
  <c r="AU471" i="33"/>
  <c r="AR472" i="33"/>
  <c r="AU472" i="33"/>
  <c r="AR473" i="33"/>
  <c r="AU473" i="33"/>
  <c r="AR474" i="33"/>
  <c r="AU474" i="33"/>
  <c r="AR475" i="33"/>
  <c r="AU475" i="33"/>
  <c r="AR476" i="33"/>
  <c r="AU476" i="33"/>
  <c r="AR477" i="33"/>
  <c r="AU477" i="33"/>
  <c r="AR478" i="33"/>
  <c r="AU478" i="33"/>
  <c r="AR479" i="33"/>
  <c r="AU479" i="33"/>
  <c r="AR480" i="33"/>
  <c r="AU480" i="33"/>
  <c r="AR481" i="33"/>
  <c r="AU481" i="33"/>
  <c r="AR482" i="33"/>
  <c r="AU482" i="33"/>
  <c r="AR483" i="33"/>
  <c r="AU483" i="33"/>
  <c r="AR484" i="33"/>
  <c r="AU484" i="33"/>
  <c r="AR485" i="33"/>
  <c r="AU485" i="33"/>
  <c r="AR486" i="33"/>
  <c r="AU486" i="33"/>
  <c r="AR487" i="33"/>
  <c r="AU487" i="33"/>
  <c r="AR488" i="33"/>
  <c r="AU488" i="33"/>
  <c r="AR489" i="33"/>
  <c r="AU489" i="33"/>
  <c r="AR490" i="33"/>
  <c r="AU490" i="33"/>
  <c r="AR491" i="33"/>
  <c r="AU491" i="33"/>
  <c r="AR492" i="33"/>
  <c r="AU492" i="33"/>
  <c r="AR493" i="33"/>
  <c r="AU493" i="33"/>
  <c r="AR494" i="33"/>
  <c r="AU494" i="33"/>
  <c r="AR495" i="33"/>
  <c r="AU495" i="33"/>
  <c r="AR496" i="33"/>
  <c r="AU496" i="33"/>
  <c r="AR497" i="33"/>
  <c r="AU497" i="33"/>
  <c r="AR498" i="33"/>
  <c r="AU498" i="33"/>
  <c r="AR499" i="33"/>
  <c r="AU499" i="33"/>
  <c r="AR500" i="33"/>
  <c r="AU500" i="33"/>
  <c r="AR501" i="33"/>
  <c r="AU501" i="33"/>
  <c r="AR502" i="33"/>
  <c r="AU502" i="33"/>
  <c r="AR503" i="33"/>
  <c r="AU503" i="33"/>
  <c r="AR504" i="33"/>
  <c r="AU504" i="33"/>
  <c r="AR505" i="33"/>
  <c r="AU505" i="33"/>
  <c r="AR506" i="33"/>
  <c r="AU506" i="33"/>
  <c r="AR507" i="33"/>
  <c r="AU507" i="33"/>
  <c r="AR508" i="33"/>
  <c r="AU508" i="33"/>
  <c r="AR509" i="33"/>
  <c r="AU509" i="33"/>
  <c r="AR510" i="33"/>
  <c r="AU510" i="33"/>
  <c r="AR511" i="33"/>
  <c r="AU511" i="33"/>
  <c r="AR512" i="33"/>
  <c r="AU512" i="33"/>
  <c r="AR513" i="33"/>
  <c r="AU513" i="33"/>
  <c r="AR514" i="33"/>
  <c r="AU514" i="33"/>
  <c r="AR515" i="33"/>
  <c r="AU515" i="33"/>
  <c r="AR516" i="33"/>
  <c r="AU516" i="33"/>
  <c r="AR517" i="33"/>
  <c r="AU517" i="33"/>
  <c r="AR518" i="33"/>
  <c r="AU518" i="33"/>
  <c r="AR519" i="33"/>
  <c r="AU519" i="33"/>
  <c r="AR520" i="33"/>
  <c r="AU520" i="33"/>
  <c r="AR521" i="33"/>
  <c r="AU521" i="33"/>
  <c r="AR522" i="33"/>
  <c r="AU522" i="33"/>
  <c r="AR523" i="33"/>
  <c r="AU523" i="33"/>
  <c r="AR524" i="33"/>
  <c r="AU524" i="33"/>
  <c r="AR525" i="33"/>
  <c r="AU525" i="33"/>
  <c r="AR526" i="33"/>
  <c r="AU526" i="33"/>
  <c r="AR527" i="33"/>
  <c r="AU527" i="33"/>
  <c r="AR528" i="33"/>
  <c r="AU528" i="33"/>
  <c r="AR529" i="33"/>
  <c r="AU529" i="33"/>
  <c r="AR530" i="33"/>
  <c r="AU530" i="33"/>
  <c r="AR531" i="33"/>
  <c r="AU531" i="33"/>
  <c r="AR532" i="33"/>
  <c r="AU532" i="33"/>
  <c r="AR533" i="33"/>
  <c r="AU533" i="33"/>
  <c r="AR534" i="33"/>
  <c r="AU534" i="33"/>
  <c r="AR535" i="33"/>
  <c r="AU535" i="33"/>
  <c r="AR536" i="33"/>
  <c r="AU536" i="33"/>
  <c r="AR537" i="33"/>
  <c r="AU537" i="33"/>
  <c r="AR538" i="33"/>
  <c r="AU538" i="33"/>
  <c r="AR539" i="33"/>
  <c r="AU539" i="33"/>
  <c r="AR540" i="33"/>
  <c r="AU540" i="33"/>
  <c r="AR541" i="33"/>
  <c r="AU541" i="33"/>
  <c r="AR542" i="33"/>
  <c r="AU542" i="33"/>
  <c r="AR543" i="33"/>
  <c r="AU543" i="33"/>
  <c r="AR544" i="33"/>
  <c r="AU544" i="33"/>
  <c r="AR545" i="33"/>
  <c r="AU545" i="33"/>
  <c r="AR546" i="33"/>
  <c r="AU546" i="33"/>
  <c r="AR547" i="33"/>
  <c r="AU547" i="33"/>
  <c r="AR548" i="33"/>
  <c r="AU548" i="33"/>
  <c r="AR549" i="33"/>
  <c r="AU549" i="33"/>
  <c r="AR550" i="33"/>
  <c r="AU550" i="33"/>
  <c r="AR551" i="33"/>
  <c r="AU551" i="33"/>
  <c r="AR552" i="33"/>
  <c r="AU552" i="33"/>
  <c r="AR553" i="33"/>
  <c r="AU553" i="33"/>
  <c r="AR554" i="33"/>
  <c r="AU554" i="33"/>
  <c r="AR555" i="33"/>
  <c r="AU555" i="33"/>
  <c r="AR556" i="33"/>
  <c r="AU556" i="33"/>
  <c r="AR557" i="33"/>
  <c r="AU557" i="33"/>
  <c r="AR558" i="33"/>
  <c r="AU558" i="33"/>
  <c r="AR559" i="33"/>
  <c r="AU559" i="33"/>
  <c r="AR560" i="33"/>
  <c r="AU560" i="33"/>
  <c r="AR561" i="33"/>
  <c r="AU561" i="33"/>
  <c r="AR562" i="33"/>
  <c r="AU562" i="33"/>
  <c r="AR563" i="33"/>
  <c r="AU563" i="33"/>
  <c r="AR564" i="33"/>
  <c r="AU564" i="33"/>
  <c r="AR565" i="33"/>
  <c r="AU565" i="33"/>
  <c r="AR566" i="33"/>
  <c r="AU566" i="33"/>
  <c r="AR567" i="33"/>
  <c r="AU567" i="33"/>
  <c r="AR568" i="33"/>
  <c r="AU568" i="33"/>
  <c r="AR569" i="33"/>
  <c r="AU569" i="33"/>
  <c r="AR570" i="33"/>
  <c r="AU570" i="33"/>
  <c r="AR571" i="33"/>
  <c r="AU571" i="33"/>
  <c r="AR572" i="33"/>
  <c r="AU572" i="33"/>
  <c r="AR573" i="33"/>
  <c r="AU573" i="33"/>
  <c r="AR574" i="33"/>
  <c r="AU574" i="33"/>
  <c r="AR575" i="33"/>
  <c r="AU575" i="33"/>
  <c r="AR576" i="33"/>
  <c r="AU576" i="33"/>
  <c r="AR577" i="33"/>
  <c r="AU577" i="33"/>
  <c r="AR578" i="33"/>
  <c r="AU578" i="33"/>
  <c r="AR579" i="33"/>
  <c r="AU579" i="33"/>
  <c r="AR580" i="33"/>
  <c r="AU580" i="33"/>
  <c r="AR581" i="33"/>
  <c r="AU581" i="33"/>
  <c r="AR582" i="33"/>
  <c r="AU582" i="33"/>
  <c r="AR583" i="33"/>
  <c r="AU583" i="33"/>
  <c r="AR584" i="33"/>
  <c r="AU584" i="33"/>
  <c r="AR585" i="33"/>
  <c r="AU585" i="33"/>
  <c r="AR586" i="33"/>
  <c r="AU586" i="33"/>
  <c r="AR587" i="33"/>
  <c r="AU587" i="33"/>
  <c r="AR588" i="33"/>
  <c r="AU588" i="33"/>
  <c r="AR589" i="33"/>
  <c r="AU589" i="33"/>
  <c r="AR590" i="33"/>
  <c r="AU590" i="33"/>
  <c r="AR591" i="33"/>
  <c r="AU591" i="33"/>
  <c r="AR592" i="33"/>
  <c r="AU592" i="33"/>
  <c r="AR593" i="33"/>
  <c r="AU593" i="33"/>
  <c r="AR594" i="33"/>
  <c r="AU594" i="33"/>
  <c r="AR595" i="33"/>
  <c r="AU595" i="33"/>
  <c r="AR596" i="33"/>
  <c r="AU596" i="33"/>
  <c r="AR597" i="33"/>
  <c r="AU597" i="33"/>
  <c r="AR598" i="33"/>
  <c r="AU598" i="33"/>
  <c r="AR599" i="33"/>
  <c r="AU599" i="33"/>
  <c r="AR600" i="33"/>
  <c r="AU600" i="33"/>
  <c r="AR601" i="33"/>
  <c r="AU601" i="33"/>
  <c r="AR602" i="33"/>
  <c r="AU602" i="33"/>
  <c r="AR603" i="33"/>
  <c r="AU603" i="33"/>
  <c r="AR604" i="33"/>
  <c r="AU604" i="33"/>
  <c r="AR605" i="33"/>
  <c r="AU605" i="33"/>
  <c r="AR606" i="33"/>
  <c r="AU606" i="33"/>
  <c r="AR607" i="33"/>
  <c r="AU607" i="33"/>
  <c r="AR608" i="33"/>
  <c r="AU608" i="33"/>
  <c r="AR609" i="33"/>
  <c r="AU609" i="33"/>
  <c r="AR610" i="33"/>
  <c r="AU610" i="33"/>
  <c r="AR611" i="33"/>
  <c r="AU611" i="33"/>
  <c r="AR612" i="33"/>
  <c r="AU612" i="33"/>
  <c r="AR613" i="33"/>
  <c r="AU613" i="33"/>
  <c r="AR614" i="33"/>
  <c r="AU614" i="33"/>
  <c r="AR615" i="33"/>
  <c r="AU615" i="33"/>
  <c r="AR616" i="33"/>
  <c r="AU616" i="33"/>
  <c r="AR617" i="33"/>
  <c r="AU617" i="33"/>
  <c r="AR618" i="33"/>
  <c r="AU618" i="33"/>
  <c r="AR619" i="33"/>
  <c r="AU619" i="33"/>
  <c r="AR620" i="33"/>
  <c r="AU620" i="33"/>
  <c r="AR621" i="33"/>
  <c r="AU621" i="33"/>
  <c r="AR622" i="33"/>
  <c r="AU622" i="33"/>
  <c r="AR623" i="33"/>
  <c r="AU623" i="33"/>
  <c r="AR624" i="33"/>
  <c r="AU624" i="33"/>
  <c r="AR625" i="33"/>
  <c r="AU625" i="33"/>
  <c r="AR626" i="33"/>
  <c r="AU626" i="33"/>
  <c r="AR627" i="33"/>
  <c r="AU627" i="33"/>
  <c r="AR628" i="33"/>
  <c r="AU628" i="33"/>
  <c r="AR629" i="33"/>
  <c r="AU629" i="33"/>
  <c r="AR630" i="33"/>
  <c r="AU630" i="33"/>
  <c r="AR631" i="33"/>
  <c r="AU631" i="33"/>
  <c r="AR632" i="33"/>
  <c r="AU632" i="33"/>
  <c r="AR633" i="33"/>
  <c r="AU633" i="33"/>
  <c r="AR634" i="33"/>
  <c r="AU634" i="33"/>
  <c r="AR635" i="33"/>
  <c r="AU635" i="33"/>
  <c r="AR636" i="33"/>
  <c r="AU636" i="33"/>
  <c r="AR637" i="33"/>
  <c r="AU637" i="33"/>
  <c r="AR638" i="33"/>
  <c r="AU638" i="33"/>
  <c r="AR639" i="33"/>
  <c r="AU639" i="33"/>
  <c r="AR640" i="33"/>
  <c r="AU640" i="33"/>
  <c r="AR641" i="33"/>
  <c r="AU641" i="33"/>
  <c r="AR642" i="33"/>
  <c r="AU642" i="33"/>
  <c r="AR643" i="33"/>
  <c r="AU643" i="33"/>
  <c r="AR644" i="33"/>
  <c r="AU644" i="33"/>
  <c r="AR645" i="33"/>
  <c r="AU645" i="33"/>
  <c r="AR646" i="33"/>
  <c r="AU646" i="33"/>
  <c r="AR647" i="33"/>
  <c r="AU647" i="33"/>
  <c r="AR648" i="33"/>
  <c r="AU648" i="33"/>
  <c r="AR649" i="33"/>
  <c r="AU649" i="33"/>
  <c r="AR650" i="33"/>
  <c r="AU650" i="33"/>
  <c r="AR651" i="33"/>
  <c r="AU651" i="33"/>
  <c r="AR652" i="33"/>
  <c r="AU652" i="33"/>
  <c r="AR653" i="33"/>
  <c r="AU653" i="33"/>
  <c r="AR654" i="33"/>
  <c r="AU654" i="33"/>
  <c r="AR655" i="33"/>
  <c r="AU655" i="33"/>
  <c r="AR656" i="33"/>
  <c r="AU656" i="33"/>
  <c r="AR657" i="33"/>
  <c r="AU657" i="33"/>
  <c r="AR658" i="33"/>
  <c r="AU658" i="33"/>
  <c r="AR659" i="33"/>
  <c r="AU659" i="33"/>
  <c r="AR660" i="33"/>
  <c r="AU660" i="33"/>
  <c r="AR661" i="33"/>
  <c r="AU661" i="33"/>
  <c r="AR662" i="33"/>
  <c r="AU662" i="33"/>
  <c r="AR663" i="33"/>
  <c r="AU663" i="33"/>
  <c r="AR664" i="33"/>
  <c r="AU664" i="33"/>
  <c r="AR665" i="33"/>
  <c r="AU665" i="33"/>
  <c r="AR666" i="33"/>
  <c r="AU666" i="33"/>
  <c r="AR667" i="33"/>
  <c r="AU667" i="33"/>
  <c r="AR668" i="33"/>
  <c r="AU668" i="33"/>
  <c r="AR669" i="33"/>
  <c r="AU669" i="33"/>
  <c r="AR670" i="33"/>
  <c r="AU670" i="33"/>
  <c r="AR671" i="33"/>
  <c r="AU671" i="33"/>
  <c r="AR672" i="33"/>
  <c r="AU672" i="33"/>
  <c r="AR673" i="33"/>
  <c r="AU673" i="33"/>
  <c r="AR674" i="33"/>
  <c r="AU674" i="33"/>
  <c r="AR675" i="33"/>
  <c r="AU675" i="33"/>
  <c r="AR676" i="33"/>
  <c r="AU676" i="33"/>
  <c r="AR677" i="33"/>
  <c r="AU677" i="33"/>
  <c r="AR678" i="33"/>
  <c r="AU678" i="33"/>
  <c r="AR679" i="33"/>
  <c r="AU679" i="33"/>
  <c r="AR680" i="33"/>
  <c r="AU680" i="33"/>
  <c r="AR681" i="33"/>
  <c r="AU681" i="33"/>
  <c r="AR682" i="33"/>
  <c r="AU682" i="33"/>
  <c r="AR683" i="33"/>
  <c r="AU683" i="33"/>
  <c r="AR684" i="33"/>
  <c r="AU684" i="33"/>
  <c r="AR685" i="33"/>
  <c r="AU685" i="33"/>
  <c r="AR686" i="33"/>
  <c r="AU686" i="33"/>
  <c r="AR687" i="33"/>
  <c r="AU687" i="33"/>
  <c r="AR688" i="33"/>
  <c r="AU688" i="33"/>
  <c r="AR689" i="33"/>
  <c r="AU689" i="33"/>
  <c r="AR690" i="33"/>
  <c r="AU690" i="33"/>
  <c r="AR691" i="33"/>
  <c r="AU691" i="33"/>
  <c r="AR692" i="33"/>
  <c r="AU692" i="33"/>
  <c r="AR693" i="33"/>
  <c r="AU693" i="33"/>
  <c r="AR694" i="33"/>
  <c r="AU694" i="33"/>
  <c r="AR695" i="33"/>
  <c r="AU695" i="33"/>
  <c r="AR696" i="33"/>
  <c r="AU696" i="33"/>
  <c r="AR697" i="33"/>
  <c r="AU697" i="33"/>
  <c r="AR698" i="33"/>
  <c r="AU698" i="33"/>
  <c r="AR699" i="33"/>
  <c r="AU699" i="33"/>
  <c r="AR700" i="33"/>
  <c r="AU700" i="33"/>
  <c r="AR701" i="33"/>
  <c r="AU701" i="33"/>
  <c r="AR702" i="33"/>
  <c r="AU702" i="33"/>
  <c r="AR703" i="33"/>
  <c r="AU703" i="33"/>
  <c r="AR704" i="33"/>
  <c r="AU704" i="33"/>
  <c r="AR705" i="33"/>
  <c r="AU705" i="33"/>
  <c r="AR706" i="33"/>
  <c r="AU706" i="33"/>
  <c r="AR707" i="33"/>
  <c r="AU707" i="33"/>
  <c r="AR708" i="33"/>
  <c r="AU708" i="33"/>
  <c r="AR709" i="33"/>
  <c r="AU709" i="33"/>
  <c r="AR710" i="33"/>
  <c r="AU710" i="33"/>
  <c r="AR711" i="33"/>
  <c r="AU711" i="33"/>
  <c r="AR712" i="33"/>
  <c r="AU712" i="33"/>
  <c r="AR713" i="33"/>
  <c r="AU713" i="33"/>
  <c r="AR714" i="33"/>
  <c r="AU714" i="33"/>
  <c r="AR715" i="33"/>
  <c r="AU715" i="33"/>
  <c r="AR716" i="33"/>
  <c r="AU716" i="33"/>
  <c r="AR717" i="33"/>
  <c r="AU717" i="33"/>
  <c r="AR718" i="33"/>
  <c r="AU718" i="33"/>
  <c r="AR719" i="33"/>
  <c r="AU719" i="33"/>
  <c r="AR720" i="33"/>
  <c r="AU720" i="33"/>
  <c r="AR721" i="33"/>
  <c r="AU721" i="33"/>
  <c r="AR722" i="33"/>
  <c r="AU722" i="33"/>
  <c r="AR723" i="33"/>
  <c r="AU723" i="33"/>
  <c r="AR724" i="33"/>
  <c r="AU724" i="33"/>
  <c r="AR725" i="33"/>
  <c r="AU725" i="33"/>
  <c r="AR726" i="33"/>
  <c r="AU726" i="33"/>
  <c r="AR727" i="33"/>
  <c r="AU727" i="33"/>
  <c r="AR728" i="33"/>
  <c r="AU728" i="33"/>
  <c r="AR729" i="33"/>
  <c r="AU729" i="33"/>
  <c r="AR730" i="33"/>
  <c r="AU730" i="33"/>
  <c r="AR731" i="33"/>
  <c r="AU731" i="33"/>
  <c r="AR732" i="33"/>
  <c r="AU732" i="33"/>
  <c r="AR733" i="33"/>
  <c r="AU733" i="33"/>
  <c r="AR734" i="33"/>
  <c r="AU734" i="33"/>
  <c r="AR735" i="33"/>
  <c r="AU735" i="33"/>
  <c r="AR736" i="33"/>
  <c r="AU736" i="33"/>
  <c r="AR737" i="33"/>
  <c r="AU737" i="33"/>
  <c r="AR738" i="33"/>
  <c r="AU738" i="33"/>
  <c r="AR739" i="33"/>
  <c r="AU739" i="33"/>
  <c r="AR740" i="33"/>
  <c r="AU740" i="33"/>
  <c r="AR741" i="33"/>
  <c r="AU741" i="33"/>
  <c r="AR742" i="33"/>
  <c r="AU742" i="33"/>
  <c r="AR743" i="33"/>
  <c r="AU743" i="33"/>
  <c r="AR744" i="33"/>
  <c r="AU744" i="33"/>
  <c r="AR745" i="33"/>
  <c r="AU745" i="33"/>
  <c r="AR746" i="33"/>
  <c r="AU746" i="33"/>
  <c r="AR747" i="33"/>
  <c r="AU747" i="33"/>
  <c r="AR748" i="33"/>
  <c r="AU748" i="33"/>
  <c r="AR749" i="33"/>
  <c r="AU749" i="33"/>
  <c r="AR750" i="33"/>
  <c r="AU750" i="33"/>
  <c r="AR751" i="33"/>
  <c r="AU751" i="33"/>
  <c r="AR752" i="33"/>
  <c r="AU752" i="33"/>
  <c r="AR753" i="33"/>
  <c r="AU753" i="33"/>
  <c r="AR754" i="33"/>
  <c r="AU754" i="33"/>
  <c r="AR755" i="33"/>
  <c r="AU755" i="33"/>
  <c r="AR756" i="33"/>
  <c r="AU756" i="33"/>
  <c r="AR757" i="33"/>
  <c r="AU757" i="33"/>
  <c r="AR758" i="33"/>
  <c r="AU758" i="33"/>
  <c r="AR759" i="33"/>
  <c r="AU759" i="33"/>
  <c r="AR760" i="33"/>
  <c r="AU760" i="33"/>
  <c r="AR761" i="33"/>
  <c r="AU761" i="33"/>
  <c r="AR762" i="33"/>
  <c r="AU762" i="33"/>
  <c r="AR763" i="33"/>
  <c r="AU763" i="33"/>
  <c r="AR764" i="33"/>
  <c r="AU764" i="33"/>
  <c r="AR765" i="33"/>
  <c r="AU765" i="33"/>
  <c r="AR766" i="33"/>
  <c r="AU766" i="33"/>
  <c r="AR767" i="33"/>
  <c r="AU767" i="33"/>
  <c r="AR768" i="33"/>
  <c r="AU768" i="33"/>
  <c r="AR769" i="33"/>
  <c r="AU769" i="33"/>
  <c r="AR770" i="33"/>
  <c r="AU770" i="33"/>
  <c r="AR771" i="33"/>
  <c r="AU771" i="33"/>
  <c r="AR772" i="33"/>
  <c r="AU772" i="33"/>
  <c r="AR773" i="33"/>
  <c r="AU773" i="33"/>
  <c r="AR774" i="33"/>
  <c r="AU774" i="33"/>
  <c r="AR775" i="33"/>
  <c r="AU775" i="33"/>
  <c r="AR776" i="33"/>
  <c r="AU776" i="33"/>
  <c r="AR777" i="33"/>
  <c r="AU777" i="33"/>
  <c r="AR778" i="33"/>
  <c r="AU778" i="33"/>
  <c r="AR779" i="33"/>
  <c r="AU779" i="33"/>
  <c r="AR780" i="33"/>
  <c r="AU780" i="33"/>
  <c r="AR781" i="33"/>
  <c r="AU781" i="33"/>
  <c r="AR782" i="33"/>
  <c r="AU782" i="33"/>
  <c r="AR783" i="33"/>
  <c r="AU783" i="33"/>
  <c r="AR784" i="33"/>
  <c r="AU784" i="33"/>
  <c r="AR785" i="33"/>
  <c r="AU785" i="33"/>
  <c r="AR786" i="33"/>
  <c r="AU786" i="33"/>
  <c r="AR787" i="33"/>
  <c r="AU787" i="33"/>
  <c r="AR788" i="33"/>
  <c r="AU788" i="33"/>
  <c r="AR789" i="33"/>
  <c r="AU789" i="33"/>
  <c r="AR790" i="33"/>
  <c r="AU790" i="33"/>
  <c r="AR791" i="33"/>
  <c r="AU791" i="33"/>
  <c r="AR792" i="33"/>
  <c r="AU792" i="33"/>
  <c r="AR793" i="33"/>
  <c r="AU793" i="33"/>
  <c r="AR794" i="33"/>
  <c r="AU794" i="33"/>
  <c r="AR795" i="33"/>
  <c r="AU795" i="33"/>
  <c r="AR796" i="33"/>
  <c r="AU796" i="33"/>
  <c r="AR797" i="33"/>
  <c r="AU797" i="33"/>
  <c r="AR798" i="33"/>
  <c r="AU798" i="33"/>
  <c r="AR799" i="33"/>
  <c r="AU799" i="33"/>
  <c r="AR800" i="33"/>
  <c r="AU800" i="33"/>
  <c r="AR801" i="33"/>
  <c r="AU801" i="33"/>
  <c r="AR802" i="33"/>
  <c r="AU802" i="33"/>
  <c r="AR803" i="33"/>
  <c r="AU803" i="33"/>
  <c r="AR804" i="33"/>
  <c r="AU804" i="33"/>
  <c r="AR805" i="33"/>
  <c r="AU805" i="33"/>
  <c r="AR806" i="33"/>
  <c r="AU806" i="33"/>
  <c r="AR807" i="33"/>
  <c r="AU807" i="33"/>
  <c r="AR808" i="33"/>
  <c r="AU808" i="33"/>
  <c r="AR809" i="33"/>
  <c r="AU809" i="33"/>
  <c r="AR810" i="33"/>
  <c r="AU810" i="33"/>
  <c r="AR811" i="33"/>
  <c r="AU811" i="33"/>
  <c r="AR812" i="33"/>
  <c r="AU812" i="33"/>
  <c r="AR813" i="33"/>
  <c r="AU813" i="33"/>
  <c r="AR814" i="33"/>
  <c r="AU814" i="33"/>
  <c r="AR815" i="33"/>
  <c r="AU815" i="33"/>
  <c r="AR816" i="33"/>
  <c r="AU816" i="33"/>
  <c r="AR817" i="33"/>
  <c r="AU817" i="33"/>
  <c r="AR818" i="33"/>
  <c r="AU818" i="33"/>
  <c r="AR819" i="33"/>
  <c r="AU819" i="33"/>
  <c r="AR820" i="33"/>
  <c r="AU820" i="33"/>
  <c r="AR821" i="33"/>
  <c r="AU821" i="33"/>
  <c r="AR822" i="33"/>
  <c r="AU822" i="33"/>
  <c r="AR823" i="33"/>
  <c r="AU823" i="33"/>
  <c r="AR824" i="33"/>
  <c r="AU824" i="33"/>
  <c r="AR825" i="33"/>
  <c r="AU825" i="33"/>
  <c r="AR826" i="33"/>
  <c r="AU826" i="33"/>
  <c r="AR827" i="33"/>
  <c r="AU827" i="33"/>
  <c r="AR828" i="33"/>
  <c r="AU828" i="33"/>
  <c r="AR829" i="33"/>
  <c r="AU829" i="33"/>
  <c r="AR830" i="33"/>
  <c r="AU830" i="33"/>
  <c r="AR831" i="33"/>
  <c r="AU831" i="33"/>
  <c r="AR832" i="33"/>
  <c r="AU832" i="33"/>
  <c r="AR833" i="33"/>
  <c r="AU833" i="33"/>
  <c r="AR834" i="33"/>
  <c r="AU834" i="33"/>
  <c r="AR835" i="33"/>
  <c r="AU835" i="33"/>
  <c r="AR836" i="33"/>
  <c r="AU836" i="33"/>
  <c r="AR837" i="33"/>
  <c r="AU837" i="33"/>
  <c r="AR838" i="33"/>
  <c r="AU838" i="33"/>
  <c r="AR839" i="33"/>
  <c r="AU839" i="33"/>
  <c r="AR840" i="33"/>
  <c r="AU840" i="33"/>
  <c r="AR841" i="33"/>
  <c r="AU841" i="33"/>
  <c r="AR842" i="33"/>
  <c r="AU842" i="33"/>
  <c r="AR843" i="33"/>
  <c r="AU843" i="33"/>
  <c r="AR844" i="33"/>
  <c r="AU844" i="33"/>
  <c r="AR845" i="33"/>
  <c r="AU845" i="33"/>
  <c r="AR846" i="33"/>
  <c r="AU846" i="33"/>
  <c r="AR847" i="33"/>
  <c r="AU847" i="33"/>
  <c r="AR848" i="33"/>
  <c r="AU848" i="33"/>
  <c r="AR849" i="33"/>
  <c r="AU849" i="33"/>
  <c r="AR850" i="33"/>
  <c r="AU850" i="33"/>
  <c r="AR851" i="33"/>
  <c r="AU851" i="33"/>
  <c r="AR852" i="33"/>
  <c r="AU852" i="33"/>
  <c r="AR853" i="33"/>
  <c r="AU853" i="33"/>
  <c r="AR854" i="33"/>
  <c r="AU854" i="33"/>
  <c r="AR855" i="33"/>
  <c r="AU855" i="33"/>
  <c r="AR856" i="33"/>
  <c r="AU856" i="33"/>
  <c r="AR857" i="33"/>
  <c r="AU857" i="33"/>
  <c r="AR858" i="33"/>
  <c r="AU858" i="33"/>
  <c r="AR859" i="33"/>
  <c r="AU859" i="33"/>
  <c r="AR860" i="33"/>
  <c r="AU860" i="33"/>
  <c r="AR861" i="33"/>
  <c r="AU861" i="33"/>
  <c r="AR862" i="33"/>
  <c r="AU862" i="33"/>
  <c r="AR863" i="33"/>
  <c r="AU863" i="33"/>
  <c r="AR864" i="33"/>
  <c r="AU864" i="33"/>
  <c r="AR865" i="33"/>
  <c r="AU865" i="33"/>
  <c r="AR866" i="33"/>
  <c r="AU866" i="33"/>
  <c r="AR867" i="33"/>
  <c r="AU867" i="33"/>
  <c r="AR868" i="33"/>
  <c r="AU868" i="33"/>
  <c r="AR869" i="33"/>
  <c r="AU869" i="33"/>
  <c r="AR870" i="33"/>
  <c r="AU870" i="33"/>
  <c r="AR871" i="33"/>
  <c r="AU871" i="33"/>
  <c r="AR872" i="33"/>
  <c r="AU872" i="33"/>
  <c r="AR873" i="33"/>
  <c r="AU873" i="33"/>
  <c r="AR874" i="33"/>
  <c r="AU874" i="33"/>
  <c r="AR875" i="33"/>
  <c r="AU875" i="33"/>
  <c r="AR876" i="33"/>
  <c r="AU876" i="33"/>
  <c r="AR877" i="33"/>
  <c r="AU877" i="33"/>
  <c r="AR878" i="33"/>
  <c r="AU878" i="33"/>
  <c r="AR879" i="33"/>
  <c r="AU879" i="33"/>
  <c r="AR880" i="33"/>
  <c r="AU880" i="33"/>
  <c r="AR881" i="33"/>
  <c r="AU881" i="33"/>
  <c r="AR882" i="33"/>
  <c r="AU882" i="33"/>
  <c r="AR883" i="33"/>
  <c r="AU883" i="33"/>
  <c r="AR884" i="33"/>
  <c r="AU884" i="33"/>
  <c r="AR885" i="33"/>
  <c r="AU885" i="33"/>
  <c r="AR886" i="33"/>
  <c r="AU886" i="33"/>
  <c r="AR887" i="33"/>
  <c r="AU887" i="33"/>
  <c r="AR888" i="33"/>
  <c r="AU888" i="33"/>
  <c r="AR889" i="33"/>
  <c r="AU889" i="33"/>
  <c r="AR890" i="33"/>
  <c r="AU890" i="33"/>
  <c r="AR891" i="33"/>
  <c r="AU891" i="33"/>
  <c r="AR892" i="33"/>
  <c r="AU892" i="33"/>
  <c r="AR893" i="33"/>
  <c r="AU893" i="33"/>
  <c r="AR894" i="33"/>
  <c r="AU894" i="33"/>
  <c r="AR895" i="33"/>
  <c r="AU895" i="33"/>
  <c r="AR896" i="33"/>
  <c r="AU896" i="33"/>
  <c r="AR897" i="33"/>
  <c r="AU897" i="33"/>
  <c r="AR898" i="33"/>
  <c r="AU898" i="33"/>
  <c r="AR899" i="33"/>
  <c r="AU899" i="33"/>
  <c r="AR900" i="33"/>
  <c r="AU900" i="33"/>
  <c r="AR901" i="33"/>
  <c r="AU901" i="33"/>
  <c r="AR902" i="33"/>
  <c r="AU902" i="33"/>
  <c r="AR903" i="33"/>
  <c r="AU903" i="33"/>
  <c r="AR904" i="33"/>
  <c r="AU904" i="33"/>
  <c r="AR905" i="33"/>
  <c r="AU905" i="33"/>
  <c r="AR906" i="33"/>
  <c r="AU906" i="33"/>
  <c r="AR907" i="33"/>
  <c r="AU907" i="33"/>
  <c r="AR908" i="33"/>
  <c r="AU908" i="33"/>
  <c r="AR909" i="33"/>
  <c r="AU909" i="33"/>
  <c r="AR910" i="33"/>
  <c r="AU910" i="33"/>
  <c r="AR911" i="33"/>
  <c r="AU911" i="33"/>
  <c r="AR912" i="33"/>
  <c r="AU912" i="33"/>
  <c r="AR913" i="33"/>
  <c r="AU913" i="33"/>
  <c r="AR914" i="33"/>
  <c r="AU914" i="33"/>
  <c r="AR915" i="33"/>
  <c r="AU915" i="33"/>
  <c r="AR916" i="33"/>
  <c r="AU916" i="33"/>
  <c r="AR917" i="33"/>
  <c r="AU917" i="33"/>
  <c r="AR918" i="33"/>
  <c r="AU918" i="33"/>
  <c r="AR919" i="33"/>
  <c r="AU919" i="33"/>
  <c r="AR920" i="33"/>
  <c r="AU920" i="33"/>
  <c r="AR921" i="33"/>
  <c r="AU921" i="33"/>
  <c r="AR922" i="33"/>
  <c r="AU922" i="33"/>
  <c r="AR923" i="33"/>
  <c r="AU923" i="33"/>
  <c r="AR924" i="33"/>
  <c r="AU924" i="33"/>
  <c r="AR925" i="33"/>
  <c r="AU925" i="33"/>
  <c r="AR926" i="33"/>
  <c r="AU926" i="33"/>
  <c r="AR927" i="33"/>
  <c r="AU927" i="33"/>
  <c r="AR928" i="33"/>
  <c r="AU928" i="33"/>
  <c r="AR929" i="33"/>
  <c r="AU929" i="33"/>
  <c r="AR930" i="33"/>
  <c r="AU930" i="33"/>
  <c r="AR931" i="33"/>
  <c r="AU931" i="33"/>
  <c r="AR932" i="33"/>
  <c r="AU932" i="33"/>
  <c r="AR933" i="33"/>
  <c r="AU933" i="33"/>
  <c r="AR934" i="33"/>
  <c r="AU934" i="33"/>
  <c r="AR935" i="33"/>
  <c r="AU935" i="33"/>
  <c r="AR936" i="33"/>
  <c r="AU936" i="33"/>
  <c r="AR937" i="33"/>
  <c r="AU937" i="33"/>
  <c r="AR938" i="33"/>
  <c r="AU938" i="33"/>
  <c r="AR939" i="33"/>
  <c r="AU939" i="33"/>
  <c r="AR940" i="33"/>
  <c r="AU940" i="33"/>
  <c r="AR941" i="33"/>
  <c r="AU941" i="33"/>
  <c r="AR942" i="33"/>
  <c r="AU942" i="33"/>
  <c r="AR943" i="33"/>
  <c r="AU943" i="33"/>
  <c r="AR944" i="33"/>
  <c r="AU944" i="33"/>
  <c r="AR945" i="33"/>
  <c r="AU945" i="33"/>
  <c r="AR946" i="33"/>
  <c r="AU946" i="33"/>
  <c r="AR947" i="33"/>
  <c r="AU947" i="33"/>
  <c r="AR948" i="33"/>
  <c r="AU948" i="33"/>
  <c r="AR949" i="33"/>
  <c r="AU949" i="33"/>
  <c r="AR950" i="33"/>
  <c r="AU950" i="33"/>
  <c r="AR951" i="33"/>
  <c r="AU951" i="33"/>
  <c r="AR952" i="33"/>
  <c r="AU952" i="33"/>
  <c r="AR953" i="33"/>
  <c r="AU953" i="33"/>
  <c r="AR954" i="33"/>
  <c r="AU954" i="33"/>
  <c r="AR955" i="33"/>
  <c r="AU955" i="33"/>
  <c r="AR956" i="33"/>
  <c r="AU956" i="33"/>
  <c r="AR957" i="33"/>
  <c r="AU957" i="33"/>
  <c r="AR958" i="33"/>
  <c r="AU958" i="33"/>
  <c r="AR959" i="33"/>
  <c r="AU959" i="33"/>
  <c r="AR960" i="33"/>
  <c r="AU960" i="33"/>
  <c r="AR961" i="33"/>
  <c r="AU961" i="33"/>
  <c r="AR962" i="33"/>
  <c r="AU962" i="33"/>
  <c r="AR963" i="33"/>
  <c r="AU963" i="33"/>
  <c r="AR964" i="33"/>
  <c r="AU964" i="33"/>
  <c r="AR965" i="33"/>
  <c r="AU965" i="33"/>
  <c r="AR966" i="33"/>
  <c r="AU966" i="33"/>
  <c r="AR967" i="33"/>
  <c r="AU967" i="33"/>
  <c r="AR968" i="33"/>
  <c r="AU968" i="33"/>
  <c r="AR969" i="33"/>
  <c r="AU969" i="33"/>
  <c r="AR970" i="33"/>
  <c r="AU970" i="33"/>
  <c r="AR971" i="33"/>
  <c r="AU971" i="33"/>
  <c r="AR972" i="33"/>
  <c r="AU972" i="33"/>
  <c r="AR973" i="33"/>
  <c r="AU973" i="33"/>
  <c r="AR974" i="33"/>
  <c r="AU974" i="33"/>
  <c r="AR975" i="33"/>
  <c r="AU975" i="33"/>
  <c r="AR976" i="33"/>
  <c r="AU976" i="33"/>
  <c r="AR977" i="33"/>
  <c r="AU977" i="33"/>
  <c r="AR978" i="33"/>
  <c r="AU978" i="33"/>
  <c r="AR979" i="33"/>
  <c r="AU979" i="33"/>
  <c r="AR980" i="33"/>
  <c r="AU980" i="33"/>
  <c r="AR981" i="33"/>
  <c r="AU981" i="33"/>
  <c r="AR982" i="33"/>
  <c r="AU982" i="33"/>
  <c r="AR983" i="33"/>
  <c r="AU983" i="33"/>
  <c r="AR984" i="33"/>
  <c r="AU984" i="33"/>
  <c r="AR985" i="33"/>
  <c r="AU985" i="33"/>
  <c r="AR986" i="33"/>
  <c r="AU986" i="33"/>
  <c r="AR987" i="33"/>
  <c r="AU987" i="33"/>
  <c r="AR988" i="33"/>
  <c r="AU988" i="33"/>
  <c r="AR989" i="33"/>
  <c r="AU989" i="33"/>
  <c r="AR990" i="33"/>
  <c r="AU990" i="33"/>
  <c r="AR991" i="33"/>
  <c r="AU991" i="33"/>
  <c r="AR992" i="33"/>
  <c r="AU992" i="33"/>
  <c r="AR993" i="33"/>
  <c r="AU993" i="33"/>
  <c r="AR994" i="33"/>
  <c r="AU994" i="33"/>
  <c r="AR995" i="33"/>
  <c r="AU995" i="33"/>
  <c r="AR996" i="33"/>
  <c r="AU996" i="33"/>
  <c r="AR997" i="33"/>
  <c r="AU997" i="33"/>
  <c r="AR998" i="33"/>
  <c r="AU998" i="33"/>
  <c r="AR999" i="33"/>
  <c r="AU999" i="33"/>
  <c r="AR1000" i="33"/>
  <c r="AU1000" i="33"/>
  <c r="AR1001" i="33"/>
  <c r="AU1001" i="33"/>
  <c r="AR1002" i="33"/>
  <c r="AU1002" i="33"/>
  <c r="AR1003" i="33"/>
  <c r="AU1003" i="33"/>
  <c r="AR1004" i="33"/>
  <c r="AU1004" i="33"/>
  <c r="AR1005" i="33"/>
  <c r="AU1005" i="33"/>
  <c r="AR1006" i="33"/>
  <c r="AU1006" i="33"/>
  <c r="AR1007" i="33"/>
  <c r="AU1007" i="33"/>
  <c r="AR1008" i="33"/>
  <c r="AU1008" i="33"/>
  <c r="AR1009" i="33"/>
  <c r="AU1009" i="33"/>
  <c r="AR1010" i="33"/>
  <c r="AU1010" i="33"/>
  <c r="AR1011" i="33"/>
  <c r="AU1011" i="33"/>
  <c r="AR1012" i="33"/>
  <c r="AU1012" i="33"/>
  <c r="AR1013" i="33"/>
  <c r="AU1013" i="33"/>
  <c r="AR1014" i="33"/>
  <c r="AU1014" i="33"/>
  <c r="AR1015" i="33"/>
  <c r="AU1015" i="33"/>
  <c r="AR1016" i="33"/>
  <c r="AU1016" i="33"/>
  <c r="AR1017" i="33"/>
  <c r="AU1017" i="33"/>
  <c r="AR1018" i="33"/>
  <c r="AU1018" i="33"/>
  <c r="AR1019" i="33"/>
  <c r="AU1019" i="33"/>
  <c r="AR1020" i="33"/>
  <c r="AU1020" i="33"/>
  <c r="AR1021" i="33"/>
  <c r="AU1021" i="33"/>
  <c r="AR1022" i="33"/>
  <c r="AU1022" i="33"/>
  <c r="AR1023" i="33"/>
  <c r="AU1023" i="33"/>
  <c r="AR1024" i="33"/>
  <c r="AU1024" i="33"/>
  <c r="AR1025" i="33"/>
  <c r="AU1025" i="33"/>
  <c r="AR1026" i="33"/>
  <c r="AU1026" i="33"/>
  <c r="AR1027" i="33"/>
  <c r="AU1027" i="33"/>
  <c r="AR1028" i="33"/>
  <c r="AU1028" i="33"/>
  <c r="I67" i="22" l="1"/>
  <c r="G70" i="22"/>
  <c r="I70" i="22" s="1"/>
  <c r="K70" i="22" s="1"/>
  <c r="E81" i="33" l="1"/>
  <c r="J40" i="17" l="1"/>
  <c r="G68" i="31"/>
  <c r="C6" i="9"/>
  <c r="G73" i="31"/>
  <c r="G15" i="31"/>
  <c r="G16" i="31"/>
  <c r="G8" i="31"/>
  <c r="G4" i="31"/>
  <c r="A4" i="31"/>
  <c r="G2" i="31"/>
  <c r="G1" i="31"/>
  <c r="B25" i="31"/>
  <c r="B26" i="31" s="1"/>
  <c r="B27" i="31" s="1"/>
  <c r="B34" i="31" s="1"/>
  <c r="B35" i="31" s="1"/>
  <c r="B37" i="31" s="1"/>
  <c r="B39" i="31" s="1"/>
  <c r="B41" i="31" s="1"/>
  <c r="B42" i="31" s="1"/>
  <c r="B43" i="31" s="1"/>
  <c r="B45" i="31" s="1"/>
  <c r="B46" i="31" s="1"/>
  <c r="B49" i="31" s="1"/>
  <c r="B53" i="31" s="1"/>
  <c r="B54" i="31" s="1"/>
  <c r="B55" i="31" s="1"/>
  <c r="B57" i="31" s="1"/>
  <c r="B59" i="31" s="1"/>
  <c r="B64" i="31" s="1"/>
  <c r="B68" i="31" s="1"/>
  <c r="B69" i="31" s="1"/>
  <c r="B70" i="31" s="1"/>
  <c r="B72" i="31" s="1"/>
  <c r="B73" i="31" s="1"/>
  <c r="B75" i="31" s="1"/>
  <c r="K41" i="16" l="1"/>
  <c r="J41" i="16"/>
  <c r="K42" i="16"/>
  <c r="J42" i="16"/>
  <c r="K44" i="16"/>
  <c r="J44" i="16"/>
  <c r="K40" i="16"/>
  <c r="J40" i="16"/>
  <c r="J45" i="16"/>
  <c r="K45" i="16"/>
  <c r="K43" i="16"/>
  <c r="J43" i="16"/>
  <c r="H16" i="5" l="1"/>
  <c r="G16" i="5"/>
  <c r="F16" i="5"/>
  <c r="E16" i="5"/>
  <c r="D16" i="5"/>
  <c r="F29" i="19" l="1"/>
  <c r="J29" i="19" s="1"/>
  <c r="D17" i="5"/>
  <c r="F30" i="19"/>
  <c r="J30" i="19" s="1"/>
  <c r="E17" i="5"/>
  <c r="J32" i="19"/>
  <c r="H17" i="5"/>
  <c r="F31" i="19"/>
  <c r="J31" i="19" s="1"/>
  <c r="F17" i="5"/>
  <c r="AE2" i="16"/>
  <c r="AE1" i="16"/>
  <c r="E5" i="30"/>
  <c r="D11" i="30"/>
  <c r="E11" i="30"/>
  <c r="C11" i="30"/>
  <c r="K85" i="22"/>
  <c r="K89" i="22"/>
  <c r="K88" i="22"/>
  <c r="I6" i="7"/>
  <c r="Q5" i="30"/>
  <c r="P5" i="30"/>
  <c r="O5" i="30"/>
  <c r="N5" i="30"/>
  <c r="G5" i="30"/>
  <c r="F5" i="30"/>
  <c r="M5" i="30"/>
  <c r="L5" i="30"/>
  <c r="K5" i="30"/>
  <c r="J5" i="30"/>
  <c r="I5" i="30"/>
  <c r="H5" i="30"/>
  <c r="D5" i="30"/>
  <c r="C5" i="30"/>
  <c r="G25" i="22"/>
  <c r="G98" i="22" s="1"/>
  <c r="F15" i="5"/>
  <c r="F10" i="5"/>
  <c r="F11" i="5"/>
  <c r="F12" i="5"/>
  <c r="G39" i="31" l="1"/>
  <c r="F18" i="5"/>
  <c r="F14" i="5"/>
  <c r="B11" i="30"/>
  <c r="J6" i="7"/>
  <c r="F6" i="7"/>
  <c r="G6" i="7"/>
  <c r="B5" i="30" l="1"/>
  <c r="L5" i="17"/>
  <c r="B5" i="17"/>
  <c r="J5" i="28"/>
  <c r="A5" i="28"/>
  <c r="AE4" i="16"/>
  <c r="A4" i="16"/>
  <c r="K4" i="13"/>
  <c r="A4" i="13"/>
  <c r="L4" i="11"/>
  <c r="A4" i="11"/>
  <c r="L4" i="9"/>
  <c r="A4" i="9"/>
  <c r="H4" i="8"/>
  <c r="A4" i="8"/>
  <c r="N4" i="7"/>
  <c r="A4" i="7"/>
  <c r="H4" i="5"/>
  <c r="A4" i="5"/>
  <c r="AD4" i="6"/>
  <c r="A4" i="6"/>
  <c r="H4" i="3"/>
  <c r="A4" i="3"/>
  <c r="H4" i="4"/>
  <c r="A4" i="4"/>
  <c r="K5" i="25"/>
  <c r="A5" i="25"/>
  <c r="L4" i="24"/>
  <c r="A4" i="24"/>
  <c r="K4" i="22"/>
  <c r="A4" i="22"/>
  <c r="J4" i="21"/>
  <c r="A4" i="21"/>
  <c r="A4" i="19"/>
  <c r="H4" i="19"/>
  <c r="C6" i="3"/>
  <c r="I57" i="22"/>
  <c r="K57" i="22"/>
  <c r="C6" i="4" l="1"/>
  <c r="I40" i="16"/>
  <c r="I41" i="16"/>
  <c r="M41" i="16" s="1"/>
  <c r="I42" i="16"/>
  <c r="M42" i="16" s="1"/>
  <c r="I43" i="16"/>
  <c r="M43" i="16" s="1"/>
  <c r="I44" i="16"/>
  <c r="M44" i="16" s="1"/>
  <c r="I45" i="16"/>
  <c r="M45" i="16" s="1"/>
  <c r="H15" i="5"/>
  <c r="G15" i="5"/>
  <c r="E15" i="5"/>
  <c r="F20" i="19"/>
  <c r="J20" i="19" s="1"/>
  <c r="E11" i="5"/>
  <c r="H11" i="5"/>
  <c r="D12" i="5"/>
  <c r="E12" i="5"/>
  <c r="H12" i="5"/>
  <c r="M40" i="16" l="1"/>
  <c r="H14" i="5"/>
  <c r="L42" i="16"/>
  <c r="F21" i="19"/>
  <c r="J21" i="19" s="1"/>
  <c r="D15" i="5"/>
  <c r="F19" i="19"/>
  <c r="J19" i="19" s="1"/>
  <c r="D14" i="5"/>
  <c r="E14" i="5"/>
  <c r="F11" i="19"/>
  <c r="J11" i="19" s="1"/>
  <c r="D11" i="5"/>
  <c r="L43" i="16"/>
  <c r="L41" i="16"/>
  <c r="L44" i="16"/>
  <c r="L40" i="16"/>
  <c r="L45" i="16"/>
  <c r="F12" i="19"/>
  <c r="J12" i="19" s="1"/>
  <c r="H10" i="5" l="1"/>
  <c r="E10" i="5"/>
  <c r="G17" i="5" l="1"/>
  <c r="G12" i="5"/>
  <c r="G11" i="5"/>
  <c r="G14" i="5"/>
  <c r="H13" i="5"/>
  <c r="G10" i="5"/>
  <c r="F14" i="19" l="1"/>
  <c r="E13" i="5"/>
  <c r="F15" i="19"/>
  <c r="F13" i="5"/>
  <c r="K9" i="25" s="1"/>
  <c r="F32" i="19"/>
  <c r="J16" i="19"/>
  <c r="G13" i="5"/>
  <c r="J15" i="19" l="1"/>
  <c r="E18" i="5"/>
  <c r="G34" i="31"/>
  <c r="G35" i="31"/>
  <c r="G18" i="5"/>
  <c r="H18" i="5"/>
  <c r="K2" i="13"/>
  <c r="K1" i="13"/>
  <c r="A4" i="26"/>
  <c r="G72" i="31" l="1"/>
  <c r="G75" i="31" s="1"/>
  <c r="D18" i="5"/>
  <c r="F10" i="19"/>
  <c r="J10" i="19" s="1"/>
  <c r="D10" i="5"/>
  <c r="E42" i="31"/>
  <c r="G42" i="31" s="1"/>
  <c r="E41" i="31"/>
  <c r="G41" i="31" s="1"/>
  <c r="J26" i="19"/>
  <c r="J35" i="19" s="1"/>
  <c r="F25" i="19"/>
  <c r="F24" i="19"/>
  <c r="F22" i="19" l="1"/>
  <c r="J22" i="19" s="1"/>
  <c r="D13" i="5"/>
  <c r="G43" i="31"/>
  <c r="G49" i="31" s="1"/>
  <c r="F101" i="19"/>
  <c r="G27" i="31" l="1"/>
  <c r="G54" i="31" s="1"/>
  <c r="E31" i="33"/>
  <c r="L3" i="17"/>
  <c r="L2" i="17"/>
  <c r="G12" i="16"/>
  <c r="H12" i="16"/>
  <c r="J12" i="16"/>
  <c r="K12" i="16"/>
  <c r="I34" i="26" s="1"/>
  <c r="F12" i="16"/>
  <c r="I28" i="26" s="1"/>
  <c r="L2" i="11"/>
  <c r="L1" i="11"/>
  <c r="L2" i="9"/>
  <c r="L1" i="9"/>
  <c r="H2" i="8"/>
  <c r="H1" i="8"/>
  <c r="K39" i="11"/>
  <c r="K38" i="11"/>
  <c r="L6" i="9"/>
  <c r="D6" i="9"/>
  <c r="F6" i="9"/>
  <c r="J6" i="9"/>
  <c r="K6" i="9"/>
  <c r="H7" i="8"/>
  <c r="D7" i="8"/>
  <c r="H102" i="19" s="1"/>
  <c r="H34" i="24" s="1"/>
  <c r="E7" i="8"/>
  <c r="F7" i="8"/>
  <c r="G7" i="8"/>
  <c r="F102" i="19" s="1"/>
  <c r="H58" i="24" s="1"/>
  <c r="N2" i="7"/>
  <c r="N1" i="7"/>
  <c r="G7" i="7"/>
  <c r="I7" i="7"/>
  <c r="J7" i="7"/>
  <c r="F7" i="7"/>
  <c r="H6" i="7"/>
  <c r="F51" i="21" s="1"/>
  <c r="F52" i="21" s="1"/>
  <c r="E79" i="33" l="1"/>
  <c r="B82" i="26"/>
  <c r="C82" i="26" s="1"/>
  <c r="C78" i="26"/>
  <c r="C80" i="26"/>
  <c r="C79" i="26"/>
  <c r="C77" i="26"/>
  <c r="C76" i="26"/>
  <c r="G25" i="31"/>
  <c r="E86" i="33"/>
  <c r="G78" i="22"/>
  <c r="K6" i="7"/>
  <c r="I12" i="16"/>
  <c r="H7" i="7"/>
  <c r="H51" i="21" s="1"/>
  <c r="K78" i="22" s="1"/>
  <c r="K7" i="7"/>
  <c r="K62" i="26"/>
  <c r="F71" i="26"/>
  <c r="G71" i="26" s="1"/>
  <c r="G68" i="26"/>
  <c r="G67" i="26"/>
  <c r="G66" i="26"/>
  <c r="G65" i="26"/>
  <c r="G69" i="26"/>
  <c r="K67" i="26"/>
  <c r="K65" i="26"/>
  <c r="K66" i="26"/>
  <c r="K68" i="26"/>
  <c r="K69" i="26"/>
  <c r="C65" i="26"/>
  <c r="C66" i="26"/>
  <c r="C67" i="26"/>
  <c r="C68" i="26"/>
  <c r="C69" i="26"/>
  <c r="J71" i="26"/>
  <c r="K71" i="26" s="1"/>
  <c r="B71" i="26"/>
  <c r="C71" i="26" s="1"/>
  <c r="I29" i="26" l="1"/>
  <c r="G37" i="26" s="1"/>
  <c r="M12" i="16"/>
  <c r="I78" i="22"/>
  <c r="L12" i="16"/>
  <c r="K5" i="26"/>
  <c r="B5" i="26"/>
  <c r="K2" i="26"/>
  <c r="K1" i="26"/>
  <c r="J3" i="28"/>
  <c r="J2" i="28"/>
  <c r="P38" i="28"/>
  <c r="O38" i="28"/>
  <c r="N38" i="28"/>
  <c r="M38" i="28"/>
  <c r="L38" i="28"/>
  <c r="P37" i="28"/>
  <c r="O37" i="28"/>
  <c r="N37" i="28"/>
  <c r="M37" i="28"/>
  <c r="L37" i="28"/>
  <c r="P36" i="28"/>
  <c r="O36" i="28"/>
  <c r="N36" i="28"/>
  <c r="M36" i="28"/>
  <c r="L36" i="28"/>
  <c r="G36" i="28"/>
  <c r="H36" i="28"/>
  <c r="I36" i="28"/>
  <c r="J36" i="28"/>
  <c r="G37" i="28"/>
  <c r="H37" i="28"/>
  <c r="I37" i="28"/>
  <c r="J37" i="28"/>
  <c r="G38" i="28"/>
  <c r="H38" i="28"/>
  <c r="I38" i="28"/>
  <c r="J38" i="28"/>
  <c r="M31" i="28"/>
  <c r="N31" i="28"/>
  <c r="O31" i="28"/>
  <c r="P31" i="28"/>
  <c r="L31" i="28"/>
  <c r="P26" i="28"/>
  <c r="O26" i="28"/>
  <c r="N26" i="28"/>
  <c r="M26" i="28"/>
  <c r="L26" i="28"/>
  <c r="P22" i="28"/>
  <c r="O22" i="28"/>
  <c r="N22" i="28"/>
  <c r="M22" i="28"/>
  <c r="L22" i="28"/>
  <c r="F38" i="28"/>
  <c r="L9" i="28"/>
  <c r="L8" i="28"/>
  <c r="P5" i="28"/>
  <c r="P3" i="28"/>
  <c r="P2" i="28"/>
  <c r="J31" i="28" l="1"/>
  <c r="I31" i="28"/>
  <c r="H31" i="28"/>
  <c r="G31" i="28"/>
  <c r="F37" i="28"/>
  <c r="F36" i="28"/>
  <c r="F31" i="28"/>
  <c r="J26" i="28"/>
  <c r="I26" i="28"/>
  <c r="H26" i="28"/>
  <c r="G26" i="28"/>
  <c r="F26" i="28"/>
  <c r="J22" i="28"/>
  <c r="I22" i="28"/>
  <c r="H22" i="28"/>
  <c r="G22" i="28"/>
  <c r="F22" i="28"/>
  <c r="M18" i="28" l="1"/>
  <c r="M24" i="28" s="1"/>
  <c r="I18" i="28"/>
  <c r="I24" i="28" s="1"/>
  <c r="P18" i="28"/>
  <c r="P24" i="28" s="1"/>
  <c r="L18" i="28"/>
  <c r="L24" i="28" s="1"/>
  <c r="J18" i="28"/>
  <c r="J24" i="28" s="1"/>
  <c r="O18" i="28"/>
  <c r="O24" i="28" s="1"/>
  <c r="G18" i="28"/>
  <c r="N18" i="28"/>
  <c r="N24" i="28" s="1"/>
  <c r="H18" i="28"/>
  <c r="H24" i="28" s="1"/>
  <c r="L10" i="28"/>
  <c r="F18" i="28"/>
  <c r="F24" i="28" s="1"/>
  <c r="G20" i="28" l="1"/>
  <c r="G28" i="28" s="1"/>
  <c r="G24" i="28"/>
  <c r="N20" i="28"/>
  <c r="N28" i="28" s="1"/>
  <c r="L20" i="28"/>
  <c r="L28" i="28" s="1"/>
  <c r="P20" i="28"/>
  <c r="P28" i="28" s="1"/>
  <c r="O20" i="28"/>
  <c r="O28" i="28" s="1"/>
  <c r="M20" i="28"/>
  <c r="M28" i="28" s="1"/>
  <c r="I20" i="28"/>
  <c r="I28" i="28" s="1"/>
  <c r="J20" i="28"/>
  <c r="J28" i="28" s="1"/>
  <c r="F20" i="28"/>
  <c r="F28" i="28" s="1"/>
  <c r="H20" i="28"/>
  <c r="H28" i="28" s="1"/>
  <c r="H2" i="5" l="1"/>
  <c r="H1" i="5"/>
  <c r="AD2" i="6"/>
  <c r="AD1" i="6"/>
  <c r="H2" i="3"/>
  <c r="H1" i="3"/>
  <c r="H2" i="4"/>
  <c r="H1" i="4"/>
  <c r="K27" i="25"/>
  <c r="K2" i="25"/>
  <c r="K1" i="25"/>
  <c r="H51" i="24"/>
  <c r="J51" i="24"/>
  <c r="J41" i="24"/>
  <c r="J43" i="24" s="1"/>
  <c r="H41" i="24"/>
  <c r="H43" i="24" s="1"/>
  <c r="L40" i="24"/>
  <c r="L39" i="24"/>
  <c r="L38" i="24"/>
  <c r="L37" i="24"/>
  <c r="L34" i="24"/>
  <c r="L25" i="24"/>
  <c r="L22" i="24"/>
  <c r="L15" i="24"/>
  <c r="L14" i="24"/>
  <c r="L13" i="24"/>
  <c r="L12" i="24"/>
  <c r="L11" i="24"/>
  <c r="L8" i="24"/>
  <c r="J26" i="24"/>
  <c r="H26" i="24"/>
  <c r="J19" i="24"/>
  <c r="L2" i="24"/>
  <c r="L1" i="24"/>
  <c r="K2" i="22"/>
  <c r="K1" i="22"/>
  <c r="F65" i="19"/>
  <c r="L67" i="19"/>
  <c r="F71" i="19"/>
  <c r="H71" i="19"/>
  <c r="F84" i="19"/>
  <c r="H84" i="19"/>
  <c r="F90" i="19"/>
  <c r="J90" i="19" s="1"/>
  <c r="H90" i="19"/>
  <c r="L90" i="19" s="1"/>
  <c r="L99" i="19"/>
  <c r="J100" i="19"/>
  <c r="L100" i="19"/>
  <c r="J102" i="19"/>
  <c r="L102" i="19"/>
  <c r="L103" i="19"/>
  <c r="H107" i="19"/>
  <c r="H2" i="19"/>
  <c r="H1" i="19"/>
  <c r="L2" i="19"/>
  <c r="L1" i="19"/>
  <c r="K77" i="22"/>
  <c r="K40" i="22"/>
  <c r="I40" i="22"/>
  <c r="G40" i="22"/>
  <c r="K25" i="22"/>
  <c r="K98" i="22" s="1"/>
  <c r="I25" i="22"/>
  <c r="I98" i="22" s="1"/>
  <c r="L8" i="19"/>
  <c r="J2" i="21"/>
  <c r="J1" i="21"/>
  <c r="F6" i="19"/>
  <c r="H48" i="21"/>
  <c r="F48" i="21"/>
  <c r="K76" i="22"/>
  <c r="H35" i="21"/>
  <c r="I76" i="22" s="1"/>
  <c r="F35" i="21"/>
  <c r="G76" i="22" s="1"/>
  <c r="L84" i="19" l="1"/>
  <c r="E69" i="33"/>
  <c r="L71" i="19"/>
  <c r="E60" i="33"/>
  <c r="J71" i="19"/>
  <c r="E43" i="33"/>
  <c r="J84" i="19"/>
  <c r="F92" i="19"/>
  <c r="E49" i="33" s="1"/>
  <c r="L107" i="19"/>
  <c r="L26" i="24"/>
  <c r="J53" i="24"/>
  <c r="H53" i="24"/>
  <c r="H57" i="24" s="1"/>
  <c r="H19" i="24"/>
  <c r="L19" i="24" s="1"/>
  <c r="J28" i="24"/>
  <c r="F97" i="19" s="1"/>
  <c r="L41" i="24"/>
  <c r="H92" i="19"/>
  <c r="L43" i="24"/>
  <c r="L51" i="24"/>
  <c r="H110" i="19"/>
  <c r="E51" i="33" s="1" a="1"/>
  <c r="E51" i="33" s="1"/>
  <c r="G65" i="22"/>
  <c r="K65" i="22"/>
  <c r="K69" i="22" s="1"/>
  <c r="I65" i="22"/>
  <c r="I69" i="22" s="1"/>
  <c r="J57" i="24" l="1"/>
  <c r="F103" i="19" s="1"/>
  <c r="L92" i="19"/>
  <c r="E67" i="33"/>
  <c r="J97" i="19"/>
  <c r="J29" i="24"/>
  <c r="G69" i="22"/>
  <c r="J92" i="19"/>
  <c r="G13" i="31"/>
  <c r="H112" i="19"/>
  <c r="H28" i="24"/>
  <c r="L53" i="24"/>
  <c r="L57" i="24" s="1"/>
  <c r="E52" i="33" l="1" a="1"/>
  <c r="E52" i="33" s="1"/>
  <c r="J58" i="24"/>
  <c r="K8" i="25"/>
  <c r="K10" i="25" s="1"/>
  <c r="G24" i="31"/>
  <c r="G26" i="31" s="1"/>
  <c r="G53" i="31" s="1"/>
  <c r="G55" i="31" s="1"/>
  <c r="E33" i="33"/>
  <c r="E32" i="33"/>
  <c r="L28" i="24"/>
  <c r="F96" i="19"/>
  <c r="H24" i="21"/>
  <c r="H18" i="21"/>
  <c r="E71" i="33" s="1"/>
  <c r="F24" i="21"/>
  <c r="F49" i="21" s="1"/>
  <c r="F18" i="21"/>
  <c r="H59" i="19"/>
  <c r="F59" i="19"/>
  <c r="E40" i="33" s="1"/>
  <c r="H52" i="19"/>
  <c r="F52" i="19"/>
  <c r="H23" i="19"/>
  <c r="L23" i="19" s="1"/>
  <c r="F23" i="19"/>
  <c r="H13" i="19"/>
  <c r="F13" i="19"/>
  <c r="F16" i="19" s="1"/>
  <c r="D14" i="2"/>
  <c r="E28" i="33" s="1" a="1"/>
  <c r="E28" i="33" s="1"/>
  <c r="H49" i="21" l="1"/>
  <c r="E72" i="33" s="1"/>
  <c r="C29" i="31"/>
  <c r="L59" i="19"/>
  <c r="E57" i="33"/>
  <c r="L52" i="19"/>
  <c r="E56" i="33"/>
  <c r="J52" i="19"/>
  <c r="E39" i="33"/>
  <c r="P37" i="17" a="1"/>
  <c r="P37" i="17" s="1"/>
  <c r="F99" i="19"/>
  <c r="J96" i="19"/>
  <c r="H29" i="24"/>
  <c r="H34" i="19"/>
  <c r="J59" i="19"/>
  <c r="G12" i="31"/>
  <c r="F34" i="19"/>
  <c r="K52" i="19"/>
  <c r="F50" i="21"/>
  <c r="F54" i="21" s="1"/>
  <c r="H16" i="19"/>
  <c r="L13" i="19"/>
  <c r="F26" i="19"/>
  <c r="J23" i="19"/>
  <c r="L26" i="19"/>
  <c r="J13" i="19"/>
  <c r="J14" i="19" s="1"/>
  <c r="H26" i="19"/>
  <c r="H50" i="21" l="1"/>
  <c r="E50" i="33"/>
  <c r="K73" i="22"/>
  <c r="K96" i="22" s="1"/>
  <c r="E73" i="33"/>
  <c r="H54" i="21"/>
  <c r="H58" i="21" s="1"/>
  <c r="K14" i="25"/>
  <c r="K31" i="25" s="1"/>
  <c r="J99" i="19"/>
  <c r="L29" i="24"/>
  <c r="F58" i="21"/>
  <c r="E70" i="33" s="1"/>
  <c r="H35" i="19"/>
  <c r="H37" i="19" s="1"/>
  <c r="H61" i="19" s="1"/>
  <c r="H117" i="19" s="1"/>
  <c r="L34" i="19"/>
  <c r="F35" i="19"/>
  <c r="F37" i="19" s="1"/>
  <c r="F61" i="19" s="1"/>
  <c r="F115" i="19" s="1"/>
  <c r="J34" i="19"/>
  <c r="E74" i="33" l="1"/>
  <c r="J39" i="17"/>
  <c r="H37" i="26"/>
  <c r="E11" i="36"/>
  <c r="E77" i="33"/>
  <c r="I24" i="26"/>
  <c r="E41" i="33"/>
  <c r="H115" i="19"/>
  <c r="H116" i="19" s="1"/>
  <c r="E58" i="33"/>
  <c r="W21" i="17"/>
  <c r="I73" i="22"/>
  <c r="I96" i="22" s="1"/>
  <c r="I100" i="22" s="1"/>
  <c r="W22" i="17"/>
  <c r="E16" i="36"/>
  <c r="D46" i="36" s="1"/>
  <c r="E46" i="36" s="1"/>
  <c r="F46" i="36" s="1"/>
  <c r="G46" i="36" s="1"/>
  <c r="H46" i="36" s="1"/>
  <c r="K37" i="25"/>
  <c r="E76" i="33" s="1"/>
  <c r="G57" i="31"/>
  <c r="G59" i="31" s="1"/>
  <c r="E88" i="33" s="1" a="1"/>
  <c r="E88" i="33" s="1"/>
  <c r="G73" i="22"/>
  <c r="G96" i="22" s="1"/>
  <c r="G100" i="22" s="1"/>
  <c r="G11" i="31"/>
  <c r="F107" i="19"/>
  <c r="J103" i="19"/>
  <c r="J107" i="19" s="1"/>
  <c r="J38" i="17"/>
  <c r="D56" i="36" l="1"/>
  <c r="E56" i="36"/>
  <c r="F56" i="36"/>
  <c r="G56" i="36"/>
  <c r="H56" i="36"/>
  <c r="K24" i="26"/>
  <c r="K26" i="26" s="1"/>
  <c r="K15" i="36" s="1"/>
  <c r="D51" i="36" s="1"/>
  <c r="E51" i="36" s="1"/>
  <c r="F51" i="36" s="1"/>
  <c r="G51" i="36" s="1"/>
  <c r="H51" i="36" s="1"/>
  <c r="G14" i="31"/>
  <c r="E10" i="36"/>
  <c r="I26" i="26"/>
  <c r="G69" i="31"/>
  <c r="G70" i="31" s="1"/>
  <c r="G77" i="31" s="1"/>
  <c r="E14" i="36"/>
  <c r="D47" i="36" s="1"/>
  <c r="F110" i="19"/>
  <c r="L58" i="24"/>
  <c r="J24" i="19"/>
  <c r="J101" i="19" s="1"/>
  <c r="J37" i="19"/>
  <c r="E80" i="33" l="1"/>
  <c r="I37" i="26"/>
  <c r="J37" i="26" s="1"/>
  <c r="I8" i="26"/>
  <c r="E78" i="33" s="1"/>
  <c r="G17" i="31"/>
  <c r="G18" i="31" s="1"/>
  <c r="G6" i="31" s="1"/>
  <c r="D57" i="36"/>
  <c r="E57" i="36"/>
  <c r="F57" i="36"/>
  <c r="G57" i="36"/>
  <c r="H57" i="36"/>
  <c r="F112" i="19"/>
  <c r="E34" i="33"/>
  <c r="D21" i="31"/>
  <c r="E87" i="33"/>
  <c r="E47" i="36"/>
  <c r="D52" i="36"/>
  <c r="J110" i="19"/>
  <c r="J112" i="19" s="1"/>
  <c r="J61" i="19"/>
  <c r="J115" i="19" s="1"/>
  <c r="F117" i="19" l="1"/>
  <c r="F116" i="19"/>
  <c r="E35" i="33"/>
  <c r="F47" i="36"/>
  <c r="E52" i="36"/>
  <c r="J116" i="19"/>
  <c r="G47" i="36" l="1"/>
  <c r="F52" i="36"/>
  <c r="L16" i="19"/>
  <c r="L35" i="19" s="1"/>
  <c r="L37" i="19" s="1"/>
  <c r="L61" i="19" s="1"/>
  <c r="L115" i="19" s="1"/>
  <c r="L101" i="19"/>
  <c r="L110" i="19" s="1"/>
  <c r="L112" i="19" s="1"/>
  <c r="G52" i="36" l="1"/>
  <c r="H47" i="36"/>
  <c r="H52" i="36" s="1"/>
  <c r="L116"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<sst xmlns="http://schemas.openxmlformats.org/spreadsheetml/2006/main" count="10344" uniqueCount="3569">
  <si>
    <t>Import Area</t>
  </si>
  <si>
    <t>key:  licenseno &amp; rptperiodtype &amp; form468date in yyyymmdd format</t>
  </si>
  <si>
    <t>Report Period Type</t>
  </si>
  <si>
    <t>Report Key</t>
  </si>
  <si>
    <t>1 - Cover Sheet</t>
  </si>
  <si>
    <t>Middleware_Pg1to4</t>
  </si>
  <si>
    <t>n/a</t>
  </si>
  <si>
    <t>LICENSENO</t>
  </si>
  <si>
    <t>SBICNAME</t>
  </si>
  <si>
    <t>ANNORQUAR</t>
  </si>
  <si>
    <t>FISCALYEAR</t>
  </si>
  <si>
    <t>MONTHS</t>
  </si>
  <si>
    <t>ADDRESS</t>
  </si>
  <si>
    <t>CITY</t>
  </si>
  <si>
    <t>STATE</t>
  </si>
  <si>
    <t>ZIPCODE</t>
  </si>
  <si>
    <t>COUNTY</t>
  </si>
  <si>
    <t>EMPLOYERID</t>
  </si>
  <si>
    <t>OWNERSHIP</t>
  </si>
  <si>
    <t>key</t>
  </si>
  <si>
    <t>licenseno</t>
  </si>
  <si>
    <t>sbicname</t>
  </si>
  <si>
    <t>RptPeriodType</t>
  </si>
  <si>
    <t>468rptdate</t>
  </si>
  <si>
    <t>468rptmos</t>
  </si>
  <si>
    <t>sbicstreet</t>
  </si>
  <si>
    <t>sbiccity</t>
  </si>
  <si>
    <t>sbicstate</t>
  </si>
  <si>
    <t>sbiczip</t>
  </si>
  <si>
    <t>sbiccounty</t>
  </si>
  <si>
    <t>sbicemployerid</t>
  </si>
  <si>
    <t>sbicownership</t>
  </si>
  <si>
    <t>approvedvaluation</t>
  </si>
  <si>
    <t>sbicVY</t>
  </si>
  <si>
    <t>sbicstrategy</t>
  </si>
  <si>
    <t>2 and 3 Balance Sheet</t>
  </si>
  <si>
    <t>Rpttype</t>
  </si>
  <si>
    <t>Selections Tab:  Contains data used in drop down fields and other key information.  This is a hidden spreadsheet.</t>
  </si>
  <si>
    <t xml:space="preserve">   </t>
  </si>
  <si>
    <t>Table Name</t>
  </si>
  <si>
    <t>Key_Data</t>
  </si>
  <si>
    <t>Select_RptPeriodType</t>
  </si>
  <si>
    <t>Select_FormType</t>
  </si>
  <si>
    <t>Select_Valuation</t>
  </si>
  <si>
    <t>Select_State</t>
  </si>
  <si>
    <t>Select_Strategy</t>
  </si>
  <si>
    <t>Select_YesNo</t>
  </si>
  <si>
    <t>Select_x</t>
  </si>
  <si>
    <t>Select_Gender</t>
  </si>
  <si>
    <t>Select_Race</t>
  </si>
  <si>
    <t>Select_Ethnicity</t>
  </si>
  <si>
    <t>Select_MgrRoles</t>
  </si>
  <si>
    <t>Select_naics2022</t>
  </si>
  <si>
    <t>Select_Industry</t>
  </si>
  <si>
    <t>Select_Stage</t>
  </si>
  <si>
    <t>Select_InvestmentType</t>
  </si>
  <si>
    <t>Select_SecurityType</t>
  </si>
  <si>
    <t>Select_LoanDebtStatus</t>
  </si>
  <si>
    <t>Select_PlanAssessment</t>
  </si>
  <si>
    <t>Select_CommitmentType</t>
  </si>
  <si>
    <t>Select_AddDeduct</t>
  </si>
  <si>
    <t>Select_ExitType</t>
  </si>
  <si>
    <t>FormTypeLabels</t>
  </si>
  <si>
    <t>Description</t>
  </si>
  <si>
    <t>Identifies the key fields selected/entered that are used throughout the form.</t>
  </si>
  <si>
    <t>Identifies whether Form 468 represents an annual or quarterly period.</t>
  </si>
  <si>
    <t>Limits selection of type of form to Partnership or Corporate</t>
  </si>
  <si>
    <t>Limits selection of valuation guideliunes.</t>
  </si>
  <si>
    <t>Limits selection to valid state abbreviations.</t>
  </si>
  <si>
    <t>Fund strategies separated by asset class.</t>
  </si>
  <si>
    <t>First two rows used for general logic fields.  Undisclosed included only for demographic information.</t>
  </si>
  <si>
    <t>Enables selection of "X" to identify a characteristic or attribute.</t>
  </si>
  <si>
    <t>Gender selections.</t>
  </si>
  <si>
    <t>Identifies primary roles for management team.</t>
  </si>
  <si>
    <t>NAICS 2022 codes</t>
  </si>
  <si>
    <t>Industry lit derived from 2 digit NAIC codes.  Used for broader industry.</t>
  </si>
  <si>
    <t>Status of Loans and Debt Investments.</t>
  </si>
  <si>
    <t>Identifies types of SBIC commitments to portfolio concerns.</t>
  </si>
  <si>
    <t>Identifies different additions and deductions available.</t>
  </si>
  <si>
    <t>Identifies selection types for realized gain and wind-down schedules</t>
  </si>
  <si>
    <t xml:space="preserve">This contains the label differences between Partnership and Corporate Form 468s.  </t>
  </si>
  <si>
    <t>Ownership Types</t>
  </si>
  <si>
    <t>Where Used?</t>
  </si>
  <si>
    <t>Throughout Form</t>
  </si>
  <si>
    <t>Tab Used</t>
  </si>
  <si>
    <t>Comments</t>
  </si>
  <si>
    <t>1-Cover</t>
  </si>
  <si>
    <t>licensee state</t>
  </si>
  <si>
    <t>Only Y or N;: Wind-down plan</t>
  </si>
  <si>
    <t>S10crm</t>
  </si>
  <si>
    <t>All Demographic, columns M through AA</t>
  </si>
  <si>
    <t>Role Type</t>
  </si>
  <si>
    <t>S12PC</t>
  </si>
  <si>
    <t>Industry of Portfolio Concern</t>
  </si>
  <si>
    <t>ExecSum</t>
  </si>
  <si>
    <t>Financing summary</t>
  </si>
  <si>
    <t>S1Inv</t>
  </si>
  <si>
    <t>All: Investment Type</t>
  </si>
  <si>
    <t>S5Commit</t>
  </si>
  <si>
    <t>S1C</t>
  </si>
  <si>
    <t>S2RG</t>
  </si>
  <si>
    <t>S11cumperf</t>
  </si>
  <si>
    <t>2&amp;3-Bal</t>
  </si>
  <si>
    <t>portfolio company state</t>
  </si>
  <si>
    <t>Only Y or N:  Investment Committee Member, Primary SBA Contact, SBA Mailing List</t>
  </si>
  <si>
    <t>NAICS Search</t>
  </si>
  <si>
    <t>Table used for search tool</t>
  </si>
  <si>
    <t>Only first 4 (Loan, Debt, Equity, Equity in Reinvestor</t>
  </si>
  <si>
    <t>WDSupA</t>
  </si>
  <si>
    <t>4-NI</t>
  </si>
  <si>
    <t>financing tables</t>
  </si>
  <si>
    <t>Only Y or N:  questions Firm Data Questions 8-10</t>
  </si>
  <si>
    <t>5&amp;6-CF</t>
  </si>
  <si>
    <t>7-Pcap</t>
  </si>
  <si>
    <t>8-READ_Cap</t>
  </si>
  <si>
    <t>Tables</t>
  </si>
  <si>
    <t>Named_Field</t>
  </si>
  <si>
    <t>KeyValue</t>
  </si>
  <si>
    <t>Tab</t>
  </si>
  <si>
    <t>Reference</t>
  </si>
  <si>
    <t>Orderbytab</t>
  </si>
  <si>
    <t>RptPeriodTypeFull</t>
  </si>
  <si>
    <t>FormTypeFull</t>
  </si>
  <si>
    <t>FormType</t>
  </si>
  <si>
    <t>Valuation Guidance</t>
  </si>
  <si>
    <t>StateAbbrev</t>
  </si>
  <si>
    <t>State</t>
  </si>
  <si>
    <t>Strategy</t>
  </si>
  <si>
    <t>YesNo</t>
  </si>
  <si>
    <t>Full Text</t>
  </si>
  <si>
    <t>Comment</t>
  </si>
  <si>
    <t>select_x</t>
  </si>
  <si>
    <t>Gender</t>
  </si>
  <si>
    <t>Race</t>
  </si>
  <si>
    <t>Ethnicity</t>
  </si>
  <si>
    <t>Mgr Roles</t>
  </si>
  <si>
    <t>NAICS Combined</t>
  </si>
  <si>
    <t>2022 NAICS Code</t>
  </si>
  <si>
    <t>2022 NAICS Title</t>
  </si>
  <si>
    <t>Search</t>
  </si>
  <si>
    <t>Industry</t>
  </si>
  <si>
    <t>Stage</t>
  </si>
  <si>
    <t>Security Type</t>
  </si>
  <si>
    <t>LoanDebtStatus</t>
  </si>
  <si>
    <t>Meaning</t>
  </si>
  <si>
    <t>Plan Assessment</t>
  </si>
  <si>
    <t>CommitmentType</t>
  </si>
  <si>
    <t>AddDeduct</t>
  </si>
  <si>
    <t>ExitType</t>
  </si>
  <si>
    <t>Realization Status</t>
  </si>
  <si>
    <t>Abbrev</t>
  </si>
  <si>
    <t>Section</t>
  </si>
  <si>
    <t>Select</t>
  </si>
  <si>
    <t>P</t>
  </si>
  <si>
    <t>C</t>
  </si>
  <si>
    <t>Ownership types</t>
  </si>
  <si>
    <t>Identifies whether corporate (C) or partnership (P)</t>
  </si>
  <si>
    <t>d3 derivation</t>
  </si>
  <si>
    <t>Annual Financial Report</t>
  </si>
  <si>
    <t>A</t>
  </si>
  <si>
    <t>Partnership SBICs</t>
  </si>
  <si>
    <t>SBA Valuation Guidelines</t>
  </si>
  <si>
    <t>AK</t>
  </si>
  <si>
    <t>Alaska</t>
  </si>
  <si>
    <t>Y</t>
  </si>
  <si>
    <t>Yes</t>
  </si>
  <si>
    <t>M</t>
  </si>
  <si>
    <t>Male</t>
  </si>
  <si>
    <t>American Indian or Alaska Native</t>
  </si>
  <si>
    <t>A person having origins in any of the original peoples of North and South America (including Central America), and who maintains tribal affiliation or community attachment.</t>
  </si>
  <si>
    <t>Hispanic or Latino</t>
  </si>
  <si>
    <t xml:space="preserve"> A person of Cuban, Mexican, Puerto Rican, Cuban, South or Central American, or other Spanish culture or origin, regardless of race. The term, ‘‘Spanish origin,’’ can be used in addition to ‘‘Hispanic or Latino.’’</t>
  </si>
  <si>
    <t>Investment Team</t>
  </si>
  <si>
    <t>Soybean Farming</t>
  </si>
  <si>
    <t>Accommodation and Food Services</t>
  </si>
  <si>
    <t>Buyout</t>
  </si>
  <si>
    <t>Loan</t>
  </si>
  <si>
    <t>Senior Debt</t>
  </si>
  <si>
    <t>Performing</t>
  </si>
  <si>
    <t>Portfolio company is  making payments as required based on the terms of the original security, meeting all covenants, and there are no issues that portfolio company will be unable to continue to make payments.</t>
  </si>
  <si>
    <t>Above Plan</t>
  </si>
  <si>
    <t>New Investment</t>
  </si>
  <si>
    <t>Sale</t>
  </si>
  <si>
    <t>Unrealized</t>
  </si>
  <si>
    <t>Bal_Cap_1</t>
  </si>
  <si>
    <t>PARTNERS' CAPITAL</t>
  </si>
  <si>
    <t>CAPITAL</t>
  </si>
  <si>
    <t>Partnership</t>
  </si>
  <si>
    <t>Identifies whether annual (A) or quarterly (Q)</t>
  </si>
  <si>
    <t>d1 derivation</t>
  </si>
  <si>
    <t>Quarterly Financial Report</t>
  </si>
  <si>
    <t>Q</t>
  </si>
  <si>
    <t>Corporate SBICs</t>
  </si>
  <si>
    <t>GAAP Compliant</t>
  </si>
  <si>
    <t>AL</t>
  </si>
  <si>
    <t>Alabama</t>
  </si>
  <si>
    <t>N</t>
  </si>
  <si>
    <t>No</t>
  </si>
  <si>
    <t>X</t>
  </si>
  <si>
    <t>F</t>
  </si>
  <si>
    <t>Female</t>
  </si>
  <si>
    <t>Asian</t>
  </si>
  <si>
    <t>A person having origins in any of the original peoples of the Far East, Southeast Asia, or the Indian subcontinent including, for example, Cambodia, China, India, Japan, Korea, Malaysia, Pakistan, the Philippine Islands, Thailand, and Vietnam.</t>
  </si>
  <si>
    <t>Not Hispanic Or Latino</t>
  </si>
  <si>
    <t>Not Hispanic or Latino</t>
  </si>
  <si>
    <t>Investor Relations</t>
  </si>
  <si>
    <t xml:space="preserve">Oilseed (except Soybean) Farming </t>
  </si>
  <si>
    <t>Administrative and Support and Waste Management and Remediation Services</t>
  </si>
  <si>
    <t>Debt</t>
  </si>
  <si>
    <t>Delinquent/Default</t>
  </si>
  <si>
    <t>Portfolio company has failed to make one or more payments based on the original terms, even if you are forbearing.</t>
  </si>
  <si>
    <t>On Plan</t>
  </si>
  <si>
    <t>Follow-on</t>
  </si>
  <si>
    <t>A: Cash Financing</t>
  </si>
  <si>
    <t>Distribution of Securities</t>
  </si>
  <si>
    <t>Partially Realized</t>
  </si>
  <si>
    <t>Bal_Cap_2</t>
  </si>
  <si>
    <t>47 Private Partners' Contributed Capital</t>
  </si>
  <si>
    <t>47 Capital Stock and Surplus</t>
  </si>
  <si>
    <t>Corporation</t>
  </si>
  <si>
    <t>Licenseno</t>
  </si>
  <si>
    <t>License number in text form without slashes or dashes</t>
  </si>
  <si>
    <t>e8 derivation</t>
  </si>
  <si>
    <t>Other</t>
  </si>
  <si>
    <t>AR</t>
  </si>
  <si>
    <t>Arkansas</t>
  </si>
  <si>
    <t>Undisclosed</t>
  </si>
  <si>
    <t>Only selection for demographic inputs</t>
  </si>
  <si>
    <t xml:space="preserve">X </t>
  </si>
  <si>
    <t>Not exclusively Male or Female</t>
  </si>
  <si>
    <t>Black or African American</t>
  </si>
  <si>
    <t xml:space="preserve"> A person having origins in any of the black racial groups of Africa. Terms such as ‘‘Haitian’’ or ‘‘Negro’’ can be used in addition to ‘‘Black or African American.’’</t>
  </si>
  <si>
    <t>You or the portfolio company prefer not to disclose.</t>
  </si>
  <si>
    <t>Compliance and Legal</t>
  </si>
  <si>
    <t xml:space="preserve">Dry Pea and Bean Farming </t>
  </si>
  <si>
    <t>Agriculture, Forestry, Fishing and Hunting</t>
  </si>
  <si>
    <t>Early</t>
  </si>
  <si>
    <t>Equity</t>
  </si>
  <si>
    <t>Subordinated Debt</t>
  </si>
  <si>
    <t>Covenant Issues</t>
  </si>
  <si>
    <t>The portfolio company has violated covenants, although making current payments.</t>
  </si>
  <si>
    <t>Below Plan</t>
  </si>
  <si>
    <t>Line of Credit</t>
  </si>
  <si>
    <t xml:space="preserve"> </t>
  </si>
  <si>
    <t>ANC:  PIK</t>
  </si>
  <si>
    <t>Exchange</t>
  </si>
  <si>
    <t>Fully Realized</t>
  </si>
  <si>
    <t>Bal_Cap_3</t>
  </si>
  <si>
    <t>a. General Partners'</t>
  </si>
  <si>
    <t>a. Capital Stock</t>
  </si>
  <si>
    <t>Limited Liability Corporation</t>
  </si>
  <si>
    <t>SBICName</t>
  </si>
  <si>
    <t>SBIC Name</t>
  </si>
  <si>
    <t>C6</t>
  </si>
  <si>
    <t>AS</t>
  </si>
  <si>
    <t>American Samoa</t>
  </si>
  <si>
    <t>Native Hawaiian or Other Pacific Islander</t>
  </si>
  <si>
    <t>A person having origins in any of the original peoples of Hawaii, Guam, Samoa, or other Pacific Islands.</t>
  </si>
  <si>
    <t>Advisory</t>
  </si>
  <si>
    <t>Wheat Farming</t>
  </si>
  <si>
    <t>Arts, Entertainment, and Recreation</t>
  </si>
  <si>
    <t>Growth</t>
  </si>
  <si>
    <t>Equity in Reinvestor/Relender Exception</t>
  </si>
  <si>
    <t>Other Concerns</t>
  </si>
  <si>
    <t xml:space="preserve">There are issues at the portfolio company level that might impact ability to meet obligations.  This could include litigation, financial performance, changes to capital structure (such significant changes to debt senior to your security). </t>
  </si>
  <si>
    <t>Unfunded Reinvestor Commitment</t>
  </si>
  <si>
    <t>ANC:  Accrued Interest</t>
  </si>
  <si>
    <t>Charge-Off</t>
  </si>
  <si>
    <t>Bal_Cap_4</t>
  </si>
  <si>
    <t>b. Limited Partners'</t>
  </si>
  <si>
    <t>b. Paid-In Surplus</t>
  </si>
  <si>
    <t>Number_of_Months</t>
  </si>
  <si>
    <t>C24</t>
  </si>
  <si>
    <t>AZ</t>
  </si>
  <si>
    <t>Arizona</t>
  </si>
  <si>
    <t>White</t>
  </si>
  <si>
    <t>A person having origins in any of the original peoples of Europe, the Middle East, or North Africa.</t>
  </si>
  <si>
    <t>Finance and Operations</t>
  </si>
  <si>
    <t xml:space="preserve">Corn Farming </t>
  </si>
  <si>
    <t>Construction</t>
  </si>
  <si>
    <t>Assets Acquired</t>
  </si>
  <si>
    <t>Paid in Full</t>
  </si>
  <si>
    <t>The loan/debt was repaid in full during reporting period.</t>
  </si>
  <si>
    <t>ARG: Exchange</t>
  </si>
  <si>
    <t>Bal_Cap_5</t>
  </si>
  <si>
    <t>c. Restricted Contributed Capital Surplus</t>
  </si>
  <si>
    <t>ReportType_FullText</t>
  </si>
  <si>
    <t>D1</t>
  </si>
  <si>
    <t>CA</t>
  </si>
  <si>
    <t>California</t>
  </si>
  <si>
    <t>Rice Farming</t>
  </si>
  <si>
    <t>Educational Services</t>
  </si>
  <si>
    <t>Mezzanine</t>
  </si>
  <si>
    <t>Notes and Other</t>
  </si>
  <si>
    <t>Charge Off</t>
  </si>
  <si>
    <t>The loan/debt was charged off during reporting period.</t>
  </si>
  <si>
    <t>D: Principal Repayment</t>
  </si>
  <si>
    <t>Repayment</t>
  </si>
  <si>
    <t>Only for wind down</t>
  </si>
  <si>
    <t>Bal_Cap_6</t>
  </si>
  <si>
    <t>c. Total Private Partners' Contributed Capital</t>
  </si>
  <si>
    <t>d. Capital Stock and Surplus</t>
  </si>
  <si>
    <t>Licensenolabel</t>
  </si>
  <si>
    <t>License number label preformatted</t>
  </si>
  <si>
    <t>CO</t>
  </si>
  <si>
    <t>Colorado</t>
  </si>
  <si>
    <t xml:space="preserve">Oilseed and Grain Combination Farming </t>
  </si>
  <si>
    <t>Finance and Insurance</t>
  </si>
  <si>
    <t>Public</t>
  </si>
  <si>
    <t>Operating Concerns Acquired</t>
  </si>
  <si>
    <t>DRG: Sale</t>
  </si>
  <si>
    <t>Bal_UNRE_1</t>
  </si>
  <si>
    <t xml:space="preserve">51 Undistributed Net Realized Earnings </t>
  </si>
  <si>
    <t>Form468Date</t>
  </si>
  <si>
    <t>Form 468 Reported Ending Date</t>
  </si>
  <si>
    <t>c22</t>
  </si>
  <si>
    <t>CT</t>
  </si>
  <si>
    <t>Connecticut</t>
  </si>
  <si>
    <t xml:space="preserve">All Other Grain Farming </t>
  </si>
  <si>
    <t>Health Care and Social Assistance</t>
  </si>
  <si>
    <t>Receivables from Sale of Assets Acquired</t>
  </si>
  <si>
    <t>DRG: Distribution of Securities</t>
  </si>
  <si>
    <t>Bal_UNRE_2</t>
  </si>
  <si>
    <t>a. Restricted (Equal to Cost of Treasury Stock)</t>
  </si>
  <si>
    <t>PriorQtr</t>
  </si>
  <si>
    <t>Previous quarter to reported Form 468 Date.</t>
  </si>
  <si>
    <t>c22 derivation</t>
  </si>
  <si>
    <t>DC</t>
  </si>
  <si>
    <t>District of Columbia</t>
  </si>
  <si>
    <t xml:space="preserve">Potato Farming </t>
  </si>
  <si>
    <t>Information</t>
  </si>
  <si>
    <t>DRG: Exchange</t>
  </si>
  <si>
    <t>Bal_UNRE_3</t>
  </si>
  <si>
    <t>b. Unrestricted</t>
  </si>
  <si>
    <t>VintageYr</t>
  </si>
  <si>
    <t>Vintage year of SBIC (typically based on first capital call date)</t>
  </si>
  <si>
    <t>C30</t>
  </si>
  <si>
    <t>DE</t>
  </si>
  <si>
    <t>Delaware</t>
  </si>
  <si>
    <t xml:space="preserve">Other Vegetable (except Potato) and Melon Farming </t>
  </si>
  <si>
    <t>Management of Companies and Enterprises</t>
  </si>
  <si>
    <t>DRG: Charge-Off</t>
  </si>
  <si>
    <t>Bal_UNRE_4</t>
  </si>
  <si>
    <t>c. Total (52a plus 52b)</t>
  </si>
  <si>
    <t>ApprovedValuation</t>
  </si>
  <si>
    <t>Identifies whether SBIC is using SBA Valuation Guidelines or some other guidelines.</t>
  </si>
  <si>
    <t>C28</t>
  </si>
  <si>
    <t>FL</t>
  </si>
  <si>
    <t>Florida</t>
  </si>
  <si>
    <t>Fund of Funds</t>
  </si>
  <si>
    <t>Orange Groves</t>
  </si>
  <si>
    <t>Manufacturing</t>
  </si>
  <si>
    <t>DNC: Collection</t>
  </si>
  <si>
    <t>Bal_TotCap</t>
  </si>
  <si>
    <t>53 TOTAL PARTNERS' CAPITAL (Sum of Lines 47c, 48, 49, and 52)</t>
  </si>
  <si>
    <t>53c TOTAL CAPITAL (Line 53a minus Line 53b)</t>
  </si>
  <si>
    <t>SBICState</t>
  </si>
  <si>
    <t>SBIC State in full text.</t>
  </si>
  <si>
    <t>D14</t>
  </si>
  <si>
    <t>FM</t>
  </si>
  <si>
    <t>Micronesia</t>
  </si>
  <si>
    <t xml:space="preserve">Citrus (except Orange) Groves </t>
  </si>
  <si>
    <t>Mining, Quarrying, and Oil and Gas Extraction</t>
  </si>
  <si>
    <t>Bal_URE_1</t>
  </si>
  <si>
    <t xml:space="preserve">52 Undistributed Realized Earnings (line 50 plus line 51) </t>
  </si>
  <si>
    <t>52 Undistributed Realized Earnings (line 50 plus line 51)</t>
  </si>
  <si>
    <t>WindDown</t>
  </si>
  <si>
    <t>Whether the fund is in wind-down</t>
  </si>
  <si>
    <t>C35</t>
  </si>
  <si>
    <t>GA</t>
  </si>
  <si>
    <t>Georgia</t>
  </si>
  <si>
    <t xml:space="preserve">Apple Orchards </t>
  </si>
  <si>
    <t>Other Services (except Public Administration)</t>
  </si>
  <si>
    <t>Escrow</t>
  </si>
  <si>
    <t>Bal_URE_2</t>
  </si>
  <si>
    <t>53a Total Capital Including Cost of Treasury Stock (Sum of Lines 47d, 48, 49, 52)</t>
  </si>
  <si>
    <t>Selected SBIC strategy</t>
  </si>
  <si>
    <t>C32</t>
  </si>
  <si>
    <t>GU</t>
  </si>
  <si>
    <t>Guam</t>
  </si>
  <si>
    <t xml:space="preserve">Grape Vineyards </t>
  </si>
  <si>
    <t>Professional, Scientific, and Technical Services</t>
  </si>
  <si>
    <t>Bal_URE_3</t>
  </si>
  <si>
    <t>53b Less: Cost of Treasury Stock</t>
  </si>
  <si>
    <t>CY_Unrealgainloss</t>
  </si>
  <si>
    <t>F101</t>
  </si>
  <si>
    <t>HI</t>
  </si>
  <si>
    <t>Hawaii</t>
  </si>
  <si>
    <t xml:space="preserve">Strawberry Farming </t>
  </si>
  <si>
    <t>Public Administration</t>
  </si>
  <si>
    <t>NI_Exp_1</t>
  </si>
  <si>
    <t xml:space="preserve">14 Partners' Meetings </t>
  </si>
  <si>
    <t>14 Director's and Stockholder's Meeting</t>
  </si>
  <si>
    <t>CY_UNRE</t>
  </si>
  <si>
    <t>Current</t>
  </si>
  <si>
    <t>F103</t>
  </si>
  <si>
    <t>IA</t>
  </si>
  <si>
    <t>Iowa</t>
  </si>
  <si>
    <t xml:space="preserve">Berry (except Strawberry) Farming </t>
  </si>
  <si>
    <t>Real Estate and Rental and Leasing</t>
  </si>
  <si>
    <t>NI_Tot_1</t>
  </si>
  <si>
    <t>26 NET INVESTMENT INCOME (LOSS)</t>
  </si>
  <si>
    <t>26 NET INVESTMENT INCOME (LOSS) BEFORE INCOME TAXES</t>
  </si>
  <si>
    <t>ID</t>
  </si>
  <si>
    <t>Idaho</t>
  </si>
  <si>
    <t xml:space="preserve">Tree Nut Farming </t>
  </si>
  <si>
    <t>Retail Trade</t>
  </si>
  <si>
    <t>NI_Tot_2</t>
  </si>
  <si>
    <t>27 NET REALIZED GAIN (LOSS) ON INVESTMENTS (1)</t>
  </si>
  <si>
    <t>27 NET REALIZED GAIN (LOSS) ON INVESTMENTS BEFORE INCOME TAXES (1)</t>
  </si>
  <si>
    <t>cytotpartcap</t>
  </si>
  <si>
    <t>F110</t>
  </si>
  <si>
    <t>IL</t>
  </si>
  <si>
    <t>Illinois</t>
  </si>
  <si>
    <t xml:space="preserve">Fruit and Tree Nut Combination Farming </t>
  </si>
  <si>
    <t>Transportation</t>
  </si>
  <si>
    <t>NI_Tot_3</t>
  </si>
  <si>
    <t>28a NET INCOME (LOSS) BEFORE INCOME TAXES AND NONRECURRING ITEMS</t>
  </si>
  <si>
    <t>cytotliabcap</t>
  </si>
  <si>
    <t>F112</t>
  </si>
  <si>
    <t>IN</t>
  </si>
  <si>
    <t>Indiana</t>
  </si>
  <si>
    <t xml:space="preserve">Other Noncitrus Fruit Farming </t>
  </si>
  <si>
    <t>Utilities</t>
  </si>
  <si>
    <t>NI_Tot_4</t>
  </si>
  <si>
    <t>28b Income Tax Expense (Benefit)</t>
  </si>
  <si>
    <t>cycash</t>
  </si>
  <si>
    <t>F40</t>
  </si>
  <si>
    <t>KS</t>
  </si>
  <si>
    <t>Kansas</t>
  </si>
  <si>
    <t xml:space="preserve">Mushroom Production </t>
  </si>
  <si>
    <t>Warehousing, Delivery Services</t>
  </si>
  <si>
    <t>NI_Tot_5</t>
  </si>
  <si>
    <t xml:space="preserve">28 NET INCOME (LOSS) BEFORE NONRECURRING ITEMS </t>
  </si>
  <si>
    <t>28c NET INCOME (LOSS) BEFORE NONRECURRING ITEMS</t>
  </si>
  <si>
    <t>cyidle</t>
  </si>
  <si>
    <t>F41</t>
  </si>
  <si>
    <t>KY</t>
  </si>
  <si>
    <t>Kentucky</t>
  </si>
  <si>
    <t xml:space="preserve">Other Food Crops Grown Under Cover </t>
  </si>
  <si>
    <t>Wholesale Trade</t>
  </si>
  <si>
    <t>CF_Out_13a</t>
  </si>
  <si>
    <t>13 Other Operating Cash Disbursements</t>
  </si>
  <si>
    <t>13a Income Taxes paid</t>
  </si>
  <si>
    <t>cyintdivrec</t>
  </si>
  <si>
    <t>F42</t>
  </si>
  <si>
    <t>LA</t>
  </si>
  <si>
    <t>Louisiana</t>
  </si>
  <si>
    <t xml:space="preserve">Nursery and Tree Production </t>
  </si>
  <si>
    <t>CF_Out_13b</t>
  </si>
  <si>
    <t>13b Other Operating Cash Disbursements</t>
  </si>
  <si>
    <t>cycurrentassets</t>
  </si>
  <si>
    <t>F52</t>
  </si>
  <si>
    <t>MA</t>
  </si>
  <si>
    <t>Massachusetts</t>
  </si>
  <si>
    <t xml:space="preserve">Floriculture Production </t>
  </si>
  <si>
    <t>Pcap_Cap_I</t>
  </si>
  <si>
    <t>PART I. PRIVATE PARTNERS' CONTRIBUTED CAPITAL</t>
  </si>
  <si>
    <t>PART I. CAPITAL STOCK AND PAID-IN SURPLUS</t>
  </si>
  <si>
    <t>cyotherassets</t>
  </si>
  <si>
    <t>F59</t>
  </si>
  <si>
    <t>MD</t>
  </si>
  <si>
    <t>Maryland</t>
  </si>
  <si>
    <t>Tobacco Farming</t>
  </si>
  <si>
    <t>Pcap_CapAdd_2a</t>
  </si>
  <si>
    <t>a. Partnership interests issued for cash</t>
  </si>
  <si>
    <t>a. Capital stock issued for cash</t>
  </si>
  <si>
    <t>cytotalassets</t>
  </si>
  <si>
    <t>F61</t>
  </si>
  <si>
    <t>ME</t>
  </si>
  <si>
    <t>Maine</t>
  </si>
  <si>
    <t>Cotton Farming</t>
  </si>
  <si>
    <t>Pcap_CapAdd_2b</t>
  </si>
  <si>
    <t xml:space="preserve">b. Partnership interests issued for services rendered </t>
  </si>
  <si>
    <t>b. Capital stock issued for services rendered</t>
  </si>
  <si>
    <t>cysbabal</t>
  </si>
  <si>
    <t>F69</t>
  </si>
  <si>
    <t>MH</t>
  </si>
  <si>
    <t>Marshall Islands</t>
  </si>
  <si>
    <t>Sugarcane Farming</t>
  </si>
  <si>
    <t>Pcap_CapAdd_2c</t>
  </si>
  <si>
    <t xml:space="preserve">c. Partnership interests issued for contributed non-cash assets </t>
  </si>
  <si>
    <t>c. Capital stock issued for contributed non-cash assets</t>
  </si>
  <si>
    <t>CYTotalLTLiab</t>
  </si>
  <si>
    <t>F71</t>
  </si>
  <si>
    <t>MI</t>
  </si>
  <si>
    <t>Michigan</t>
  </si>
  <si>
    <t xml:space="preserve">Hay Farming </t>
  </si>
  <si>
    <t>Pcap_CapAdd_2f</t>
  </si>
  <si>
    <t>f. Gain on sale of Treasury Stock</t>
  </si>
  <si>
    <t>Cyaccountspayable</t>
  </si>
  <si>
    <t>F74</t>
  </si>
  <si>
    <t>MN</t>
  </si>
  <si>
    <t>Minnesota</t>
  </si>
  <si>
    <t xml:space="preserve">Sugar Beet Farming </t>
  </si>
  <si>
    <t>Pcap_CapDed_5a</t>
  </si>
  <si>
    <t xml:space="preserve">a. Liquidation of Partnership interests </t>
  </si>
  <si>
    <t>a. Retirement of capital stock</t>
  </si>
  <si>
    <t>Cyaccruedintpay</t>
  </si>
  <si>
    <t>F78</t>
  </si>
  <si>
    <t>MO</t>
  </si>
  <si>
    <t>Missouri</t>
  </si>
  <si>
    <t xml:space="preserve">Peanut Farming </t>
  </si>
  <si>
    <t>Pcap_CapDed_5b</t>
  </si>
  <si>
    <t>b. Return of capital distributions</t>
  </si>
  <si>
    <t>cyaccruedtaxpay</t>
  </si>
  <si>
    <t>F79</t>
  </si>
  <si>
    <t>MP</t>
  </si>
  <si>
    <t>Northern Mariana Islands</t>
  </si>
  <si>
    <t xml:space="preserve">All Other Miscellaneous Crop Farming </t>
  </si>
  <si>
    <t>Pcap_CapDed_5c</t>
  </si>
  <si>
    <t>c. Loss on sale of Treasury Stock</t>
  </si>
  <si>
    <t>cydistpay</t>
  </si>
  <si>
    <t>F80</t>
  </si>
  <si>
    <t>MS</t>
  </si>
  <si>
    <t>Mississippi</t>
  </si>
  <si>
    <t xml:space="preserve">Beef Cattle Ranching and Farming </t>
  </si>
  <si>
    <t>Pcap_CapDed_5d</t>
  </si>
  <si>
    <t xml:space="preserve">b.Other debits (specify) </t>
  </si>
  <si>
    <t xml:space="preserve">d.Other debits (specify) </t>
  </si>
  <si>
    <t>cyotherliab</t>
  </si>
  <si>
    <t>F90</t>
  </si>
  <si>
    <t>MT</t>
  </si>
  <si>
    <t>Montana</t>
  </si>
  <si>
    <t xml:space="preserve">Cattle Feedlots </t>
  </si>
  <si>
    <t>Pcap_UNRE_5a</t>
  </si>
  <si>
    <t xml:space="preserve">a. Cash Distributions </t>
  </si>
  <si>
    <t>a. Dividends - Cash</t>
  </si>
  <si>
    <t>cyTotalLiab</t>
  </si>
  <si>
    <t>F92</t>
  </si>
  <si>
    <t>NC</t>
  </si>
  <si>
    <t>North Carolina</t>
  </si>
  <si>
    <t>Dairy Cattle and Milk Production</t>
  </si>
  <si>
    <t>Pcap_UNRE_5b</t>
  </si>
  <si>
    <t xml:space="preserve">b. Distributions allocated but not paid </t>
  </si>
  <si>
    <t>b. Dividends - Stock</t>
  </si>
  <si>
    <t>cyprivcapbal</t>
  </si>
  <si>
    <t>F99</t>
  </si>
  <si>
    <t>ND</t>
  </si>
  <si>
    <t>North Dakota</t>
  </si>
  <si>
    <t xml:space="preserve">Dual-Purpose Cattle Ranching and Farming </t>
  </si>
  <si>
    <t>Pcap_UNRE_5c</t>
  </si>
  <si>
    <t xml:space="preserve">c. In-Kind Distributions (at fair value) </t>
  </si>
  <si>
    <t>c. Dividends - In-Kind (at fair value)</t>
  </si>
  <si>
    <t>PYTotalPartCap</t>
  </si>
  <si>
    <t>H110</t>
  </si>
  <si>
    <t>NE</t>
  </si>
  <si>
    <t>Nebraska</t>
  </si>
  <si>
    <t xml:space="preserve">Hog and Pig Farming </t>
  </si>
  <si>
    <t>Pcap_UNRE_9comment</t>
  </si>
  <si>
    <t>Totals must agree with lines 50, 51, and 52, page 3</t>
  </si>
  <si>
    <t>Totals must agree with lines 50, 51c, and 52, page 3</t>
  </si>
  <si>
    <t>PYTotalLiabCap</t>
  </si>
  <si>
    <t>H112</t>
  </si>
  <si>
    <t>NH</t>
  </si>
  <si>
    <t>New Hampshire</t>
  </si>
  <si>
    <t xml:space="preserve">Chicken Egg Production </t>
  </si>
  <si>
    <t>Pcap_PartII_1</t>
  </si>
  <si>
    <t>1 Private Partners' Contributed Capital (line 47c, page 3)</t>
  </si>
  <si>
    <t>1 Capital Stock and Paid-in Surplus (sum of lines 47 and 48, page 3)</t>
  </si>
  <si>
    <t>pycash</t>
  </si>
  <si>
    <t>h40</t>
  </si>
  <si>
    <t>NJ</t>
  </si>
  <si>
    <t>New Jersey</t>
  </si>
  <si>
    <t>Pcap_PartII_2a</t>
  </si>
  <si>
    <t>a. Unfunded binding commitments from Institutional Investors</t>
  </si>
  <si>
    <t>Unfunded binding commitments from Institutional Investors</t>
  </si>
  <si>
    <t>PYIdle</t>
  </si>
  <si>
    <t>h41</t>
  </si>
  <si>
    <t>NM</t>
  </si>
  <si>
    <t>New Mexico</t>
  </si>
  <si>
    <t>Turkey Production</t>
  </si>
  <si>
    <t>Pcap_PartII_2b</t>
  </si>
  <si>
    <t>b. Waived management fees credited as capital contributions</t>
  </si>
  <si>
    <t>PYIntdivrec</t>
  </si>
  <si>
    <t>H42</t>
  </si>
  <si>
    <t>NV</t>
  </si>
  <si>
    <t>Nevada</t>
  </si>
  <si>
    <t>Poultry Hatcheries</t>
  </si>
  <si>
    <t>Pcap_PartII_2c</t>
  </si>
  <si>
    <t>c.  Total Additions (Sum of Line 2a and 2b)</t>
  </si>
  <si>
    <t>pycurrentassets</t>
  </si>
  <si>
    <t>h52</t>
  </si>
  <si>
    <t>NY</t>
  </si>
  <si>
    <t>New York</t>
  </si>
  <si>
    <t xml:space="preserve">Other Poultry Production </t>
  </si>
  <si>
    <t>Pcap_PartII_3b</t>
  </si>
  <si>
    <t>b. Partnership interests Issued for Services</t>
  </si>
  <si>
    <t>b. Capital Stock Issued for Services</t>
  </si>
  <si>
    <t>PYOtherassets</t>
  </si>
  <si>
    <t>H59</t>
  </si>
  <si>
    <t>OH</t>
  </si>
  <si>
    <t>Ohio</t>
  </si>
  <si>
    <t>Sheep Farming</t>
  </si>
  <si>
    <t>Pcap_PartII_3c</t>
  </si>
  <si>
    <t>c. Partnership interests Issued for Non-cash Assets</t>
  </si>
  <si>
    <t>c. Capital Stock Issued for Non-cash Assets</t>
  </si>
  <si>
    <t>PYTotalassets</t>
  </si>
  <si>
    <t>H61</t>
  </si>
  <si>
    <t>OK</t>
  </si>
  <si>
    <t>Oklahoma</t>
  </si>
  <si>
    <t>Goat Farming</t>
  </si>
  <si>
    <t>Pcap_PartII_3d</t>
  </si>
  <si>
    <t>d. Treasury Stock at Cost</t>
  </si>
  <si>
    <t>PYSBABal</t>
  </si>
  <si>
    <t>H69</t>
  </si>
  <si>
    <t>OR</t>
  </si>
  <si>
    <t>Oregon</t>
  </si>
  <si>
    <t xml:space="preserve">Finfish Farming and Fish Hatcheries </t>
  </si>
  <si>
    <t>Pcap_PartII_3e</t>
  </si>
  <si>
    <t>d. Other credits (specify)</t>
  </si>
  <si>
    <t>e. Other credits (specify)</t>
  </si>
  <si>
    <t>PYtotalLTLiab</t>
  </si>
  <si>
    <t>H71</t>
  </si>
  <si>
    <t>PA</t>
  </si>
  <si>
    <t>Pennsylvania</t>
  </si>
  <si>
    <t xml:space="preserve">Shellfish Farming </t>
  </si>
  <si>
    <t>pyaccountspayable</t>
  </si>
  <si>
    <t>h74</t>
  </si>
  <si>
    <t>PR</t>
  </si>
  <si>
    <t>Puerto Rico</t>
  </si>
  <si>
    <t xml:space="preserve">Other Aquaculture </t>
  </si>
  <si>
    <t>pyaccruedintpay</t>
  </si>
  <si>
    <t>h78</t>
  </si>
  <si>
    <t>PW</t>
  </si>
  <si>
    <t>Palau</t>
  </si>
  <si>
    <t>Apiculture</t>
  </si>
  <si>
    <t>pyaccruedtaxpay</t>
  </si>
  <si>
    <t>h79</t>
  </si>
  <si>
    <t>RI</t>
  </si>
  <si>
    <t>Rhode Island</t>
  </si>
  <si>
    <t>Horses and Other Equine Production</t>
  </si>
  <si>
    <t>pyFYEnd</t>
  </si>
  <si>
    <t>H8</t>
  </si>
  <si>
    <t>SC</t>
  </si>
  <si>
    <t>South Carolina</t>
  </si>
  <si>
    <t>Fur-Bearing Animal and Rabbit Production</t>
  </si>
  <si>
    <t>pydistpay</t>
  </si>
  <si>
    <t>H80</t>
  </si>
  <si>
    <t>SD</t>
  </si>
  <si>
    <t>South Dakota</t>
  </si>
  <si>
    <t xml:space="preserve">All Other Animal Production </t>
  </si>
  <si>
    <t>PYOtherLiab</t>
  </si>
  <si>
    <t>H90</t>
  </si>
  <si>
    <t>TN</t>
  </si>
  <si>
    <t>Tennessee</t>
  </si>
  <si>
    <t>Timber Tract Operations</t>
  </si>
  <si>
    <t>PYTotalLiab</t>
  </si>
  <si>
    <t>H92</t>
  </si>
  <si>
    <t>TX</t>
  </si>
  <si>
    <t>Texas</t>
  </si>
  <si>
    <t xml:space="preserve">Forest Nurseries and Gathering of Forest Products </t>
  </si>
  <si>
    <t>PYPrivcapbal</t>
  </si>
  <si>
    <t>H99</t>
  </si>
  <si>
    <t>UT</t>
  </si>
  <si>
    <t>Utah</t>
  </si>
  <si>
    <t xml:space="preserve">Logging </t>
  </si>
  <si>
    <t>pycurrentliab</t>
  </si>
  <si>
    <t>hb4</t>
  </si>
  <si>
    <t>VA</t>
  </si>
  <si>
    <t>Virginia</t>
  </si>
  <si>
    <t xml:space="preserve">Finfish Fishing </t>
  </si>
  <si>
    <t>netincome</t>
  </si>
  <si>
    <t>F58</t>
  </si>
  <si>
    <t>VI</t>
  </si>
  <si>
    <t>Virgin Islands</t>
  </si>
  <si>
    <t xml:space="preserve">Shellfish Fishing </t>
  </si>
  <si>
    <t>cytd_grossinvestinc</t>
  </si>
  <si>
    <t>h18</t>
  </si>
  <si>
    <t>VT</t>
  </si>
  <si>
    <t>Vermont</t>
  </si>
  <si>
    <t xml:space="preserve">Other Marine Fishing </t>
  </si>
  <si>
    <t>cytd_expenses</t>
  </si>
  <si>
    <t>h49</t>
  </si>
  <si>
    <t>WA</t>
  </si>
  <si>
    <t>Washington</t>
  </si>
  <si>
    <t>Hunting and Trapping</t>
  </si>
  <si>
    <t>cytd_netinvestinc</t>
  </si>
  <si>
    <t>h50</t>
  </si>
  <si>
    <t>WI</t>
  </si>
  <si>
    <t>Wisconsin</t>
  </si>
  <si>
    <t xml:space="preserve">Cotton Ginning </t>
  </si>
  <si>
    <t>cytd_netincome</t>
  </si>
  <si>
    <t>h58</t>
  </si>
  <si>
    <t>WV</t>
  </si>
  <si>
    <t>West Virginia</t>
  </si>
  <si>
    <t xml:space="preserve">Soil Preparation, Planting, and Cultivating </t>
  </si>
  <si>
    <t>PI_UnfundCommit</t>
  </si>
  <si>
    <t>J17</t>
  </si>
  <si>
    <t>WY</t>
  </si>
  <si>
    <t>Wyoming</t>
  </si>
  <si>
    <t xml:space="preserve">Crop Harvesting, Primarily by Machine </t>
  </si>
  <si>
    <t>levcap</t>
  </si>
  <si>
    <t xml:space="preserve">Postharvest Crop Activities (except Cotton Ginning) </t>
  </si>
  <si>
    <t>RegCap</t>
  </si>
  <si>
    <t xml:space="preserve">Farm Labor Contractors and Crew Leaders </t>
  </si>
  <si>
    <t>AUM</t>
  </si>
  <si>
    <t>Assets under management</t>
  </si>
  <si>
    <t>I8</t>
  </si>
  <si>
    <t xml:space="preserve">Farm Management Services </t>
  </si>
  <si>
    <t>investAmt</t>
  </si>
  <si>
    <t>I28</t>
  </si>
  <si>
    <t>Support Activities for Animal Production</t>
  </si>
  <si>
    <t>NetAssetValue</t>
  </si>
  <si>
    <t>KeyMetrics</t>
  </si>
  <si>
    <t>O6</t>
  </si>
  <si>
    <t>Support Activities for Forestry</t>
  </si>
  <si>
    <t>PCCount</t>
  </si>
  <si>
    <t>C13</t>
  </si>
  <si>
    <t>Crude Petroleum Extraction </t>
  </si>
  <si>
    <t>S1_Class1Total</t>
  </si>
  <si>
    <t xml:space="preserve">Natural Gas Extraction </t>
  </si>
  <si>
    <t>S1_Class2Total</t>
  </si>
  <si>
    <t xml:space="preserve">Surface Coal Mining </t>
  </si>
  <si>
    <t>S1_UnrealApp</t>
  </si>
  <si>
    <t xml:space="preserve">Underground Coal Mining </t>
  </si>
  <si>
    <t>S1_UnrealDep</t>
  </si>
  <si>
    <t>Iron Ore Mining</t>
  </si>
  <si>
    <t>s3NC_includibleNC</t>
  </si>
  <si>
    <t>S3NC</t>
  </si>
  <si>
    <t>H7</t>
  </si>
  <si>
    <t xml:space="preserve">Gold Ore and Silver Ore Mining </t>
  </si>
  <si>
    <t>CIPMax</t>
  </si>
  <si>
    <t>G75</t>
  </si>
  <si>
    <t xml:space="preserve">Copper, Nickel, Lead, and Zinc Mining </t>
  </si>
  <si>
    <t>CIPCalc</t>
  </si>
  <si>
    <t>G57</t>
  </si>
  <si>
    <t xml:space="preserve">Other Metal Ore Mining </t>
  </si>
  <si>
    <t>LCR</t>
  </si>
  <si>
    <t>G16</t>
  </si>
  <si>
    <t xml:space="preserve">Dimension Stone Mining and Quarrying </t>
  </si>
  <si>
    <t xml:space="preserve">Crushed and Broken Limestone Mining and Quarrying </t>
  </si>
  <si>
    <t xml:space="preserve">Crushed and Broken Granite Mining and Quarrying </t>
  </si>
  <si>
    <t xml:space="preserve">Other Crushed and Broken Stone Mining and Quarrying </t>
  </si>
  <si>
    <t xml:space="preserve">Construction Sand and Gravel Mining </t>
  </si>
  <si>
    <t xml:space="preserve">Industrial Sand Mining </t>
  </si>
  <si>
    <t xml:space="preserve">Kaolin, Clay, and Ceramic and Refractory Minerals Mining </t>
  </si>
  <si>
    <t xml:space="preserve">Other Nonmetallic Mineral Mining and Quarrying </t>
  </si>
  <si>
    <t>Drilling Oil and Gas Wells</t>
  </si>
  <si>
    <t xml:space="preserve">Support Activities for Oil and Gas Operations </t>
  </si>
  <si>
    <t xml:space="preserve">Support Activities for Coal Mining </t>
  </si>
  <si>
    <t xml:space="preserve">Support Activities for Metal Mining </t>
  </si>
  <si>
    <t xml:space="preserve">Support Activities for Nonmetallic Minerals (except Fuels) Mining </t>
  </si>
  <si>
    <t xml:space="preserve">Hydroelectric Power Generation </t>
  </si>
  <si>
    <t xml:space="preserve">Fossil Fuel Electric Power Generation </t>
  </si>
  <si>
    <t xml:space="preserve">Nuclear Electric Power Generation </t>
  </si>
  <si>
    <t xml:space="preserve">Solar Electric Power Generation </t>
  </si>
  <si>
    <t xml:space="preserve">Wind Electric Power Generation </t>
  </si>
  <si>
    <t xml:space="preserve">Geothermal Electric Power Generation </t>
  </si>
  <si>
    <t xml:space="preserve">Biomass Electric Power Generation </t>
  </si>
  <si>
    <t xml:space="preserve">Other Electric Power Generation </t>
  </si>
  <si>
    <t xml:space="preserve">Electric Bulk Power Transmission and Control </t>
  </si>
  <si>
    <t xml:space="preserve">Electric Power Distribution </t>
  </si>
  <si>
    <t xml:space="preserve">Natural Gas Distribution </t>
  </si>
  <si>
    <t xml:space="preserve">Water Supply and Irrigation Systems </t>
  </si>
  <si>
    <t xml:space="preserve">Sewage Treatment Facilities </t>
  </si>
  <si>
    <t xml:space="preserve">Steam and Air-Conditioning Supply </t>
  </si>
  <si>
    <t xml:space="preserve">New Single-Family Housing Construction (except For-Sale Builders) </t>
  </si>
  <si>
    <t xml:space="preserve">New Multifamily Housing Construction (except For-Sale Builders) </t>
  </si>
  <si>
    <t xml:space="preserve">New Housing For-Sale Builders </t>
  </si>
  <si>
    <t xml:space="preserve">Residential Remodelers </t>
  </si>
  <si>
    <t xml:space="preserve">Industrial Building Construction </t>
  </si>
  <si>
    <t xml:space="preserve">Commercial and Institutional Building Construction </t>
  </si>
  <si>
    <t xml:space="preserve">Water and Sewer Line and Related Structures Construction </t>
  </si>
  <si>
    <t xml:space="preserve">Oil and Gas Pipeline and Related Structures Construction </t>
  </si>
  <si>
    <t xml:space="preserve">Power and Communication Line and Related Structures Construction </t>
  </si>
  <si>
    <t xml:space="preserve">Land Subdivision </t>
  </si>
  <si>
    <t xml:space="preserve">Highway, Street, and Bridge Construction </t>
  </si>
  <si>
    <t xml:space="preserve">Other Heavy and Civil Engineering Construction </t>
  </si>
  <si>
    <t xml:space="preserve">Poured Concrete Foundation and Structure Contractors </t>
  </si>
  <si>
    <t xml:space="preserve">Structural Steel and Precast Concrete Contractors </t>
  </si>
  <si>
    <t xml:space="preserve">Framing Contractors </t>
  </si>
  <si>
    <t xml:space="preserve">Masonry Contractors </t>
  </si>
  <si>
    <t xml:space="preserve">Glass and Glazing Contractors </t>
  </si>
  <si>
    <t xml:space="preserve">Roofing Contractors </t>
  </si>
  <si>
    <t xml:space="preserve">Siding Contractors </t>
  </si>
  <si>
    <t xml:space="preserve">Other Foundation, Structure, and Building Exterior Contractors </t>
  </si>
  <si>
    <t>Electrical Contractors and Other Wiring Installation Contractors</t>
  </si>
  <si>
    <t xml:space="preserve">Plumbing, Heating, and Air-Conditioning Contractors </t>
  </si>
  <si>
    <t xml:space="preserve">Other Building Equipment Contractors </t>
  </si>
  <si>
    <t xml:space="preserve">Drywall and Insulation Contractors </t>
  </si>
  <si>
    <t>Painting and Wall Covering Contractors</t>
  </si>
  <si>
    <t>Flooring Contractors</t>
  </si>
  <si>
    <t>Tile and Terrazzo Contractors</t>
  </si>
  <si>
    <t>Finish Carpentry Contractors</t>
  </si>
  <si>
    <t>Other Building Finishing Contractors</t>
  </si>
  <si>
    <t>Site Preparation Contractors</t>
  </si>
  <si>
    <t>All Other Specialty Trade Contractors</t>
  </si>
  <si>
    <t xml:space="preserve">Dog and Cat Food Manufacturing </t>
  </si>
  <si>
    <t xml:space="preserve">Other Animal Food Manufacturing </t>
  </si>
  <si>
    <t xml:space="preserve">Flour Milling </t>
  </si>
  <si>
    <t xml:space="preserve">Rice Milling </t>
  </si>
  <si>
    <t xml:space="preserve">Malt Manufacturing </t>
  </si>
  <si>
    <t xml:space="preserve">Wet Corn Milling and Starch Manufacturing </t>
  </si>
  <si>
    <t xml:space="preserve">Soybean and Other Oilseed Processing </t>
  </si>
  <si>
    <t xml:space="preserve">Fats and Oils Refining and Blending </t>
  </si>
  <si>
    <t>Breakfast Cereal Manufacturing</t>
  </si>
  <si>
    <t xml:space="preserve">Beet Sugar Manufacturing </t>
  </si>
  <si>
    <t xml:space="preserve">Cane Sugar Manufacturing </t>
  </si>
  <si>
    <t>Nonchocolate Confectionery Manufacturing</t>
  </si>
  <si>
    <t xml:space="preserve">Chocolate and Confectionery Manufacturing from Cacao Beans </t>
  </si>
  <si>
    <t xml:space="preserve">Confectionery Manufacturing from Purchased Chocolate </t>
  </si>
  <si>
    <t xml:space="preserve">Frozen Fruit, Juice, and Vegetable Manufacturing </t>
  </si>
  <si>
    <t xml:space="preserve">Frozen Specialty Food Manufacturing </t>
  </si>
  <si>
    <t xml:space="preserve">Fruit and Vegetable Canning </t>
  </si>
  <si>
    <t xml:space="preserve">Specialty Canning </t>
  </si>
  <si>
    <t xml:space="preserve">Dried and Dehydrated Food Manufacturing </t>
  </si>
  <si>
    <t xml:space="preserve">Fluid Milk Manufacturing </t>
  </si>
  <si>
    <t xml:space="preserve">Creamery Butter Manufacturing </t>
  </si>
  <si>
    <t xml:space="preserve">Cheese Manufacturing </t>
  </si>
  <si>
    <t xml:space="preserve">Dry, Condensed, and Evaporated Dairy Product Manufacturing </t>
  </si>
  <si>
    <t>Ice Cream and Frozen Dessert Manufacturing</t>
  </si>
  <si>
    <t xml:space="preserve">Animal (except Poultry) Slaughtering </t>
  </si>
  <si>
    <t xml:space="preserve">Meat Processed from Carcasses </t>
  </si>
  <si>
    <t xml:space="preserve">Rendering and Meat Byproduct Processing </t>
  </si>
  <si>
    <t xml:space="preserve">Poultry Processing </t>
  </si>
  <si>
    <t>Seafood Product Preparation and Packaging</t>
  </si>
  <si>
    <t xml:space="preserve">Retail Bakeries </t>
  </si>
  <si>
    <t xml:space="preserve">Commercial Bakeries </t>
  </si>
  <si>
    <t xml:space="preserve">Frozen Cakes, Pies, and Other Pastries Manufacturing </t>
  </si>
  <si>
    <t xml:space="preserve">Cookie and Cracker Manufacturing </t>
  </si>
  <si>
    <t xml:space="preserve">Dry Pasta, Dough, and Flour Mixes Manufacturing from Purchased Flour </t>
  </si>
  <si>
    <t>Tortilla Manufacturing</t>
  </si>
  <si>
    <t xml:space="preserve">Roasted Nuts and Peanut Butter Manufacturing </t>
  </si>
  <si>
    <t xml:space="preserve">Other Snack Food Manufacturing </t>
  </si>
  <si>
    <t xml:space="preserve">Coffee and Tea Manufacturing </t>
  </si>
  <si>
    <t>Flavoring Syrup and Concentrate Manufacturing</t>
  </si>
  <si>
    <t xml:space="preserve">Mayonnaise, Dressing, and Other Prepared Sauce Manufacturing </t>
  </si>
  <si>
    <t xml:space="preserve">Spice and Extract Manufacturing </t>
  </si>
  <si>
    <t xml:space="preserve">Perishable Prepared Food Manufacturing </t>
  </si>
  <si>
    <t xml:space="preserve">All Other Miscellaneous Food Manufacturing </t>
  </si>
  <si>
    <t xml:space="preserve">Soft Drink Manufacturing </t>
  </si>
  <si>
    <t xml:space="preserve">Bottled Water Manufacturing </t>
  </si>
  <si>
    <t xml:space="preserve">Ice Manufacturing </t>
  </si>
  <si>
    <t>Breweries</t>
  </si>
  <si>
    <t xml:space="preserve">Wineries </t>
  </si>
  <si>
    <t xml:space="preserve">Distilleries </t>
  </si>
  <si>
    <t xml:space="preserve">Tobacco Manufacturing </t>
  </si>
  <si>
    <t xml:space="preserve">Fiber, Yarn, and Thread Mills </t>
  </si>
  <si>
    <t>Broadwoven Fabric Mills</t>
  </si>
  <si>
    <t>Narrow Fabric Mills and Schiffli Machine Embroidery</t>
  </si>
  <si>
    <t>Nonwoven Fabric Mills</t>
  </si>
  <si>
    <t>Knit Fabric Mills</t>
  </si>
  <si>
    <t>Fabric Coating Mills</t>
  </si>
  <si>
    <t>Carpet and Rug Mills</t>
  </si>
  <si>
    <t>Curtain and Linen Mills</t>
  </si>
  <si>
    <t xml:space="preserve">Textile Bag and Canvas Mills </t>
  </si>
  <si>
    <t xml:space="preserve">Rope, Cordage, Twine, Tire Cord, and Tire Fabric Mills </t>
  </si>
  <si>
    <t xml:space="preserve">All Other Miscellaneous Textile Product Mills </t>
  </si>
  <si>
    <t>Apparel Knitting Mills</t>
  </si>
  <si>
    <t xml:space="preserve">Cut and Sew Apparel Contractors </t>
  </si>
  <si>
    <t xml:space="preserve">Cut and Sew Apparel Manufacturing (except Contractors) </t>
  </si>
  <si>
    <t xml:space="preserve">Apparel Accessories and Other Apparel Manufacturing </t>
  </si>
  <si>
    <t>Leather and Hide Tanning and Finishing</t>
  </si>
  <si>
    <t xml:space="preserve">Footwear Manufacturing </t>
  </si>
  <si>
    <t xml:space="preserve">Other Leather and Allied Product Manufacturing </t>
  </si>
  <si>
    <t xml:space="preserve">Sawmills </t>
  </si>
  <si>
    <t xml:space="preserve">Wood Preservation </t>
  </si>
  <si>
    <t xml:space="preserve">Hardwood Veneer and Plywood Manufacturing </t>
  </si>
  <si>
    <t xml:space="preserve">Softwood Veneer and Plywood Manufacturing </t>
  </si>
  <si>
    <t xml:space="preserve">Engineered Wood Member Manufacturing </t>
  </si>
  <si>
    <t xml:space="preserve">Reconstituted Wood Product Manufacturing </t>
  </si>
  <si>
    <t xml:space="preserve">Wood Window and Door Manufacturing </t>
  </si>
  <si>
    <t xml:space="preserve">Cut Stock, Resawing Lumber, and Planing </t>
  </si>
  <si>
    <t xml:space="preserve">Other Millwork (including Flooring) </t>
  </si>
  <si>
    <t>Wood Container and Pallet Manufacturing</t>
  </si>
  <si>
    <t xml:space="preserve">Manufactured Home (Mobile Home) Manufacturing </t>
  </si>
  <si>
    <t xml:space="preserve">Prefabricated Wood Building Manufacturing </t>
  </si>
  <si>
    <t xml:space="preserve">All Other Miscellaneous Wood Product Manufacturing </t>
  </si>
  <si>
    <t xml:space="preserve">Pulp Mills </t>
  </si>
  <si>
    <t xml:space="preserve">Paper Mills </t>
  </si>
  <si>
    <t xml:space="preserve">Paperboard Mills </t>
  </si>
  <si>
    <t xml:space="preserve">Corrugated and Solid Fiber Box Manufacturing </t>
  </si>
  <si>
    <t xml:space="preserve">Folding Paperboard Box Manufacturing </t>
  </si>
  <si>
    <t xml:space="preserve">Other Paperboard Container Manufacturing </t>
  </si>
  <si>
    <t>Paper Bag and Coated and Treated Paper Manufacturing</t>
  </si>
  <si>
    <t>Stationery Product Manufacturing</t>
  </si>
  <si>
    <t xml:space="preserve">Sanitary Paper Product Manufacturing </t>
  </si>
  <si>
    <t xml:space="preserve">All Other Converted Paper Product Manufacturing </t>
  </si>
  <si>
    <t xml:space="preserve">Commercial Printing (except Screen and Books) </t>
  </si>
  <si>
    <t xml:space="preserve">Commercial Screen Printing </t>
  </si>
  <si>
    <t xml:space="preserve">Books Printing </t>
  </si>
  <si>
    <t>Support Activities for Printing</t>
  </si>
  <si>
    <t>Petroleum Refineries</t>
  </si>
  <si>
    <t xml:space="preserve">Asphalt Paving Mixture and Block Manufacturing </t>
  </si>
  <si>
    <t xml:space="preserve">Asphalt Shingle and Coating Materials Manufacturing </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</si>
  <si>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</si>
  <si>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</si>
  <si>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</si>
  <si>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</si>
  <si>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</si>
  <si>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 xml:space="preserve">Other Basic Inorganic Chemical Manufacturing </t>
  </si>
  <si>
    <t xml:space="preserve">Ethyl Alcohol Manufacturing </t>
  </si>
  <si>
    <t xml:space="preserve">Cyclic Crude, Intermediate, and Gum and Wood Chemical Manufacturing </t>
  </si>
  <si>
    <t xml:space="preserve">All Other Basic Organic Chemical Manufacturing </t>
  </si>
  <si>
    <t xml:space="preserve">Plastics Material and Resin Manufacturing </t>
  </si>
  <si>
    <t xml:space="preserve">Synthetic Rubber Manufacturing </t>
  </si>
  <si>
    <t>Artificial and Synthetic Fibers and Filaments Manufacturing</t>
  </si>
  <si>
    <t xml:space="preserve">Nitrogenous Fertilizer Manufacturing </t>
  </si>
  <si>
    <t xml:space="preserve">Phosphatic Fertilizer Manufacturing </t>
  </si>
  <si>
    <t xml:space="preserve">Fertilizer (Mixing Only) Manufacturing </t>
  </si>
  <si>
    <t>Compost Manufacturing</t>
  </si>
  <si>
    <t>Pesticide and Other Agricultural Chemical Manufacturing</t>
  </si>
  <si>
    <t xml:space="preserve">Medicinal and Botanical Manufacturing </t>
  </si>
  <si>
    <t xml:space="preserve">Pharmaceutical Preparation Manufacturing </t>
  </si>
  <si>
    <t xml:space="preserve">In-Vitro Diagnostic Substance Manufacturing </t>
  </si>
  <si>
    <t xml:space="preserve">Biological Product (except Diagnostic) Manufacturing </t>
  </si>
  <si>
    <t>Paint and Coating Manufacturing</t>
  </si>
  <si>
    <t>Adhesive Manufacturing</t>
  </si>
  <si>
    <t xml:space="preserve">Soap and Other Detergent Manufacturing </t>
  </si>
  <si>
    <t xml:space="preserve">Polish and Other Sanitation Good Manufacturing </t>
  </si>
  <si>
    <t xml:space="preserve">Surface Active Agent Manufacturing </t>
  </si>
  <si>
    <t>Toilet Preparation Manufacturing</t>
  </si>
  <si>
    <t>Printing Ink Manufacturing</t>
  </si>
  <si>
    <t>Explosives Manufacturing</t>
  </si>
  <si>
    <t xml:space="preserve">Custom Compounding of Purchased Resins </t>
  </si>
  <si>
    <t xml:space="preserve">Photographic Film, Paper, Plate, Chemical, and Copy Toner Manufacturing </t>
  </si>
  <si>
    <t xml:space="preserve">All Other Miscellaneous Chemical Product and Preparation Manufacturing </t>
  </si>
  <si>
    <t xml:space="preserve">Plastics Bag and Pouch Manufacturing </t>
  </si>
  <si>
    <t xml:space="preserve">Plastics Packaging Film and Sheet (including Laminated) Manufacturing </t>
  </si>
  <si>
    <t xml:space="preserve">Unlaminated Plastics Film and Sheet (except Packaging) Manufacturing </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</si>
  <si>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</si>
  <si>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</si>
  <si>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</si>
  <si>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</si>
  <si>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</si>
  <si>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</si>
  <si>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 xml:space="preserve">Plastics Plumbing Fixture Manufacturing </t>
  </si>
  <si>
    <t xml:space="preserve">All Other Plastics Product Manufacturing </t>
  </si>
  <si>
    <t xml:space="preserve">Tire Manufacturing (except Retreading) </t>
  </si>
  <si>
    <t xml:space="preserve">Tire Retreading </t>
  </si>
  <si>
    <t>Rubber and Plastics Hoses and Belting Manufacturing</t>
  </si>
  <si>
    <t xml:space="preserve">Rubber Product Manufacturing for Mechanical Use </t>
  </si>
  <si>
    <t xml:space="preserve">All Other Rubber Product Manufacturing </t>
  </si>
  <si>
    <t xml:space="preserve">Pottery, Ceramics, and Plumbing Fixture Manufacturing </t>
  </si>
  <si>
    <t xml:space="preserve">Clay Building Material and Refractories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</si>
  <si>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</si>
  <si>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</si>
  <si>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</si>
  <si>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</si>
  <si>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</si>
  <si>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</si>
  <si>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 xml:space="preserve">Concrete Block and Brick Manufacturing </t>
  </si>
  <si>
    <t xml:space="preserve">Concrete Pipe Manufacturing </t>
  </si>
  <si>
    <t xml:space="preserve">Other Concrete Product Manufacturing </t>
  </si>
  <si>
    <t>Lime Manufacturing</t>
  </si>
  <si>
    <t>Gypsum Product Manufacturing</t>
  </si>
  <si>
    <t>Abrasive Product Manufacturing</t>
  </si>
  <si>
    <t xml:space="preserve">Cut Stone and Stone Product Manufacturing </t>
  </si>
  <si>
    <t xml:space="preserve">Ground or Treated Mineral and Earth Manufacturing </t>
  </si>
  <si>
    <t xml:space="preserve">Mineral Wool Manufacturing </t>
  </si>
  <si>
    <t xml:space="preserve">All Other Miscellaneous Nonmetallic Mineral Product Manufacturing </t>
  </si>
  <si>
    <t xml:space="preserve">Iron and Steel Mills and Ferroalloy Manufacturing </t>
  </si>
  <si>
    <t>Iron and Steel Pipe and Tube Manufacturing from Purchased Steel</t>
  </si>
  <si>
    <t xml:space="preserve">Rolled Steel Shape Manufacturing </t>
  </si>
  <si>
    <t xml:space="preserve">Steel Wire Drawing </t>
  </si>
  <si>
    <t xml:space="preserve">Alumina Refining and Primary Aluminum Production </t>
  </si>
  <si>
    <t xml:space="preserve">Secondary Smelting and Alloying of Aluminum </t>
  </si>
  <si>
    <t xml:space="preserve">Aluminum Sheet, Plate, and Foil Manufacturing </t>
  </si>
  <si>
    <t xml:space="preserve">Other Aluminum Rolling, Drawing, and Extruding </t>
  </si>
  <si>
    <t xml:space="preserve">Nonferrous Metal (except Aluminum) Smelting and Refining </t>
  </si>
  <si>
    <t>Copper Rolling, Drawing, Extruding, and Alloying</t>
  </si>
  <si>
    <t xml:space="preserve">Nonferrous Metal (except Copper and Aluminum) Rolling, Drawing, and Extruding </t>
  </si>
  <si>
    <t xml:space="preserve">Secondary Smelting, Refining, and Alloying of Nonferrous Metal (except Copper and Aluminum) </t>
  </si>
  <si>
    <t xml:space="preserve">Iron Foundries </t>
  </si>
  <si>
    <t xml:space="preserve">Steel Investment Foundries </t>
  </si>
  <si>
    <t xml:space="preserve">Steel Foundries (except Investment) </t>
  </si>
  <si>
    <t xml:space="preserve">Nonferrous Metal Die-Casting Foundries </t>
  </si>
  <si>
    <t xml:space="preserve">Aluminum Foundries (except Die-Casting) </t>
  </si>
  <si>
    <t xml:space="preserve">Other Nonferrous Metal Foundries (except Die-Casting) </t>
  </si>
  <si>
    <t xml:space="preserve">Iron and Steel Forging </t>
  </si>
  <si>
    <t xml:space="preserve">Nonferrous Forging </t>
  </si>
  <si>
    <t xml:space="preserve">Custom Roll Forming </t>
  </si>
  <si>
    <t xml:space="preserve">Powder Metallurgy Part Manufacturing </t>
  </si>
  <si>
    <t xml:space="preserve">Metal Crown, Closure, and Other Metal Stamping (except Automotive) </t>
  </si>
  <si>
    <t xml:space="preserve">Metal Kitchen Cookware, Utensil, Cutlery, and Flatware (except Precious) Manufacturing </t>
  </si>
  <si>
    <t xml:space="preserve">Saw Blade and Handtool Manufacturing </t>
  </si>
  <si>
    <t xml:space="preserve">Prefabricated Metal Building and Component Manufacturing </t>
  </si>
  <si>
    <t xml:space="preserve">Fabricated Structural Metal Manufacturing </t>
  </si>
  <si>
    <t xml:space="preserve">Plate Work Manufacturing </t>
  </si>
  <si>
    <t xml:space="preserve">Metal Window and Door Manufacturing </t>
  </si>
  <si>
    <t xml:space="preserve">Sheet Metal Work Manufacturing </t>
  </si>
  <si>
    <t xml:space="preserve">Ornamental and Architectural Metal Work Manufacturing </t>
  </si>
  <si>
    <t>Power Boiler and Heat Exchanger Manufacturing</t>
  </si>
  <si>
    <t>Metal Tank (Heavy Gauge) Manufacturing</t>
  </si>
  <si>
    <t xml:space="preserve">Metal Can Manufacturing </t>
  </si>
  <si>
    <t xml:space="preserve">Other Metal Container Manufacturing </t>
  </si>
  <si>
    <t>Hardware Manufacturing</t>
  </si>
  <si>
    <t xml:space="preserve">Spring Manufacturing </t>
  </si>
  <si>
    <t xml:space="preserve">Other Fabricated Wire Product Manufacturing </t>
  </si>
  <si>
    <t>Machine Shops</t>
  </si>
  <si>
    <t xml:space="preserve">Precision Turned Product Manufacturing </t>
  </si>
  <si>
    <t xml:space="preserve">Bolt, Nut, Screw, Rivet, and Washer Manufacturing </t>
  </si>
  <si>
    <t xml:space="preserve">Metal Heat Treating </t>
  </si>
  <si>
    <t xml:space="preserve">Metal Coating, Engraving (except Jewelry and Silverware), and Allied Services to Manufacturers </t>
  </si>
  <si>
    <t xml:space="preserve">Electroplating, Plating, Polishing, Anodizing, and Coloring </t>
  </si>
  <si>
    <t xml:space="preserve">Industrial Valve Manufacturing </t>
  </si>
  <si>
    <t xml:space="preserve">Fluid Power Valve and Hose Fitting Manufacturing </t>
  </si>
  <si>
    <t xml:space="preserve">Plumbing Fixture Fitting and Trim Manufacturing </t>
  </si>
  <si>
    <t xml:space="preserve">Other Metal Valve and Pipe Fitting Manufacturing </t>
  </si>
  <si>
    <t>Ball and Roller Bearing Manufacturing</t>
  </si>
  <si>
    <t xml:space="preserve">Small Arms Ammunition Manufacturing </t>
  </si>
  <si>
    <t xml:space="preserve">Ammunition (except Small Arms) Manufacturing </t>
  </si>
  <si>
    <t xml:space="preserve">Small Arms, Ordnance, and Ordnance Accessories Manufacturing </t>
  </si>
  <si>
    <t xml:space="preserve">Fabricated Pipe and Pipe Fitting Manufacturing </t>
  </si>
  <si>
    <t xml:space="preserve">All Other Miscellaneous Fabricated Metal Product Manufacturing </t>
  </si>
  <si>
    <t xml:space="preserve">Farm Machinery and Equipment Manufacturing </t>
  </si>
  <si>
    <t xml:space="preserve">Lawn and Garden Tractor and Home Lawn and Garden Equipment Manufacturing </t>
  </si>
  <si>
    <t>Construction Machinery Manufacturing</t>
  </si>
  <si>
    <t xml:space="preserve">Mining Machinery and Equipment Manufacturing </t>
  </si>
  <si>
    <t xml:space="preserve">Oil and Gas Field Machinery and Equipment Manufacturing </t>
  </si>
  <si>
    <t xml:space="preserve">Food Product Machinery Manufacturing </t>
  </si>
  <si>
    <t xml:space="preserve">Semiconductor Machinery Manufacturing </t>
  </si>
  <si>
    <t xml:space="preserve">Sawmill, Woodworking, and Paper Machinery Manufacturing </t>
  </si>
  <si>
    <t xml:space="preserve">All Other Industrial Machinery Manufacturing </t>
  </si>
  <si>
    <t xml:space="preserve">Commercial and Service Industry Machinery Manufacturing </t>
  </si>
  <si>
    <t xml:space="preserve">Industrial and Commercial Fan and Blower and Air Purification Equipment Manufacturing </t>
  </si>
  <si>
    <t xml:space="preserve">Heating Equipment (except Warm Air Furnaces) Manufacturing </t>
  </si>
  <si>
    <t xml:space="preserve">Air-Conditioning and Warm Air Heating Equipment and Commercial and Industrial Refrigeration Equipment Manufacturing </t>
  </si>
  <si>
    <t xml:space="preserve">Industrial Mold Manufacturing </t>
  </si>
  <si>
    <t xml:space="preserve">Special Die and Tool, Die Set, Jig, and Fixture Manufacturing </t>
  </si>
  <si>
    <t xml:space="preserve">Cutting Tool and Machine Tool Accessory Manufacturing </t>
  </si>
  <si>
    <t xml:space="preserve">Machine Tool Manufacturing </t>
  </si>
  <si>
    <t xml:space="preserve">Rolling Mill and Other Metalworking Machinery Manufacturing </t>
  </si>
  <si>
    <t xml:space="preserve">Turbine and Turbine Generator Set Units Manufacturing </t>
  </si>
  <si>
    <t xml:space="preserve">Speed Changer, Industrial High-Speed Drive, and Gear Manufacturing </t>
  </si>
  <si>
    <t xml:space="preserve">Mechanical Power Transmission Equipment Manufacturing </t>
  </si>
  <si>
    <t xml:space="preserve">Other Engine Equipment Manufacturing </t>
  </si>
  <si>
    <t xml:space="preserve">Air and Gas Compressor Manufacturing </t>
  </si>
  <si>
    <t xml:space="preserve">Measuring, Dispensing, and Other Pumping Equipment Manufacturing </t>
  </si>
  <si>
    <t xml:space="preserve">Elevator and Moving Stairway Manufacturing </t>
  </si>
  <si>
    <t xml:space="preserve">Conveyor and Conveying Equipment Manufacturing </t>
  </si>
  <si>
    <t xml:space="preserve">Overhead Traveling Crane, Hoist, and Monorail System Manufacturing </t>
  </si>
  <si>
    <t xml:space="preserve">Industrial Truck, Tractor, Trailer, and Stacker Machinery Manufacturing </t>
  </si>
  <si>
    <t xml:space="preserve">Power-Driven Handtool Manufacturing </t>
  </si>
  <si>
    <t xml:space="preserve">Welding and Soldering Equipment Manufacturing </t>
  </si>
  <si>
    <t xml:space="preserve">Packaging Machinery Manufacturing </t>
  </si>
  <si>
    <t xml:space="preserve">Industrial Process Furnace and Oven Manufacturing </t>
  </si>
  <si>
    <t xml:space="preserve">Fluid Power Cylinder and Actuator Manufacturing </t>
  </si>
  <si>
    <t xml:space="preserve">Fluid Power Pump and Motor Manufacturing </t>
  </si>
  <si>
    <t xml:space="preserve">All Other Miscellaneous General Purpose Machinery Manufacturing </t>
  </si>
  <si>
    <t xml:space="preserve">Electronic Computer Manufacturing </t>
  </si>
  <si>
    <t xml:space="preserve">Computer Storage Device Manufacturing </t>
  </si>
  <si>
    <t xml:space="preserve">Computer Terminal and Other Computer Peripheral Equipment Manufacturing </t>
  </si>
  <si>
    <t>Telephone Apparatus Manufacturing</t>
  </si>
  <si>
    <t>Radio and Television Broadcasting and Wireless Communications Equipment Manufacturing</t>
  </si>
  <si>
    <t>Other Communications Equipment Manufacturing</t>
  </si>
  <si>
    <t>Audio and Video Equipment Manufacturing</t>
  </si>
  <si>
    <t xml:space="preserve">Bare Printed Circuit Board Manufacturing  </t>
  </si>
  <si>
    <t xml:space="preserve">Semiconductor and Related Device Manufacturing </t>
  </si>
  <si>
    <t xml:space="preserve">Capacitor, Resistor, Coil, Transformer, and Other Inductor Manufacturing </t>
  </si>
  <si>
    <t xml:space="preserve">Electronic Connector Manufacturing </t>
  </si>
  <si>
    <t xml:space="preserve">Printed Circuit Assembly (Electronic Assembly) Manufacturing </t>
  </si>
  <si>
    <t xml:space="preserve">Other Electronic Component Manufacturing </t>
  </si>
  <si>
    <t xml:space="preserve">Electromedical and Electrotherapeutic Apparatus Manufacturing </t>
  </si>
  <si>
    <t xml:space="preserve">Search, Detection, Navigation, Guidance, Aeronautical, and Nautical System and Instrument Manufacturing </t>
  </si>
  <si>
    <t xml:space="preserve">Automatic Environmental Control Manufacturing for Residential, Commercial, and Appliance Use </t>
  </si>
  <si>
    <t xml:space="preserve">Instruments and Related Products Manufacturing for Measuring, Displaying, and Controlling Industrial Process Variables </t>
  </si>
  <si>
    <t xml:space="preserve">Totalizing Fluid Meter and Counting Device Manufacturing </t>
  </si>
  <si>
    <t xml:space="preserve">Instrument Manufacturing for Measuring and Testing Electricity and Electrical Signals </t>
  </si>
  <si>
    <t xml:space="preserve">Analytical Laboratory Instrument Manufacturing </t>
  </si>
  <si>
    <t xml:space="preserve">Irradiation Apparatus Manufacturing </t>
  </si>
  <si>
    <t xml:space="preserve">Other Measuring and Controlling Device Manufacturing </t>
  </si>
  <si>
    <t xml:space="preserve">Manufacturing and Reproducing Magnetic and Optical Media </t>
  </si>
  <si>
    <t xml:space="preserve">Residential Electric Lighting Fixture Manufacturing </t>
  </si>
  <si>
    <t xml:space="preserve">Commercial, Industrial, and Institutional Electric Lighting Fixture Manufacturing </t>
  </si>
  <si>
    <t xml:space="preserve">Electric Lamp Bulb and Other Lighting Equipment Manufacturing </t>
  </si>
  <si>
    <t>Small Electrical Appliance Manufacturing</t>
  </si>
  <si>
    <t xml:space="preserve">Major Household Appliance Manufacturing </t>
  </si>
  <si>
    <t xml:space="preserve">Power, Distribution, and Specialty Transformer Manufacturing </t>
  </si>
  <si>
    <t xml:space="preserve">Motor and Generator Manufacturing </t>
  </si>
  <si>
    <t xml:space="preserve">Switchgear and Switchboard Apparatus Manufacturing </t>
  </si>
  <si>
    <t xml:space="preserve">Relay and Industrial Control Manufacturing </t>
  </si>
  <si>
    <t xml:space="preserve">Battery Manufacturing </t>
  </si>
  <si>
    <t xml:space="preserve">Fiber Optic Cable Manufacturing </t>
  </si>
  <si>
    <t xml:space="preserve">Other Communication and Energy Wire Manufacturing </t>
  </si>
  <si>
    <t xml:space="preserve">Current-Carrying Wiring Device Manufacturing </t>
  </si>
  <si>
    <t xml:space="preserve">Noncurrent-Carrying Wiring Device Manufacturing </t>
  </si>
  <si>
    <t xml:space="preserve">Carbon and Graphite Product Manufacturing </t>
  </si>
  <si>
    <t xml:space="preserve">All Other Miscellaneous Electrical Equipment and Component Manufacturing </t>
  </si>
  <si>
    <t xml:space="preserve">Automobile and Light Duty Motor Vehicle Manufacturing </t>
  </si>
  <si>
    <t>Heavy Duty Truck Manufacturing</t>
  </si>
  <si>
    <t xml:space="preserve">Motor Vehicle Body Manufacturing </t>
  </si>
  <si>
    <t xml:space="preserve">Truck Trailer Manufacturing </t>
  </si>
  <si>
    <t xml:space="preserve">Motor Home Manufacturing </t>
  </si>
  <si>
    <t xml:space="preserve">Travel Trailer and Camper Manufacturing </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</si>
  <si>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</si>
  <si>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</si>
  <si>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</si>
  <si>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</si>
  <si>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</si>
  <si>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</si>
  <si>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</si>
  <si>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</si>
  <si>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 xml:space="preserve">Aircraft Manufacturing </t>
  </si>
  <si>
    <t xml:space="preserve">Aircraft Engine and Engine Parts Manufacturing </t>
  </si>
  <si>
    <t xml:space="preserve">Other Aircraft Parts and Auxiliary Equipment Manufacturing </t>
  </si>
  <si>
    <t xml:space="preserve">Guided Missile and Space Vehicle Manufacturing </t>
  </si>
  <si>
    <t xml:space="preserve">Guided Missile and Space Vehicle Propulsion Unit and Propulsion Unit Parts Manufacturing </t>
  </si>
  <si>
    <t xml:space="preserve">Other Guided Missile and Space Vehicle Parts and Auxiliary Equipment Manufacturing </t>
  </si>
  <si>
    <t>Railroad Rolling Stock Manufacturing</t>
  </si>
  <si>
    <t xml:space="preserve">Ship Building and Repairing </t>
  </si>
  <si>
    <t xml:space="preserve">Boat Building </t>
  </si>
  <si>
    <t xml:space="preserve">Motorcycle, Bicycle, and Parts Manufacturing </t>
  </si>
  <si>
    <t xml:space="preserve">Military Armored Vehicle, Tank, and Tank Component Manufacturing </t>
  </si>
  <si>
    <t xml:space="preserve">All Other Transportation Equipment Manufacturing </t>
  </si>
  <si>
    <t>Wood Kitchen Cabinet and Countertop Manufacturing</t>
  </si>
  <si>
    <t xml:space="preserve">Upholstered Household Furniture Manufacturing </t>
  </si>
  <si>
    <t xml:space="preserve">Nonupholstered Wood Household Furniture Manufacturing </t>
  </si>
  <si>
    <t xml:space="preserve">Household Furniture (except Wood and Upholstered) Manufacturing </t>
  </si>
  <si>
    <t xml:space="preserve">Institutional Furniture Manufacturing </t>
  </si>
  <si>
    <t xml:space="preserve">Wood Office Furniture Manufacturing </t>
  </si>
  <si>
    <t xml:space="preserve">Custom Architectural Woodwork and Millwork Manufacturing </t>
  </si>
  <si>
    <t xml:space="preserve">Office Furniture (except Wood) Manufacturing </t>
  </si>
  <si>
    <t xml:space="preserve">Showcase, Partition, Shelving, and Locker Manufacturing </t>
  </si>
  <si>
    <t>Mattress Manufacturing</t>
  </si>
  <si>
    <t>Blind and Shade Manufacturing</t>
  </si>
  <si>
    <t xml:space="preserve">Surgical and Medical Instrument Manufacturing </t>
  </si>
  <si>
    <t xml:space="preserve">Surgical Appliance and Supplies Manufacturing </t>
  </si>
  <si>
    <t xml:space="preserve">Dental Equipment and Supplies Manufacturing </t>
  </si>
  <si>
    <t xml:space="preserve">Ophthalmic Goods Manufacturing </t>
  </si>
  <si>
    <t xml:space="preserve">Dental Laboratories </t>
  </si>
  <si>
    <t xml:space="preserve">Jewelry and Silverware Manufacturing </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</si>
  <si>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</si>
  <si>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</si>
  <si>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</si>
  <si>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</si>
  <si>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</si>
  <si>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</si>
  <si>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 xml:space="preserve">Fastener, Button, Needle, and Pin Manufacturing </t>
  </si>
  <si>
    <t xml:space="preserve">Broom, Brush, and Mop Manufacturing </t>
  </si>
  <si>
    <t xml:space="preserve">Burial Casket Manufacturing </t>
  </si>
  <si>
    <t xml:space="preserve">All Other Miscellaneous Manufacturing </t>
  </si>
  <si>
    <t xml:space="preserve">Automobile and Other Motor Vehicle Merchant Wholesalers </t>
  </si>
  <si>
    <t xml:space="preserve">Motor Vehicle Supplies and New Parts Merchant Wholesalers </t>
  </si>
  <si>
    <t xml:space="preserve">Tire and Tube Merchant Wholesalers </t>
  </si>
  <si>
    <t xml:space="preserve">Motor Vehicle Parts (Used) Merchant Wholesalers </t>
  </si>
  <si>
    <t xml:space="preserve">Furniture Merchant Wholesalers </t>
  </si>
  <si>
    <t xml:space="preserve">Home Furnishing Merchant Wholesalers </t>
  </si>
  <si>
    <t xml:space="preserve">Lumber, Plywood, Millwork, and Wood Panel Merchant Wholesalers </t>
  </si>
  <si>
    <t xml:space="preserve">Brick, Stone, and Related Construction Material Merchant Wholesalers </t>
  </si>
  <si>
    <t xml:space="preserve">Roofing, Siding, and Insulation Material Merchant Wholesalers </t>
  </si>
  <si>
    <t xml:space="preserve">Other Construction Material Merchant Wholesalers </t>
  </si>
  <si>
    <t xml:space="preserve">Photographic Equipment and Supplies Merchant Wholesalers </t>
  </si>
  <si>
    <t xml:space="preserve">Office Equipment Merchant Wholesalers </t>
  </si>
  <si>
    <t xml:space="preserve">Computer and Computer Peripheral Equipment and Software Merchant Wholesalers </t>
  </si>
  <si>
    <t xml:space="preserve">Other Commercial Equipment Merchant Wholesalers </t>
  </si>
  <si>
    <t xml:space="preserve">Medical, Dental, and Hospital Equipment and Supplies Merchant Wholesalers </t>
  </si>
  <si>
    <t xml:space="preserve">Ophthalmic Goods Merchant Wholesalers </t>
  </si>
  <si>
    <t xml:space="preserve">Other Professional Equipment and Supplies Merchant Wholesalers </t>
  </si>
  <si>
    <t xml:space="preserve">Metal Service Centers and Other Metal Merchant Wholesalers </t>
  </si>
  <si>
    <t xml:space="preserve">Coal and Other Mineral and Ore Merchant Wholesalers </t>
  </si>
  <si>
    <t xml:space="preserve">Electrical Apparatus and Equipment, Wiring Supplies, and Related Equipment Merchant Wholesalers </t>
  </si>
  <si>
    <t xml:space="preserve">Household Appliances, Electric Housewares, and Consumer Electronics Merchant Wholesalers </t>
  </si>
  <si>
    <t xml:space="preserve">Other Electronic Parts and Equipment Merchant Wholesalers </t>
  </si>
  <si>
    <t xml:space="preserve">Hardware Merchant Wholesalers </t>
  </si>
  <si>
    <t xml:space="preserve">Plumbing and Heating Equipment and Supplies (Hydronics) Merchant Wholesalers </t>
  </si>
  <si>
    <t xml:space="preserve">Warm Air Heating and Air-Conditioning Equipment and Supplies Merchant Wholesalers </t>
  </si>
  <si>
    <t xml:space="preserve">Refrigeration Equipment and Supplies Merchant Wholesalers </t>
  </si>
  <si>
    <t xml:space="preserve">Construction and Mining (except Oil Well) Machinery and Equipment Merchant Wholesalers </t>
  </si>
  <si>
    <t xml:space="preserve">Farm and Garden Machinery and Equipment Merchant Wholesalers </t>
  </si>
  <si>
    <t xml:space="preserve">Industrial Machinery and Equipment Merchant Wholesalers </t>
  </si>
  <si>
    <t>Industrial Supplies Merchant Wholesalers</t>
  </si>
  <si>
    <t xml:space="preserve">Service Establishment Equipment and Supplies Merchant Wholesalers </t>
  </si>
  <si>
    <t xml:space="preserve">Transportation Equipment and Supplies (except Motor Vehicle) Merchant Wholesalers </t>
  </si>
  <si>
    <t xml:space="preserve">Sporting and Recreational Goods and Supplies Merchant Wholesalers </t>
  </si>
  <si>
    <t xml:space="preserve">Toy and Hobby Goods and Supplies Merchant Wholesalers </t>
  </si>
  <si>
    <t xml:space="preserve">Recyclable Material Merchant Wholesalers </t>
  </si>
  <si>
    <t xml:space="preserve">Jewelry, Watch, Precious Stone, and Precious Metal Merchant Wholesalers </t>
  </si>
  <si>
    <t xml:space="preserve">Other Miscellaneous Durable Goods Merchant Wholesalers </t>
  </si>
  <si>
    <t xml:space="preserve">Printing and Writing Paper Merchant Wholesalers </t>
  </si>
  <si>
    <t xml:space="preserve">Stationery and Office Supplies Merchant Wholesalers </t>
  </si>
  <si>
    <t xml:space="preserve">Industrial and Personal Service Paper Merchant Wholesalers </t>
  </si>
  <si>
    <t xml:space="preserve">Drugs and Druggists' Sundries Merchant Wholesalers </t>
  </si>
  <si>
    <t xml:space="preserve">Piece Goods, Notions, and Other Dry Goods Merchant Wholesalers </t>
  </si>
  <si>
    <t xml:space="preserve">Footwear Merchant Wholesalers </t>
  </si>
  <si>
    <t>Clothing and Clothing Accessories Merchant Wholesalers</t>
  </si>
  <si>
    <t xml:space="preserve">General Line Grocery Merchant Wholesalers </t>
  </si>
  <si>
    <t xml:space="preserve">Packaged Frozen Food Merchant Wholesalers </t>
  </si>
  <si>
    <t xml:space="preserve">Dairy Product (except Dried or Canned) Merchant Wholesalers </t>
  </si>
  <si>
    <t xml:space="preserve">Poultry and Poultry Product Merchant Wholesalers </t>
  </si>
  <si>
    <t xml:space="preserve">Confectionery Merchant Wholesalers </t>
  </si>
  <si>
    <t xml:space="preserve">Fish and Seafood Merchant Wholesalers </t>
  </si>
  <si>
    <t xml:space="preserve">Meat and Meat Product Merchant Wholesalers </t>
  </si>
  <si>
    <t xml:space="preserve">Fresh Fruit and Vegetable Merchant Wholesalers </t>
  </si>
  <si>
    <t xml:space="preserve">Other Grocery and Related Products Merchant Wholesalers </t>
  </si>
  <si>
    <t xml:space="preserve">Grain and Field Bean Merchant Wholesalers </t>
  </si>
  <si>
    <t xml:space="preserve">Livestock Merchant Wholesalers </t>
  </si>
  <si>
    <t xml:space="preserve">Other Farm Product Raw Material Merchant Wholesalers </t>
  </si>
  <si>
    <t xml:space="preserve">Plastics Materials and Basic Forms and Shapes Merchant Wholesalers </t>
  </si>
  <si>
    <t xml:space="preserve">Other Chemical and Allied Products Merchant Wholesalers </t>
  </si>
  <si>
    <t xml:space="preserve">Petroleum Bulk Stations and Terminals </t>
  </si>
  <si>
    <t xml:space="preserve">Petroleum and Petroleum Products Merchant Wholesalers (except Bulk Stations and Terminals) </t>
  </si>
  <si>
    <t xml:space="preserve">Beer and Ale Merchant Wholesalers </t>
  </si>
  <si>
    <t xml:space="preserve">Wine and Distilled Alcoholic Beverage Merchant Wholesalers </t>
  </si>
  <si>
    <t xml:space="preserve">Farm Supplies Merchant Wholesalers </t>
  </si>
  <si>
    <t xml:space="preserve">Book, Periodical, and Newspaper Merchant Wholesalers </t>
  </si>
  <si>
    <t xml:space="preserve">Flower, Nursery Stock, and Florists' Supplies Merchant Wholesalers </t>
  </si>
  <si>
    <t xml:space="preserve">Tobacco Product and Electronic Cigarette Merchant Wholesalers </t>
  </si>
  <si>
    <t xml:space="preserve">Paint, Varnish, and Supplies Merchant Wholesalers </t>
  </si>
  <si>
    <t xml:space="preserve">Other Miscellaneous Nondurable Goods Merchant Wholesalers </t>
  </si>
  <si>
    <t xml:space="preserve">Wholesale Trade Agents and Brokers </t>
  </si>
  <si>
    <t xml:space="preserve">New Car Dealers </t>
  </si>
  <si>
    <t xml:space="preserve">Used Car Dealers </t>
  </si>
  <si>
    <t xml:space="preserve">Recreational Vehicle Dealers </t>
  </si>
  <si>
    <t xml:space="preserve">Boat Dealers </t>
  </si>
  <si>
    <t xml:space="preserve">Motorcycle, ATV, and All Other Motor Vehicle Dealers </t>
  </si>
  <si>
    <t xml:space="preserve">Automotive Parts and Accessories Retailers </t>
  </si>
  <si>
    <t xml:space="preserve">Tire Dealers </t>
  </si>
  <si>
    <t xml:space="preserve">Home Centers </t>
  </si>
  <si>
    <t xml:space="preserve">Paint and Wallpaper Retailers </t>
  </si>
  <si>
    <t xml:space="preserve">Hardware Retailers </t>
  </si>
  <si>
    <t xml:space="preserve">Other Building Material Dealers </t>
  </si>
  <si>
    <t xml:space="preserve">Outdoor Power Equipment Retailers </t>
  </si>
  <si>
    <t xml:space="preserve">Nursery, Garden Center, and Farm Supply Retailers </t>
  </si>
  <si>
    <t xml:space="preserve">Supermarkets and Other Grocery Retailers (except Convenience Retailers) </t>
  </si>
  <si>
    <t xml:space="preserve">Convenience Retailers </t>
  </si>
  <si>
    <t xml:space="preserve">Vending Machine Operators </t>
  </si>
  <si>
    <t xml:space="preserve">Fruit and Vegetable Retailers </t>
  </si>
  <si>
    <t xml:space="preserve">Meat Retailers </t>
  </si>
  <si>
    <t xml:space="preserve">Fish and Seafood Retailers </t>
  </si>
  <si>
    <t xml:space="preserve">Baked Goods Retailers </t>
  </si>
  <si>
    <t xml:space="preserve">Confectionery and Nut Retailers </t>
  </si>
  <si>
    <t xml:space="preserve">All Other Specialty Food Retailers </t>
  </si>
  <si>
    <t xml:space="preserve">Beer, Wine, and Liquor Retailers </t>
  </si>
  <si>
    <t xml:space="preserve">Furniture Retailers </t>
  </si>
  <si>
    <t xml:space="preserve">Floor Covering Retailers </t>
  </si>
  <si>
    <t xml:space="preserve">Window Treatment Retailers </t>
  </si>
  <si>
    <t xml:space="preserve">All Other Home Furnishings Retailers </t>
  </si>
  <si>
    <t>Electronics and Appliance Retailers</t>
  </si>
  <si>
    <t xml:space="preserve">Department Stores </t>
  </si>
  <si>
    <t xml:space="preserve">Warehouse Clubs and Supercenters </t>
  </si>
  <si>
    <t xml:space="preserve">All Other General Merchandise Retailers </t>
  </si>
  <si>
    <t xml:space="preserve">Pharmacies and Drug Retailers </t>
  </si>
  <si>
    <t xml:space="preserve">Cosmetics, Beauty Supplies, and Perfume Retailers </t>
  </si>
  <si>
    <t xml:space="preserve">Optical Goods Retailers </t>
  </si>
  <si>
    <t xml:space="preserve">Food (Health) Supplement Retailers </t>
  </si>
  <si>
    <t xml:space="preserve">All Other Health and Personal Care Retailers </t>
  </si>
  <si>
    <t xml:space="preserve">Gasoline Stations with Convenience Stores </t>
  </si>
  <si>
    <t xml:space="preserve">Other Gasoline Stations </t>
  </si>
  <si>
    <t xml:space="preserve">Fuel Dealers </t>
  </si>
  <si>
    <t xml:space="preserve">Clothing and Clothing Accessories Retailers </t>
  </si>
  <si>
    <t xml:space="preserve">Shoe Retailers </t>
  </si>
  <si>
    <t xml:space="preserve">Jewelry Retailers </t>
  </si>
  <si>
    <t xml:space="preserve">Luggage and Leather Goods Retailers </t>
  </si>
  <si>
    <t xml:space="preserve">Sporting Goods Retailers </t>
  </si>
  <si>
    <t xml:space="preserve">Hobby, Toy, and Game Retailers </t>
  </si>
  <si>
    <t xml:space="preserve">Sewing, Needlework, and Piece Goods Retailers </t>
  </si>
  <si>
    <t xml:space="preserve">Musical Instrument and Supplies Retailers </t>
  </si>
  <si>
    <t xml:space="preserve">Book Retailers and News Dealers </t>
  </si>
  <si>
    <t xml:space="preserve">Florists </t>
  </si>
  <si>
    <t xml:space="preserve">Office Supplies and Stationery Retailers </t>
  </si>
  <si>
    <t xml:space="preserve">Gift, Novelty, and Souvenir Retailers </t>
  </si>
  <si>
    <t xml:space="preserve">Used Merchandise Retailers </t>
  </si>
  <si>
    <t xml:space="preserve">Pet and Pet Supplies Retailers </t>
  </si>
  <si>
    <t xml:space="preserve">Art Dealers </t>
  </si>
  <si>
    <t xml:space="preserve">Manufactured (Mobile) Home Dealers </t>
  </si>
  <si>
    <t xml:space="preserve">Tobacco, Electronic Cigarette, and Other Smoking Supplies Retailers </t>
  </si>
  <si>
    <t xml:space="preserve">All Other Miscellaneous Retailers </t>
  </si>
  <si>
    <t xml:space="preserve">Scheduled Passenger Air Transportation </t>
  </si>
  <si>
    <t xml:space="preserve">Scheduled Freight Air Transportation </t>
  </si>
  <si>
    <t xml:space="preserve">Nonscheduled Chartered Passenger Air Transportation </t>
  </si>
  <si>
    <t xml:space="preserve">Nonscheduled Chartered Freight Air Transportation </t>
  </si>
  <si>
    <t xml:space="preserve">Other Nonscheduled Air Transportation </t>
  </si>
  <si>
    <t xml:space="preserve">Line-Haul Railroads </t>
  </si>
  <si>
    <t xml:space="preserve">Short Line Railroads </t>
  </si>
  <si>
    <t xml:space="preserve">Deep Sea Freight Transportation </t>
  </si>
  <si>
    <t xml:space="preserve">Deep Sea Passenger Transportation </t>
  </si>
  <si>
    <t xml:space="preserve">Coastal and Great Lakes Freight Transportation </t>
  </si>
  <si>
    <t xml:space="preserve">Coastal and Great Lakes Passenger Transportation </t>
  </si>
  <si>
    <t xml:space="preserve">Inland Water Freight Transportation </t>
  </si>
  <si>
    <t xml:space="preserve">Inland Water Passenger Transportation </t>
  </si>
  <si>
    <t xml:space="preserve">General Freight Trucking, Local </t>
  </si>
  <si>
    <t xml:space="preserve">General Freight Trucking, Long-Distance, Truckload </t>
  </si>
  <si>
    <t xml:space="preserve">General Freight Trucking, Long-Distance, Less Than Truckload </t>
  </si>
  <si>
    <t>Used Household and Office Goods Moving</t>
  </si>
  <si>
    <t xml:space="preserve">Specialized Freight (except Used Goods) Trucking, Local </t>
  </si>
  <si>
    <t xml:space="preserve">Specialized Freight (except Used Goods) Trucking, Long-Distance </t>
  </si>
  <si>
    <t xml:space="preserve">Mixed Mode Transit Systems </t>
  </si>
  <si>
    <t xml:space="preserve">Commuter Rail Systems </t>
  </si>
  <si>
    <t xml:space="preserve">Bus and Other Motor Vehicle Transit Systems </t>
  </si>
  <si>
    <t xml:space="preserve">Other Urban Transit Systems </t>
  </si>
  <si>
    <t>Interurban and Rural Bus Transportation</t>
  </si>
  <si>
    <t xml:space="preserve">Taxi and Ridesharing Services </t>
  </si>
  <si>
    <t>Limousine Service</t>
  </si>
  <si>
    <t>School and Employee Bus Transportation</t>
  </si>
  <si>
    <t>Charter Bus Industry</t>
  </si>
  <si>
    <t xml:space="preserve">Special Needs Transportation </t>
  </si>
  <si>
    <t xml:space="preserve">All Other Transit and Ground Passenger Transportation </t>
  </si>
  <si>
    <t>Pipeline Transportation of Crude Oil</t>
  </si>
  <si>
    <t>Pipeline Transportation of Natural Gas</t>
  </si>
  <si>
    <t>Pipeline Transportation of Refined Petroleum Products</t>
  </si>
  <si>
    <t>All Other Pipeline Transportation</t>
  </si>
  <si>
    <t>Scenic and Sightseeing Transportation, Land</t>
  </si>
  <si>
    <t>Scenic and Sightseeing Transportation, Water</t>
  </si>
  <si>
    <t>Scenic and Sightseeing Transportation, Other</t>
  </si>
  <si>
    <t>Air Traffic Control</t>
  </si>
  <si>
    <t xml:space="preserve">Other Airport Operations </t>
  </si>
  <si>
    <t>Other Support Activities for Air Transportation</t>
  </si>
  <si>
    <t>Support Activities for Rail Transportation</t>
  </si>
  <si>
    <t>Port and Harbor Operations</t>
  </si>
  <si>
    <t>Marine Cargo Handling</t>
  </si>
  <si>
    <t xml:space="preserve">Navigational Services to Shipping </t>
  </si>
  <si>
    <t>Other Support Activities for Water Transportation</t>
  </si>
  <si>
    <t>Motor Vehicle Towing</t>
  </si>
  <si>
    <t xml:space="preserve">Other Support Activities for Road Transportation </t>
  </si>
  <si>
    <t xml:space="preserve">Freight Transportation Arrangement </t>
  </si>
  <si>
    <t xml:space="preserve">Packing and Crating </t>
  </si>
  <si>
    <t xml:space="preserve">All Other Support Activities for Transportation </t>
  </si>
  <si>
    <t>Postal Service</t>
  </si>
  <si>
    <t>Couriers and Express Delivery Services</t>
  </si>
  <si>
    <t>Local Messengers and Local Delivery</t>
  </si>
  <si>
    <t xml:space="preserve">General Warehousing and Storage </t>
  </si>
  <si>
    <t>Refrigerated Warehousing and Storage</t>
  </si>
  <si>
    <t>Farm Product Warehousing and Storage</t>
  </si>
  <si>
    <t>Other Warehousing and Storage</t>
  </si>
  <si>
    <t xml:space="preserve">Motion Picture and Video Production </t>
  </si>
  <si>
    <t>Motion Picture and Video Distribution</t>
  </si>
  <si>
    <t xml:space="preserve">Motion Picture Theaters (except Drive-Ins) </t>
  </si>
  <si>
    <t xml:space="preserve">Drive-In Motion Picture Theaters </t>
  </si>
  <si>
    <t xml:space="preserve">Teleproduction and Other Postproduction Services </t>
  </si>
  <si>
    <t xml:space="preserve">Other Motion Picture and Video Industries </t>
  </si>
  <si>
    <t>Music Publishers</t>
  </si>
  <si>
    <t>Sound Recording Studios</t>
  </si>
  <si>
    <t>Record Production and Distribution</t>
  </si>
  <si>
    <t>Other Sound Recording Industries</t>
  </si>
  <si>
    <t xml:space="preserve">Newspaper Publishers </t>
  </si>
  <si>
    <t xml:space="preserve">Periodical Publishers </t>
  </si>
  <si>
    <t xml:space="preserve">Book Publishers </t>
  </si>
  <si>
    <t xml:space="preserve">Directory and Mailing List Publishers </t>
  </si>
  <si>
    <t xml:space="preserve">Greeting Card Publishers </t>
  </si>
  <si>
    <t xml:space="preserve">All Other Publishers </t>
  </si>
  <si>
    <t>Software Publishers</t>
  </si>
  <si>
    <t xml:space="preserve">Radio Broadcasting Stations </t>
  </si>
  <si>
    <t xml:space="preserve">Television Broadcasting Stations </t>
  </si>
  <si>
    <t>Media Streaming Distribution Services, Social Networks, and Other Media Networks and Content Providers</t>
  </si>
  <si>
    <t xml:space="preserve">Wired Telecommunications Carriers </t>
  </si>
  <si>
    <t>Wireless Telecommunications Carriers (except Satellite)</t>
  </si>
  <si>
    <t>Telecommunications Resellers</t>
  </si>
  <si>
    <t>Agents for Wireless Telecommunications Services</t>
  </si>
  <si>
    <t>Satellite Telecommunications</t>
  </si>
  <si>
    <t xml:space="preserve">All Other Telecommunications </t>
  </si>
  <si>
    <t>Computing Infrastructure Providers, Data Processing, Web Hosting, and Related Services</t>
  </si>
  <si>
    <t xml:space="preserve">Libraries and Archives </t>
  </si>
  <si>
    <t>Web Search Portals and All Other Information Services</t>
  </si>
  <si>
    <t>Monetary Authorities-Central Bank</t>
  </si>
  <si>
    <t xml:space="preserve">Commercial Banking </t>
  </si>
  <si>
    <t xml:space="preserve">Credit Unions </t>
  </si>
  <si>
    <t xml:space="preserve">Savings Institutions and Other Depository Credit Intermediation </t>
  </si>
  <si>
    <t xml:space="preserve">Credit Card Issuing </t>
  </si>
  <si>
    <t xml:space="preserve">Sales Financing </t>
  </si>
  <si>
    <t xml:space="preserve">Consumer Lending </t>
  </si>
  <si>
    <t xml:space="preserve">Real Estate Credit </t>
  </si>
  <si>
    <t xml:space="preserve">International, Secondary Market, and All Other Nondepository Credit Intermediation </t>
  </si>
  <si>
    <t xml:space="preserve">Mortgage and Nonmortgage Loan Brokers </t>
  </si>
  <si>
    <t xml:space="preserve">Financial Transactions Processing, Reserve, and Clearinghouse Activities </t>
  </si>
  <si>
    <t xml:space="preserve">Other Activities Related to Credit Intermediation </t>
  </si>
  <si>
    <t xml:space="preserve">Investment Banking and Securities Intermediation </t>
  </si>
  <si>
    <t xml:space="preserve">Commodity Contracts Intermediation </t>
  </si>
  <si>
    <t>Securities and Commodity Exchanges</t>
  </si>
  <si>
    <t xml:space="preserve">Miscellaneous Intermediation </t>
  </si>
  <si>
    <t xml:space="preserve">Portfolio Management and Investment Advice </t>
  </si>
  <si>
    <t xml:space="preserve">Trust, Fiduciary, and Custody Activities </t>
  </si>
  <si>
    <t xml:space="preserve">Miscellaneous Financial Investment Activities </t>
  </si>
  <si>
    <t xml:space="preserve">Direct Life Insurance Carriers </t>
  </si>
  <si>
    <t xml:space="preserve">Direct Health and Medical Insurance Carriers </t>
  </si>
  <si>
    <t xml:space="preserve">Direct Property and Casualty Insurance Carriers </t>
  </si>
  <si>
    <t xml:space="preserve">Direct Title Insurance Carriers </t>
  </si>
  <si>
    <t xml:space="preserve">Other Direct Insurance (except Life, Health, and Medical) Carriers </t>
  </si>
  <si>
    <t xml:space="preserve">Reinsurance Carriers </t>
  </si>
  <si>
    <t xml:space="preserve">Insurance Agencies and Brokerages </t>
  </si>
  <si>
    <t xml:space="preserve">Claims Adjusting </t>
  </si>
  <si>
    <t xml:space="preserve">Pharmacy Benefit Management and Other Third Party Administration of Insurance and Pension Funds </t>
  </si>
  <si>
    <t xml:space="preserve">All Other Insurance Related Activities </t>
  </si>
  <si>
    <t xml:space="preserve">Pension Funds </t>
  </si>
  <si>
    <t xml:space="preserve">Health and Welfare Funds </t>
  </si>
  <si>
    <t xml:space="preserve">Other Insurance Funds </t>
  </si>
  <si>
    <t xml:space="preserve">Open-End Investment Funds </t>
  </si>
  <si>
    <t xml:space="preserve">Trusts, Estates, and Agency Accounts </t>
  </si>
  <si>
    <t xml:space="preserve">Other Financial Vehicles </t>
  </si>
  <si>
    <t xml:space="preserve">Lessors of Residential Buildings and Dwellings </t>
  </si>
  <si>
    <t xml:space="preserve">Lessors of Nonresidential Buildings (except Miniwarehouses) </t>
  </si>
  <si>
    <t xml:space="preserve">Lessors of Miniwarehouses and Self-Storage Units </t>
  </si>
  <si>
    <t xml:space="preserve">Lessors of Other Real Estate Property </t>
  </si>
  <si>
    <t>Offices of Real Estate Agents and Brokers</t>
  </si>
  <si>
    <t xml:space="preserve">Residential Property Managers </t>
  </si>
  <si>
    <t xml:space="preserve">Nonresidential Property Managers </t>
  </si>
  <si>
    <t xml:space="preserve">Offices of Real Estate Appraisers </t>
  </si>
  <si>
    <t xml:space="preserve">Other Activities Related to Real Estate </t>
  </si>
  <si>
    <t xml:space="preserve">Passenger Car Rental </t>
  </si>
  <si>
    <t xml:space="preserve">Passenger Car Leasing </t>
  </si>
  <si>
    <t xml:space="preserve">Truck, Utility Trailer, and RV (Recreational Vehicle) Rental and Leasing </t>
  </si>
  <si>
    <t>Consumer Electronics and Appliances Rental</t>
  </si>
  <si>
    <t>Formal Wear and Costume Rental</t>
  </si>
  <si>
    <t>Video Tape and Disc Rental</t>
  </si>
  <si>
    <t xml:space="preserve">Home Health Equipment Rental </t>
  </si>
  <si>
    <t xml:space="preserve">Recreational Goods Rental </t>
  </si>
  <si>
    <t xml:space="preserve">All Other Consumer Goods Rental </t>
  </si>
  <si>
    <t>General Rental Centers</t>
  </si>
  <si>
    <t xml:space="preserve">Commercial Air, Rail, and Water Transportation Equipment Rental and Leasing </t>
  </si>
  <si>
    <t xml:space="preserve">Construction, Mining, and Forestry Machinery and Equipment Rental and Leasing </t>
  </si>
  <si>
    <t>Office Machinery and Equipment Rental and Leasing</t>
  </si>
  <si>
    <t xml:space="preserve">Other Commercial and Industrial Machinery and Equipment Rental and Leasing </t>
  </si>
  <si>
    <t>Lessors of Nonfinancial Intangible Assets (except Copyrighted Works)</t>
  </si>
  <si>
    <t>Offices of Lawyers</t>
  </si>
  <si>
    <t>Offices of Notaries</t>
  </si>
  <si>
    <t xml:space="preserve">Title Abstract and Settlement Offices </t>
  </si>
  <si>
    <t xml:space="preserve">All Other Legal Services </t>
  </si>
  <si>
    <t xml:space="preserve">Offices of Certified Public Accountants </t>
  </si>
  <si>
    <t xml:space="preserve">Tax Preparation Services </t>
  </si>
  <si>
    <t xml:space="preserve">Payroll Services </t>
  </si>
  <si>
    <t xml:space="preserve">Other Accounting Services </t>
  </si>
  <si>
    <t>Architectural Services</t>
  </si>
  <si>
    <t>Landscape Architectural Services</t>
  </si>
  <si>
    <t>Engineering Services</t>
  </si>
  <si>
    <t>Drafting Services</t>
  </si>
  <si>
    <t>Building Inspection Services</t>
  </si>
  <si>
    <t>Geophysical Surveying and Mapping Services</t>
  </si>
  <si>
    <t>Surveying and Mapping (except Geophysical) Services</t>
  </si>
  <si>
    <t>Testing Laboratories and Services</t>
  </si>
  <si>
    <t>Interior Design Services</t>
  </si>
  <si>
    <t>Industrial Design Services</t>
  </si>
  <si>
    <t>Graphic Design Services</t>
  </si>
  <si>
    <t>Other Specialized Design Services</t>
  </si>
  <si>
    <t xml:space="preserve">Custom Computer Programming Services </t>
  </si>
  <si>
    <t xml:space="preserve">Computer Systems Design Services </t>
  </si>
  <si>
    <t xml:space="preserve">Computer Facilities Management Services </t>
  </si>
  <si>
    <t>Other Computer Related Services</t>
  </si>
  <si>
    <t xml:space="preserve">Administrative Management and General Management Consulting Services </t>
  </si>
  <si>
    <t xml:space="preserve">Human Resources Consulting Services </t>
  </si>
  <si>
    <t xml:space="preserve">Marketing Consulting Services </t>
  </si>
  <si>
    <t xml:space="preserve">Process, Physical Distribution, and Logistics Consulting Services </t>
  </si>
  <si>
    <t xml:space="preserve">Other Management Consulting Services </t>
  </si>
  <si>
    <t>Environmental Consulting Services</t>
  </si>
  <si>
    <t>Other Scientific and Technical Consulting Services</t>
  </si>
  <si>
    <t xml:space="preserve">Research and Development in Nanotechnology </t>
  </si>
  <si>
    <t>Research and Development in Biotechnology (except Nanobiotechnology)</t>
  </si>
  <si>
    <t xml:space="preserve">Research and Development in the Physical, Engineering, and Life Sciences (except Nanotechnology and Biotechnology) </t>
  </si>
  <si>
    <t xml:space="preserve">Research and Development in the Social Sciences and Humanities </t>
  </si>
  <si>
    <t>Advertising Agencies</t>
  </si>
  <si>
    <t>Public Relations Agencies</t>
  </si>
  <si>
    <t>Media Buying Agencies</t>
  </si>
  <si>
    <t>Media Representatives</t>
  </si>
  <si>
    <t>Indoor and Outdoor Display Advertising</t>
  </si>
  <si>
    <t>Direct Mail Advertising</t>
  </si>
  <si>
    <t>Advertising Material Distribution Services</t>
  </si>
  <si>
    <t xml:space="preserve">Other Services Related to Advertising </t>
  </si>
  <si>
    <t>Marketing Research and Public Opinion Polling</t>
  </si>
  <si>
    <t xml:space="preserve">Photography Studios, Portrait </t>
  </si>
  <si>
    <t xml:space="preserve">Commercial Photography </t>
  </si>
  <si>
    <t>Translation and Interpretation Services</t>
  </si>
  <si>
    <t xml:space="preserve">Veterinary Services </t>
  </si>
  <si>
    <t>All Other Professional, Scientific, and Technical Services</t>
  </si>
  <si>
    <t xml:space="preserve">Offices of Bank Holding Companies </t>
  </si>
  <si>
    <t xml:space="preserve">Offices of Other Holding Companies </t>
  </si>
  <si>
    <t xml:space="preserve">Corporate, Subsidiary, and Regional Managing Offices </t>
  </si>
  <si>
    <t>Office Administrative Services</t>
  </si>
  <si>
    <t>Facilities Support Services</t>
  </si>
  <si>
    <t xml:space="preserve">Employment Placement Agencies </t>
  </si>
  <si>
    <t>Temporary Help Services</t>
  </si>
  <si>
    <t>Professional Employer Organizations</t>
  </si>
  <si>
    <t>Document Preparation Services</t>
  </si>
  <si>
    <t xml:space="preserve">Telemarketing Bureaus and Other Contact Centers </t>
  </si>
  <si>
    <t xml:space="preserve">Private Mail Centers </t>
  </si>
  <si>
    <t xml:space="preserve">Other Business Service Centers (including Copy Shops) </t>
  </si>
  <si>
    <t>Collection Agencies</t>
  </si>
  <si>
    <t>Credit Bureaus</t>
  </si>
  <si>
    <t xml:space="preserve">Repossession Services </t>
  </si>
  <si>
    <t xml:space="preserve">Court Reporting and Stenotype Services </t>
  </si>
  <si>
    <t xml:space="preserve">All Other Business Support Services </t>
  </si>
  <si>
    <t>Travel Agencies</t>
  </si>
  <si>
    <t>Tour Operators</t>
  </si>
  <si>
    <t xml:space="preserve">Convention and Visitors Bureaus </t>
  </si>
  <si>
    <t xml:space="preserve">All Other Travel Arrangement and Reservation Services </t>
  </si>
  <si>
    <t xml:space="preserve">Investigation and Personal Background Check Services </t>
  </si>
  <si>
    <t xml:space="preserve">Security Guards and Patrol Services </t>
  </si>
  <si>
    <t xml:space="preserve">Armored Car Services </t>
  </si>
  <si>
    <t xml:space="preserve">Security Systems Services (except Locksmiths) </t>
  </si>
  <si>
    <t xml:space="preserve">Locksmiths </t>
  </si>
  <si>
    <t>Exterminating and Pest Control Services</t>
  </si>
  <si>
    <t xml:space="preserve">Janitorial Services </t>
  </si>
  <si>
    <t>Landscaping Services</t>
  </si>
  <si>
    <t>Carpet and Upholstery Cleaning Services</t>
  </si>
  <si>
    <t xml:space="preserve">Other Services to Buildings and Dwellings </t>
  </si>
  <si>
    <t>Packaging and Labeling Services</t>
  </si>
  <si>
    <t>Convention and Trade Show Organizers</t>
  </si>
  <si>
    <t>All Other Support Services</t>
  </si>
  <si>
    <t xml:space="preserve">Solid Waste Collection </t>
  </si>
  <si>
    <t xml:space="preserve">Hazardous Waste Collection </t>
  </si>
  <si>
    <t xml:space="preserve">Other Waste Collection </t>
  </si>
  <si>
    <t xml:space="preserve">Hazardous Waste Treatment and Disposal </t>
  </si>
  <si>
    <t xml:space="preserve">Solid Waste Landfill </t>
  </si>
  <si>
    <t xml:space="preserve">Solid Waste Combustors and Incinerators </t>
  </si>
  <si>
    <t xml:space="preserve">Other Nonhazardous Waste Treatment and Disposal </t>
  </si>
  <si>
    <t xml:space="preserve">Remediation Services </t>
  </si>
  <si>
    <t xml:space="preserve">Materials Recovery Facilities </t>
  </si>
  <si>
    <t xml:space="preserve">Septic Tank and Related Services </t>
  </si>
  <si>
    <t xml:space="preserve">All Other Miscellaneous Waste Management Services </t>
  </si>
  <si>
    <t xml:space="preserve">Elementary and Secondary Schools </t>
  </si>
  <si>
    <t xml:space="preserve">Junior Colleges </t>
  </si>
  <si>
    <t xml:space="preserve">Colleges, Universities, and Professional Schools </t>
  </si>
  <si>
    <t xml:space="preserve">Business and Secretarial Schools </t>
  </si>
  <si>
    <t xml:space="preserve">Computer Training </t>
  </si>
  <si>
    <t xml:space="preserve">Professional and Management Development Training </t>
  </si>
  <si>
    <t xml:space="preserve">Cosmetology and Barber Schools </t>
  </si>
  <si>
    <t xml:space="preserve">Flight Training </t>
  </si>
  <si>
    <t xml:space="preserve">Apprenticeship Training </t>
  </si>
  <si>
    <t xml:space="preserve">Other Technical and Trade Schools </t>
  </si>
  <si>
    <t xml:space="preserve">Fine Arts Schools </t>
  </si>
  <si>
    <t xml:space="preserve">Sports and Recreation Instruction </t>
  </si>
  <si>
    <t xml:space="preserve">Language Schools </t>
  </si>
  <si>
    <t xml:space="preserve">Exam Preparation and Tutoring </t>
  </si>
  <si>
    <t xml:space="preserve">Automobile Driving Schools </t>
  </si>
  <si>
    <t xml:space="preserve">All Other Miscellaneous Schools and Instruction </t>
  </si>
  <si>
    <t>Educational Support Services</t>
  </si>
  <si>
    <t xml:space="preserve">Offices of Physicians (except Mental Health Specialists) </t>
  </si>
  <si>
    <t xml:space="preserve">Offices of Physicians, Mental Health Specialists </t>
  </si>
  <si>
    <t xml:space="preserve">Offices of Dentists </t>
  </si>
  <si>
    <t xml:space="preserve">Offices of Chiropractors </t>
  </si>
  <si>
    <t>Offices of Optometrists</t>
  </si>
  <si>
    <t xml:space="preserve">Offices of Mental Health Practitioners (except Physicians) </t>
  </si>
  <si>
    <t xml:space="preserve">Offices of Physical, Occupational and Speech Therapists, and Audiologists </t>
  </si>
  <si>
    <t xml:space="preserve">Offices of Podiatrists </t>
  </si>
  <si>
    <t xml:space="preserve">Offices of All Other Miscellaneous Health Practitioners </t>
  </si>
  <si>
    <t xml:space="preserve">Family Planning Centers </t>
  </si>
  <si>
    <t xml:space="preserve">Outpatient Mental Health and Substance Abuse Centers </t>
  </si>
  <si>
    <t xml:space="preserve">HMO Medical Centers </t>
  </si>
  <si>
    <t xml:space="preserve">Kidney Dialysis Centers </t>
  </si>
  <si>
    <t xml:space="preserve">Freestanding Ambulatory Surgical and Emergency Centers </t>
  </si>
  <si>
    <t xml:space="preserve">All Other Outpatient Care Centers </t>
  </si>
  <si>
    <t xml:space="preserve">Medical Laboratories </t>
  </si>
  <si>
    <t xml:space="preserve">Diagnostic Imaging Centers </t>
  </si>
  <si>
    <t>Home Health Care Services</t>
  </si>
  <si>
    <t xml:space="preserve">Ambulance Services </t>
  </si>
  <si>
    <t xml:space="preserve">Blood and Organ Banks </t>
  </si>
  <si>
    <t xml:space="preserve">All Other Miscellaneous Ambulatory Health Care Services </t>
  </si>
  <si>
    <t xml:space="preserve">General Medical and Surgical Hospitals </t>
  </si>
  <si>
    <t xml:space="preserve">Psychiatric and Substance Abuse Hospitals </t>
  </si>
  <si>
    <t xml:space="preserve">Specialty (except Psychiatric and Substance Abuse) Hospitals </t>
  </si>
  <si>
    <t xml:space="preserve">Nursing Care Facilities (Skilled Nursing Facilities) </t>
  </si>
  <si>
    <t xml:space="preserve">Residential Intellectual and Developmental Disability Facilities </t>
  </si>
  <si>
    <t xml:space="preserve">Residential Mental Health and Substance Abuse Facilities </t>
  </si>
  <si>
    <t xml:space="preserve">Continuing Care Retirement Communities </t>
  </si>
  <si>
    <t xml:space="preserve">Assisted Living Facilities for the Elderly </t>
  </si>
  <si>
    <t xml:space="preserve">Other Residential Care Facilities </t>
  </si>
  <si>
    <t xml:space="preserve">Child and Youth Services </t>
  </si>
  <si>
    <t xml:space="preserve">Services for the Elderly and Persons with Disabilities </t>
  </si>
  <si>
    <t xml:space="preserve">Other Individual and Family Services </t>
  </si>
  <si>
    <t xml:space="preserve">Community Food Services </t>
  </si>
  <si>
    <t xml:space="preserve">Temporary Shelters </t>
  </si>
  <si>
    <t xml:space="preserve">Other Community Housing Services </t>
  </si>
  <si>
    <t xml:space="preserve">Emergency and Other Relief Services </t>
  </si>
  <si>
    <t xml:space="preserve">Vocational Rehabilitation Services </t>
  </si>
  <si>
    <t xml:space="preserve">Child Care Services </t>
  </si>
  <si>
    <t xml:space="preserve">Theater Companies and Dinner Theaters </t>
  </si>
  <si>
    <t xml:space="preserve">Dance Companies </t>
  </si>
  <si>
    <t xml:space="preserve">Musical Groups and Artists </t>
  </si>
  <si>
    <t xml:space="preserve">Other Performing Arts Companies </t>
  </si>
  <si>
    <t xml:space="preserve">Sports Teams and Clubs </t>
  </si>
  <si>
    <t xml:space="preserve">Racetracks </t>
  </si>
  <si>
    <t xml:space="preserve">Other Spectator Sports </t>
  </si>
  <si>
    <t xml:space="preserve">Promoters of Performing Arts, Sports, and Similar Events with Facilities </t>
  </si>
  <si>
    <t xml:space="preserve">Promoters of Performing Arts, Sports, and Similar Events without Facilities </t>
  </si>
  <si>
    <t>Agents and Managers for Artists, Athletes, Entertainers, and Other Public Figures</t>
  </si>
  <si>
    <t xml:space="preserve">Independent Artists, Writers, and Performers </t>
  </si>
  <si>
    <t xml:space="preserve">Museums </t>
  </si>
  <si>
    <t>Historical Sites</t>
  </si>
  <si>
    <t xml:space="preserve">Zoos and Botanical Gardens </t>
  </si>
  <si>
    <t>Nature Parks and Other Similar Institutions</t>
  </si>
  <si>
    <t xml:space="preserve">Amusement and Theme Parks </t>
  </si>
  <si>
    <t>Amusement Arcades</t>
  </si>
  <si>
    <t>Casinos (except Casino Hotels)</t>
  </si>
  <si>
    <t xml:space="preserve">Other Gambling Industries </t>
  </si>
  <si>
    <t>Golf Courses and Country Clubs</t>
  </si>
  <si>
    <t>Skiing Facilities</t>
  </si>
  <si>
    <t>Marinas</t>
  </si>
  <si>
    <t xml:space="preserve">Fitness and Recreational Sports Centers </t>
  </si>
  <si>
    <t>Bowling Centers</t>
  </si>
  <si>
    <t xml:space="preserve">All Other Amusement and Recreation Industries </t>
  </si>
  <si>
    <t xml:space="preserve">Hotels (except Casino Hotels) and Motels </t>
  </si>
  <si>
    <t>Casino Hotels</t>
  </si>
  <si>
    <t xml:space="preserve">Bed-and-Breakfast Inns </t>
  </si>
  <si>
    <t xml:space="preserve">All Other Traveler Accommodation </t>
  </si>
  <si>
    <t xml:space="preserve">RV (Recreational Vehicle) Parks and Campgrounds </t>
  </si>
  <si>
    <t xml:space="preserve">Recreational and Vacation Camps (except Campgrounds) </t>
  </si>
  <si>
    <t xml:space="preserve">Rooming and Boarding Houses, Dormitories, and Workers' Camps </t>
  </si>
  <si>
    <t>Food Service Contractors</t>
  </si>
  <si>
    <t>Caterers</t>
  </si>
  <si>
    <t>Mobile Food Services</t>
  </si>
  <si>
    <t xml:space="preserve">Drinking Places (Alcoholic Beverages) </t>
  </si>
  <si>
    <t xml:space="preserve">Full-Service Restaurants </t>
  </si>
  <si>
    <t xml:space="preserve">Limited-Service Restaurants </t>
  </si>
  <si>
    <t xml:space="preserve">Cafeterias, Grill Buffets, and Buffets </t>
  </si>
  <si>
    <t xml:space="preserve">Snack and Nonalcoholic Beverage Bars </t>
  </si>
  <si>
    <t xml:space="preserve">General Automotive Repair </t>
  </si>
  <si>
    <t xml:space="preserve">Specialized Automotive Repair </t>
  </si>
  <si>
    <t xml:space="preserve">Automotive Body, Paint, and Interior Repair and Maintenance </t>
  </si>
  <si>
    <t xml:space="preserve">Automotive Glass Replacement Shops </t>
  </si>
  <si>
    <t xml:space="preserve">Automotive Oil Change and Lubrication Shops </t>
  </si>
  <si>
    <t xml:space="preserve">Car Washes </t>
  </si>
  <si>
    <t xml:space="preserve">All Other Automotive Repair and Maintenance </t>
  </si>
  <si>
    <t xml:space="preserve">Electronic and Precision Equipment Repair and Maintenance </t>
  </si>
  <si>
    <t xml:space="preserve">Commercial and Industrial Machinery and Equipment (except Automotive and Electronic) Repair and Maintenance </t>
  </si>
  <si>
    <t xml:space="preserve">Home and Garden Equipment Repair and Maintenance </t>
  </si>
  <si>
    <t xml:space="preserve">Appliance Repair and Maintenance </t>
  </si>
  <si>
    <t>Reupholstery and Furniture Repair</t>
  </si>
  <si>
    <t>Footwear and Leather Goods Repair</t>
  </si>
  <si>
    <t xml:space="preserve">Other Personal and Household Goods Repair and Maintenance </t>
  </si>
  <si>
    <t xml:space="preserve">Barber Shops </t>
  </si>
  <si>
    <t xml:space="preserve">Beauty Salons </t>
  </si>
  <si>
    <t xml:space="preserve">Nail Salons </t>
  </si>
  <si>
    <t xml:space="preserve">Diet and Weight Reducing Centers </t>
  </si>
  <si>
    <t xml:space="preserve">Other Personal Care Services </t>
  </si>
  <si>
    <t xml:space="preserve">Funeral Homes and Funeral Services </t>
  </si>
  <si>
    <t xml:space="preserve">Cemeteries and Crematories </t>
  </si>
  <si>
    <t xml:space="preserve">Coin-Operated Laundries and Drycleaners </t>
  </si>
  <si>
    <t xml:space="preserve">Drycleaning and Laundry Services (except Coin-Operated) </t>
  </si>
  <si>
    <t xml:space="preserve">Linen Supply </t>
  </si>
  <si>
    <t xml:space="preserve">Industrial Launderers </t>
  </si>
  <si>
    <t xml:space="preserve">Pet Care (except Veterinary) Services </t>
  </si>
  <si>
    <t xml:space="preserve">Photofinishing Laboratories (except One-Hour) </t>
  </si>
  <si>
    <t xml:space="preserve">One-Hour Photofinishing </t>
  </si>
  <si>
    <t xml:space="preserve">Parking Lots and Garages </t>
  </si>
  <si>
    <t xml:space="preserve">All Other Personal Services </t>
  </si>
  <si>
    <t xml:space="preserve">Religious Organizations </t>
  </si>
  <si>
    <t xml:space="preserve">Grantmaking Foundations </t>
  </si>
  <si>
    <t xml:space="preserve">Voluntary Health Organizations </t>
  </si>
  <si>
    <t xml:space="preserve">Other Grantmaking and Giving Services </t>
  </si>
  <si>
    <t xml:space="preserve">Human Rights Organizations </t>
  </si>
  <si>
    <t xml:space="preserve">Environment, Conservation and Wildlife Organizations </t>
  </si>
  <si>
    <t xml:space="preserve">Other Social Advocacy Organizations </t>
  </si>
  <si>
    <t xml:space="preserve">Civic and Social Organizations </t>
  </si>
  <si>
    <t xml:space="preserve">Business Associations </t>
  </si>
  <si>
    <t xml:space="preserve">Professional Organizations </t>
  </si>
  <si>
    <t xml:space="preserve">Labor Unions and Similar Labor Organizations </t>
  </si>
  <si>
    <t xml:space="preserve">Political Organizations </t>
  </si>
  <si>
    <t xml:space="preserve">Other Similar Organizations (except Business, Professional, Labor, and Political Organizations) </t>
  </si>
  <si>
    <t>Private Households</t>
  </si>
  <si>
    <t xml:space="preserve">Executive Offices </t>
  </si>
  <si>
    <t xml:space="preserve">Legislative Bodies </t>
  </si>
  <si>
    <t xml:space="preserve">Public Finance Activities </t>
  </si>
  <si>
    <t xml:space="preserve">Executive and Legislative Offices, Combined </t>
  </si>
  <si>
    <t xml:space="preserve">American Indian and Alaska Native Tribal Governments </t>
  </si>
  <si>
    <t xml:space="preserve">Other General Government Support </t>
  </si>
  <si>
    <t xml:space="preserve">Courts </t>
  </si>
  <si>
    <t xml:space="preserve">Police Protection </t>
  </si>
  <si>
    <t xml:space="preserve">Legal Counsel and Prosecution </t>
  </si>
  <si>
    <t xml:space="preserve">Correctional Institutions </t>
  </si>
  <si>
    <t xml:space="preserve">Parole Offices and Probation Offices </t>
  </si>
  <si>
    <t xml:space="preserve">Fire Protection </t>
  </si>
  <si>
    <t xml:space="preserve">Other Justice, Public Order, and Safety Activities </t>
  </si>
  <si>
    <t xml:space="preserve">Administration of Education Programs </t>
  </si>
  <si>
    <t xml:space="preserve">Administration of Public Health Programs </t>
  </si>
  <si>
    <t xml:space="preserve">Administration of Human Resource Programs (except Education, Public Health, and Veterans' Affairs Programs) </t>
  </si>
  <si>
    <t xml:space="preserve">Administration of Veterans' Affairs </t>
  </si>
  <si>
    <t xml:space="preserve">Administration of Air and Water Resource and Solid Waste Management Programs </t>
  </si>
  <si>
    <t xml:space="preserve">Administration of Conservation Programs </t>
  </si>
  <si>
    <t xml:space="preserve">Administration of Housing Programs </t>
  </si>
  <si>
    <t xml:space="preserve">Administration of Urban Planning and Community and Rural Development </t>
  </si>
  <si>
    <t xml:space="preserve">Administration of General Economic Programs </t>
  </si>
  <si>
    <t xml:space="preserve">Regulation and Administration of Transportation Programs </t>
  </si>
  <si>
    <t xml:space="preserve">Regulation and Administration of Communications, Electric, Gas, and Other Utilities </t>
  </si>
  <si>
    <t xml:space="preserve">Regulation of Agricultural Marketing and Commodities </t>
  </si>
  <si>
    <t xml:space="preserve">Regulation, Licensing, and Inspection of Miscellaneous Commercial Sectors </t>
  </si>
  <si>
    <t xml:space="preserve">Space Research and Technology </t>
  </si>
  <si>
    <t xml:space="preserve">National Security </t>
  </si>
  <si>
    <t xml:space="preserve">International Affairs </t>
  </si>
  <si>
    <t>Table of Contents</t>
  </si>
  <si>
    <t>Form Section</t>
  </si>
  <si>
    <t>Form / Page Order</t>
  </si>
  <si>
    <t>Recommended Entry Order</t>
  </si>
  <si>
    <t>Leveraged Licensees Only</t>
  </si>
  <si>
    <t>Tab Name</t>
  </si>
  <si>
    <t>Cover</t>
  </si>
  <si>
    <t>Balance Sheet</t>
  </si>
  <si>
    <t>Statement of Operations / Income Statement</t>
  </si>
  <si>
    <t>Cash Flow Statement</t>
  </si>
  <si>
    <t xml:space="preserve">Statement of Partners' Capital </t>
  </si>
  <si>
    <t xml:space="preserve">READ &amp; Regulatory &amp; Leverageable Capital </t>
  </si>
  <si>
    <t>Schedule 1:  Schedule of Loans and Investments</t>
  </si>
  <si>
    <t>Schedule 1 A &amp; B: Summary of Loans and Investments and Smaller Enterprise Financings</t>
  </si>
  <si>
    <t>S1AB</t>
  </si>
  <si>
    <t>Schedule 1 C:  Schedule of Additions and Deductions to Loan and Investment Cost</t>
  </si>
  <si>
    <t>Schedule 2:  Schedule of Realized Gains and Losses on Loans and Investments</t>
  </si>
  <si>
    <t>Schedule 3:  Schedule of Non-cash Gains/Income</t>
  </si>
  <si>
    <t>Schedule 4:  Schedule of Delinquent Loans and Investments</t>
  </si>
  <si>
    <t>S4Del</t>
  </si>
  <si>
    <t>Schedule 5:  Schedule of Commitments</t>
  </si>
  <si>
    <t>Schedule 6:  Schedule of Guarantees</t>
  </si>
  <si>
    <t>S6Guar</t>
  </si>
  <si>
    <t>Schedule 7:  Schedule of Cash and Invested Idle Funds</t>
  </si>
  <si>
    <t>S7Cash</t>
  </si>
  <si>
    <t>Schedule 9:  Schedule of Activity</t>
  </si>
  <si>
    <t>S9Activity</t>
  </si>
  <si>
    <t>Certifications</t>
  </si>
  <si>
    <t>Schedule 11:  SBIC Cumulative Performance</t>
  </si>
  <si>
    <t xml:space="preserve">Executive Summary </t>
  </si>
  <si>
    <t>Wind-Down Plan Supplement (Note 2)</t>
  </si>
  <si>
    <t>WDSup</t>
  </si>
  <si>
    <t>Wind-Down Plan Supplement Schedule A (Note 2)</t>
  </si>
  <si>
    <t>Wind-Down Plan Supplement Schedule B (Note 2)</t>
  </si>
  <si>
    <t>WDSupB</t>
  </si>
  <si>
    <t>Private Capital Supplement (Separate file)</t>
  </si>
  <si>
    <t>*Separate file</t>
  </si>
  <si>
    <t xml:space="preserve">Key SBA Leverage Metrics </t>
  </si>
  <si>
    <t>NAICS Search Tool</t>
  </si>
  <si>
    <t>Notes</t>
  </si>
  <si>
    <t>2.  Wind-Down Plans are only required for SBICs that are in Wind-Down, per 13 CFR 107.590.</t>
  </si>
  <si>
    <t>OMB Approval No. 3245-0063</t>
  </si>
  <si>
    <t>Expiration Date MM/DD/YYYY</t>
  </si>
  <si>
    <t>Name of Licensee:</t>
  </si>
  <si>
    <t>License Number:</t>
  </si>
  <si>
    <t>Street Address:</t>
  </si>
  <si>
    <t>City:</t>
  </si>
  <si>
    <t>State:</t>
  </si>
  <si>
    <t>Zip Code:</t>
  </si>
  <si>
    <t>County:</t>
  </si>
  <si>
    <t>Licensee Employer ID Number:</t>
  </si>
  <si>
    <t>For the Reporting Period Ended:</t>
  </si>
  <si>
    <t>Number of Months:</t>
  </si>
  <si>
    <t>Ownership:</t>
  </si>
  <si>
    <t>Approved Valuation Guidance</t>
  </si>
  <si>
    <t>Vintage Year:</t>
  </si>
  <si>
    <t>Please Note: The estimated burden for completing this form is 35 hours per response if a wind-up plan is required and 25 hours per response if a wind-up plan is not required. You will not be required to respond to this information collection if a valid OMB approval number is not displayed. If you have questions or comments concerning this estimate or other aspects of this information collection, please contact the U.S. Small Business Administration, Chief Administrative Information Branch, Washington, D.C. 20416 and/or SBA Desk Officer, Office of Management and Budget, New Executive Office Building, Room 10202, Washington, D.C. 20503. PLEASE DO NOT SEND FORMS TO OMB</t>
  </si>
  <si>
    <t>Select "X" if you have selected Corporate SBIC and would like differences from partnership highlighted in blue font.</t>
  </si>
  <si>
    <t>STATEMENT OF FINANCIAL POSITION</t>
  </si>
  <si>
    <t>(Amounts rounded to the nearest dollar)</t>
  </si>
  <si>
    <t>GAAP Value (if needed)</t>
  </si>
  <si>
    <t>ASSETS</t>
  </si>
  <si>
    <t>Current Period End</t>
  </si>
  <si>
    <t>Prior Year End Audited</t>
  </si>
  <si>
    <t>LOANS AND INVESTMENTS (Current Period from Schedule 1)</t>
  </si>
  <si>
    <t xml:space="preserve">Portfolio Securities </t>
  </si>
  <si>
    <t>1 Loans Cost</t>
  </si>
  <si>
    <t>*</t>
  </si>
  <si>
    <t>2 Debt Securities Cost</t>
  </si>
  <si>
    <t>3 Equity Securities Cost</t>
  </si>
  <si>
    <t>4a Portfolio Securities at Cost</t>
  </si>
  <si>
    <t>4b Appreciation on Portfolio Securities</t>
  </si>
  <si>
    <t>4c Depreciation on Portfolio Securities</t>
  </si>
  <si>
    <t>4d Total Portfolio Securities at Value</t>
  </si>
  <si>
    <t>Assets Acquired in Liquidation of Portfolio Securities:</t>
  </si>
  <si>
    <t>5 Receivables from Sale of Assets Acquired Cost</t>
  </si>
  <si>
    <t>6 Assets Acquired Cost</t>
  </si>
  <si>
    <t>7 Operating Concerns Acquired Cost</t>
  </si>
  <si>
    <t>8 Notes and Other Securities Received Cost</t>
  </si>
  <si>
    <t>9a Total Assets Acquired and Notes Received Cost (Lines 5-8)</t>
  </si>
  <si>
    <t>9b Appreciation on Assets Acquired and Notes Received</t>
  </si>
  <si>
    <t>9c Depreciation on Assets Acquired and Notes Received</t>
  </si>
  <si>
    <t>9d Assets acquired and Notes Received Reported Value</t>
  </si>
  <si>
    <t>10 Equity Investments in Relender/Reinvestors Exception</t>
  </si>
  <si>
    <t>a.  Total Cost of Relender/Reinvestor  Investments</t>
  </si>
  <si>
    <t>b.  Appreciation on Relender/Reinvestor Investments</t>
  </si>
  <si>
    <t>c.  Depreciation on Relender/Reinvestor Equity Investments</t>
  </si>
  <si>
    <t>d. Total Relender/Reinvestor Investments Value</t>
  </si>
  <si>
    <t>11a TOTAL LOANS AND INVESTMENTS COST (Line 4a + Line 9a + Line 10a)</t>
  </si>
  <si>
    <t>11b TOTAL LOANS AND INVESTMENTS  VALUE (Line 4d + Line 9d + Line 10d)</t>
  </si>
  <si>
    <t xml:space="preserve">12 Less Current Maturities </t>
  </si>
  <si>
    <t>13 Loans and Investments Net of Current Maturities</t>
  </si>
  <si>
    <t>CURRENT ASSETS</t>
  </si>
  <si>
    <t>14 Cash and Cash Equivalents</t>
  </si>
  <si>
    <t>15 Invested Idle Funds</t>
  </si>
  <si>
    <t xml:space="preserve">16 Interest and Dividends Receivable </t>
  </si>
  <si>
    <t>17 Notes and Accounts Receivable</t>
  </si>
  <si>
    <t>18 Receivables from Parent or Other Associates</t>
  </si>
  <si>
    <t>19 Less: Allowance for Losses (lines 16, 17, and 18)</t>
  </si>
  <si>
    <t>20 Current Maturities of Portfolio Securities</t>
  </si>
  <si>
    <t>21 Current Maturities of Assets Acquired</t>
  </si>
  <si>
    <t>22 Current Maturities of Operating Concerns Acquired</t>
  </si>
  <si>
    <t xml:space="preserve">23 Current Maturities of Other Securities </t>
  </si>
  <si>
    <t>24a Other (specify)</t>
  </si>
  <si>
    <t>24b Other (specify)</t>
  </si>
  <si>
    <t>25 Total Current Assets</t>
  </si>
  <si>
    <t>OTHER ASSET</t>
  </si>
  <si>
    <t xml:space="preserve">26 Net Furniture and Equipment </t>
  </si>
  <si>
    <t xml:space="preserve">27 Net Leverage Fees </t>
  </si>
  <si>
    <t xml:space="preserve">28a Other (specify) </t>
  </si>
  <si>
    <t xml:space="preserve">28b Other (specify) </t>
  </si>
  <si>
    <t>29 Total Other Assets (Sum of lines 26 through 28b)</t>
  </si>
  <si>
    <t>30 TOTAL ASSETS</t>
  </si>
  <si>
    <t>LIABILITIES AND CAPITAL</t>
  </si>
  <si>
    <t>LIABILITIES</t>
  </si>
  <si>
    <t>Long-Term Debt</t>
  </si>
  <si>
    <t xml:space="preserve">31 Notes and Debentures payable to or guaranteed by SBA. </t>
  </si>
  <si>
    <t xml:space="preserve">32 Notes and Debentures Payable to Others </t>
  </si>
  <si>
    <t>33 Total Long Term Liabilities (Line 31 + Line 32)</t>
  </si>
  <si>
    <t>Current Liabilities</t>
  </si>
  <si>
    <t xml:space="preserve">34 Accounts Payable </t>
  </si>
  <si>
    <t>35 Due to Parent or Other Associates</t>
  </si>
  <si>
    <t xml:space="preserve">a. Management Expenses Due to Associates </t>
  </si>
  <si>
    <t>b. Other Due to Associates</t>
  </si>
  <si>
    <t xml:space="preserve">36 Accrued Interest Payable </t>
  </si>
  <si>
    <t>37 Accrued Taxes Payable</t>
  </si>
  <si>
    <t xml:space="preserve">38 Distributions Payable </t>
  </si>
  <si>
    <t>39 Short-term notes Payable/Lines of Credit</t>
  </si>
  <si>
    <t xml:space="preserve">40a Other (specify) </t>
  </si>
  <si>
    <t xml:space="preserve">40b Other (specify) </t>
  </si>
  <si>
    <t>41 Total Current Liabilities (Sum of Lines 35 through 40)</t>
  </si>
  <si>
    <t>Other Liabilities</t>
  </si>
  <si>
    <t xml:space="preserve">42 Deferred Credits </t>
  </si>
  <si>
    <t xml:space="preserve">43 Deferred Fee Income </t>
  </si>
  <si>
    <t xml:space="preserve">44 Other (specify) </t>
  </si>
  <si>
    <t>45 Total Other Liabilities</t>
  </si>
  <si>
    <t>46 TOTAL LIABILITIES (Lines 33, 41, and 45)</t>
  </si>
  <si>
    <t>48 Other (specify)</t>
  </si>
  <si>
    <t>49 Unrealized Gains (Loss) on Securities Held (Sum of Lines 4b, 4c, 9b, 9c, 10b, 10c)</t>
  </si>
  <si>
    <t>50 Non-Cash Gains/Income (Schedule 3, Column G and D)</t>
  </si>
  <si>
    <t>54 TOTAL LIABILITIES AND PARTNERS' CAPITAL (Line 46 plus Line 53)</t>
  </si>
  <si>
    <t>Difference</t>
  </si>
  <si>
    <t>Error Check (Assets equal Liabilities)</t>
  </si>
  <si>
    <t>STATEMENT OF OPERATIONS REALIZED</t>
  </si>
  <si>
    <t xml:space="preserve">Notes </t>
  </si>
  <si>
    <t>Current Quarter</t>
  </si>
  <si>
    <t>Year-to-Date through</t>
  </si>
  <si>
    <t>Since Inception to</t>
  </si>
  <si>
    <t>INVESTMENT INCOME</t>
  </si>
  <si>
    <t xml:space="preserve">1 Interest Income </t>
  </si>
  <si>
    <t xml:space="preserve">2 Dividend Income </t>
  </si>
  <si>
    <t>3 Income (Loss) from Investments in Partnerships / Flow-through Entities</t>
  </si>
  <si>
    <t xml:space="preserve">4 Fees for Management Services </t>
  </si>
  <si>
    <t>5 Application, Closing and Other Fees</t>
  </si>
  <si>
    <t>6 Interest on Cash Equivalents and Invested Idle Funds</t>
  </si>
  <si>
    <t xml:space="preserve">7 Income from Assets Acquired in Liquidation of Loans </t>
  </si>
  <si>
    <t xml:space="preserve">  and Investments (net of Expenses)</t>
  </si>
  <si>
    <t>8 Other Income</t>
  </si>
  <si>
    <t>9 GROSS INVESTMENT INCOME</t>
  </si>
  <si>
    <t>EXPENSES</t>
  </si>
  <si>
    <t>10 Interest Expense</t>
  </si>
  <si>
    <t xml:space="preserve">a. Interest Expense -- SBA Debentures </t>
  </si>
  <si>
    <t xml:space="preserve">b. Other Interest Expense </t>
  </si>
  <si>
    <t>c. Total Interest Expense</t>
  </si>
  <si>
    <t xml:space="preserve">11 Commitment Fees &amp; Other Financial Costs </t>
  </si>
  <si>
    <t>12 Compensation and Benefits (Officer and Employee)</t>
  </si>
  <si>
    <t xml:space="preserve">13 Investment Advisory and Management Services </t>
  </si>
  <si>
    <t xml:space="preserve">15 Appraisal and Investigation </t>
  </si>
  <si>
    <t xml:space="preserve">16 Advertising, Communication and Travel </t>
  </si>
  <si>
    <t xml:space="preserve">17 Cost of Space Occupied </t>
  </si>
  <si>
    <t>18 Depreciation and Amortization</t>
  </si>
  <si>
    <t>a. Amortization of Leverage Fees</t>
  </si>
  <si>
    <t xml:space="preserve">b. Other Depreciation and Amortization </t>
  </si>
  <si>
    <t>c. Total Depreciation and Amortization</t>
  </si>
  <si>
    <t>19 Insurance</t>
  </si>
  <si>
    <t xml:space="preserve">20 Payroll and Other Taxes </t>
  </si>
  <si>
    <t xml:space="preserve">21 Provision for Losses on Receivables (excluding loans receivable) </t>
  </si>
  <si>
    <t xml:space="preserve">22 Legal Fees </t>
  </si>
  <si>
    <t xml:space="preserve">23 Audit and Examination Fees </t>
  </si>
  <si>
    <t>24 Miscellaneous Expenses</t>
  </si>
  <si>
    <t>a. Misc. #1</t>
  </si>
  <si>
    <t xml:space="preserve">b. Misc. #2 </t>
  </si>
  <si>
    <t xml:space="preserve">c. Misc. #3 </t>
  </si>
  <si>
    <t xml:space="preserve">d. Misc. #4 </t>
  </si>
  <si>
    <t xml:space="preserve">e. Misc. #5 </t>
  </si>
  <si>
    <t>Deal Expense</t>
  </si>
  <si>
    <t xml:space="preserve">f. Misc. #6 </t>
  </si>
  <si>
    <t>24g Total Miscellaneous Expenses</t>
  </si>
  <si>
    <t>25 TOTAL EXPENSES</t>
  </si>
  <si>
    <t/>
  </si>
  <si>
    <t xml:space="preserve">29 Extraordinary Item </t>
  </si>
  <si>
    <t>30 Cumulative Effect of Change in Accounting</t>
  </si>
  <si>
    <t>31 NET INCOME (LOSS)</t>
  </si>
  <si>
    <t>(1) Provide supporting detail for all realized gains and losses on Schedule 2, column 8.</t>
  </si>
  <si>
    <t>STATEMENT OF CASH FLOWS</t>
  </si>
  <si>
    <t>Cash Flow Page 1 of 2</t>
  </si>
  <si>
    <t>Current Quarterly Period Ended</t>
  </si>
  <si>
    <t>Year-to-Date Thru Period Ended</t>
  </si>
  <si>
    <t>Since Inception to Period Ended</t>
  </si>
  <si>
    <t>OPERATING ACTIVITIES</t>
  </si>
  <si>
    <t>Cash Inflows</t>
  </si>
  <si>
    <t xml:space="preserve">1 Interest Received from Portfolio Concerns </t>
  </si>
  <si>
    <t xml:space="preserve">2 Dividend Received from Portfolio Concerns </t>
  </si>
  <si>
    <t xml:space="preserve">3 Other Income Received from Portfolio Concerns </t>
  </si>
  <si>
    <t>4 Management Services and Other Fees Received</t>
  </si>
  <si>
    <t xml:space="preserve">5 Interest on Cash Equivalents and Invested Idle Funds </t>
  </si>
  <si>
    <t>6 Cash Received from Assets Acquired in Liquidation</t>
  </si>
  <si>
    <t xml:space="preserve">7 Other Operating Cash Receipts </t>
  </si>
  <si>
    <t>Cash Outflows</t>
  </si>
  <si>
    <t>8 Interest Paid</t>
  </si>
  <si>
    <t>9 Commitment Fees and Other Financial Costs</t>
  </si>
  <si>
    <t>10 Investment Advisory and Management Fees</t>
  </si>
  <si>
    <t>11 Partners' and Employees' Compensation and Benefits</t>
  </si>
  <si>
    <t>12 Operating Expenditures (Excluding Compensation and Benefits)</t>
  </si>
  <si>
    <t xml:space="preserve">14 NET CASH PROVIDED BY (USED IN) OPERATING ACTIVITIES </t>
  </si>
  <si>
    <t>INVESTING ACTIVITIES</t>
  </si>
  <si>
    <t xml:space="preserve">15 Loan Principal Payments Received from Portfolio Concerns </t>
  </si>
  <si>
    <t xml:space="preserve">16 Returns of Capital Received from Portfolio Concerns </t>
  </si>
  <si>
    <t>17 Net Proceeds from Disposition of Portfolio Securities</t>
  </si>
  <si>
    <t xml:space="preserve">18 Liquidation of Idle Funds Investments </t>
  </si>
  <si>
    <t>19 Other (Specify)</t>
  </si>
  <si>
    <t xml:space="preserve">20 Purchase of Portfolio Securities </t>
  </si>
  <si>
    <t xml:space="preserve">21 Loans to Portfolio concerns </t>
  </si>
  <si>
    <t xml:space="preserve">22 Idle Funds Investment </t>
  </si>
  <si>
    <t>23 Other (Specify)</t>
  </si>
  <si>
    <t>24 NET CASH PROVIDED BY (USED IN) INVESTING ACTIVITIES</t>
  </si>
  <si>
    <t>FINANCING ACTIVITIES</t>
  </si>
  <si>
    <t xml:space="preserve">25 Proceeds from Issuance of SBA-Guaranteed Debentures </t>
  </si>
  <si>
    <t xml:space="preserve">26 Proceeds from Non-SBA Borrowing </t>
  </si>
  <si>
    <t xml:space="preserve">27 Proceeds from Sale of Stock or Other Capital Contribution </t>
  </si>
  <si>
    <t xml:space="preserve">28 Other (Specify) </t>
  </si>
  <si>
    <t>29 SBA Leverage Fees</t>
  </si>
  <si>
    <t xml:space="preserve">30 Principal Payments on SBA-Guaranteed Debentures </t>
  </si>
  <si>
    <t xml:space="preserve">31 Principal Payments on Non-SBA Borrowing </t>
  </si>
  <si>
    <t>32 Redemption of Private Partnership Interests</t>
  </si>
  <si>
    <t>33 Other Distributions Paid</t>
  </si>
  <si>
    <t xml:space="preserve">34 Other (Specify) </t>
  </si>
  <si>
    <t xml:space="preserve">35 NET CASH PROVIDED BY (USED IN) FINANCING ACTIVITIES </t>
  </si>
  <si>
    <t>Cash Flow Page 2 of 2</t>
  </si>
  <si>
    <t>Lines 36 through 38 include Cash and Cash Equivalents and Idle Funds</t>
  </si>
  <si>
    <t xml:space="preserve">36 INCREASE (DECREASE) IN CASH AND CASH EQUIVALENTS </t>
  </si>
  <si>
    <t>37 CASH AND CASH EQUIVALENTS AT BEGINNING OF PERIOD</t>
  </si>
  <si>
    <t>38 CASH AND CASH EQUIVALENTS AT END OF PERIOD</t>
  </si>
  <si>
    <t>From Lines 14 and 15 on Balance Sheet, page 2</t>
  </si>
  <si>
    <t>RECONCILIATION OF NET INCOME (LOSS) TO NET CASH PROVIDED BY (USED IN) OPERATING ACTIVITIES</t>
  </si>
  <si>
    <t xml:space="preserve">39 Net Income (Loss) (Line 31, page 4P) </t>
  </si>
  <si>
    <t>Adjustments to Reconcile Net Income (Loss) to Net Cash Provided by (used in) Operating Activities:</t>
  </si>
  <si>
    <t>40 Depreciation and Amortization (line 18, page 4P)</t>
  </si>
  <si>
    <t>41 Provision for Losses on Accounts Receivable (line 21, page 4P)</t>
  </si>
  <si>
    <t>42 Realized (Gains) Losses on Investments (line 27, page 4P)</t>
  </si>
  <si>
    <t>43 Other (Specify)</t>
  </si>
  <si>
    <t>a.</t>
  </si>
  <si>
    <t>b.</t>
  </si>
  <si>
    <t>c.</t>
  </si>
  <si>
    <t>Changes in Operating Assets and Liabilities Net of Noncash Items</t>
  </si>
  <si>
    <t>Formulas for Column I</t>
  </si>
  <si>
    <t>44 (Increase) Decrease in Interest and Dividends Receivable</t>
  </si>
  <si>
    <t>45 (Increase) Decrease in Other Current Assets</t>
  </si>
  <si>
    <t>46 Increase (Decrease) in Accounts Payable</t>
  </si>
  <si>
    <t>47 Increase (Decrease) in Accrued Interest Payable</t>
  </si>
  <si>
    <t>48 Increase (Decrease) in Accrued Taxes Payable</t>
  </si>
  <si>
    <t>49 Increase (Decrease) in Distributions Payable</t>
  </si>
  <si>
    <t xml:space="preserve">50 Increase (Decrease) in Other Current Liabilities </t>
  </si>
  <si>
    <t xml:space="preserve">51 Other (Specify) </t>
  </si>
  <si>
    <t xml:space="preserve">52 Other (Specify) </t>
  </si>
  <si>
    <t xml:space="preserve">53 NET CASH PROVIDED BY (USED IN) OPERATING ACTIVITIES </t>
  </si>
  <si>
    <t>(Total must agree with line 14 above)</t>
  </si>
  <si>
    <t>Line 14:</t>
  </si>
  <si>
    <t>Error Check (Line 53 must equal Line 14)</t>
  </si>
  <si>
    <t>Supplemental disclosure of non-cash financing and investing activities may be required.</t>
  </si>
  <si>
    <t>See ASC 230, "Statement of Cash Flows".</t>
  </si>
  <si>
    <t>STATEMENT OF PARTNERS' CAPITAL</t>
  </si>
  <si>
    <t>General Partner(s) 
(page 3, line 47a)</t>
  </si>
  <si>
    <t>Limited Partner(s) 
(page 3, line 47b)</t>
  </si>
  <si>
    <t>Total</t>
  </si>
  <si>
    <t xml:space="preserve">1 BALANCE AT BEGINNING OF PERIOD </t>
  </si>
  <si>
    <t>2 ADDITIONS:</t>
  </si>
  <si>
    <t xml:space="preserve">d. Capitalization of Retained Earnings Available for Distribution </t>
  </si>
  <si>
    <t xml:space="preserve">e. Other credits (specify) </t>
  </si>
  <si>
    <t xml:space="preserve">3 Total additions (sum of 2a through 2e) </t>
  </si>
  <si>
    <t>4 Subtotal (line 1 plus line 3)</t>
  </si>
  <si>
    <t>5 DEDUCTIONS:</t>
  </si>
  <si>
    <t xml:space="preserve">6 Total deductions (sum of 5a through 5b) </t>
  </si>
  <si>
    <t>7 BALANCE AT END OF PERIOD (line 4 minus line 6) --</t>
  </si>
  <si>
    <t>Totals must agree with lines 46a through 46c, page 3P</t>
  </si>
  <si>
    <t xml:space="preserve">PART II. UNDISTRIBUTED REALIZED EARNINGS </t>
  </si>
  <si>
    <t>Noncash Gain/Income (1)</t>
  </si>
  <si>
    <t>Undistributed Net Realized Earnings(2)</t>
  </si>
  <si>
    <t>Undistributed Realized Earnings (1+2)</t>
  </si>
  <si>
    <t xml:space="preserve">a. Net investment income </t>
  </si>
  <si>
    <t xml:space="preserve">b. Realized gain (loss) on investments </t>
  </si>
  <si>
    <t>c. Gain on appreciation of securities distributed in kind</t>
  </si>
  <si>
    <t>d. Other (specify)</t>
  </si>
  <si>
    <t xml:space="preserve">3 Total additions (sum of 2a through 2d) </t>
  </si>
  <si>
    <t xml:space="preserve">4 Subtotal (line 1 plus line 3) </t>
  </si>
  <si>
    <t>d. Capitalization of Retained Earnings available for Distribution</t>
  </si>
  <si>
    <t xml:space="preserve">e. Other (specify) </t>
  </si>
  <si>
    <t>6 Total deductions (sum of 5a through 5e)</t>
  </si>
  <si>
    <t xml:space="preserve">7 Total before collection of non-cash gains/income (line 4 minus line 6) </t>
  </si>
  <si>
    <t xml:space="preserve">8 Collection of non-cash gains/income </t>
  </si>
  <si>
    <t>9 BALANCE AT END OF PERIOD (line 7 plus line 8) -</t>
  </si>
  <si>
    <t>I. RETAINED EARNINGS AVAILABE FOR DISTRIBUTION</t>
  </si>
  <si>
    <t>PART I. RETAINED EARNINGS AVAILABLE FOR DISTRIBUTION OR CAPITALIZATION</t>
  </si>
  <si>
    <t>1 Undistributed net Realized Earnings (line 51, page 3)</t>
  </si>
  <si>
    <t>2 LESS: Unrealized Depreciation (Schedule 1 - Total Unrealized Depreciation)</t>
  </si>
  <si>
    <t>3 RETAINED EARNINGS AVAILABLE FOR DISTRIBUTION OR CAPITALIZATION</t>
  </si>
  <si>
    <t>PART II. SCHEDULE OF REGULATORY AND LEVERAGEABLE CAPITAL</t>
  </si>
  <si>
    <t>2 ADD</t>
  </si>
  <si>
    <t>3 LESS: Regulatory Distributions</t>
  </si>
  <si>
    <t>a. Organization Expenses Not Approved by SBA (1)</t>
  </si>
  <si>
    <t xml:space="preserve">   (unless approved   by SBA for inclusion in Regulatory Capital or converted to cash)</t>
  </si>
  <si>
    <t>4 Total Regulatory Deductions (Sum of 3a through 3d</t>
  </si>
  <si>
    <t>5 Other Adjustments to Regulatory Capital (specify)</t>
  </si>
  <si>
    <t>6 REGULATORY CAPITAL (sum of lines 1, 2, 4, and 5)</t>
  </si>
  <si>
    <t>7 LESS: Unfunded binding commitments from Institutional Investors</t>
  </si>
  <si>
    <t>8 LESS: Non-cash assets included in Regulatory Capital, other than eligible investments in Small Concerns</t>
  </si>
  <si>
    <t>9 LESS: Other deductions (specify)</t>
  </si>
  <si>
    <t>`</t>
  </si>
  <si>
    <t>PART III. CUMULATIVE PRIVATE INVESTOR CAPITAL CONTRIBUTIONS, DISTRIBUTIONS AND FUND INVESTMENT PERFORMANCE</t>
  </si>
  <si>
    <t>(for SBICs licensed on or after January 1, 1994)</t>
  </si>
  <si>
    <t>As of</t>
  </si>
  <si>
    <t>1 All Private Capital Contributions Ever Paid-In</t>
  </si>
  <si>
    <t>2 All CASH Distributions to Private Investors Ever Paid Out - Including Fair Market Value of Non-Cash Distributions</t>
  </si>
  <si>
    <t xml:space="preserve">2 All CASH and Non-Cash Distributions to Private Investors Ever Paid Out </t>
  </si>
  <si>
    <t>3 Net of Fees Total Value to Paid-in Capital (TVPI)*</t>
  </si>
  <si>
    <t>4 Net of Fees Distributed to Paid-in Capital (DPI)*</t>
  </si>
  <si>
    <t>6 Net of Fees Residual Value to Paid-in Capital (RVPI)*</t>
  </si>
  <si>
    <t>7 Gross Multiple on Invested Capital (MOIC)*</t>
  </si>
  <si>
    <t>8 Net Internal Rate of Return (IRR)*</t>
  </si>
  <si>
    <t>* All Fund Investment Performance Metrics to be reported based on FASB GAAP accounting standards for Private Equity Funds.</t>
  </si>
  <si>
    <t xml:space="preserve">NOTES </t>
  </si>
  <si>
    <t>(1) Deduct only those organizational expenses which were not accepted as reasonable by SBA.</t>
  </si>
  <si>
    <t>SCHEDULE 1</t>
  </si>
  <si>
    <t>SCHEDULE OF LOANS AND INVESTMENTS</t>
  </si>
  <si>
    <t>Investment Data Expressed in $</t>
  </si>
  <si>
    <t>Investment Data (Expressed in $)</t>
  </si>
  <si>
    <t>Inv. Multiple:     SBA Value      (B+D)/A</t>
  </si>
  <si>
    <t>Inv. Multiple:  GAAP Value (C+D)/A</t>
  </si>
  <si>
    <t>Total Cash Invested (A)</t>
  </si>
  <si>
    <t>Cost at Beginning Period</t>
  </si>
  <si>
    <t>Addition/
Deduction</t>
  </si>
  <si>
    <t>Non Cash in Cost at End of Period</t>
  </si>
  <si>
    <t>Cost at End of Period</t>
  </si>
  <si>
    <t>Unrealized Appreciation</t>
  </si>
  <si>
    <t>(Unrealized Depreciation)</t>
  </si>
  <si>
    <t>Class 1</t>
  </si>
  <si>
    <t>Class 2</t>
  </si>
  <si>
    <t>Class 2 Date of Up Round</t>
  </si>
  <si>
    <t>SBA Reported Value (B)</t>
  </si>
  <si>
    <t>GAAP Reported Value (C)</t>
  </si>
  <si>
    <t>Cum. Cash Proceeds (D)</t>
  </si>
  <si>
    <t>Current SBA Mult</t>
  </si>
  <si>
    <t>Prior SBA Mult</t>
  </si>
  <si>
    <t>Current GAAP Mult</t>
  </si>
  <si>
    <t>Prior GAAP Mult</t>
  </si>
  <si>
    <t>Summary by Investment Type</t>
  </si>
  <si>
    <t>Total Equity Capital Investments</t>
  </si>
  <si>
    <t>Portfolio Securities</t>
  </si>
  <si>
    <t>Expand to see totals by investment type.</t>
  </si>
  <si>
    <t>Totals</t>
  </si>
  <si>
    <t xml:space="preserve">*Portfolio companies must be first entered in Schedule 11.  </t>
  </si>
  <si>
    <t>*Link to Schedule 1c.</t>
  </si>
  <si>
    <t>Portfolio Company Name</t>
  </si>
  <si>
    <t>Employer ID</t>
  </si>
  <si>
    <t>Investment Type</t>
  </si>
  <si>
    <t>Financing Type</t>
  </si>
  <si>
    <t>Financing Description</t>
  </si>
  <si>
    <t>Financing Date</t>
  </si>
  <si>
    <t>Interest or Dividend Rate</t>
  </si>
  <si>
    <t>Ownership % (Fully Diluted)</t>
  </si>
  <si>
    <t>Restructured?</t>
  </si>
  <si>
    <t>Loan/ Debt Status</t>
  </si>
  <si>
    <t>Schedule 1c Reference Number</t>
  </si>
  <si>
    <t>First Investment Date</t>
  </si>
  <si>
    <t>SCHEDULE 1 A/B</t>
  </si>
  <si>
    <t>1A. SUMMARY OF LOANS AND INVESTMENTS</t>
  </si>
  <si>
    <t xml:space="preserve">1B. SMALLER ENTERPRISE FINANCINGS </t>
  </si>
  <si>
    <t>B</t>
  </si>
  <si>
    <t>D</t>
  </si>
  <si>
    <t>E</t>
  </si>
  <si>
    <t>G</t>
  </si>
  <si>
    <t>H</t>
  </si>
  <si>
    <t>Investment Category</t>
  </si>
  <si>
    <t>Cost at Beginning of Period</t>
  </si>
  <si>
    <t>Additions/ (Deductions)</t>
  </si>
  <si>
    <t>Unrealized Appreciated</t>
  </si>
  <si>
    <t>Unrealized Depreciation</t>
  </si>
  <si>
    <t>SBA Reported Value</t>
  </si>
  <si>
    <t>GAAP Reported Value</t>
  </si>
  <si>
    <t xml:space="preserve">Total Loans </t>
  </si>
  <si>
    <t xml:space="preserve">Total Debt Securities </t>
  </si>
  <si>
    <t xml:space="preserve">Total Equity Securities </t>
  </si>
  <si>
    <t xml:space="preserve">Total Assets Acquired </t>
  </si>
  <si>
    <t xml:space="preserve">Total Operating Concerns Acquired </t>
  </si>
  <si>
    <t xml:space="preserve">Total Notes and Other Secs. Received </t>
  </si>
  <si>
    <t>Equity Investments in Relenders/ReInvestors</t>
  </si>
  <si>
    <t>Total Loans and Investments</t>
  </si>
  <si>
    <t>1 Cumulative dollar amount of Smaller Enterprise Financings extended between April 25, 1994 and close of reporting fiscal year.</t>
  </si>
  <si>
    <t>2 Cumulative dollar amount of all Financing extended between April 25, 1994 and close of reporting fiscal year.</t>
  </si>
  <si>
    <t>3 Percentage of total Financings extended to Smaller Enterprises (line 1 divided by line 2)</t>
  </si>
  <si>
    <t>SEE 13 CFR 107.710 FOR PERCENTAGE OF TOTAL FINANCINGS WHICH MUST BE IN SMALLER ENTERPRISES.</t>
  </si>
  <si>
    <t>SCHEDULE 1C</t>
  </si>
  <si>
    <t>SCHEDULE OF ADDITIONS AND DEDUCTIONS TO LOAN AND INVESTMENT COST</t>
  </si>
  <si>
    <t>Additions</t>
  </si>
  <si>
    <t>Deductions</t>
  </si>
  <si>
    <t>Net Changes</t>
  </si>
  <si>
    <t>I</t>
  </si>
  <si>
    <t>Reference Number</t>
  </si>
  <si>
    <t>Reference ID</t>
  </si>
  <si>
    <t>Transaction Date</t>
  </si>
  <si>
    <t>Description of Addition / Deduction to Loan and Investment Cost</t>
  </si>
  <si>
    <t>Addition/ Deduction Amount</t>
  </si>
  <si>
    <t>Change to Cost</t>
  </si>
  <si>
    <t>SCHEDULE 2</t>
  </si>
  <si>
    <t>SCHEDULE OF  REALIZED GAINS AND LOSSES ON LOANS AND INVESTMENTS</t>
  </si>
  <si>
    <t>Cost</t>
  </si>
  <si>
    <t>Net Sales Price</t>
  </si>
  <si>
    <t>Realized Gain/(Loss)</t>
  </si>
  <si>
    <t>Cash</t>
  </si>
  <si>
    <t>Note</t>
  </si>
  <si>
    <t>Current quarter</t>
  </si>
  <si>
    <t>Exand to see totals for most recent quarter.</t>
  </si>
  <si>
    <t>Totals Through Period End</t>
  </si>
  <si>
    <t>J</t>
  </si>
  <si>
    <t>K</t>
  </si>
  <si>
    <t>L</t>
  </si>
  <si>
    <t>Components of Net Sales Price</t>
  </si>
  <si>
    <t>Applies to Sales and Exchanges</t>
  </si>
  <si>
    <t>Transaction Type</t>
  </si>
  <si>
    <t>Name</t>
  </si>
  <si>
    <t>Address</t>
  </si>
  <si>
    <t>SCHEDULE 3</t>
  </si>
  <si>
    <t>SCHEDULE OF NONCASH GAINS/INCOME</t>
  </si>
  <si>
    <t>Balance at Beginning of Period</t>
  </si>
  <si>
    <t>Collections During Period</t>
  </si>
  <si>
    <t>Balance at End of Period</t>
  </si>
  <si>
    <t>Description of Non-cash Gains/Income (1)</t>
  </si>
  <si>
    <t>Deductions / Collections</t>
  </si>
  <si>
    <t>SCHEDULE 4</t>
  </si>
  <si>
    <t>SCHEDULE OF DELINQUENT LOANS AND INVESTMENTS</t>
  </si>
  <si>
    <t>Note (1) Days Past Due based on oldest delinquency.</t>
  </si>
  <si>
    <t xml:space="preserve">Delinquent Principal </t>
  </si>
  <si>
    <t>Delinquent Interest</t>
  </si>
  <si>
    <t>Date of Last Payment</t>
  </si>
  <si>
    <t>Amount of Last Payment</t>
  </si>
  <si>
    <t>Outstanding Principal Balance</t>
  </si>
  <si>
    <t>Amount Past Due</t>
  </si>
  <si>
    <t>Days Past Due (1)</t>
  </si>
  <si>
    <t xml:space="preserve"> Amount Past Due</t>
  </si>
  <si>
    <t xml:space="preserve">Days Past Due (1) </t>
  </si>
  <si>
    <t>Principal</t>
  </si>
  <si>
    <t>Interest</t>
  </si>
  <si>
    <t xml:space="preserve">Principal </t>
  </si>
  <si>
    <t xml:space="preserve">Interest </t>
  </si>
  <si>
    <t>Fair Market Value of Collateral</t>
  </si>
  <si>
    <t>SCHEDULE 5</t>
  </si>
  <si>
    <t>SCHEDULE OF COMMITMENTS</t>
  </si>
  <si>
    <t>Amount of Commitment</t>
  </si>
  <si>
    <t>Date Made</t>
  </si>
  <si>
    <t>Expiration Date</t>
  </si>
  <si>
    <t>Commitment Type</t>
  </si>
  <si>
    <t>SCHEDULE 6</t>
  </si>
  <si>
    <t>SCHEDULE OF GUARANTEES</t>
  </si>
  <si>
    <t>Guarantee Amount</t>
  </si>
  <si>
    <t>Name of Guaranteed Party</t>
  </si>
  <si>
    <t>SCHEDULE 7</t>
  </si>
  <si>
    <t>SCHEDULE OF CASH AND INVESTED IDLE FUNDS</t>
  </si>
  <si>
    <t>COMPLETE SCHEDULE ONLY IF LEVERAGED LICENSEE.</t>
  </si>
  <si>
    <t>I. U.S. GOVERNMENT OBLIGATIONS (direct or guaranteed)</t>
  </si>
  <si>
    <t xml:space="preserve"> Maturity Date</t>
  </si>
  <si>
    <t xml:space="preserve"> Amount</t>
  </si>
  <si>
    <t>II. REPURCHASE AGREEMENTS WITH FEDERALLY-INSURED INSTITUTION</t>
  </si>
  <si>
    <t xml:space="preserve">Name and Location of Financial Institution </t>
  </si>
  <si>
    <t>III. CERTIFICATES OF DEPOSIT ISSUED BY FEDERALLY-INSURED INSTITUTIONS</t>
  </si>
  <si>
    <t>IV. DEMAND DEPOSIT, MONEY MARKET, AND SAVING ACCOUNTS IN FEDERALLY-INSURED INSTITUTIONS</t>
  </si>
  <si>
    <t>V. OTHER CASH AND INVESTED IDLE FUNDS</t>
  </si>
  <si>
    <t xml:space="preserve">Description </t>
  </si>
  <si>
    <t>TOTAL CASH, CASH EQUIVALENTS AND IDLE FUNDS</t>
  </si>
  <si>
    <t>(total must agree with sum of lines 14 and 15, page 2P)</t>
  </si>
  <si>
    <t>Expand column if more distributions are needed.</t>
  </si>
  <si>
    <t>SCHEDULE 8</t>
  </si>
  <si>
    <t>DISTRIBUTION SCHEDULE</t>
  </si>
  <si>
    <t>Distributions Schedule</t>
  </si>
  <si>
    <t>FOR 3 MONTH PERIOD ENDED: 03/31/2022</t>
  </si>
  <si>
    <t>License No:</t>
  </si>
  <si>
    <t>A. SBA SHARE PERCENTAGE</t>
  </si>
  <si>
    <t>SBA's Share Percentage</t>
  </si>
  <si>
    <t xml:space="preserve">B.  </t>
  </si>
  <si>
    <t>DISTRIBUTIONS</t>
  </si>
  <si>
    <t>Distribution Date</t>
  </si>
  <si>
    <t>Accrued Interest Paid</t>
  </si>
  <si>
    <t>Annual Charge Paid</t>
  </si>
  <si>
    <t>Total Distributions After Accrued Interest &amp; Annual Charges</t>
  </si>
  <si>
    <t>SBA Share</t>
  </si>
  <si>
    <t>SBA Calculated Share</t>
  </si>
  <si>
    <t>Beginning SBA Leverage Balance</t>
  </si>
  <si>
    <t>Minimum Amount to SBA Leverage Redemption</t>
  </si>
  <si>
    <t>d.</t>
  </si>
  <si>
    <t>Amount to SBA Leverage</t>
  </si>
  <si>
    <t>e.</t>
  </si>
  <si>
    <t>Ending SBA Leverage Balance</t>
  </si>
  <si>
    <t>f.</t>
  </si>
  <si>
    <t>Beginning SBA Outstanding Commitments</t>
  </si>
  <si>
    <t>g.</t>
  </si>
  <si>
    <t>Minimum Amount of SBA Commitments to Cancel</t>
  </si>
  <si>
    <t>h.</t>
  </si>
  <si>
    <t>Amount of Commitments Being Cancelled</t>
  </si>
  <si>
    <t>i.</t>
  </si>
  <si>
    <t>Ending SBA Outstanding Commitments</t>
  </si>
  <si>
    <t>Distributions to Private Investors</t>
  </si>
  <si>
    <t>Amount Available to Private Investors</t>
  </si>
  <si>
    <t>Amount Distributed to Private Investors &amp; GP</t>
  </si>
  <si>
    <t>Amount to Carried Interest</t>
  </si>
  <si>
    <t>Amount to Investors After Carried Interest</t>
  </si>
  <si>
    <t xml:space="preserve">b.  </t>
  </si>
  <si>
    <t>Return of Capital Distributions</t>
  </si>
  <si>
    <t>Beginning Leverageable Capital</t>
  </si>
  <si>
    <t>Beginning Regulatory Capital</t>
  </si>
  <si>
    <t>Amount of 6.a.1 Distributed as Return of Capital</t>
  </si>
  <si>
    <t>Ending Leverageable Capital</t>
  </si>
  <si>
    <t>Ending Regulatory Capital</t>
  </si>
  <si>
    <t>c.  Amout of 6.a.1 Distributed as READ</t>
  </si>
  <si>
    <t>Corporate</t>
  </si>
  <si>
    <t>CERTIFICATIONS</t>
  </si>
  <si>
    <t>MANAGEMENT CERTIFICATION</t>
  </si>
  <si>
    <t>STATEMENTS AND SCHEDULES OMITTED:</t>
  </si>
  <si>
    <t>do hereby certify as follows:</t>
  </si>
  <si>
    <t>Total Assets:</t>
  </si>
  <si>
    <t>Net Income (Loss):</t>
  </si>
  <si>
    <t>Cash, Cash Equivalents, and Idle Funds at End of Period:</t>
  </si>
  <si>
    <t>CAUTION: By signing below, you are certifying as to the truth and accuracy of theFinancial Report in all respects, and acknowledging that officials in the Small Business Administration (SBA) will be relying on this certification. Knowingly making a false statement to or concealing a material fact from the SBA can lead to imprisonment of up to 30 years and/or a fine of up to $1,000,000 under 18 U.S.C. § 1014.</t>
  </si>
  <si>
    <t>Name:</t>
  </si>
  <si>
    <t>Signature:</t>
  </si>
  <si>
    <t>Title:</t>
  </si>
  <si>
    <t>Date:</t>
  </si>
  <si>
    <t>SECRETARY'S CERTIFICATION</t>
  </si>
  <si>
    <t>.</t>
  </si>
  <si>
    <t xml:space="preserve">Total Assets: </t>
  </si>
  <si>
    <t xml:space="preserve">Net Income (Loss): </t>
  </si>
  <si>
    <t>,</t>
  </si>
  <si>
    <t>Cash and Cash Equivalents and Idle Funds at End of Period:</t>
  </si>
  <si>
    <t>SCHEDULE 11</t>
  </si>
  <si>
    <t>UNAUDITED SBIC CUMULATIVE INVESTMENT</t>
  </si>
  <si>
    <t>Include all investments, both realized and unrealized, made by the SBIC since the fund commencement date or October 1, 1993, whichever is later. If historical information is unavailable in the</t>
  </si>
  <si>
    <t>format requested, you may omit (1) investments realized or written off on or before June 30, 2011, and (2) for investments held as of July 1, 2011, gross receipts received on or before June 30, 2011.</t>
  </si>
  <si>
    <t>Note 1 - Gross Receipts to Total Dollars Invested</t>
  </si>
  <si>
    <t>Note 2 - (Gross Receipts + GAAP Fair Market Value) to Total Dollars Invested</t>
  </si>
  <si>
    <t>Number of Portfolio Companies</t>
  </si>
  <si>
    <t>Number of Investments Since Inception</t>
  </si>
  <si>
    <t>Total Dollars Invested</t>
  </si>
  <si>
    <t>Gross Receipts Cash</t>
  </si>
  <si>
    <t>Gross Receipts Equity</t>
  </si>
  <si>
    <t>Cash Mult. See Note 1</t>
  </si>
  <si>
    <t>Mult. See Note 2</t>
  </si>
  <si>
    <t>O</t>
  </si>
  <si>
    <t>R</t>
  </si>
  <si>
    <t>S</t>
  </si>
  <si>
    <t>T</t>
  </si>
  <si>
    <t>U</t>
  </si>
  <si>
    <t>V</t>
  </si>
  <si>
    <t>W</t>
  </si>
  <si>
    <t>Gross Receipts</t>
  </si>
  <si>
    <t>* Columns I and J pulled from Schedule 1.</t>
  </si>
  <si>
    <t>CEO or Equivalent</t>
  </si>
  <si>
    <t>Date of 1st Investment</t>
  </si>
  <si>
    <t>Total Receipts</t>
  </si>
  <si>
    <t>Founder or Owner Race</t>
  </si>
  <si>
    <t>Founder or Owner Ethnicity</t>
  </si>
  <si>
    <t>Founder - Person with Disabilities</t>
  </si>
  <si>
    <t>CEO or Equivalent Veteran</t>
  </si>
  <si>
    <t>CEO or Equivalent Gender</t>
  </si>
  <si>
    <t>CEO or Equivalent Race</t>
  </si>
  <si>
    <t>CEO or Equivalent Ethnicity</t>
  </si>
  <si>
    <t>CEO or Equivalent Person - with Disabilities</t>
  </si>
  <si>
    <t>Date</t>
  </si>
  <si>
    <t xml:space="preserve">EXECUTIVE SUMMARY </t>
  </si>
  <si>
    <t>Strategy:</t>
  </si>
  <si>
    <t>Vintage Year</t>
  </si>
  <si>
    <t>2.  Number of active funds</t>
  </si>
  <si>
    <t>3.  Number of active portfolio companies</t>
  </si>
  <si>
    <t>4. Number of active and inactive funds</t>
  </si>
  <si>
    <t>6. Total number of investment professionals at the firm</t>
  </si>
  <si>
    <t>7. Total number of employees at the firm</t>
  </si>
  <si>
    <t>8. Does your firm have a formal diversity, equity, and inclusion policy?</t>
  </si>
  <si>
    <t>9. Does your firm have a formal ESG or Responsible Investing policy?</t>
  </si>
  <si>
    <t>10. Do you offer the following benefits to all full-time employees?</t>
  </si>
  <si>
    <t>a. 401(k) match or retirement savings</t>
  </si>
  <si>
    <t>b. Medical insurance</t>
  </si>
  <si>
    <t>c. Paid Family Leave</t>
  </si>
  <si>
    <t>d. Childcare services or reimbursement</t>
  </si>
  <si>
    <t>Private Investor</t>
  </si>
  <si>
    <t>SBA</t>
  </si>
  <si>
    <t>1.  Total commitments</t>
  </si>
  <si>
    <t>3.  Remaining commitments</t>
  </si>
  <si>
    <t>4.  Total number of portfolio company investments since inception (from Schedule 11)</t>
  </si>
  <si>
    <t>5.  Total amount of investments since inception (from Schedule 11)</t>
  </si>
  <si>
    <t>6.  Gross receipts/proceeds from investments since inception (from Schedule 11)</t>
  </si>
  <si>
    <t>7.  Gross distributions including carried interest</t>
  </si>
  <si>
    <t>8.  Amount of carried interest paid</t>
  </si>
  <si>
    <t>9.  Distributions to private investors net of carried interest and expenses</t>
  </si>
  <si>
    <t>10.  SBA Leverage Repayment</t>
  </si>
  <si>
    <t>11. GAAP Value of Remaining Loans and Investments (from Schedule 11)</t>
  </si>
  <si>
    <t>MOIC</t>
  </si>
  <si>
    <t>Net DPI</t>
  </si>
  <si>
    <t>Net RVPI</t>
  </si>
  <si>
    <t>Net TVPI</t>
  </si>
  <si>
    <t>Net IRR</t>
  </si>
  <si>
    <t xml:space="preserve">(Based on GAAP fund valuations and net to investors of expenses, </t>
  </si>
  <si>
    <t>fees, and carried interest)</t>
  </si>
  <si>
    <t>Total Invested:</t>
  </si>
  <si>
    <t>(Top 5 in descending order)</t>
  </si>
  <si>
    <t>Invested $</t>
  </si>
  <si>
    <t>%</t>
  </si>
  <si>
    <t xml:space="preserve">Note:  Detail for proceeds from income and exits and follow-on investments are on separate schedules.  </t>
  </si>
  <si>
    <t>I.  Capital &amp; Beginning Balances</t>
  </si>
  <si>
    <t>A.  Cash &amp; Cash Equivalents and Idle Funds Balance</t>
  </si>
  <si>
    <t>B.  Private Capital</t>
  </si>
  <si>
    <t>C.  SBA Leverage</t>
  </si>
  <si>
    <t>Total Private Capital Committed to Fund</t>
  </si>
  <si>
    <t>Total Private Capital Paid In</t>
  </si>
  <si>
    <t>Total SBA Leverage Drawn</t>
  </si>
  <si>
    <t>Total Return of Capital Distributions</t>
  </si>
  <si>
    <t>Total Redemptions</t>
  </si>
  <si>
    <t>Total READ Distributions</t>
  </si>
  <si>
    <t>Leverageable Capital Balance</t>
  </si>
  <si>
    <t>SBA Leverage Balance</t>
  </si>
  <si>
    <t>Unfunded Regulatory Commitments</t>
  </si>
  <si>
    <t>Unfunded SBA Leverage Commitments</t>
  </si>
  <si>
    <t>Regulatory Capital</t>
  </si>
  <si>
    <t>II.  Pro Forma Cash Flows</t>
  </si>
  <si>
    <t>Post</t>
  </si>
  <si>
    <t>Pro Forma</t>
  </si>
  <si>
    <t>In $</t>
  </si>
  <si>
    <t>A.  Cash Inflows</t>
  </si>
  <si>
    <t>1. Private Capital Draws (Paid In)</t>
  </si>
  <si>
    <t>2. SBA Leverage/Loan Draws</t>
  </si>
  <si>
    <t>3. Idle Interest &amp; Other Income</t>
  </si>
  <si>
    <t>4. Loan &amp; Investment Income/Proceeds (Sched A)</t>
  </si>
  <si>
    <t>See Wind Down Schedule A.</t>
  </si>
  <si>
    <t>5. Other Cash Inflows</t>
  </si>
  <si>
    <t>Total Cash Inflows</t>
  </si>
  <si>
    <t>B. Cash Outflows</t>
  </si>
  <si>
    <t>1.  Expenses</t>
  </si>
  <si>
    <t xml:space="preserve">a. Management Fees </t>
  </si>
  <si>
    <t>b. SBA Interest, Leverage Fees, &amp; Annual Charges</t>
  </si>
  <si>
    <t>c. Other Expenses</t>
  </si>
  <si>
    <t>d. Total Expenses</t>
  </si>
  <si>
    <t>2. Investment Follow-Ons (Sched B)</t>
  </si>
  <si>
    <t>See Wind Down Schedule B.</t>
  </si>
  <si>
    <t>3. Private Investor Distributions</t>
  </si>
  <si>
    <t>a. READ</t>
  </si>
  <si>
    <t>b. Return of Capital</t>
  </si>
  <si>
    <t>c. Total Distributions to Private Investors</t>
  </si>
  <si>
    <t>4.  SBA Leverage Redemptions</t>
  </si>
  <si>
    <t>5.  Other Cash Outflows</t>
  </si>
  <si>
    <t>Total Cash Outflows</t>
  </si>
  <si>
    <t>C.  NET CASH FLOW</t>
  </si>
  <si>
    <t>III. Ending Balances</t>
  </si>
  <si>
    <t>Leverageable Capital</t>
  </si>
  <si>
    <t xml:space="preserve">Cash &amp; Cash Equivalents &amp; Idle </t>
  </si>
  <si>
    <t>Unfunded Private Commitments</t>
  </si>
  <si>
    <t>Unfunded SBA Commitments</t>
  </si>
  <si>
    <t>Leverage Ratio</t>
  </si>
  <si>
    <t>Return Multiples</t>
  </si>
  <si>
    <t>Cumulative to LPs</t>
  </si>
  <si>
    <t>Distributions to Paid in Capital</t>
  </si>
  <si>
    <t>Distributions to Total Capital</t>
  </si>
  <si>
    <t xml:space="preserve">Cumulative SBA </t>
  </si>
  <si>
    <t>Distributions to Drawn Leverage</t>
  </si>
  <si>
    <t>Schedule A - SBIC Forecast Anticipated Income/Proceeds</t>
  </si>
  <si>
    <t>TOTALS</t>
  </si>
  <si>
    <t>Year First Invested</t>
  </si>
  <si>
    <t>Cost of Invest.</t>
  </si>
  <si>
    <t>468 SBA Approved Reported Value</t>
  </si>
  <si>
    <t>Anticipated Exit Type</t>
  </si>
  <si>
    <t>Anticipated Income/Exit Proceeds</t>
  </si>
  <si>
    <t>Timing of Likely Exit Income/Proceeds</t>
  </si>
  <si>
    <t>Minimum</t>
  </si>
  <si>
    <t>Maximum</t>
  </si>
  <si>
    <t>Likely</t>
  </si>
  <si>
    <t>468 SBA Reported Value</t>
  </si>
  <si>
    <t>Ant. Exit Type</t>
  </si>
  <si>
    <t>Thru end of Current Year</t>
  </si>
  <si>
    <t>Yr1</t>
  </si>
  <si>
    <t>Yr2</t>
  </si>
  <si>
    <t>PostYr2</t>
  </si>
  <si>
    <t>Schedule B - SBIC Forecast Financings</t>
  </si>
  <si>
    <t>Anticipated Follow-on Financings</t>
  </si>
  <si>
    <t>Timing of SBIC Follow-On</t>
  </si>
  <si>
    <t>Company Name</t>
  </si>
  <si>
    <t>Small Business Total Round/ Deal Size</t>
  </si>
  <si>
    <t>SBIC's Pro-Rata Investment</t>
  </si>
  <si>
    <t>SBIC Follow-on Participation</t>
  </si>
  <si>
    <t>Yr0</t>
  </si>
  <si>
    <t>Yr3</t>
  </si>
  <si>
    <t>SBA Leverage Metrics</t>
  </si>
  <si>
    <t>Expand rows to see how metrics are calculated.</t>
  </si>
  <si>
    <t>I.  Leverage Coverage Ratio (LCR)</t>
  </si>
  <si>
    <t>A.  SBA Leverage Balance (Form 468 Page 3, Line 31)</t>
  </si>
  <si>
    <t>B.  Recoverable Assets</t>
  </si>
  <si>
    <t>+</t>
  </si>
  <si>
    <t>Total Assets (Form 468 Page 2, Line 30)</t>
  </si>
  <si>
    <t>-</t>
  </si>
  <si>
    <t>Other Asset (Form 468 Page 2,Line 29)</t>
  </si>
  <si>
    <t>Total Liabilities (Form 468 Page 3, Line 41)</t>
  </si>
  <si>
    <t>Net Asset Value</t>
  </si>
  <si>
    <t>SBA Leverage Balance (Form 468 Pge 3, Line 31)</t>
  </si>
  <si>
    <t>Unfunded Regulatory Commitments (Form 468 Page 8, Part II, Line 2a)</t>
  </si>
  <si>
    <t>Total Recoverable Assets</t>
  </si>
  <si>
    <t>C.  Leverage Coverage Ratio = Total Recoverable Assets/SBA Leverage Balance</t>
  </si>
  <si>
    <t>II.  Capital Impairment Percentage (CIP)</t>
  </si>
  <si>
    <t>A.</t>
  </si>
  <si>
    <t>PRELIMINARY IMPAIRMENT TEST</t>
  </si>
  <si>
    <t xml:space="preserve">  Undistributed Net Realized Earnings (Deficit) (Form 468, Page 3, Line 51)</t>
  </si>
  <si>
    <t xml:space="preserve">  Includible Non-cash Gains (Form 468, Schedule 3, Box 8)</t>
  </si>
  <si>
    <t xml:space="preserve">  Undistributed Net Realized Earnings (Deficit) plus Includible Non-Cash Gains</t>
  </si>
  <si>
    <t xml:space="preserve">  Unrealized Gain (Loss) on Securities Held (Form 468, Page 3, Line 49)</t>
  </si>
  <si>
    <t>B.</t>
  </si>
  <si>
    <t>ADJUSTED UNREALIZED GAIN ON SECURITIES HELD</t>
  </si>
  <si>
    <t>UNREALIZED APPRECIATION ON:</t>
  </si>
  <si>
    <t>Publicly Traded and Marketable securities ["Class 1" - Form 468 Schedule 1)</t>
  </si>
  <si>
    <t>Non-Publicly Traded and Marketable securities which satisfy the requirements in Sec. 107.1840(d)(3) ["Class 2" - Form 468 Schedule 1)</t>
  </si>
  <si>
    <t>All other securities ["Class 3" = Total Appreciation from Form 468 Schedule 1 minus Class 1 and Class 2]</t>
  </si>
  <si>
    <t xml:space="preserve">  Unrealized Depreciation (Schedule 1)</t>
  </si>
  <si>
    <t xml:space="preserve">  "Class 1" appreciation not used to offset depreciation</t>
  </si>
  <si>
    <t>x 80% =</t>
  </si>
  <si>
    <t xml:space="preserve">  "Class 2" appreciation not used to offset depreciation</t>
  </si>
  <si>
    <t>x 50% =</t>
  </si>
  <si>
    <t xml:space="preserve">  Adjusted Unrealized Gain before estimated tax effects</t>
  </si>
  <si>
    <t>Less: Estimated future income taxes--if applicable*</t>
  </si>
  <si>
    <t>Less:  Class 1 or Class 2 Appreciation on pledged or encumbered securities (up to the amount of the related borrowing or obligation)*</t>
  </si>
  <si>
    <t>*Note:  SBA may evaluate and assess.</t>
  </si>
  <si>
    <t xml:space="preserve">  Adjusted Unrealized Gain on Securities Held</t>
  </si>
  <si>
    <t>III.</t>
  </si>
  <si>
    <t>CAPITAL IMPAIRMENT PERCENTAGE</t>
  </si>
  <si>
    <t>Undistributed Net Realized Earnings plus Includible Non-cash Gains</t>
  </si>
  <si>
    <t>Adjusted Unrealized Gain (Loss) on Securities Held</t>
  </si>
  <si>
    <t>Total (Line 15 + Line 16)</t>
  </si>
  <si>
    <t xml:space="preserve">  Regulatory Capital (excluding Treasury Stock, if any)  (Form 468, page 8 Part II, Line 6)</t>
  </si>
  <si>
    <t xml:space="preserve">  CAPITAL IMPAIRMENT PERCENTAGE</t>
  </si>
  <si>
    <t>IV.</t>
  </si>
  <si>
    <t xml:space="preserve">  MAXIMUM PERMISSIBLE CAPITAL IMPAIRMENT PERCENTAGE</t>
  </si>
  <si>
    <t xml:space="preserve">  If you are a Section 301(c) Licensee, enter C.  If you are a</t>
  </si>
  <si>
    <t xml:space="preserve">      Section 301(d) Licensee, enter D.</t>
  </si>
  <si>
    <t>c</t>
  </si>
  <si>
    <t>SECTION 301(d) LICENSEES SKIP LINES 21-26</t>
  </si>
  <si>
    <t xml:space="preserve">  SBA Leverage outstanding as of end of reporting period (Form 468 Page 3, Line 31)</t>
  </si>
  <si>
    <t xml:space="preserve">  Leverageable Capital as of end of reporting period (Form 468, page 8, Line 10)</t>
  </si>
  <si>
    <t>&gt;=67%</t>
  </si>
  <si>
    <t>&gt;=40%</t>
  </si>
  <si>
    <t>&lt; 40%</t>
  </si>
  <si>
    <t xml:space="preserve">  Leverage Percentage</t>
  </si>
  <si>
    <t xml:space="preserve">  Total portfolio investments at cost (Schedule 1)</t>
  </si>
  <si>
    <t xml:space="preserve">  Equity Capital Investments (Schedule 1)</t>
  </si>
  <si>
    <t xml:space="preserve">  Percentage of portfolio in Equity Capital Investments</t>
  </si>
  <si>
    <t xml:space="preserve">  Maximum Permissible Capital Impairment Percentage</t>
  </si>
  <si>
    <t>NAICS Search Tool.   Copy NAICS 2022 Code and Title Result into NAICS field</t>
  </si>
  <si>
    <t>(All)</t>
  </si>
  <si>
    <t>Row Labels</t>
  </si>
  <si>
    <t>111110:  Soybean Farming</t>
  </si>
  <si>
    <t xml:space="preserve">111120:  Oilseed (except Soybean) Farming </t>
  </si>
  <si>
    <t xml:space="preserve">111130:  Dry Pea and Bean Farming </t>
  </si>
  <si>
    <t>111140:  Wheat Farming</t>
  </si>
  <si>
    <t xml:space="preserve">111150:  Corn Farming </t>
  </si>
  <si>
    <t>111160:  Rice Farming</t>
  </si>
  <si>
    <t xml:space="preserve">111191:  Oilseed and Grain Combination Farming </t>
  </si>
  <si>
    <t xml:space="preserve">111199:  All Other Grain Farming </t>
  </si>
  <si>
    <t xml:space="preserve">111211:  Potato Farming </t>
  </si>
  <si>
    <t xml:space="preserve">111219:  Other Vegetable (except Potato) and Melon Farming </t>
  </si>
  <si>
    <t>111310:  Orange Groves</t>
  </si>
  <si>
    <t xml:space="preserve">111320:  Citrus (except Orange) Groves </t>
  </si>
  <si>
    <t xml:space="preserve">111331:  Apple Orchards </t>
  </si>
  <si>
    <t xml:space="preserve">111332:  Grape Vineyards </t>
  </si>
  <si>
    <t xml:space="preserve">111333:  Strawberry Farming </t>
  </si>
  <si>
    <t xml:space="preserve">111334:  Berry (except Strawberry) Farming </t>
  </si>
  <si>
    <t xml:space="preserve">111335:  Tree Nut Farming </t>
  </si>
  <si>
    <t xml:space="preserve">111336:  Fruit and Tree Nut Combination Farming </t>
  </si>
  <si>
    <t xml:space="preserve">111339:  Other Noncitrus Fruit Farming </t>
  </si>
  <si>
    <t xml:space="preserve">111411:  Mushroom Production </t>
  </si>
  <si>
    <t xml:space="preserve">111419:  Other Food Crops Grown Under Cover </t>
  </si>
  <si>
    <t xml:space="preserve">111421:  Nursery and Tree Production </t>
  </si>
  <si>
    <t xml:space="preserve">111422:  Floriculture Production </t>
  </si>
  <si>
    <t>111910:  Tobacco Farming</t>
  </si>
  <si>
    <t>111920:  Cotton Farming</t>
  </si>
  <si>
    <t>111930:  Sugarcane Farming</t>
  </si>
  <si>
    <t xml:space="preserve">111940:  Hay Farming </t>
  </si>
  <si>
    <t xml:space="preserve">111991:  Sugar Beet Farming </t>
  </si>
  <si>
    <t xml:space="preserve">111992:  Peanut Farming </t>
  </si>
  <si>
    <t xml:space="preserve">111998:  All Other Miscellaneous Crop Farming </t>
  </si>
  <si>
    <t xml:space="preserve">112111:  Beef Cattle Ranching and Farming </t>
  </si>
  <si>
    <t xml:space="preserve">112112:  Cattle Feedlots </t>
  </si>
  <si>
    <t>112120:  Dairy Cattle and Milk Production</t>
  </si>
  <si>
    <t xml:space="preserve">112130:  Dual-Purpose Cattle Ranching and Farming </t>
  </si>
  <si>
    <t xml:space="preserve">112210:  Hog and Pig Farming </t>
  </si>
  <si>
    <t xml:space="preserve">112310:  Chicken Egg Production </t>
  </si>
  <si>
    <t xml:space="preserve">112320:  Broilers and Other Meat Type Chicken Production </t>
  </si>
  <si>
    <t>112330:  Turkey Production</t>
  </si>
  <si>
    <t>112340:  Poultry Hatcheries</t>
  </si>
  <si>
    <t xml:space="preserve">112390:  Other Poultry Production </t>
  </si>
  <si>
    <t>112410:  Sheep Farming</t>
  </si>
  <si>
    <t>112420:  Goat Farming</t>
  </si>
  <si>
    <t xml:space="preserve">112511:  Finfish Farming and Fish Hatcheries </t>
  </si>
  <si>
    <t xml:space="preserve">112512:  Shellfish Farming </t>
  </si>
  <si>
    <t xml:space="preserve">112519:  Other Aquaculture </t>
  </si>
  <si>
    <t>112910:  Apiculture</t>
  </si>
  <si>
    <t>112920:  Horses and Other Equine Production</t>
  </si>
  <si>
    <t>112930:  Fur-Bearing Animal and Rabbit Production</t>
  </si>
  <si>
    <t xml:space="preserve">112990:  All Other Animal Production </t>
  </si>
  <si>
    <t>113110:  Timber Tract Operations</t>
  </si>
  <si>
    <t xml:space="preserve">113210:  Forest Nurseries and Gathering of Forest Products </t>
  </si>
  <si>
    <t xml:space="preserve">113310:  Logging </t>
  </si>
  <si>
    <t xml:space="preserve">114111:  Finfish Fishing </t>
  </si>
  <si>
    <t xml:space="preserve">114112:  Shellfish Fishing </t>
  </si>
  <si>
    <t xml:space="preserve">114119:  Other Marine Fishing </t>
  </si>
  <si>
    <t>114210:  Hunting and Trapping</t>
  </si>
  <si>
    <t xml:space="preserve">115111:  Cotton Ginning </t>
  </si>
  <si>
    <t xml:space="preserve">115112:  Soil Preparation, Planting, and Cultivating </t>
  </si>
  <si>
    <t xml:space="preserve">115113:  Crop Harvesting, Primarily by Machine </t>
  </si>
  <si>
    <t xml:space="preserve">115114:  Postharvest Crop Activities (except Cotton Ginning) </t>
  </si>
  <si>
    <t xml:space="preserve">115115:  Farm Labor Contractors and Crew Leaders </t>
  </si>
  <si>
    <t xml:space="preserve">115116:  Farm Management Services </t>
  </si>
  <si>
    <t>115210:  Support Activities for Animal Production</t>
  </si>
  <si>
    <t>115310:  Support Activities for Forestry</t>
  </si>
  <si>
    <t>211120:  Crude Petroleum Extraction </t>
  </si>
  <si>
    <t xml:space="preserve">211130:  Natural Gas Extraction </t>
  </si>
  <si>
    <t xml:space="preserve">212114:  Surface Coal Mining </t>
  </si>
  <si>
    <t xml:space="preserve">212115:  Underground Coal Mining </t>
  </si>
  <si>
    <t>212210:  Iron Ore Mining</t>
  </si>
  <si>
    <t xml:space="preserve">212220:  Gold Ore and Silver Ore Mining </t>
  </si>
  <si>
    <t xml:space="preserve">212230:  Copper, Nickel, Lead, and Zinc Mining </t>
  </si>
  <si>
    <t xml:space="preserve">212290:  Other Metal Ore Mining </t>
  </si>
  <si>
    <t xml:space="preserve">212311:  Dimension Stone Mining and Quarrying </t>
  </si>
  <si>
    <t xml:space="preserve">212312:  Crushed and Broken Limestone Mining and Quarrying </t>
  </si>
  <si>
    <t xml:space="preserve">212313:  Crushed and Broken Granite Mining and Quarrying </t>
  </si>
  <si>
    <t xml:space="preserve">212319:  Other Crushed and Broken Stone Mining and Quarrying </t>
  </si>
  <si>
    <t xml:space="preserve">212321:  Construction Sand and Gravel Mining </t>
  </si>
  <si>
    <t xml:space="preserve">212322:  Industrial Sand Mining </t>
  </si>
  <si>
    <t xml:space="preserve">212323:  Kaolin, Clay, and Ceramic and Refractory Minerals Mining </t>
  </si>
  <si>
    <t xml:space="preserve">212390:  Other Nonmetallic Mineral Mining and Quarrying </t>
  </si>
  <si>
    <t>213111:  Drilling Oil and Gas Wells</t>
  </si>
  <si>
    <t xml:space="preserve">213112:  Support Activities for Oil and Gas Operations </t>
  </si>
  <si>
    <t xml:space="preserve">213113:  Support Activities for Coal Mining </t>
  </si>
  <si>
    <t xml:space="preserve">213114:  Support Activities for Metal Mining </t>
  </si>
  <si>
    <t xml:space="preserve">213115:  Support Activities for Nonmetallic Minerals (except Fuels) Mining </t>
  </si>
  <si>
    <t xml:space="preserve">221111:  Hydroelectric Power Generation </t>
  </si>
  <si>
    <t xml:space="preserve">221112:  Fossil Fuel Electric Power Generation </t>
  </si>
  <si>
    <t xml:space="preserve">221113:  Nuclear Electric Power Generation </t>
  </si>
  <si>
    <t xml:space="preserve">221114:  Solar Electric Power Generation </t>
  </si>
  <si>
    <t xml:space="preserve">221115:  Wind Electric Power Generation </t>
  </si>
  <si>
    <t xml:space="preserve">221116:  Geothermal Electric Power Generation </t>
  </si>
  <si>
    <t xml:space="preserve">221117:  Biomass Electric Power Generation </t>
  </si>
  <si>
    <t xml:space="preserve">221118:  Other Electric Power Generation </t>
  </si>
  <si>
    <t xml:space="preserve">221121:  Electric Bulk Power Transmission and Control </t>
  </si>
  <si>
    <t xml:space="preserve">221122:  Electric Power Distribution </t>
  </si>
  <si>
    <t xml:space="preserve">221210:  Natural Gas Distribution </t>
  </si>
  <si>
    <t xml:space="preserve">221310:  Water Supply and Irrigation Systems </t>
  </si>
  <si>
    <t xml:space="preserve">221320:  Sewage Treatment Facilities </t>
  </si>
  <si>
    <t xml:space="preserve">221330:  Steam and Air-Conditioning Supply </t>
  </si>
  <si>
    <t xml:space="preserve">236115:  New Single-Family Housing Construction (except For-Sale Builders) </t>
  </si>
  <si>
    <t xml:space="preserve">236116:  New Multifamily Housing Construction (except For-Sale Builders) </t>
  </si>
  <si>
    <t xml:space="preserve">236117:  New Housing For-Sale Builders </t>
  </si>
  <si>
    <t xml:space="preserve">236118:  Residential Remodelers </t>
  </si>
  <si>
    <t xml:space="preserve">236210:  Industrial Building Construction </t>
  </si>
  <si>
    <t xml:space="preserve">236220:  Commercial and Institutional Building Construction </t>
  </si>
  <si>
    <t xml:space="preserve">237110:  Water and Sewer Line and Related Structures Construction </t>
  </si>
  <si>
    <t xml:space="preserve">237120:  Oil and Gas Pipeline and Related Structures Construction </t>
  </si>
  <si>
    <t xml:space="preserve">237130:  Power and Communication Line and Related Structures Construction </t>
  </si>
  <si>
    <t xml:space="preserve">237210:  Land Subdivision </t>
  </si>
  <si>
    <t xml:space="preserve">237310:  Highway, Street, and Bridge Construction </t>
  </si>
  <si>
    <t xml:space="preserve">237990:  Other Heavy and Civil Engineering Construction </t>
  </si>
  <si>
    <t xml:space="preserve">238110:  Poured Concrete Foundation and Structure Contractors </t>
  </si>
  <si>
    <t xml:space="preserve">238120:  Structural Steel and Precast Concrete Contractors </t>
  </si>
  <si>
    <t xml:space="preserve">238130:  Framing Contractors </t>
  </si>
  <si>
    <t xml:space="preserve">238140:  Masonry Contractors </t>
  </si>
  <si>
    <t xml:space="preserve">238150:  Glass and Glazing Contractors </t>
  </si>
  <si>
    <t xml:space="preserve">238160:  Roofing Contractors </t>
  </si>
  <si>
    <t xml:space="preserve">238170:  Siding Contractors </t>
  </si>
  <si>
    <t xml:space="preserve">238190:  Other Foundation, Structure, and Building Exterior Contractors </t>
  </si>
  <si>
    <t>238210:  Electrical Contractors and Other Wiring Installation Contractors</t>
  </si>
  <si>
    <t xml:space="preserve">238220:  Plumbing, Heating, and Air-Conditioning Contractors </t>
  </si>
  <si>
    <t xml:space="preserve">238290:  Other Building Equipment Contractors </t>
  </si>
  <si>
    <t xml:space="preserve">238310:  Drywall and Insulation Contractors </t>
  </si>
  <si>
    <t>238320:  Painting and Wall Covering Contractors</t>
  </si>
  <si>
    <t>238330:  Flooring Contractors</t>
  </si>
  <si>
    <t>238340:  Tile and Terrazzo Contractors</t>
  </si>
  <si>
    <t>238350:  Finish Carpentry Contractors</t>
  </si>
  <si>
    <t>238390:  Other Building Finishing Contractors</t>
  </si>
  <si>
    <t>238910:  Site Preparation Contractors</t>
  </si>
  <si>
    <t>238990:  All Other Specialty Trade Contractors</t>
  </si>
  <si>
    <t xml:space="preserve">311111:  Dog and Cat Food Manufacturing </t>
  </si>
  <si>
    <t xml:space="preserve">311119:  Other Animal Food Manufacturing </t>
  </si>
  <si>
    <t xml:space="preserve">311211:  Flour Milling </t>
  </si>
  <si>
    <t xml:space="preserve">311212:  Rice Milling </t>
  </si>
  <si>
    <t xml:space="preserve">311213:  Malt Manufacturing </t>
  </si>
  <si>
    <t xml:space="preserve">311221:  Wet Corn Milling and Starch Manufacturing </t>
  </si>
  <si>
    <t xml:space="preserve">311224:  Soybean and Other Oilseed Processing </t>
  </si>
  <si>
    <t xml:space="preserve">311225:  Fats and Oils Refining and Blending </t>
  </si>
  <si>
    <t>311230:  Breakfast Cereal Manufacturing</t>
  </si>
  <si>
    <t xml:space="preserve">311313:  Beet Sugar Manufacturing </t>
  </si>
  <si>
    <t xml:space="preserve">311314:  Cane Sugar Manufacturing </t>
  </si>
  <si>
    <t>311340:  Nonchocolate Confectionery Manufacturing</t>
  </si>
  <si>
    <t xml:space="preserve">311351:  Chocolate and Confectionery Manufacturing from Cacao Beans </t>
  </si>
  <si>
    <t xml:space="preserve">311352:  Confectionery Manufacturing from Purchased Chocolate </t>
  </si>
  <si>
    <t xml:space="preserve">311411:  Frozen Fruit, Juice, and Vegetable Manufacturing </t>
  </si>
  <si>
    <t xml:space="preserve">311412:  Frozen Specialty Food Manufacturing </t>
  </si>
  <si>
    <t xml:space="preserve">311421:  Fruit and Vegetable Canning </t>
  </si>
  <si>
    <t xml:space="preserve">311422:  Specialty Canning </t>
  </si>
  <si>
    <t xml:space="preserve">311423:  Dried and Dehydrated Food Manufacturing </t>
  </si>
  <si>
    <t xml:space="preserve">311511:  Fluid Milk Manufacturing </t>
  </si>
  <si>
    <t xml:space="preserve">311512:  Creamery Butter Manufacturing </t>
  </si>
  <si>
    <t xml:space="preserve">311513:  Cheese Manufacturing </t>
  </si>
  <si>
    <t xml:space="preserve">311514:  Dry, Condensed, and Evaporated Dairy Product Manufacturing </t>
  </si>
  <si>
    <t>311520:  Ice Cream and Frozen Dessert Manufacturing</t>
  </si>
  <si>
    <t xml:space="preserve">311611:  Animal (except Poultry) Slaughtering </t>
  </si>
  <si>
    <t xml:space="preserve">311612:  Meat Processed from Carcasses </t>
  </si>
  <si>
    <t xml:space="preserve">311613:  Rendering and Meat Byproduct Processing </t>
  </si>
  <si>
    <t xml:space="preserve">311615:  Poultry Processing </t>
  </si>
  <si>
    <t>311710:  Seafood Product Preparation and Packaging</t>
  </si>
  <si>
    <t xml:space="preserve">311811:  Retail Bakeries </t>
  </si>
  <si>
    <t xml:space="preserve">311812:  Commercial Bakeries </t>
  </si>
  <si>
    <t xml:space="preserve">311813:  Frozen Cakes, Pies, and Other Pastries Manufacturing </t>
  </si>
  <si>
    <t xml:space="preserve">311821:  Cookie and Cracker Manufacturing </t>
  </si>
  <si>
    <t xml:space="preserve">311824:  Dry Pasta, Dough, and Flour Mixes Manufacturing from Purchased Flour </t>
  </si>
  <si>
    <t>311830:  Tortilla Manufacturing</t>
  </si>
  <si>
    <t xml:space="preserve">311911:  Roasted Nuts and Peanut Butter Manufacturing </t>
  </si>
  <si>
    <t xml:space="preserve">311919:  Other Snack Food Manufacturing </t>
  </si>
  <si>
    <t xml:space="preserve">311920:  Coffee and Tea Manufacturing </t>
  </si>
  <si>
    <t>311930:  Flavoring Syrup and Concentrate Manufacturing</t>
  </si>
  <si>
    <t xml:space="preserve">311941:  Mayonnaise, Dressing, and Other Prepared Sauce Manufacturing </t>
  </si>
  <si>
    <t xml:space="preserve">311942:  Spice and Extract Manufacturing </t>
  </si>
  <si>
    <t xml:space="preserve">311991:  Perishable Prepared Food Manufacturing </t>
  </si>
  <si>
    <t xml:space="preserve">311999:  All Other Miscellaneous Food Manufacturing </t>
  </si>
  <si>
    <t xml:space="preserve">312111:  Soft Drink Manufacturing </t>
  </si>
  <si>
    <t xml:space="preserve">312112:  Bottled Water Manufacturing </t>
  </si>
  <si>
    <t xml:space="preserve">312113:  Ice Manufacturing </t>
  </si>
  <si>
    <t>312120:  Breweries</t>
  </si>
  <si>
    <t xml:space="preserve">312130:  Wineries </t>
  </si>
  <si>
    <t xml:space="preserve">312140:  Distilleries </t>
  </si>
  <si>
    <t xml:space="preserve">312230:  Tobacco Manufacturing </t>
  </si>
  <si>
    <t xml:space="preserve">313110:  Fiber, Yarn, and Thread Mills </t>
  </si>
  <si>
    <t>313210:  Broadwoven Fabric Mills</t>
  </si>
  <si>
    <t>313220:  Narrow Fabric Mills and Schiffli Machine Embroidery</t>
  </si>
  <si>
    <t>313230:  Nonwoven Fabric Mills</t>
  </si>
  <si>
    <t>313240:  Knit Fabric Mills</t>
  </si>
  <si>
    <t xml:space="preserve">313310:  Textile and Fabric Finishing Mills </t>
  </si>
  <si>
    <t>313320:  Fabric Coating Mills</t>
  </si>
  <si>
    <t>314110:  Carpet and Rug Mills</t>
  </si>
  <si>
    <t>314120:  Curtain and Linen Mills</t>
  </si>
  <si>
    <t xml:space="preserve">314910:  Textile Bag and Canvas Mills </t>
  </si>
  <si>
    <t xml:space="preserve">314994:  Rope, Cordage, Twine, Tire Cord, and Tire Fabric Mills </t>
  </si>
  <si>
    <t xml:space="preserve">314999:  All Other Miscellaneous Textile Product Mills </t>
  </si>
  <si>
    <t>315120:  Apparel Knitting Mills</t>
  </si>
  <si>
    <t xml:space="preserve">315210:  Cut and Sew Apparel Contractors </t>
  </si>
  <si>
    <t xml:space="preserve">315250:  Cut and Sew Apparel Manufacturing (except Contractors) </t>
  </si>
  <si>
    <t xml:space="preserve">315990:  Apparel Accessories and Other Apparel Manufacturing </t>
  </si>
  <si>
    <t>316110:  Leather and Hide Tanning and Finishing</t>
  </si>
  <si>
    <t xml:space="preserve">316210:  Footwear Manufacturing </t>
  </si>
  <si>
    <t xml:space="preserve">316990:  Other Leather and Allied Product Manufacturing </t>
  </si>
  <si>
    <t xml:space="preserve">321113:  Sawmills </t>
  </si>
  <si>
    <t xml:space="preserve">321114:  Wood Preservation </t>
  </si>
  <si>
    <t xml:space="preserve">321211:  Hardwood Veneer and Plywood Manufacturing </t>
  </si>
  <si>
    <t xml:space="preserve">321212:  Softwood Veneer and Plywood Manufacturing </t>
  </si>
  <si>
    <t xml:space="preserve">321215:  Engineered Wood Member Manufacturing </t>
  </si>
  <si>
    <t xml:space="preserve">321219:  Reconstituted Wood Product Manufacturing </t>
  </si>
  <si>
    <t xml:space="preserve">321911:  Wood Window and Door Manufacturing </t>
  </si>
  <si>
    <t xml:space="preserve">321912:  Cut Stock, Resawing Lumber, and Planing </t>
  </si>
  <si>
    <t xml:space="preserve">321918:  Other Millwork (including Flooring) </t>
  </si>
  <si>
    <t>321920:  Wood Container and Pallet Manufacturing</t>
  </si>
  <si>
    <t xml:space="preserve">321991:  Manufactured Home (Mobile Home) Manufacturing </t>
  </si>
  <si>
    <t xml:space="preserve">321992:  Prefabricated Wood Building Manufacturing </t>
  </si>
  <si>
    <t xml:space="preserve">321999:  All Other Miscellaneous Wood Product Manufacturing </t>
  </si>
  <si>
    <t xml:space="preserve">322110:  Pulp Mills </t>
  </si>
  <si>
    <t xml:space="preserve">322120:  Paper Mills </t>
  </si>
  <si>
    <t xml:space="preserve">322130:  Paperboard Mills </t>
  </si>
  <si>
    <t xml:space="preserve">322211:  Corrugated and Solid Fiber Box Manufacturing </t>
  </si>
  <si>
    <t xml:space="preserve">322212:  Folding Paperboard Box Manufacturing </t>
  </si>
  <si>
    <t xml:space="preserve">322219:  Other Paperboard Container Manufacturing </t>
  </si>
  <si>
    <t>322220:  Paper Bag and Coated and Treated Paper Manufacturing</t>
  </si>
  <si>
    <t>322230:  Stationery Product Manufacturing</t>
  </si>
  <si>
    <t xml:space="preserve">322291:  Sanitary Paper Product Manufacturing </t>
  </si>
  <si>
    <t xml:space="preserve">322299:  All Other Converted Paper Product Manufacturing </t>
  </si>
  <si>
    <t xml:space="preserve">323111:  Commercial Printing (except Screen and Books) </t>
  </si>
  <si>
    <t xml:space="preserve">323113:  Commercial Screen Printing </t>
  </si>
  <si>
    <t xml:space="preserve">323117:  Books Printing </t>
  </si>
  <si>
    <t>323120:  Support Activities for Printing</t>
  </si>
  <si>
    <t>324110:  Petroleum Refineries</t>
  </si>
  <si>
    <t xml:space="preserve">324121:  Asphalt Paving Mixture and Block Manufacturing </t>
  </si>
  <si>
    <t xml:space="preserve">324122:  Asphalt Shingle and Coating Materials Manufacturing </t>
  </si>
  <si>
    <t xml:space="preserve">324191:  Petroleum Lubricating Oil and Grease Manufacturing </t>
  </si>
  <si>
    <t xml:space="preserve">324199:  All Other Petroleum and Coal Products Manufacturing </t>
  </si>
  <si>
    <t>325110:  Petrochemical Manufacturing</t>
  </si>
  <si>
    <t>325120:  Industrial Gas Manufacturing</t>
  </si>
  <si>
    <t>325130:  Synthetic Dye and Pigment Manufacturing</t>
  </si>
  <si>
    <t xml:space="preserve">325180:  Other Basic Inorganic Chemical Manufacturing </t>
  </si>
  <si>
    <t xml:space="preserve">325193:  Ethyl Alcohol Manufacturing </t>
  </si>
  <si>
    <t xml:space="preserve">325194:  Cyclic Crude, Intermediate, and Gum and Wood Chemical Manufacturing </t>
  </si>
  <si>
    <t xml:space="preserve">325199:  All Other Basic Organic Chemical Manufacturing </t>
  </si>
  <si>
    <t xml:space="preserve">325211:  Plastics Material and Resin Manufacturing </t>
  </si>
  <si>
    <t xml:space="preserve">325212:  Synthetic Rubber Manufacturing </t>
  </si>
  <si>
    <t>325220:  Artificial and Synthetic Fibers and Filaments Manufacturing</t>
  </si>
  <si>
    <t xml:space="preserve">325311:  Nitrogenous Fertilizer Manufacturing </t>
  </si>
  <si>
    <t xml:space="preserve">325312:  Phosphatic Fertilizer Manufacturing </t>
  </si>
  <si>
    <t xml:space="preserve">325314:  Fertilizer (Mixing Only) Manufacturing </t>
  </si>
  <si>
    <t>325315:  Compost Manufacturing</t>
  </si>
  <si>
    <t>325320:  Pesticide and Other Agricultural Chemical Manufacturing</t>
  </si>
  <si>
    <t xml:space="preserve">325411:  Medicinal and Botanical Manufacturing </t>
  </si>
  <si>
    <t xml:space="preserve">325412:  Pharmaceutical Preparation Manufacturing </t>
  </si>
  <si>
    <t xml:space="preserve">325413:  In-Vitro Diagnostic Substance Manufacturing </t>
  </si>
  <si>
    <t xml:space="preserve">325414:  Biological Product (except Diagnostic) Manufacturing </t>
  </si>
  <si>
    <t>325510:  Paint and Coating Manufacturing</t>
  </si>
  <si>
    <t>325520:  Adhesive Manufacturing</t>
  </si>
  <si>
    <t xml:space="preserve">325611:  Soap and Other Detergent Manufacturing </t>
  </si>
  <si>
    <t xml:space="preserve">325612:  Polish and Other Sanitation Good Manufacturing </t>
  </si>
  <si>
    <t xml:space="preserve">325613:  Surface Active Agent Manufacturing </t>
  </si>
  <si>
    <t>325620:  Toilet Preparation Manufacturing</t>
  </si>
  <si>
    <t>325910:  Printing Ink Manufacturing</t>
  </si>
  <si>
    <t>325920:  Explosives Manufacturing</t>
  </si>
  <si>
    <t xml:space="preserve">325991:  Custom Compounding of Purchased Resins </t>
  </si>
  <si>
    <t xml:space="preserve">325992:  Photographic Film, Paper, Plate, Chemical, and Copy Toner Manufacturing </t>
  </si>
  <si>
    <t xml:space="preserve">325998:  All Other Miscellaneous Chemical Product and Preparation Manufacturing </t>
  </si>
  <si>
    <t xml:space="preserve">326111:  Plastics Bag and Pouch Manufacturing </t>
  </si>
  <si>
    <t xml:space="preserve">326112:  Plastics Packaging Film and Sheet (including Laminated) Manufacturing </t>
  </si>
  <si>
    <t xml:space="preserve">326113:  Unlaminated Plastics Film and Sheet (except Packaging) Manufacturing </t>
  </si>
  <si>
    <t xml:space="preserve">326121:  Unlaminated Plastics Profile Shape Manufacturing </t>
  </si>
  <si>
    <t xml:space="preserve">326122:  Plastics Pipe and Pipe Fitting Manufacturing </t>
  </si>
  <si>
    <t>326130:  Laminated Plastics Plate, Sheet (except Packaging), and Shape Manufacturing</t>
  </si>
  <si>
    <t>326140:  Polystyrene Foam Product Manufacturing</t>
  </si>
  <si>
    <t>326150:  Urethane and Other Foam Product (except Polystyrene) Manufacturing</t>
  </si>
  <si>
    <t>326160:  Plastics Bottle Manufacturing</t>
  </si>
  <si>
    <t xml:space="preserve">326191:  Plastics Plumbing Fixture Manufacturing </t>
  </si>
  <si>
    <t xml:space="preserve">326199:  All Other Plastics Product Manufacturing </t>
  </si>
  <si>
    <t xml:space="preserve">326211:  Tire Manufacturing (except Retreading) </t>
  </si>
  <si>
    <t xml:space="preserve">326212:  Tire Retreading </t>
  </si>
  <si>
    <t>326220:  Rubber and Plastics Hoses and Belting Manufacturing</t>
  </si>
  <si>
    <t xml:space="preserve">326291:  Rubber Product Manufacturing for Mechanical Use </t>
  </si>
  <si>
    <t xml:space="preserve">326299:  All Other Rubber Product Manufacturing </t>
  </si>
  <si>
    <t xml:space="preserve">327110:  Pottery, Ceramics, and Plumbing Fixture Manufacturing </t>
  </si>
  <si>
    <t xml:space="preserve">327120:  Clay Building Material and Refractories Manufacturing </t>
  </si>
  <si>
    <t xml:space="preserve">327211:  Flat Glass Manufacturing </t>
  </si>
  <si>
    <t xml:space="preserve">327212:  Other Pressed and Blown Glass and Glassware Manufacturing </t>
  </si>
  <si>
    <t xml:space="preserve">327213:  Glass Container Manufacturing </t>
  </si>
  <si>
    <t xml:space="preserve">327215:  Glass Product Manufacturing Made of Purchased Glass </t>
  </si>
  <si>
    <t>327310:  Cement Manufacturing</t>
  </si>
  <si>
    <t>327320:  Ready-Mix Concrete Manufacturing</t>
  </si>
  <si>
    <t xml:space="preserve">327331:  Concrete Block and Brick Manufacturing </t>
  </si>
  <si>
    <t xml:space="preserve">327332:  Concrete Pipe Manufacturing </t>
  </si>
  <si>
    <t xml:space="preserve">327390:  Other Concrete Product Manufacturing </t>
  </si>
  <si>
    <t>327410:  Lime Manufacturing</t>
  </si>
  <si>
    <t>327420:  Gypsum Product Manufacturing</t>
  </si>
  <si>
    <t>327910:  Abrasive Product Manufacturing</t>
  </si>
  <si>
    <t xml:space="preserve">327991:  Cut Stone and Stone Product Manufacturing </t>
  </si>
  <si>
    <t xml:space="preserve">327992:  Ground or Treated Mineral and Earth Manufacturing </t>
  </si>
  <si>
    <t xml:space="preserve">327993:  Mineral Wool Manufacturing </t>
  </si>
  <si>
    <t xml:space="preserve">327999:  All Other Miscellaneous Nonmetallic Mineral Product Manufacturing </t>
  </si>
  <si>
    <t xml:space="preserve">331110:  Iron and Steel Mills and Ferroalloy Manufacturing </t>
  </si>
  <si>
    <t>331210:  Iron and Steel Pipe and Tube Manufacturing from Purchased Steel</t>
  </si>
  <si>
    <t xml:space="preserve">331221:  Rolled Steel Shape Manufacturing </t>
  </si>
  <si>
    <t xml:space="preserve">331222:  Steel Wire Drawing </t>
  </si>
  <si>
    <t xml:space="preserve">331313:  Alumina Refining and Primary Aluminum Production </t>
  </si>
  <si>
    <t xml:space="preserve">331314:  Secondary Smelting and Alloying of Aluminum </t>
  </si>
  <si>
    <t xml:space="preserve">331315:  Aluminum Sheet, Plate, and Foil Manufacturing </t>
  </si>
  <si>
    <t xml:space="preserve">331318:  Other Aluminum Rolling, Drawing, and Extruding </t>
  </si>
  <si>
    <t xml:space="preserve">331410:  Nonferrous Metal (except Aluminum) Smelting and Refining </t>
  </si>
  <si>
    <t>331420:  Copper Rolling, Drawing, Extruding, and Alloying</t>
  </si>
  <si>
    <t xml:space="preserve">331491:  Nonferrous Metal (except Copper and Aluminum) Rolling, Drawing, and Extruding </t>
  </si>
  <si>
    <t xml:space="preserve">331492:  Secondary Smelting, Refining, and Alloying of Nonferrous Metal (except Copper and Aluminum) </t>
  </si>
  <si>
    <t xml:space="preserve">331511:  Iron Foundries </t>
  </si>
  <si>
    <t xml:space="preserve">331512:  Steel Investment Foundries </t>
  </si>
  <si>
    <t xml:space="preserve">331513:  Steel Foundries (except Investment) </t>
  </si>
  <si>
    <t xml:space="preserve">331523:  Nonferrous Metal Die-Casting Foundries </t>
  </si>
  <si>
    <t xml:space="preserve">331524:  Aluminum Foundries (except Die-Casting) </t>
  </si>
  <si>
    <t xml:space="preserve">331529:  Other Nonferrous Metal Foundries (except Die-Casting) </t>
  </si>
  <si>
    <t xml:space="preserve">332111:  Iron and Steel Forging </t>
  </si>
  <si>
    <t xml:space="preserve">332112:  Nonferrous Forging </t>
  </si>
  <si>
    <t xml:space="preserve">332114:  Custom Roll Forming </t>
  </si>
  <si>
    <t xml:space="preserve">332117:  Powder Metallurgy Part Manufacturing </t>
  </si>
  <si>
    <t xml:space="preserve">332119:  Metal Crown, Closure, and Other Metal Stamping (except Automotive) </t>
  </si>
  <si>
    <t xml:space="preserve">332215:  Metal Kitchen Cookware, Utensil, Cutlery, and Flatware (except Precious) Manufacturing </t>
  </si>
  <si>
    <t xml:space="preserve">332216:  Saw Blade and Handtool Manufacturing </t>
  </si>
  <si>
    <t xml:space="preserve">332311:  Prefabricated Metal Building and Component Manufacturing </t>
  </si>
  <si>
    <t xml:space="preserve">332312:  Fabricated Structural Metal Manufacturing </t>
  </si>
  <si>
    <t xml:space="preserve">332313:  Plate Work Manufacturing </t>
  </si>
  <si>
    <t xml:space="preserve">332321:  Metal Window and Door Manufacturing </t>
  </si>
  <si>
    <t xml:space="preserve">332322:  Sheet Metal Work Manufacturing </t>
  </si>
  <si>
    <t xml:space="preserve">332323:  Ornamental and Architectural Metal Work Manufacturing </t>
  </si>
  <si>
    <t>332410:  Power Boiler and Heat Exchanger Manufacturing</t>
  </si>
  <si>
    <t>332420:  Metal Tank (Heavy Gauge) Manufacturing</t>
  </si>
  <si>
    <t xml:space="preserve">332431:  Metal Can Manufacturing </t>
  </si>
  <si>
    <t xml:space="preserve">332439:  Other Metal Container Manufacturing </t>
  </si>
  <si>
    <t>332510:  Hardware Manufacturing</t>
  </si>
  <si>
    <t xml:space="preserve">332613:  Spring Manufacturing </t>
  </si>
  <si>
    <t xml:space="preserve">332618:  Other Fabricated Wire Product Manufacturing </t>
  </si>
  <si>
    <t>332710:  Machine Shops</t>
  </si>
  <si>
    <t xml:space="preserve">332721:  Precision Turned Product Manufacturing </t>
  </si>
  <si>
    <t xml:space="preserve">332722:  Bolt, Nut, Screw, Rivet, and Washer Manufacturing </t>
  </si>
  <si>
    <t xml:space="preserve">332811:  Metal Heat Treating </t>
  </si>
  <si>
    <t xml:space="preserve">332812:  Metal Coating, Engraving (except Jewelry and Silverware), and Allied Services to Manufacturers </t>
  </si>
  <si>
    <t xml:space="preserve">332813:  Electroplating, Plating, Polishing, Anodizing, and Coloring </t>
  </si>
  <si>
    <t xml:space="preserve">332911:  Industrial Valve Manufacturing </t>
  </si>
  <si>
    <t xml:space="preserve">332912:  Fluid Power Valve and Hose Fitting Manufacturing </t>
  </si>
  <si>
    <t xml:space="preserve">332913:  Plumbing Fixture Fitting and Trim Manufacturing </t>
  </si>
  <si>
    <t xml:space="preserve">332919:  Other Metal Valve and Pipe Fitting Manufacturing </t>
  </si>
  <si>
    <t>332991:  Ball and Roller Bearing Manufacturing</t>
  </si>
  <si>
    <t xml:space="preserve">332992:  Small Arms Ammunition Manufacturing </t>
  </si>
  <si>
    <t xml:space="preserve">332993:  Ammunition (except Small Arms) Manufacturing </t>
  </si>
  <si>
    <t xml:space="preserve">332994:  Small Arms, Ordnance, and Ordnance Accessories Manufacturing </t>
  </si>
  <si>
    <t xml:space="preserve">332996:  Fabricated Pipe and Pipe Fitting Manufacturing </t>
  </si>
  <si>
    <t xml:space="preserve">332999:  All Other Miscellaneous Fabricated Metal Product Manufacturing </t>
  </si>
  <si>
    <t xml:space="preserve">333111:  Farm Machinery and Equipment Manufacturing </t>
  </si>
  <si>
    <t xml:space="preserve">333112:  Lawn and Garden Tractor and Home Lawn and Garden Equipment Manufacturing </t>
  </si>
  <si>
    <t>333120:  Construction Machinery Manufacturing</t>
  </si>
  <si>
    <t xml:space="preserve">333131:  Mining Machinery and Equipment Manufacturing </t>
  </si>
  <si>
    <t xml:space="preserve">333132:  Oil and Gas Field Machinery and Equipment Manufacturing </t>
  </si>
  <si>
    <t xml:space="preserve">333241:  Food Product Machinery Manufacturing </t>
  </si>
  <si>
    <t xml:space="preserve">333242:  Semiconductor Machinery Manufacturing </t>
  </si>
  <si>
    <t xml:space="preserve">333243:  Sawmill, Woodworking, and Paper Machinery Manufacturing </t>
  </si>
  <si>
    <t xml:space="preserve">333248:  All Other Industrial Machinery Manufacturing </t>
  </si>
  <si>
    <t xml:space="preserve">333310:  Commercial and Service Industry Machinery Manufacturing </t>
  </si>
  <si>
    <t xml:space="preserve">333413:  Industrial and Commercial Fan and Blower and Air Purification Equipment Manufacturing </t>
  </si>
  <si>
    <t xml:space="preserve">333414:  Heating Equipment (except Warm Air Furnaces) Manufacturing </t>
  </si>
  <si>
    <t xml:space="preserve">333415:  Air-Conditioning and Warm Air Heating Equipment and Commercial and Industrial Refrigeration Equipment Manufacturing </t>
  </si>
  <si>
    <t xml:space="preserve">333511:  Industrial Mold Manufacturing </t>
  </si>
  <si>
    <t xml:space="preserve">333514:  Special Die and Tool, Die Set, Jig, and Fixture Manufacturing </t>
  </si>
  <si>
    <t xml:space="preserve">333515:  Cutting Tool and Machine Tool Accessory Manufacturing </t>
  </si>
  <si>
    <t xml:space="preserve">333517:  Machine Tool Manufacturing </t>
  </si>
  <si>
    <t xml:space="preserve">333519:  Rolling Mill and Other Metalworking Machinery Manufacturing </t>
  </si>
  <si>
    <t xml:space="preserve">333611:  Turbine and Turbine Generator Set Units Manufacturing </t>
  </si>
  <si>
    <t xml:space="preserve">333612:  Speed Changer, Industrial High-Speed Drive, and Gear Manufacturing </t>
  </si>
  <si>
    <t xml:space="preserve">333613:  Mechanical Power Transmission Equipment Manufacturing </t>
  </si>
  <si>
    <t xml:space="preserve">333618:  Other Engine Equipment Manufacturing </t>
  </si>
  <si>
    <t xml:space="preserve">333912:  Air and Gas Compressor Manufacturing </t>
  </si>
  <si>
    <t xml:space="preserve">333914:  Measuring, Dispensing, and Other Pumping Equipment Manufacturing </t>
  </si>
  <si>
    <t xml:space="preserve">333921:  Elevator and Moving Stairway Manufacturing </t>
  </si>
  <si>
    <t xml:space="preserve">333922:  Conveyor and Conveying Equipment Manufacturing </t>
  </si>
  <si>
    <t xml:space="preserve">333923:  Overhead Traveling Crane, Hoist, and Monorail System Manufacturing </t>
  </si>
  <si>
    <t xml:space="preserve">333924:  Industrial Truck, Tractor, Trailer, and Stacker Machinery Manufacturing </t>
  </si>
  <si>
    <t xml:space="preserve">333991:  Power-Driven Handtool Manufacturing </t>
  </si>
  <si>
    <t xml:space="preserve">333992:  Welding and Soldering Equipment Manufacturing </t>
  </si>
  <si>
    <t xml:space="preserve">333993:  Packaging Machinery Manufacturing </t>
  </si>
  <si>
    <t xml:space="preserve">333994:  Industrial Process Furnace and Oven Manufacturing </t>
  </si>
  <si>
    <t xml:space="preserve">333995:  Fluid Power Cylinder and Actuator Manufacturing </t>
  </si>
  <si>
    <t xml:space="preserve">333996:  Fluid Power Pump and Motor Manufacturing </t>
  </si>
  <si>
    <t xml:space="preserve">333998:  All Other Miscellaneous General Purpose Machinery Manufacturing </t>
  </si>
  <si>
    <t xml:space="preserve">334111:  Electronic Computer Manufacturing </t>
  </si>
  <si>
    <t xml:space="preserve">334112:  Computer Storage Device Manufacturing </t>
  </si>
  <si>
    <t xml:space="preserve">334118:  Computer Terminal and Other Computer Peripheral Equipment Manufacturing </t>
  </si>
  <si>
    <t>334210:  Telephone Apparatus Manufacturing</t>
  </si>
  <si>
    <t>334220:  Radio and Television Broadcasting and Wireless Communications Equipment Manufacturing</t>
  </si>
  <si>
    <t>334290:  Other Communications Equipment Manufacturing</t>
  </si>
  <si>
    <t>334310:  Audio and Video Equipment Manufacturing</t>
  </si>
  <si>
    <t xml:space="preserve">334412:  Bare Printed Circuit Board Manufacturing  </t>
  </si>
  <si>
    <t xml:space="preserve">334413:  Semiconductor and Related Device Manufacturing </t>
  </si>
  <si>
    <t xml:space="preserve">334416:  Capacitor, Resistor, Coil, Transformer, and Other Inductor Manufacturing </t>
  </si>
  <si>
    <t xml:space="preserve">334417:  Electronic Connector Manufacturing </t>
  </si>
  <si>
    <t xml:space="preserve">334418:  Printed Circuit Assembly (Electronic Assembly) Manufacturing </t>
  </si>
  <si>
    <t xml:space="preserve">334419:  Other Electronic Component Manufacturing </t>
  </si>
  <si>
    <t xml:space="preserve">334510:  Electromedical and Electrotherapeutic Apparatus Manufacturing </t>
  </si>
  <si>
    <t xml:space="preserve">334511:  Search, Detection, Navigation, Guidance, Aeronautical, and Nautical System and Instrument Manufacturing </t>
  </si>
  <si>
    <t xml:space="preserve">334512:  Automatic Environmental Control Manufacturing for Residential, Commercial, and Appliance Use </t>
  </si>
  <si>
    <t xml:space="preserve">334513:  Instruments and Related Products Manufacturing for Measuring, Displaying, and Controlling Industrial Process Variables </t>
  </si>
  <si>
    <t xml:space="preserve">334514:  Totalizing Fluid Meter and Counting Device Manufacturing </t>
  </si>
  <si>
    <t xml:space="preserve">334515:  Instrument Manufacturing for Measuring and Testing Electricity and Electrical Signals </t>
  </si>
  <si>
    <t xml:space="preserve">334516:  Analytical Laboratory Instrument Manufacturing </t>
  </si>
  <si>
    <t xml:space="preserve">334517:  Irradiation Apparatus Manufacturing </t>
  </si>
  <si>
    <t xml:space="preserve">334519:  Other Measuring and Controlling Device Manufacturing </t>
  </si>
  <si>
    <t xml:space="preserve">334610:  Manufacturing and Reproducing Magnetic and Optical Media </t>
  </si>
  <si>
    <t xml:space="preserve">335131:  Residential Electric Lighting Fixture Manufacturing </t>
  </si>
  <si>
    <t xml:space="preserve">335132:  Commercial, Industrial, and Institutional Electric Lighting Fixture Manufacturing </t>
  </si>
  <si>
    <t xml:space="preserve">335139:  Electric Lamp Bulb and Other Lighting Equipment Manufacturing </t>
  </si>
  <si>
    <t>335210:  Small Electrical Appliance Manufacturing</t>
  </si>
  <si>
    <t xml:space="preserve">335220:  Major Household Appliance Manufacturing </t>
  </si>
  <si>
    <t xml:space="preserve">335311:  Power, Distribution, and Specialty Transformer Manufacturing </t>
  </si>
  <si>
    <t xml:space="preserve">335312:  Motor and Generator Manufacturing </t>
  </si>
  <si>
    <t xml:space="preserve">335313:  Switchgear and Switchboard Apparatus Manufacturing </t>
  </si>
  <si>
    <t xml:space="preserve">335314:  Relay and Industrial Control Manufacturing </t>
  </si>
  <si>
    <t xml:space="preserve">335910:  Battery Manufacturing </t>
  </si>
  <si>
    <t xml:space="preserve">335921:  Fiber Optic Cable Manufacturing </t>
  </si>
  <si>
    <t xml:space="preserve">335929:  Other Communication and Energy Wire Manufacturing </t>
  </si>
  <si>
    <t xml:space="preserve">335931:  Current-Carrying Wiring Device Manufacturing </t>
  </si>
  <si>
    <t xml:space="preserve">335932:  Noncurrent-Carrying Wiring Device Manufacturing </t>
  </si>
  <si>
    <t xml:space="preserve">335991:  Carbon and Graphite Product Manufacturing </t>
  </si>
  <si>
    <t xml:space="preserve">335999:  All Other Miscellaneous Electrical Equipment and Component Manufacturing </t>
  </si>
  <si>
    <t xml:space="preserve">336110:  Automobile and Light Duty Motor Vehicle Manufacturing </t>
  </si>
  <si>
    <t>336120:  Heavy Duty Truck Manufacturing</t>
  </si>
  <si>
    <t xml:space="preserve">336211:  Motor Vehicle Body Manufacturing </t>
  </si>
  <si>
    <t xml:space="preserve">336212:  Truck Trailer Manufacturing </t>
  </si>
  <si>
    <t xml:space="preserve">336213:  Motor Home Manufacturing </t>
  </si>
  <si>
    <t xml:space="preserve">336214:  Travel Trailer and Camper Manufacturing </t>
  </si>
  <si>
    <t>336310:  Motor Vehicle Gasoline Engine and Engine Parts Manufacturing</t>
  </si>
  <si>
    <t>336320:  Motor Vehicle Electrical and Electronic Equipment Manufacturing</t>
  </si>
  <si>
    <t>336330:  Motor Vehicle Steering and Suspension Components (except Spring) Manufacturing</t>
  </si>
  <si>
    <t>336340:  Motor Vehicle Brake System Manufacturing</t>
  </si>
  <si>
    <t>336350:  Motor Vehicle Transmission and Power Train Parts Manufacturing</t>
  </si>
  <si>
    <t>336360:  Motor Vehicle Seating and Interior Trim Manufacturing</t>
  </si>
  <si>
    <t>336370:  Motor Vehicle Metal Stamping</t>
  </si>
  <si>
    <t>336390:  Other Motor Vehicle Parts Manufacturing</t>
  </si>
  <si>
    <t xml:space="preserve">336411:  Aircraft Manufacturing </t>
  </si>
  <si>
    <t xml:space="preserve">336412:  Aircraft Engine and Engine Parts Manufacturing </t>
  </si>
  <si>
    <t xml:space="preserve">336413:  Other Aircraft Parts and Auxiliary Equipment Manufacturing </t>
  </si>
  <si>
    <t xml:space="preserve">336414:  Guided Missile and Space Vehicle Manufacturing </t>
  </si>
  <si>
    <t xml:space="preserve">336415:  Guided Missile and Space Vehicle Propulsion Unit and Propulsion Unit Parts Manufacturing </t>
  </si>
  <si>
    <t xml:space="preserve">336419:  Other Guided Missile and Space Vehicle Parts and Auxiliary Equipment Manufacturing </t>
  </si>
  <si>
    <t>336510:  Railroad Rolling Stock Manufacturing</t>
  </si>
  <si>
    <t xml:space="preserve">336611:  Ship Building and Repairing </t>
  </si>
  <si>
    <t xml:space="preserve">336612:  Boat Building </t>
  </si>
  <si>
    <t xml:space="preserve">336991:  Motorcycle, Bicycle, and Parts Manufacturing </t>
  </si>
  <si>
    <t xml:space="preserve">336992:  Military Armored Vehicle, Tank, and Tank Component Manufacturing </t>
  </si>
  <si>
    <t xml:space="preserve">336999:  All Other Transportation Equipment Manufacturing </t>
  </si>
  <si>
    <t>337110:  Wood Kitchen Cabinet and Countertop Manufacturing</t>
  </si>
  <si>
    <t xml:space="preserve">337121:  Upholstered Household Furniture Manufacturing </t>
  </si>
  <si>
    <t xml:space="preserve">337122:  Nonupholstered Wood Household Furniture Manufacturing </t>
  </si>
  <si>
    <t xml:space="preserve">337126:  Household Furniture (except Wood and Upholstered) Manufacturing </t>
  </si>
  <si>
    <t xml:space="preserve">337127:  Institutional Furniture Manufacturing </t>
  </si>
  <si>
    <t xml:space="preserve">337211:  Wood Office Furniture Manufacturing </t>
  </si>
  <si>
    <t xml:space="preserve">337212:  Custom Architectural Woodwork and Millwork Manufacturing </t>
  </si>
  <si>
    <t xml:space="preserve">337214:  Office Furniture (except Wood) Manufacturing </t>
  </si>
  <si>
    <t xml:space="preserve">337215:  Showcase, Partition, Shelving, and Locker Manufacturing </t>
  </si>
  <si>
    <t>337910:  Mattress Manufacturing</t>
  </si>
  <si>
    <t>337920:  Blind and Shade Manufacturing</t>
  </si>
  <si>
    <t xml:space="preserve">339112:  Surgical and Medical Instrument Manufacturing </t>
  </si>
  <si>
    <t xml:space="preserve">339113:  Surgical Appliance and Supplies Manufacturing </t>
  </si>
  <si>
    <t xml:space="preserve">339114:  Dental Equipment and Supplies Manufacturing </t>
  </si>
  <si>
    <t xml:space="preserve">339115:  Ophthalmic Goods Manufacturing </t>
  </si>
  <si>
    <t xml:space="preserve">339116:  Dental Laboratories </t>
  </si>
  <si>
    <t xml:space="preserve">339910:  Jewelry and Silverware Manufacturing </t>
  </si>
  <si>
    <t>339920:  Sporting and Athletic Goods Manufacturing</t>
  </si>
  <si>
    <t>339930:  Doll, Toy, and Game Manufacturing</t>
  </si>
  <si>
    <t>339940:  Office Supplies (except Paper) Manufacturing</t>
  </si>
  <si>
    <t>339950:  Sign Manufacturing</t>
  </si>
  <si>
    <t xml:space="preserve">339991:  Gasket, Packing, and Sealing Device Manufacturing </t>
  </si>
  <si>
    <t xml:space="preserve">339992:  Musical Instrument Manufacturing </t>
  </si>
  <si>
    <t xml:space="preserve">339993:  Fastener, Button, Needle, and Pin Manufacturing </t>
  </si>
  <si>
    <t xml:space="preserve">339994:  Broom, Brush, and Mop Manufacturing </t>
  </si>
  <si>
    <t xml:space="preserve">339995:  Burial Casket Manufacturing </t>
  </si>
  <si>
    <t xml:space="preserve">339999:  All Other Miscellaneous Manufacturing </t>
  </si>
  <si>
    <t xml:space="preserve">423110:  Automobile and Other Motor Vehicle Merchant Wholesalers </t>
  </si>
  <si>
    <t xml:space="preserve">423120:  Motor Vehicle Supplies and New Parts Merchant Wholesalers </t>
  </si>
  <si>
    <t xml:space="preserve">423130:  Tire and Tube Merchant Wholesalers </t>
  </si>
  <si>
    <t xml:space="preserve">423140:  Motor Vehicle Parts (Used) Merchant Wholesalers </t>
  </si>
  <si>
    <t xml:space="preserve">423210:  Furniture Merchant Wholesalers </t>
  </si>
  <si>
    <t xml:space="preserve">423220:  Home Furnishing Merchant Wholesalers </t>
  </si>
  <si>
    <t xml:space="preserve">423310:  Lumber, Plywood, Millwork, and Wood Panel Merchant Wholesalers </t>
  </si>
  <si>
    <t xml:space="preserve">423320:  Brick, Stone, and Related Construction Material Merchant Wholesalers </t>
  </si>
  <si>
    <t xml:space="preserve">423330:  Roofing, Siding, and Insulation Material Merchant Wholesalers </t>
  </si>
  <si>
    <t xml:space="preserve">423390:  Other Construction Material Merchant Wholesalers </t>
  </si>
  <si>
    <t xml:space="preserve">423410:  Photographic Equipment and Supplies Merchant Wholesalers </t>
  </si>
  <si>
    <t xml:space="preserve">423420:  Office Equipment Merchant Wholesalers </t>
  </si>
  <si>
    <t xml:space="preserve">423430:  Computer and Computer Peripheral Equipment and Software Merchant Wholesalers </t>
  </si>
  <si>
    <t xml:space="preserve">423440:  Other Commercial Equipment Merchant Wholesalers </t>
  </si>
  <si>
    <t xml:space="preserve">423450:  Medical, Dental, and Hospital Equipment and Supplies Merchant Wholesalers </t>
  </si>
  <si>
    <t xml:space="preserve">423460:  Ophthalmic Goods Merchant Wholesalers </t>
  </si>
  <si>
    <t xml:space="preserve">423490:  Other Professional Equipment and Supplies Merchant Wholesalers </t>
  </si>
  <si>
    <t xml:space="preserve">423510:  Metal Service Centers and Other Metal Merchant Wholesalers </t>
  </si>
  <si>
    <t xml:space="preserve">423520:  Coal and Other Mineral and Ore Merchant Wholesalers </t>
  </si>
  <si>
    <t xml:space="preserve">423610:  Electrical Apparatus and Equipment, Wiring Supplies, and Related Equipment Merchant Wholesalers </t>
  </si>
  <si>
    <t xml:space="preserve">423620:  Household Appliances, Electric Housewares, and Consumer Electronics Merchant Wholesalers </t>
  </si>
  <si>
    <t xml:space="preserve">423690:  Other Electronic Parts and Equipment Merchant Wholesalers </t>
  </si>
  <si>
    <t xml:space="preserve">423710:  Hardware Merchant Wholesalers </t>
  </si>
  <si>
    <t xml:space="preserve">423720:  Plumbing and Heating Equipment and Supplies (Hydronics) Merchant Wholesalers </t>
  </si>
  <si>
    <t xml:space="preserve">423730:  Warm Air Heating and Air-Conditioning Equipment and Supplies Merchant Wholesalers </t>
  </si>
  <si>
    <t xml:space="preserve">423740:  Refrigeration Equipment and Supplies Merchant Wholesalers </t>
  </si>
  <si>
    <t xml:space="preserve">423810:  Construction and Mining (except Oil Well) Machinery and Equipment Merchant Wholesalers </t>
  </si>
  <si>
    <t xml:space="preserve">423820:  Farm and Garden Machinery and Equipment Merchant Wholesalers </t>
  </si>
  <si>
    <t xml:space="preserve">423830:  Industrial Machinery and Equipment Merchant Wholesalers </t>
  </si>
  <si>
    <t>423840:  Industrial Supplies Merchant Wholesalers</t>
  </si>
  <si>
    <t xml:space="preserve">423850:  Service Establishment Equipment and Supplies Merchant Wholesalers </t>
  </si>
  <si>
    <t xml:space="preserve">423860:  Transportation Equipment and Supplies (except Motor Vehicle) Merchant Wholesalers </t>
  </si>
  <si>
    <t xml:space="preserve">423910:  Sporting and Recreational Goods and Supplies Merchant Wholesalers </t>
  </si>
  <si>
    <t xml:space="preserve">423920:  Toy and Hobby Goods and Supplies Merchant Wholesalers </t>
  </si>
  <si>
    <t xml:space="preserve">423930:  Recyclable Material Merchant Wholesalers </t>
  </si>
  <si>
    <t xml:space="preserve">423940:  Jewelry, Watch, Precious Stone, and Precious Metal Merchant Wholesalers </t>
  </si>
  <si>
    <t xml:space="preserve">423990:  Other Miscellaneous Durable Goods Merchant Wholesalers </t>
  </si>
  <si>
    <t xml:space="preserve">424110:  Printing and Writing Paper Merchant Wholesalers </t>
  </si>
  <si>
    <t xml:space="preserve">424120:  Stationery and Office Supplies Merchant Wholesalers </t>
  </si>
  <si>
    <t xml:space="preserve">424130:  Industrial and Personal Service Paper Merchant Wholesalers </t>
  </si>
  <si>
    <t xml:space="preserve">424210:  Drugs and Druggists' Sundries Merchant Wholesalers </t>
  </si>
  <si>
    <t xml:space="preserve">424310:  Piece Goods, Notions, and Other Dry Goods Merchant Wholesalers </t>
  </si>
  <si>
    <t xml:space="preserve">424340:  Footwear Merchant Wholesalers </t>
  </si>
  <si>
    <t>424350:  Clothing and Clothing Accessories Merchant Wholesalers</t>
  </si>
  <si>
    <t xml:space="preserve">424410:  General Line Grocery Merchant Wholesalers </t>
  </si>
  <si>
    <t xml:space="preserve">424420:  Packaged Frozen Food Merchant Wholesalers </t>
  </si>
  <si>
    <t xml:space="preserve">424430:  Dairy Product (except Dried or Canned) Merchant Wholesalers </t>
  </si>
  <si>
    <t xml:space="preserve">424440:  Poultry and Poultry Product Merchant Wholesalers </t>
  </si>
  <si>
    <t xml:space="preserve">424450:  Confectionery Merchant Wholesalers </t>
  </si>
  <si>
    <t xml:space="preserve">424460:  Fish and Seafood Merchant Wholesalers </t>
  </si>
  <si>
    <t xml:space="preserve">424470:  Meat and Meat Product Merchant Wholesalers </t>
  </si>
  <si>
    <t xml:space="preserve">424480:  Fresh Fruit and Vegetable Merchant Wholesalers </t>
  </si>
  <si>
    <t xml:space="preserve">424490:  Other Grocery and Related Products Merchant Wholesalers </t>
  </si>
  <si>
    <t xml:space="preserve">424510:  Grain and Field Bean Merchant Wholesalers </t>
  </si>
  <si>
    <t xml:space="preserve">424520:  Livestock Merchant Wholesalers </t>
  </si>
  <si>
    <t xml:space="preserve">424590:  Other Farm Product Raw Material Merchant Wholesalers </t>
  </si>
  <si>
    <t xml:space="preserve">424610:  Plastics Materials and Basic Forms and Shapes Merchant Wholesalers </t>
  </si>
  <si>
    <t xml:space="preserve">424690:  Other Chemical and Allied Products Merchant Wholesalers </t>
  </si>
  <si>
    <t xml:space="preserve">424710:  Petroleum Bulk Stations and Terminals </t>
  </si>
  <si>
    <t xml:space="preserve">424720:  Petroleum and Petroleum Products Merchant Wholesalers (except Bulk Stations and Terminals) </t>
  </si>
  <si>
    <t xml:space="preserve">424810:  Beer and Ale Merchant Wholesalers </t>
  </si>
  <si>
    <t xml:space="preserve">424820:  Wine and Distilled Alcoholic Beverage Merchant Wholesalers </t>
  </si>
  <si>
    <t xml:space="preserve">424910:  Farm Supplies Merchant Wholesalers </t>
  </si>
  <si>
    <t xml:space="preserve">424920:  Book, Periodical, and Newspaper Merchant Wholesalers </t>
  </si>
  <si>
    <t xml:space="preserve">424930:  Flower, Nursery Stock, and Florists' Supplies Merchant Wholesalers </t>
  </si>
  <si>
    <t xml:space="preserve">424940:  Tobacco Product and Electronic Cigarette Merchant Wholesalers </t>
  </si>
  <si>
    <t xml:space="preserve">424950:  Paint, Varnish, and Supplies Merchant Wholesalers </t>
  </si>
  <si>
    <t xml:space="preserve">424990:  Other Miscellaneous Nondurable Goods Merchant Wholesalers </t>
  </si>
  <si>
    <t xml:space="preserve">425120:  Wholesale Trade Agents and Brokers </t>
  </si>
  <si>
    <t xml:space="preserve">441110:  New Car Dealers </t>
  </si>
  <si>
    <t xml:space="preserve">441120:  Used Car Dealers </t>
  </si>
  <si>
    <t xml:space="preserve">441210:  Recreational Vehicle Dealers </t>
  </si>
  <si>
    <t xml:space="preserve">441222:  Boat Dealers </t>
  </si>
  <si>
    <t xml:space="preserve">441227:  Motorcycle, ATV, and All Other Motor Vehicle Dealers </t>
  </si>
  <si>
    <t xml:space="preserve">441330:  Automotive Parts and Accessories Retailers </t>
  </si>
  <si>
    <t xml:space="preserve">441340:  Tire Dealers </t>
  </si>
  <si>
    <t xml:space="preserve">444110:  Home Centers </t>
  </si>
  <si>
    <t xml:space="preserve">444120:  Paint and Wallpaper Retailers </t>
  </si>
  <si>
    <t xml:space="preserve">444140:  Hardware Retailers </t>
  </si>
  <si>
    <t xml:space="preserve">444180:  Other Building Material Dealers </t>
  </si>
  <si>
    <t xml:space="preserve">444230:  Outdoor Power Equipment Retailers </t>
  </si>
  <si>
    <t xml:space="preserve">444240:  Nursery, Garden Center, and Farm Supply Retailers </t>
  </si>
  <si>
    <t xml:space="preserve">445110:  Supermarkets and Other Grocery Retailers (except Convenience Retailers) </t>
  </si>
  <si>
    <t xml:space="preserve">445131:  Convenience Retailers </t>
  </si>
  <si>
    <t xml:space="preserve">445132:  Vending Machine Operators </t>
  </si>
  <si>
    <t xml:space="preserve">445230:  Fruit and Vegetable Retailers </t>
  </si>
  <si>
    <t xml:space="preserve">445240:  Meat Retailers </t>
  </si>
  <si>
    <t xml:space="preserve">445250:  Fish and Seafood Retailers </t>
  </si>
  <si>
    <t xml:space="preserve">445291:  Baked Goods Retailers </t>
  </si>
  <si>
    <t xml:space="preserve">445292:  Confectionery and Nut Retailers </t>
  </si>
  <si>
    <t xml:space="preserve">445298:  All Other Specialty Food Retailers </t>
  </si>
  <si>
    <t xml:space="preserve">445320:  Beer, Wine, and Liquor Retailers </t>
  </si>
  <si>
    <t xml:space="preserve">449110:  Furniture Retailers </t>
  </si>
  <si>
    <t xml:space="preserve">449121:  Floor Covering Retailers </t>
  </si>
  <si>
    <t xml:space="preserve">449122:  Window Treatment Retailers </t>
  </si>
  <si>
    <t xml:space="preserve">449129:  All Other Home Furnishings Retailers </t>
  </si>
  <si>
    <t>449210:  Electronics and Appliance Retailers</t>
  </si>
  <si>
    <t xml:space="preserve">455110:  Department Stores </t>
  </si>
  <si>
    <t xml:space="preserve">455211:  Warehouse Clubs and Supercenters </t>
  </si>
  <si>
    <t xml:space="preserve">455219:  All Other General Merchandise Retailers </t>
  </si>
  <si>
    <t xml:space="preserve">456110:  Pharmacies and Drug Retailers </t>
  </si>
  <si>
    <t xml:space="preserve">456120:  Cosmetics, Beauty Supplies, and Perfume Retailers </t>
  </si>
  <si>
    <t xml:space="preserve">456130:  Optical Goods Retailers </t>
  </si>
  <si>
    <t xml:space="preserve">456191:  Food (Health) Supplement Retailers </t>
  </si>
  <si>
    <t xml:space="preserve">456199:  All Other Health and Personal Care Retailers </t>
  </si>
  <si>
    <t xml:space="preserve">457110:  Gasoline Stations with Convenience Stores </t>
  </si>
  <si>
    <t xml:space="preserve">457120:  Other Gasoline Stations </t>
  </si>
  <si>
    <t xml:space="preserve">457210:  Fuel Dealers </t>
  </si>
  <si>
    <t xml:space="preserve">458110:  Clothing and Clothing Accessories Retailers </t>
  </si>
  <si>
    <t xml:space="preserve">458210:  Shoe Retailers </t>
  </si>
  <si>
    <t xml:space="preserve">458310:  Jewelry Retailers </t>
  </si>
  <si>
    <t xml:space="preserve">458320:  Luggage and Leather Goods Retailers </t>
  </si>
  <si>
    <t xml:space="preserve">459110:  Sporting Goods Retailers </t>
  </si>
  <si>
    <t xml:space="preserve">459120:  Hobby, Toy, and Game Retailers </t>
  </si>
  <si>
    <t xml:space="preserve">459130:  Sewing, Needlework, and Piece Goods Retailers </t>
  </si>
  <si>
    <t xml:space="preserve">459140:  Musical Instrument and Supplies Retailers </t>
  </si>
  <si>
    <t xml:space="preserve">459210:  Book Retailers and News Dealers </t>
  </si>
  <si>
    <t xml:space="preserve">459310:  Florists </t>
  </si>
  <si>
    <t xml:space="preserve">459410:  Office Supplies and Stationery Retailers </t>
  </si>
  <si>
    <t xml:space="preserve">459420:  Gift, Novelty, and Souvenir Retailers </t>
  </si>
  <si>
    <t xml:space="preserve">459510:  Used Merchandise Retailers </t>
  </si>
  <si>
    <t xml:space="preserve">459910:  Pet and Pet Supplies Retailers </t>
  </si>
  <si>
    <t xml:space="preserve">459920:  Art Dealers </t>
  </si>
  <si>
    <t xml:space="preserve">459930:  Manufactured (Mobile) Home Dealers </t>
  </si>
  <si>
    <t xml:space="preserve">459991:  Tobacco, Electronic Cigarette, and Other Smoking Supplies Retailers </t>
  </si>
  <si>
    <t xml:space="preserve">459999:  All Other Miscellaneous Retailers </t>
  </si>
  <si>
    <t xml:space="preserve">481111:  Scheduled Passenger Air Transportation </t>
  </si>
  <si>
    <t xml:space="preserve">481112:  Scheduled Freight Air Transportation </t>
  </si>
  <si>
    <t xml:space="preserve">481211:  Nonscheduled Chartered Passenger Air Transportation </t>
  </si>
  <si>
    <t xml:space="preserve">481212:  Nonscheduled Chartered Freight Air Transportation </t>
  </si>
  <si>
    <t xml:space="preserve">481219:  Other Nonscheduled Air Transportation </t>
  </si>
  <si>
    <t xml:space="preserve">482111:  Line-Haul Railroads </t>
  </si>
  <si>
    <t xml:space="preserve">482112:  Short Line Railroads </t>
  </si>
  <si>
    <t xml:space="preserve">483111:  Deep Sea Freight Transportation </t>
  </si>
  <si>
    <t xml:space="preserve">483112:  Deep Sea Passenger Transportation </t>
  </si>
  <si>
    <t xml:space="preserve">483113:  Coastal and Great Lakes Freight Transportation </t>
  </si>
  <si>
    <t xml:space="preserve">483114:  Coastal and Great Lakes Passenger Transportation </t>
  </si>
  <si>
    <t xml:space="preserve">483211:  Inland Water Freight Transportation </t>
  </si>
  <si>
    <t xml:space="preserve">483212:  Inland Water Passenger Transportation </t>
  </si>
  <si>
    <t xml:space="preserve">484110:  General Freight Trucking, Local </t>
  </si>
  <si>
    <t xml:space="preserve">484121:  General Freight Trucking, Long-Distance, Truckload </t>
  </si>
  <si>
    <t xml:space="preserve">484122:  General Freight Trucking, Long-Distance, Less Than Truckload </t>
  </si>
  <si>
    <t>484210:  Used Household and Office Goods Moving</t>
  </si>
  <si>
    <t xml:space="preserve">484220:  Specialized Freight (except Used Goods) Trucking, Local </t>
  </si>
  <si>
    <t xml:space="preserve">484230:  Specialized Freight (except Used Goods) Trucking, Long-Distance </t>
  </si>
  <si>
    <t xml:space="preserve">485111:  Mixed Mode Transit Systems </t>
  </si>
  <si>
    <t xml:space="preserve">485112:  Commuter Rail Systems </t>
  </si>
  <si>
    <t xml:space="preserve">485113:  Bus and Other Motor Vehicle Transit Systems </t>
  </si>
  <si>
    <t xml:space="preserve">485119:  Other Urban Transit Systems </t>
  </si>
  <si>
    <t>485210:  Interurban and Rural Bus Transportation</t>
  </si>
  <si>
    <t xml:space="preserve">485310:  Taxi and Ridesharing Services </t>
  </si>
  <si>
    <t>485320:  Limousine Service</t>
  </si>
  <si>
    <t>485410:  School and Employee Bus Transportation</t>
  </si>
  <si>
    <t>485510:  Charter Bus Industry</t>
  </si>
  <si>
    <t xml:space="preserve">485991:  Special Needs Transportation </t>
  </si>
  <si>
    <t xml:space="preserve">485999:  All Other Transit and Ground Passenger Transportation </t>
  </si>
  <si>
    <t>486110:  Pipeline Transportation of Crude Oil</t>
  </si>
  <si>
    <t>486210:  Pipeline Transportation of Natural Gas</t>
  </si>
  <si>
    <t>486910:  Pipeline Transportation of Refined Petroleum Products</t>
  </si>
  <si>
    <t>486990:  All Other Pipeline Transportation</t>
  </si>
  <si>
    <t>487110:  Scenic and Sightseeing Transportation, Land</t>
  </si>
  <si>
    <t>487210:  Scenic and Sightseeing Transportation, Water</t>
  </si>
  <si>
    <t>487990:  Scenic and Sightseeing Transportation, Other</t>
  </si>
  <si>
    <t>488111:  Air Traffic Control</t>
  </si>
  <si>
    <t xml:space="preserve">488119:  Other Airport Operations </t>
  </si>
  <si>
    <t>488190:  Other Support Activities for Air Transportation</t>
  </si>
  <si>
    <t>488210:  Support Activities for Rail Transportation</t>
  </si>
  <si>
    <t>488310:  Port and Harbor Operations</t>
  </si>
  <si>
    <t>488320:  Marine Cargo Handling</t>
  </si>
  <si>
    <t xml:space="preserve">488330:  Navigational Services to Shipping </t>
  </si>
  <si>
    <t>488390:  Other Support Activities for Water Transportation</t>
  </si>
  <si>
    <t>488410:  Motor Vehicle Towing</t>
  </si>
  <si>
    <t xml:space="preserve">488490:  Other Support Activities for Road Transportation </t>
  </si>
  <si>
    <t xml:space="preserve">488510:  Freight Transportation Arrangement </t>
  </si>
  <si>
    <t xml:space="preserve">488991:  Packing and Crating </t>
  </si>
  <si>
    <t xml:space="preserve">488999:  All Other Support Activities for Transportation </t>
  </si>
  <si>
    <t>491110:  Postal Service</t>
  </si>
  <si>
    <t>492110:  Couriers and Express Delivery Services</t>
  </si>
  <si>
    <t>492210:  Local Messengers and Local Delivery</t>
  </si>
  <si>
    <t xml:space="preserve">493110:  General Warehousing and Storage </t>
  </si>
  <si>
    <t>493120:  Refrigerated Warehousing and Storage</t>
  </si>
  <si>
    <t>493130:  Farm Product Warehousing and Storage</t>
  </si>
  <si>
    <t>493190:  Other Warehousing and Storage</t>
  </si>
  <si>
    <t xml:space="preserve">512110:  Motion Picture and Video Production </t>
  </si>
  <si>
    <t>512120:  Motion Picture and Video Distribution</t>
  </si>
  <si>
    <t xml:space="preserve">512131:  Motion Picture Theaters (except Drive-Ins) </t>
  </si>
  <si>
    <t xml:space="preserve">512132:  Drive-In Motion Picture Theaters </t>
  </si>
  <si>
    <t xml:space="preserve">512191:  Teleproduction and Other Postproduction Services </t>
  </si>
  <si>
    <t xml:space="preserve">512199:  Other Motion Picture and Video Industries </t>
  </si>
  <si>
    <t>512230:  Music Publishers</t>
  </si>
  <si>
    <t>512240:  Sound Recording Studios</t>
  </si>
  <si>
    <t>512250:  Record Production and Distribution</t>
  </si>
  <si>
    <t>512290:  Other Sound Recording Industries</t>
  </si>
  <si>
    <t xml:space="preserve">513110:  Newspaper Publishers </t>
  </si>
  <si>
    <t xml:space="preserve">513120:  Periodical Publishers </t>
  </si>
  <si>
    <t xml:space="preserve">513130:  Book Publishers </t>
  </si>
  <si>
    <t xml:space="preserve">513140:  Directory and Mailing List Publishers </t>
  </si>
  <si>
    <t xml:space="preserve">513191:  Greeting Card Publishers </t>
  </si>
  <si>
    <t xml:space="preserve">513199:  All Other Publishers </t>
  </si>
  <si>
    <t>513210:  Software Publishers</t>
  </si>
  <si>
    <t xml:space="preserve">516110:  Radio Broadcasting Stations </t>
  </si>
  <si>
    <t xml:space="preserve">516120:  Television Broadcasting Stations </t>
  </si>
  <si>
    <t>516210:  Media Streaming Distribution Services, Social Networks, and Other Media Networks and Content Providers</t>
  </si>
  <si>
    <t xml:space="preserve">517111:  Wired Telecommunications Carriers </t>
  </si>
  <si>
    <t>517112:  Wireless Telecommunications Carriers (except Satellite)</t>
  </si>
  <si>
    <t>517121:  Telecommunications Resellers</t>
  </si>
  <si>
    <t>517122:  Agents for Wireless Telecommunications Services</t>
  </si>
  <si>
    <t>517410:  Satellite Telecommunications</t>
  </si>
  <si>
    <t xml:space="preserve">517810:  All Other Telecommunications </t>
  </si>
  <si>
    <t>518210:  Computing Infrastructure Providers, Data Processing, Web Hosting, and Related Services</t>
  </si>
  <si>
    <t xml:space="preserve">519210:  Libraries and Archives </t>
  </si>
  <si>
    <t>519290:  Web Search Portals and All Other Information Services</t>
  </si>
  <si>
    <t>521110:  Monetary Authorities-Central Bank</t>
  </si>
  <si>
    <t xml:space="preserve">522110:  Commercial Banking </t>
  </si>
  <si>
    <t xml:space="preserve">522130:  Credit Unions </t>
  </si>
  <si>
    <t xml:space="preserve">522180:  Savings Institutions and Other Depository Credit Intermediation </t>
  </si>
  <si>
    <t xml:space="preserve">522210:  Credit Card Issuing </t>
  </si>
  <si>
    <t xml:space="preserve">522220:  Sales Financing </t>
  </si>
  <si>
    <t xml:space="preserve">522291:  Consumer Lending </t>
  </si>
  <si>
    <t xml:space="preserve">522292:  Real Estate Credit </t>
  </si>
  <si>
    <t xml:space="preserve">522299:  International, Secondary Market, and All Other Nondepository Credit Intermediation </t>
  </si>
  <si>
    <t xml:space="preserve">522310:  Mortgage and Nonmortgage Loan Brokers </t>
  </si>
  <si>
    <t xml:space="preserve">522320:  Financial Transactions Processing, Reserve, and Clearinghouse Activities </t>
  </si>
  <si>
    <t xml:space="preserve">522390:  Other Activities Related to Credit Intermediation </t>
  </si>
  <si>
    <t xml:space="preserve">523150:  Investment Banking and Securities Intermediation </t>
  </si>
  <si>
    <t xml:space="preserve">523160:  Commodity Contracts Intermediation </t>
  </si>
  <si>
    <t>523210:  Securities and Commodity Exchanges</t>
  </si>
  <si>
    <t xml:space="preserve">523910:  Miscellaneous Intermediation </t>
  </si>
  <si>
    <t xml:space="preserve">523940:  Portfolio Management and Investment Advice </t>
  </si>
  <si>
    <t xml:space="preserve">523991:  Trust, Fiduciary, and Custody Activities </t>
  </si>
  <si>
    <t xml:space="preserve">523999:  Miscellaneous Financial Investment Activities </t>
  </si>
  <si>
    <t xml:space="preserve">524113:  Direct Life Insurance Carriers </t>
  </si>
  <si>
    <t xml:space="preserve">524114:  Direct Health and Medical Insurance Carriers </t>
  </si>
  <si>
    <t xml:space="preserve">524126:  Direct Property and Casualty Insurance Carriers </t>
  </si>
  <si>
    <t xml:space="preserve">524127:  Direct Title Insurance Carriers </t>
  </si>
  <si>
    <t xml:space="preserve">524128:  Other Direct Insurance (except Life, Health, and Medical) Carriers </t>
  </si>
  <si>
    <t xml:space="preserve">524130:  Reinsurance Carriers </t>
  </si>
  <si>
    <t xml:space="preserve">524210:  Insurance Agencies and Brokerages </t>
  </si>
  <si>
    <t xml:space="preserve">524291:  Claims Adjusting </t>
  </si>
  <si>
    <t xml:space="preserve">524292:  Pharmacy Benefit Management and Other Third Party Administration of Insurance and Pension Funds </t>
  </si>
  <si>
    <t xml:space="preserve">524298:  All Other Insurance Related Activities </t>
  </si>
  <si>
    <t xml:space="preserve">525110:  Pension Funds </t>
  </si>
  <si>
    <t xml:space="preserve">525120:  Health and Welfare Funds </t>
  </si>
  <si>
    <t xml:space="preserve">525190:  Other Insurance Funds </t>
  </si>
  <si>
    <t xml:space="preserve">525910:  Open-End Investment Funds </t>
  </si>
  <si>
    <t xml:space="preserve">525920:  Trusts, Estates, and Agency Accounts </t>
  </si>
  <si>
    <t xml:space="preserve">525990:  Other Financial Vehicles </t>
  </si>
  <si>
    <t xml:space="preserve">531110:  Lessors of Residential Buildings and Dwellings </t>
  </si>
  <si>
    <t xml:space="preserve">531120:  Lessors of Nonresidential Buildings (except Miniwarehouses) </t>
  </si>
  <si>
    <t xml:space="preserve">531130:  Lessors of Miniwarehouses and Self-Storage Units </t>
  </si>
  <si>
    <t xml:space="preserve">531190:  Lessors of Other Real Estate Property </t>
  </si>
  <si>
    <t>531210:  Offices of Real Estate Agents and Brokers</t>
  </si>
  <si>
    <t xml:space="preserve">531311:  Residential Property Managers </t>
  </si>
  <si>
    <t xml:space="preserve">531312:  Nonresidential Property Managers </t>
  </si>
  <si>
    <t xml:space="preserve">531320:  Offices of Real Estate Appraisers </t>
  </si>
  <si>
    <t xml:space="preserve">531390:  Other Activities Related to Real Estate </t>
  </si>
  <si>
    <t xml:space="preserve">532111:  Passenger Car Rental </t>
  </si>
  <si>
    <t xml:space="preserve">532112:  Passenger Car Leasing </t>
  </si>
  <si>
    <t xml:space="preserve">532120:  Truck, Utility Trailer, and RV (Recreational Vehicle) Rental and Leasing </t>
  </si>
  <si>
    <t>532210:  Consumer Electronics and Appliances Rental</t>
  </si>
  <si>
    <t>532281:  Formal Wear and Costume Rental</t>
  </si>
  <si>
    <t>532282:  Video Tape and Disc Rental</t>
  </si>
  <si>
    <t xml:space="preserve">532283:  Home Health Equipment Rental </t>
  </si>
  <si>
    <t xml:space="preserve">532284:  Recreational Goods Rental </t>
  </si>
  <si>
    <t xml:space="preserve">532289:  All Other Consumer Goods Rental </t>
  </si>
  <si>
    <t>532310:  General Rental Centers</t>
  </si>
  <si>
    <t xml:space="preserve">532411:  Commercial Air, Rail, and Water Transportation Equipment Rental and Leasing </t>
  </si>
  <si>
    <t xml:space="preserve">532412:  Construction, Mining, and Forestry Machinery and Equipment Rental and Leasing </t>
  </si>
  <si>
    <t>532420:  Office Machinery and Equipment Rental and Leasing</t>
  </si>
  <si>
    <t xml:space="preserve">532490:  Other Commercial and Industrial Machinery and Equipment Rental and Leasing </t>
  </si>
  <si>
    <t>533110:  Lessors of Nonfinancial Intangible Assets (except Copyrighted Works)</t>
  </si>
  <si>
    <t>541110:  Offices of Lawyers</t>
  </si>
  <si>
    <t>541120:  Offices of Notaries</t>
  </si>
  <si>
    <t xml:space="preserve">541191:  Title Abstract and Settlement Offices </t>
  </si>
  <si>
    <t xml:space="preserve">541199:  All Other Legal Services </t>
  </si>
  <si>
    <t xml:space="preserve">541211:  Offices of Certified Public Accountants </t>
  </si>
  <si>
    <t xml:space="preserve">541213:  Tax Preparation Services </t>
  </si>
  <si>
    <t xml:space="preserve">541214:  Payroll Services </t>
  </si>
  <si>
    <t xml:space="preserve">541219:  Other Accounting Services </t>
  </si>
  <si>
    <t>541310:  Architectural Services</t>
  </si>
  <si>
    <t>541320:  Landscape Architectural Services</t>
  </si>
  <si>
    <t>541330:  Engineering Services</t>
  </si>
  <si>
    <t>541340:  Drafting Services</t>
  </si>
  <si>
    <t>541350:  Building Inspection Services</t>
  </si>
  <si>
    <t>541360:  Geophysical Surveying and Mapping Services</t>
  </si>
  <si>
    <t>541370:  Surveying and Mapping (except Geophysical) Services</t>
  </si>
  <si>
    <t>541380:  Testing Laboratories and Services</t>
  </si>
  <si>
    <t>541410:  Interior Design Services</t>
  </si>
  <si>
    <t>541420:  Industrial Design Services</t>
  </si>
  <si>
    <t>541430:  Graphic Design Services</t>
  </si>
  <si>
    <t>541490:  Other Specialized Design Services</t>
  </si>
  <si>
    <t xml:space="preserve">541511:  Custom Computer Programming Services </t>
  </si>
  <si>
    <t xml:space="preserve">541512:  Computer Systems Design Services </t>
  </si>
  <si>
    <t xml:space="preserve">541513:  Computer Facilities Management Services </t>
  </si>
  <si>
    <t>541519:  Other Computer Related Services</t>
  </si>
  <si>
    <t xml:space="preserve">541611:  Administrative Management and General Management Consulting Services </t>
  </si>
  <si>
    <t xml:space="preserve">541612:  Human Resources Consulting Services </t>
  </si>
  <si>
    <t xml:space="preserve">541613:  Marketing Consulting Services </t>
  </si>
  <si>
    <t xml:space="preserve">541614:  Process, Physical Distribution, and Logistics Consulting Services </t>
  </si>
  <si>
    <t xml:space="preserve">541618:  Other Management Consulting Services </t>
  </si>
  <si>
    <t>541620:  Environmental Consulting Services</t>
  </si>
  <si>
    <t>541690:  Other Scientific and Technical Consulting Services</t>
  </si>
  <si>
    <t xml:space="preserve">541713:  Research and Development in Nanotechnology </t>
  </si>
  <si>
    <t>541714:  Research and Development in Biotechnology (except Nanobiotechnology)</t>
  </si>
  <si>
    <t xml:space="preserve">541715:  Research and Development in the Physical, Engineering, and Life Sciences (except Nanotechnology and Biotechnology) </t>
  </si>
  <si>
    <t xml:space="preserve">541720:  Research and Development in the Social Sciences and Humanities </t>
  </si>
  <si>
    <t>541810:  Advertising Agencies</t>
  </si>
  <si>
    <t>541820:  Public Relations Agencies</t>
  </si>
  <si>
    <t>541830:  Media Buying Agencies</t>
  </si>
  <si>
    <t>541840:  Media Representatives</t>
  </si>
  <si>
    <t>541850:  Indoor and Outdoor Display Advertising</t>
  </si>
  <si>
    <t>541860:  Direct Mail Advertising</t>
  </si>
  <si>
    <t>541870:  Advertising Material Distribution Services</t>
  </si>
  <si>
    <t xml:space="preserve">541890:  Other Services Related to Advertising </t>
  </si>
  <si>
    <t>541910:  Marketing Research and Public Opinion Polling</t>
  </si>
  <si>
    <t xml:space="preserve">541921:  Photography Studios, Portrait </t>
  </si>
  <si>
    <t xml:space="preserve">541922:  Commercial Photography </t>
  </si>
  <si>
    <t>541930:  Translation and Interpretation Services</t>
  </si>
  <si>
    <t xml:space="preserve">541940:  Veterinary Services </t>
  </si>
  <si>
    <t>541990:  All Other Professional, Scientific, and Technical Services</t>
  </si>
  <si>
    <t xml:space="preserve">551111:  Offices of Bank Holding Companies </t>
  </si>
  <si>
    <t xml:space="preserve">551112:  Offices of Other Holding Companies </t>
  </si>
  <si>
    <t xml:space="preserve">551114:  Corporate, Subsidiary, and Regional Managing Offices </t>
  </si>
  <si>
    <t>561110:  Office Administrative Services</t>
  </si>
  <si>
    <t>561210:  Facilities Support Services</t>
  </si>
  <si>
    <t xml:space="preserve">561311:  Employment Placement Agencies </t>
  </si>
  <si>
    <t xml:space="preserve">561312:  Executive Search Services </t>
  </si>
  <si>
    <t>561320:  Temporary Help Services</t>
  </si>
  <si>
    <t>561330:  Professional Employer Organizations</t>
  </si>
  <si>
    <t>561410:  Document Preparation Services</t>
  </si>
  <si>
    <t xml:space="preserve">561421:  Telephone Answering Services </t>
  </si>
  <si>
    <t xml:space="preserve">561422:  Telemarketing Bureaus and Other Contact Centers </t>
  </si>
  <si>
    <t xml:space="preserve">561431:  Private Mail Centers </t>
  </si>
  <si>
    <t xml:space="preserve">561439:  Other Business Service Centers (including Copy Shops) </t>
  </si>
  <si>
    <t>561440:  Collection Agencies</t>
  </si>
  <si>
    <t>561450:  Credit Bureaus</t>
  </si>
  <si>
    <t xml:space="preserve">561491:  Repossession Services </t>
  </si>
  <si>
    <t xml:space="preserve">561492:  Court Reporting and Stenotype Services </t>
  </si>
  <si>
    <t xml:space="preserve">561499:  All Other Business Support Services </t>
  </si>
  <si>
    <t>561510:  Travel Agencies</t>
  </si>
  <si>
    <t>561520:  Tour Operators</t>
  </si>
  <si>
    <t xml:space="preserve">561591:  Convention and Visitors Bureaus </t>
  </si>
  <si>
    <t xml:space="preserve">561599:  All Other Travel Arrangement and Reservation Services </t>
  </si>
  <si>
    <t xml:space="preserve">561611:  Investigation and Personal Background Check Services </t>
  </si>
  <si>
    <t xml:space="preserve">561612:  Security Guards and Patrol Services </t>
  </si>
  <si>
    <t xml:space="preserve">561613:  Armored Car Services </t>
  </si>
  <si>
    <t xml:space="preserve">561621:  Security Systems Services (except Locksmiths) </t>
  </si>
  <si>
    <t xml:space="preserve">561622:  Locksmiths </t>
  </si>
  <si>
    <t>561710:  Exterminating and Pest Control Services</t>
  </si>
  <si>
    <t xml:space="preserve">561720:  Janitorial Services </t>
  </si>
  <si>
    <t>561730:  Landscaping Services</t>
  </si>
  <si>
    <t>561740:  Carpet and Upholstery Cleaning Services</t>
  </si>
  <si>
    <t xml:space="preserve">561790:  Other Services to Buildings and Dwellings </t>
  </si>
  <si>
    <t>561910:  Packaging and Labeling Services</t>
  </si>
  <si>
    <t>561920:  Convention and Trade Show Organizers</t>
  </si>
  <si>
    <t>561990:  All Other Support Services</t>
  </si>
  <si>
    <t xml:space="preserve">562111:  Solid Waste Collection </t>
  </si>
  <si>
    <t xml:space="preserve">562112:  Hazardous Waste Collection </t>
  </si>
  <si>
    <t xml:space="preserve">562119:  Other Waste Collection </t>
  </si>
  <si>
    <t xml:space="preserve">562211:  Hazardous Waste Treatment and Disposal </t>
  </si>
  <si>
    <t xml:space="preserve">562212:  Solid Waste Landfill </t>
  </si>
  <si>
    <t xml:space="preserve">562213:  Solid Waste Combustors and Incinerators </t>
  </si>
  <si>
    <t xml:space="preserve">562219:  Other Nonhazardous Waste Treatment and Disposal </t>
  </si>
  <si>
    <t xml:space="preserve">562910:  Remediation Services </t>
  </si>
  <si>
    <t xml:space="preserve">562920:  Materials Recovery Facilities </t>
  </si>
  <si>
    <t xml:space="preserve">562991:  Septic Tank and Related Services </t>
  </si>
  <si>
    <t xml:space="preserve">562998:  All Other Miscellaneous Waste Management Services </t>
  </si>
  <si>
    <t xml:space="preserve">611110:  Elementary and Secondary Schools </t>
  </si>
  <si>
    <t xml:space="preserve">611210:  Junior Colleges </t>
  </si>
  <si>
    <t xml:space="preserve">611310:  Colleges, Universities, and Professional Schools </t>
  </si>
  <si>
    <t xml:space="preserve">611410:  Business and Secretarial Schools </t>
  </si>
  <si>
    <t xml:space="preserve">611420:  Computer Training </t>
  </si>
  <si>
    <t xml:space="preserve">611430:  Professional and Management Development Training </t>
  </si>
  <si>
    <t xml:space="preserve">611511:  Cosmetology and Barber Schools </t>
  </si>
  <si>
    <t xml:space="preserve">611512:  Flight Training </t>
  </si>
  <si>
    <t xml:space="preserve">611513:  Apprenticeship Training </t>
  </si>
  <si>
    <t xml:space="preserve">611519:  Other Technical and Trade Schools </t>
  </si>
  <si>
    <t xml:space="preserve">611610:  Fine Arts Schools </t>
  </si>
  <si>
    <t xml:space="preserve">611620:  Sports and Recreation Instruction </t>
  </si>
  <si>
    <t xml:space="preserve">611630:  Language Schools </t>
  </si>
  <si>
    <t xml:space="preserve">611691:  Exam Preparation and Tutoring </t>
  </si>
  <si>
    <t xml:space="preserve">611692:  Automobile Driving Schools </t>
  </si>
  <si>
    <t xml:space="preserve">611699:  All Other Miscellaneous Schools and Instruction </t>
  </si>
  <si>
    <t>611710:  Educational Support Services</t>
  </si>
  <si>
    <t xml:space="preserve">621111:  Offices of Physicians (except Mental Health Specialists) </t>
  </si>
  <si>
    <t xml:space="preserve">621112:  Offices of Physicians, Mental Health Specialists </t>
  </si>
  <si>
    <t xml:space="preserve">621210:  Offices of Dentists </t>
  </si>
  <si>
    <t xml:space="preserve">621310:  Offices of Chiropractors </t>
  </si>
  <si>
    <t>621320:  Offices of Optometrists</t>
  </si>
  <si>
    <t xml:space="preserve">621330:  Offices of Mental Health Practitioners (except Physicians) </t>
  </si>
  <si>
    <t xml:space="preserve">621340:  Offices of Physical, Occupational and Speech Therapists, and Audiologists </t>
  </si>
  <si>
    <t xml:space="preserve">621391:  Offices of Podiatrists </t>
  </si>
  <si>
    <t xml:space="preserve">621399:  Offices of All Other Miscellaneous Health Practitioners </t>
  </si>
  <si>
    <t xml:space="preserve">621410:  Family Planning Centers </t>
  </si>
  <si>
    <t xml:space="preserve">621420:  Outpatient Mental Health and Substance Abuse Centers </t>
  </si>
  <si>
    <t xml:space="preserve">621491:  HMO Medical Centers </t>
  </si>
  <si>
    <t xml:space="preserve">621492:  Kidney Dialysis Centers </t>
  </si>
  <si>
    <t xml:space="preserve">621493:  Freestanding Ambulatory Surgical and Emergency Centers </t>
  </si>
  <si>
    <t xml:space="preserve">621498:  All Other Outpatient Care Centers </t>
  </si>
  <si>
    <t xml:space="preserve">621511:  Medical Laboratories </t>
  </si>
  <si>
    <t xml:space="preserve">621512:  Diagnostic Imaging Centers </t>
  </si>
  <si>
    <t>621610:  Home Health Care Services</t>
  </si>
  <si>
    <t xml:space="preserve">621910:  Ambulance Services </t>
  </si>
  <si>
    <t xml:space="preserve">621991:  Blood and Organ Banks </t>
  </si>
  <si>
    <t xml:space="preserve">621999:  All Other Miscellaneous Ambulatory Health Care Services </t>
  </si>
  <si>
    <t xml:space="preserve">622110:  General Medical and Surgical Hospitals </t>
  </si>
  <si>
    <t xml:space="preserve">622210:  Psychiatric and Substance Abuse Hospitals </t>
  </si>
  <si>
    <t xml:space="preserve">622310:  Specialty (except Psychiatric and Substance Abuse) Hospitals </t>
  </si>
  <si>
    <t xml:space="preserve">623110:  Nursing Care Facilities (Skilled Nursing Facilities) </t>
  </si>
  <si>
    <t xml:space="preserve">623210:  Residential Intellectual and Developmental Disability Facilities </t>
  </si>
  <si>
    <t xml:space="preserve">623220:  Residential Mental Health and Substance Abuse Facilities </t>
  </si>
  <si>
    <t xml:space="preserve">623311:  Continuing Care Retirement Communities </t>
  </si>
  <si>
    <t xml:space="preserve">623312:  Assisted Living Facilities for the Elderly </t>
  </si>
  <si>
    <t xml:space="preserve">623990:  Other Residential Care Facilities </t>
  </si>
  <si>
    <t xml:space="preserve">624110:  Child and Youth Services </t>
  </si>
  <si>
    <t xml:space="preserve">624120:  Services for the Elderly and Persons with Disabilities </t>
  </si>
  <si>
    <t xml:space="preserve">624190:  Other Individual and Family Services </t>
  </si>
  <si>
    <t xml:space="preserve">624210:  Community Food Services </t>
  </si>
  <si>
    <t xml:space="preserve">624221:  Temporary Shelters </t>
  </si>
  <si>
    <t xml:space="preserve">624229:  Other Community Housing Services </t>
  </si>
  <si>
    <t xml:space="preserve">624230:  Emergency and Other Relief Services </t>
  </si>
  <si>
    <t xml:space="preserve">624310:  Vocational Rehabilitation Services </t>
  </si>
  <si>
    <t xml:space="preserve">624410:  Child Care Services </t>
  </si>
  <si>
    <t xml:space="preserve">711110:  Theater Companies and Dinner Theaters </t>
  </si>
  <si>
    <t xml:space="preserve">711120:  Dance Companies </t>
  </si>
  <si>
    <t xml:space="preserve">711130:  Musical Groups and Artists </t>
  </si>
  <si>
    <t xml:space="preserve">711190:  Other Performing Arts Companies </t>
  </si>
  <si>
    <t xml:space="preserve">711211:  Sports Teams and Clubs </t>
  </si>
  <si>
    <t xml:space="preserve">711212:  Racetracks </t>
  </si>
  <si>
    <t xml:space="preserve">711219:  Other Spectator Sports </t>
  </si>
  <si>
    <t xml:space="preserve">711310:  Promoters of Performing Arts, Sports, and Similar Events with Facilities </t>
  </si>
  <si>
    <t xml:space="preserve">711320:  Promoters of Performing Arts, Sports, and Similar Events without Facilities </t>
  </si>
  <si>
    <t>711410:  Agents and Managers for Artists, Athletes, Entertainers, and Other Public Figures</t>
  </si>
  <si>
    <t xml:space="preserve">711510:  Independent Artists, Writers, and Performers </t>
  </si>
  <si>
    <t xml:space="preserve">712110:  Museums </t>
  </si>
  <si>
    <t>712120:  Historical Sites</t>
  </si>
  <si>
    <t xml:space="preserve">712130:  Zoos and Botanical Gardens </t>
  </si>
  <si>
    <t>712190:  Nature Parks and Other Similar Institutions</t>
  </si>
  <si>
    <t xml:space="preserve">713110:  Amusement and Theme Parks </t>
  </si>
  <si>
    <t>713120:  Amusement Arcades</t>
  </si>
  <si>
    <t>713210:  Casinos (except Casino Hotels)</t>
  </si>
  <si>
    <t xml:space="preserve">713290:  Other Gambling Industries </t>
  </si>
  <si>
    <t>713910:  Golf Courses and Country Clubs</t>
  </si>
  <si>
    <t>713920:  Skiing Facilities</t>
  </si>
  <si>
    <t>713930:  Marinas</t>
  </si>
  <si>
    <t xml:space="preserve">713940:  Fitness and Recreational Sports Centers </t>
  </si>
  <si>
    <t>713950:  Bowling Centers</t>
  </si>
  <si>
    <t xml:space="preserve">713990:  All Other Amusement and Recreation Industries </t>
  </si>
  <si>
    <t xml:space="preserve">721110:  Hotels (except Casino Hotels) and Motels </t>
  </si>
  <si>
    <t>721120:  Casino Hotels</t>
  </si>
  <si>
    <t xml:space="preserve">721191:  Bed-and-Breakfast Inns </t>
  </si>
  <si>
    <t xml:space="preserve">721199:  All Other Traveler Accommodation </t>
  </si>
  <si>
    <t xml:space="preserve">721211:  RV (Recreational Vehicle) Parks and Campgrounds </t>
  </si>
  <si>
    <t xml:space="preserve">721214:  Recreational and Vacation Camps (except Campgrounds) </t>
  </si>
  <si>
    <t xml:space="preserve">721310:  Rooming and Boarding Houses, Dormitories, and Workers' Camps </t>
  </si>
  <si>
    <t>722310:  Food Service Contractors</t>
  </si>
  <si>
    <t>722320:  Caterers</t>
  </si>
  <si>
    <t>722330:  Mobile Food Services</t>
  </si>
  <si>
    <t xml:space="preserve">722410:  Drinking Places (Alcoholic Beverages) </t>
  </si>
  <si>
    <t xml:space="preserve">722511:  Full-Service Restaurants </t>
  </si>
  <si>
    <t xml:space="preserve">722513:  Limited-Service Restaurants </t>
  </si>
  <si>
    <t xml:space="preserve">722514:  Cafeterias, Grill Buffets, and Buffets </t>
  </si>
  <si>
    <t xml:space="preserve">722515:  Snack and Nonalcoholic Beverage Bars </t>
  </si>
  <si>
    <t xml:space="preserve">811111:  General Automotive Repair </t>
  </si>
  <si>
    <t xml:space="preserve">811114:  Specialized Automotive Repair </t>
  </si>
  <si>
    <t xml:space="preserve">811121:  Automotive Body, Paint, and Interior Repair and Maintenance </t>
  </si>
  <si>
    <t xml:space="preserve">811122:  Automotive Glass Replacement Shops </t>
  </si>
  <si>
    <t xml:space="preserve">811191:  Automotive Oil Change and Lubrication Shops </t>
  </si>
  <si>
    <t xml:space="preserve">811192:  Car Washes </t>
  </si>
  <si>
    <t xml:space="preserve">811198:  All Other Automotive Repair and Maintenance </t>
  </si>
  <si>
    <t xml:space="preserve">811210:  Electronic and Precision Equipment Repair and Maintenance </t>
  </si>
  <si>
    <t xml:space="preserve">811310:  Commercial and Industrial Machinery and Equipment (except Automotive and Electronic) Repair and Maintenance </t>
  </si>
  <si>
    <t xml:space="preserve">811411:  Home and Garden Equipment Repair and Maintenance </t>
  </si>
  <si>
    <t xml:space="preserve">811412:  Appliance Repair and Maintenance </t>
  </si>
  <si>
    <t>811420:  Reupholstery and Furniture Repair</t>
  </si>
  <si>
    <t>811430:  Footwear and Leather Goods Repair</t>
  </si>
  <si>
    <t xml:space="preserve">811490:  Other Personal and Household Goods Repair and Maintenance </t>
  </si>
  <si>
    <t xml:space="preserve">812111:  Barber Shops </t>
  </si>
  <si>
    <t xml:space="preserve">812112:  Beauty Salons </t>
  </si>
  <si>
    <t xml:space="preserve">812113:  Nail Salons </t>
  </si>
  <si>
    <t xml:space="preserve">812191:  Diet and Weight Reducing Centers </t>
  </si>
  <si>
    <t xml:space="preserve">812199:  Other Personal Care Services </t>
  </si>
  <si>
    <t xml:space="preserve">812210:  Funeral Homes and Funeral Services </t>
  </si>
  <si>
    <t xml:space="preserve">812220:  Cemeteries and Crematories </t>
  </si>
  <si>
    <t xml:space="preserve">812310:  Coin-Operated Laundries and Drycleaners </t>
  </si>
  <si>
    <t xml:space="preserve">812320:  Drycleaning and Laundry Services (except Coin-Operated) </t>
  </si>
  <si>
    <t xml:space="preserve">812331:  Linen Supply </t>
  </si>
  <si>
    <t xml:space="preserve">812332:  Industrial Launderers </t>
  </si>
  <si>
    <t xml:space="preserve">812910:  Pet Care (except Veterinary) Services </t>
  </si>
  <si>
    <t xml:space="preserve">812921:  Photofinishing Laboratories (except One-Hour) </t>
  </si>
  <si>
    <t xml:space="preserve">812922:  One-Hour Photofinishing </t>
  </si>
  <si>
    <t xml:space="preserve">812930:  Parking Lots and Garages </t>
  </si>
  <si>
    <t xml:space="preserve">812990:  All Other Personal Services </t>
  </si>
  <si>
    <t xml:space="preserve">813110:  Religious Organizations </t>
  </si>
  <si>
    <t xml:space="preserve">813211:  Grantmaking Foundations </t>
  </si>
  <si>
    <t xml:space="preserve">813212:  Voluntary Health Organizations </t>
  </si>
  <si>
    <t xml:space="preserve">813219:  Other Grantmaking and Giving Services </t>
  </si>
  <si>
    <t xml:space="preserve">813311:  Human Rights Organizations </t>
  </si>
  <si>
    <t xml:space="preserve">813312:  Environment, Conservation and Wildlife Organizations </t>
  </si>
  <si>
    <t xml:space="preserve">813319:  Other Social Advocacy Organizations </t>
  </si>
  <si>
    <t xml:space="preserve">813410:  Civic and Social Organizations </t>
  </si>
  <si>
    <t xml:space="preserve">813910:  Business Associations </t>
  </si>
  <si>
    <t xml:space="preserve">813920:  Professional Organizations </t>
  </si>
  <si>
    <t xml:space="preserve">813930:  Labor Unions and Similar Labor Organizations </t>
  </si>
  <si>
    <t xml:space="preserve">813940:  Political Organizations </t>
  </si>
  <si>
    <t xml:space="preserve">813990:  Other Similar Organizations (except Business, Professional, Labor, and Political Organizations) </t>
  </si>
  <si>
    <t>814110:  Private Households</t>
  </si>
  <si>
    <t xml:space="preserve">921110:  Executive Offices </t>
  </si>
  <si>
    <t xml:space="preserve">921120:  Legislative Bodies </t>
  </si>
  <si>
    <t xml:space="preserve">921130:  Public Finance Activities </t>
  </si>
  <si>
    <t xml:space="preserve">921140:  Executive and Legislative Offices, Combined </t>
  </si>
  <si>
    <t xml:space="preserve">921150:  American Indian and Alaska Native Tribal Governments </t>
  </si>
  <si>
    <t xml:space="preserve">921190:  Other General Government Support </t>
  </si>
  <si>
    <t xml:space="preserve">922110:  Courts </t>
  </si>
  <si>
    <t xml:space="preserve">922120:  Police Protection </t>
  </si>
  <si>
    <t xml:space="preserve">922130:  Legal Counsel and Prosecution </t>
  </si>
  <si>
    <t xml:space="preserve">922140:  Correctional Institutions </t>
  </si>
  <si>
    <t xml:space="preserve">922150:  Parole Offices and Probation Offices </t>
  </si>
  <si>
    <t xml:space="preserve">922160:  Fire Protection </t>
  </si>
  <si>
    <t xml:space="preserve">922190:  Other Justice, Public Order, and Safety Activities </t>
  </si>
  <si>
    <t xml:space="preserve">923110:  Administration of Education Programs </t>
  </si>
  <si>
    <t xml:space="preserve">923120:  Administration of Public Health Programs </t>
  </si>
  <si>
    <t xml:space="preserve">923130:  Administration of Human Resource Programs (except Education, Public Health, and Veterans' Affairs Programs) </t>
  </si>
  <si>
    <t xml:space="preserve">923140:  Administration of Veterans' Affairs </t>
  </si>
  <si>
    <t xml:space="preserve">924110:  Administration of Air and Water Resource and Solid Waste Management Programs </t>
  </si>
  <si>
    <t xml:space="preserve">924120:  Administration of Conservation Programs </t>
  </si>
  <si>
    <t xml:space="preserve">925110:  Administration of Housing Programs </t>
  </si>
  <si>
    <t xml:space="preserve">925120:  Administration of Urban Planning and Community and Rural Development </t>
  </si>
  <si>
    <t xml:space="preserve">926110:  Administration of General Economic Programs </t>
  </si>
  <si>
    <t xml:space="preserve">926120:  Regulation and Administration of Transportation Programs </t>
  </si>
  <si>
    <t xml:space="preserve">926130:  Regulation and Administration of Communications, Electric, Gas, and Other Utilities </t>
  </si>
  <si>
    <t xml:space="preserve">926140:  Regulation of Agricultural Marketing and Commodities </t>
  </si>
  <si>
    <t xml:space="preserve">926150:  Regulation, Licensing, and Inspection of Miscellaneous Commercial Sectors </t>
  </si>
  <si>
    <t xml:space="preserve">927110:  Space Research and Technology </t>
  </si>
  <si>
    <t xml:space="preserve">928110:  National Security </t>
  </si>
  <si>
    <t xml:space="preserve">928120:  International Affairs </t>
  </si>
  <si>
    <t>OPERATION PLAN UPDATE</t>
  </si>
  <si>
    <t>INSTRUCTIONS</t>
  </si>
  <si>
    <t>Any Licensee, which has SBA leverage outstanding or which expects to apply for leverage in the current fiscal year, must prepare an annual update of its plan of operations. The update must be submitted to SBA as an addenum to the Licensee's Annual Financial Report on Form 468. SBA will consider the information provided as part of its evaluation of the financial soundness of the Licensee, in accordance with the provisions of Section 406 of the Small Business Equity Enhancement Act.</t>
  </si>
  <si>
    <t>The plan update must include analysis and discussion of key events of the past year, as well as expectations for the current year. SBA expects that most Licensees will be able to provide the required information in a narrative of no more than 3 pages.</t>
  </si>
  <si>
    <t>Content of the Report</t>
  </si>
  <si>
    <t>1. For the fiscal year ended, the Licensee should discuss the following:</t>
  </si>
  <si>
    <t>a. Major positive and negative events which affected overall performance during the year, including exits / distributions / write- offs of investments; highlight any significant differences between last year's plan and actual performance.</t>
  </si>
  <si>
    <t>b. Any significant changes in the operations of the Licensee, such as changes in organizational structure, scope of operations, level or phase of investment activity, or types of investments being made.</t>
  </si>
  <si>
    <t>c. Any management changes.</t>
  </si>
  <si>
    <t>d. Any lawsuits or other events giving rise to contingent liabilities.</t>
  </si>
  <si>
    <t>2. For the current fiscal year, the Licensee should discuss the following:</t>
  </si>
  <si>
    <t>a. Levels of new and follow-on investment anticipated</t>
  </si>
  <si>
    <t>b. Anticipated exits/distributions/write-offs from investments</t>
  </si>
  <si>
    <t>c. Any material changes expected in investment strategy or portfolio composition</t>
  </si>
  <si>
    <t>d. Any material changes expected in overhead expenditures</t>
  </si>
  <si>
    <t>e. Any changes expected in management</t>
  </si>
  <si>
    <t>f. Any other anticipated events which may have a significant effect on Licensee's performance.</t>
  </si>
  <si>
    <t>3. If an SBIC is in Liquidation, wind-up or has been otherwise requested to provide a wind-up plan, the SBIC shall provide a wind-up plan as part of the Operating Plan Update. Per 13 CFR 107.590, SBICs in Operations must submit wind-up plans for SBA approval. After SBICs receive approval, they should provide updated windup plans on an annual basis as part of this Operating Plan Update (See attached supplement).</t>
  </si>
  <si>
    <t>Asset Type</t>
  </si>
  <si>
    <t>S8Dist</t>
  </si>
  <si>
    <t>Only required for Accrual and Reinvestor SBICs</t>
  </si>
  <si>
    <t>II. REGULATORY AND LEVERAGEABLE CAPITAL</t>
  </si>
  <si>
    <t>Description of underlying obligation of Small Business</t>
  </si>
  <si>
    <t xml:space="preserve">Is guarantee collateralized? </t>
  </si>
  <si>
    <t>a.      Firm Data</t>
  </si>
  <si>
    <t>1.  Assets under Management (including unfunded commitments)</t>
  </si>
  <si>
    <t>b.      Fund Level Data</t>
  </si>
  <si>
    <t xml:space="preserve">c.      Key  Valuation Metrics </t>
  </si>
  <si>
    <t xml:space="preserve">d.      Historical Fund Performance </t>
  </si>
  <si>
    <t>5. Firm established year</t>
  </si>
  <si>
    <t>2.  Total calls/draws since inception</t>
  </si>
  <si>
    <t xml:space="preserve">e.      Portfolio breakdown of total invested capital to-date by industry, asset type, location, and stage invested. </t>
  </si>
  <si>
    <t>f.     Annual Narrative</t>
  </si>
  <si>
    <t>Has SBA Approved Wind-Down Plan?</t>
  </si>
  <si>
    <t>SBA Form 468 Wind-Down Plan Supplement</t>
  </si>
  <si>
    <t>Schedule 10:  SBIC Licensee Customer Relationship Management Information</t>
  </si>
  <si>
    <t>Schedule 8:  Accrual and Reinvestor SBIC Distribution Schedule (Note 1)</t>
  </si>
  <si>
    <t>1. Schedule 8 is only required for Accrual and Reinvestor SBICs.  It should be completed as distributions are made and checked against statement of partners' capital.</t>
  </si>
  <si>
    <t>Accrual/Reinvestor SBIC ONLY</t>
  </si>
  <si>
    <t>Non-Cash Gain included in Cost at End of Period</t>
  </si>
  <si>
    <t xml:space="preserve">Median Salary </t>
  </si>
  <si>
    <t>Average Employee Tenure (years)</t>
  </si>
  <si>
    <t>**Reinvestor SBICs use Appendix B for underlying funds demographic information and portfolio company jobs data. Do not complete via this form.</t>
  </si>
  <si>
    <t>Jobs Data**</t>
  </si>
  <si>
    <t>Voluntary Demographic Information**</t>
  </si>
  <si>
    <t xml:space="preserve"> Founder or Owner Gender</t>
  </si>
  <si>
    <t>*Owner defined as ownership &gt;50% equity shares in the company.</t>
  </si>
  <si>
    <t>Founder and/or Majority Owner*</t>
  </si>
  <si>
    <t>Founder or Owner Veteran</t>
  </si>
  <si>
    <t>Full-time Employees #</t>
  </si>
  <si>
    <t>Part-time Employees #</t>
  </si>
  <si>
    <t>Total # of Employees</t>
  </si>
  <si>
    <t># of Employees with Company Equity Ownership</t>
  </si>
  <si>
    <t>Net Employee Count Increase/Decrease in last 12 months</t>
  </si>
  <si>
    <t>CAUTION: By signing below, you are certifying as to the truth and accuracy of the Financial Report in all respects, and acknowledging that officials in the Small Business Administration (SBA) will be relying on this certification. Knowingly making a false statement to or concealing a material fact from the SBA can lead to imprisonment of up to 30 years and/or a fine of up to $1,000,000 under 18 U.S.C. § 1014. 
The undersigned certifies that the attached SBA Form 468 was prepared using the MS Excel Workbook Form provided by SBA, without modification to any aspect of that Form and the formulae contained therein, other than the addition of Licensee data and information (as contemplated by the instructions provided by SBA).</t>
  </si>
  <si>
    <r>
      <t>Broilers and Other Meat Type Chicken Production</t>
    </r>
    <r>
      <rPr>
        <sz val="9"/>
        <color indexed="8"/>
        <rFont val="Verdana"/>
        <family val="2"/>
      </rPr>
      <t xml:space="preserve"> </t>
    </r>
  </si>
  <si>
    <r>
      <t>Textile and Fabric Finishing Mills</t>
    </r>
    <r>
      <rPr>
        <sz val="9"/>
        <color indexed="8"/>
        <rFont val="Verdana"/>
        <family val="2"/>
      </rPr>
      <t xml:space="preserve"> </t>
    </r>
  </si>
  <si>
    <r>
      <t>Executive Search Services</t>
    </r>
    <r>
      <rPr>
        <sz val="9"/>
        <color indexed="8"/>
        <rFont val="Verdana"/>
        <family val="2"/>
      </rPr>
      <t xml:space="preserve"> </t>
    </r>
  </si>
  <si>
    <r>
      <t>Telephone Answering Services</t>
    </r>
    <r>
      <rPr>
        <sz val="9"/>
        <color indexed="8"/>
        <rFont val="Verdana"/>
        <family val="2"/>
      </rPr>
      <t xml:space="preserve"> </t>
    </r>
  </si>
  <si>
    <t>Convertible Note (Equity)</t>
  </si>
  <si>
    <t>Revenue-Based Investment (Loan)</t>
  </si>
  <si>
    <t>Royalty (Debt)</t>
  </si>
  <si>
    <t>SAFE Note (Equity)</t>
  </si>
  <si>
    <t>Unitranche Debt</t>
  </si>
  <si>
    <t>LP Interest (Equity)</t>
  </si>
  <si>
    <t>Line of Credit (Loan)</t>
  </si>
  <si>
    <t>Common Stock (Equity)</t>
  </si>
  <si>
    <t>Preferred Stock (Equity)</t>
  </si>
  <si>
    <t>Participation Interest (Equity)</t>
  </si>
  <si>
    <t>Option (Debt)</t>
  </si>
  <si>
    <t>Equity Capital Investment</t>
  </si>
  <si>
    <t>Amount of "includible non-cash gains" for Capital Impairment</t>
  </si>
  <si>
    <t>Total Private Capital Commitment</t>
  </si>
  <si>
    <t>Total SBA Intended Leverage Commitment</t>
  </si>
  <si>
    <r>
      <t xml:space="preserve">For the fiscal year ended, the Licensee should discuss the following:
</t>
    </r>
    <r>
      <rPr>
        <sz val="8"/>
        <color theme="1"/>
        <rFont val="Verdana"/>
        <family val="2"/>
      </rPr>
      <t xml:space="preserve">    1. Major positive and negative events which affected overall performance  including exits / distributions / write
    2. Significant changes in the operations of the Licensee, such as changes in organizational structure, scope of operations, level or phase 
        of investment activity,  or types of investments being made. 
    3. Management changes.
    4. Any lawsuits or other events giving rise to contingent liabilities.</t>
    </r>
  </si>
  <si>
    <t>Fund Style</t>
  </si>
  <si>
    <t>Investment Strategy</t>
  </si>
  <si>
    <t>Venture</t>
  </si>
  <si>
    <t>Growth Equity</t>
  </si>
  <si>
    <t>Special Situations</t>
  </si>
  <si>
    <t>Distressed</t>
  </si>
  <si>
    <t>Direct Lending</t>
  </si>
  <si>
    <t>Fund Secondary</t>
  </si>
  <si>
    <t>Direct Secondary</t>
  </si>
  <si>
    <t>Co-Investment</t>
  </si>
  <si>
    <t>Multiple</t>
  </si>
  <si>
    <t>Seed</t>
  </si>
  <si>
    <t>Early Venture</t>
  </si>
  <si>
    <t>Late Venture</t>
  </si>
  <si>
    <t>Expansion</t>
  </si>
  <si>
    <t>Balanced Venture</t>
  </si>
  <si>
    <t>Co-Investments</t>
  </si>
  <si>
    <t>Hybrid Debt/Equity</t>
  </si>
  <si>
    <t>Venture Debt</t>
  </si>
  <si>
    <t>Angel</t>
  </si>
  <si>
    <t>Style</t>
  </si>
  <si>
    <t>Secondaries</t>
  </si>
  <si>
    <t>Private Credit</t>
  </si>
  <si>
    <t xml:space="preserve">Private Equity   </t>
  </si>
  <si>
    <t>Hybrid</t>
  </si>
  <si>
    <t>Other Style or Strategy Description</t>
  </si>
  <si>
    <t>Column1</t>
  </si>
  <si>
    <r>
      <t xml:space="preserve">Critical Technology
</t>
    </r>
    <r>
      <rPr>
        <i/>
        <sz val="8"/>
        <color theme="1" tint="4.9989318521683403E-2"/>
        <rFont val="Verdana"/>
        <family val="2"/>
      </rPr>
      <t>(if applicable)</t>
    </r>
  </si>
  <si>
    <t>Critical Technology</t>
  </si>
  <si>
    <t>Biotechnology</t>
  </si>
  <si>
    <t>Quantum Science</t>
  </si>
  <si>
    <t>FutureG</t>
  </si>
  <si>
    <t>Advanced Materials</t>
  </si>
  <si>
    <t>Trusted AI and Autonomy</t>
  </si>
  <si>
    <t>Integrated Network Systems-of-Systems</t>
  </si>
  <si>
    <t>Microelectronics</t>
  </si>
  <si>
    <t>Space Technology</t>
  </si>
  <si>
    <t>Renewable Energy Generation and Storage</t>
  </si>
  <si>
    <t>Advanced Computing and Software</t>
  </si>
  <si>
    <t>Human-Machine Interfaces</t>
  </si>
  <si>
    <t>Directed Energy</t>
  </si>
  <si>
    <t>Hypersonics</t>
  </si>
  <si>
    <t>Integrated Sensing and Cyber</t>
  </si>
  <si>
    <t>Warrants (Debt)</t>
  </si>
  <si>
    <t>Board Representation</t>
  </si>
  <si>
    <t>Observer</t>
  </si>
  <si>
    <t>Voting</t>
  </si>
  <si>
    <t>N/A</t>
  </si>
  <si>
    <t>Transaction Type2</t>
  </si>
  <si>
    <t>Seed/Pre-seed</t>
  </si>
  <si>
    <t>Late</t>
  </si>
  <si>
    <t>Schedule 12:  Portfolio Company Updates</t>
  </si>
  <si>
    <t>S12pc</t>
  </si>
  <si>
    <t>SBA FORM 468 (SHORT)</t>
  </si>
  <si>
    <t>Quarterly Report</t>
  </si>
  <si>
    <t>"Ctrl-t" will take you back to this table of contents.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</si>
</sst>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lt;=9999999]###\-####;\(###\)\ ###\-####"/>
    <numFmt numFmtId="166" formatCode="0.0%"/>
    <numFmt numFmtId="167" formatCode="0.\ "/>
    <numFmt numFmtId="168" formatCode="0\)"/>
    <numFmt numFmtId="169" formatCode="00\-0000000"/>
    <numFmt numFmtId="170" formatCode="00\/00\-0000"/>
    <numFmt numFmtId="171" formatCode="00000"/>
    <numFmt numFmtId="172" formatCode="_(&quot;$&quot;* #,##0.0_);_(&quot;$&quot;* \(#,##0.0\);_(&quot;$&quot;* &quot;-&quot;??_);_(@_)"/>
    <numFmt numFmtId="173" formatCode="_(* #,##0_);_(* \(#,##0\);_(* &quot;-&quot;??_);_(@_)"/>
    <numFmt numFmtId="174" formatCode="#,##0.0"/>
    <numFmt numFmtId="175" formatCode="#.##\x"/>
    <numFmt numFmtId="176" formatCode="0.00\x"/>
    <numFmt numFmtId="177" formatCode="yyyy"/>
    <numFmt numFmtId="178" formatCode="0.0"/>
  </numFmts>
  <fonts count="52" x14ac:knownFonts="1">
    <font>
      <sz val="11"/>
      <color theme="1"/>
      <name val="Calibri"/>
      <family val="2"/>
      <scheme val="minor"/>
    </font>
    <font>
      <sz val="8"/>
      <color theme="1"/>
      <name val="Calibri"/>
      <family val="2"/>
      <scheme val="minor"/>
    </font>
    <font>
      <sz val="8"/>
      <name val="Calibri"/>
      <family val="2"/>
      <scheme val="minor"/>
    </font>
    <font>
      <b/>
      <sz val="9"/>
      <color theme="1"/>
      <name val="Calibri"/>
      <family val="2"/>
      <scheme val="minor"/>
    </font>
    <font>
      <sz val="9"/>
      <color theme="1"/>
      <name val="Calibri"/>
      <family val="2"/>
      <scheme val="minor"/>
    </font>
    <font>
      <b/>
      <u/>
      <sz val="9"/>
      <color theme="1"/>
      <name val="Calibri"/>
      <family val="2"/>
      <scheme val="minor"/>
    </font>
    <font>
      <sz val="11"/>
      <color theme="1"/>
      <name val="Calibri"/>
      <family val="2"/>
      <scheme val="minor"/>
    </font>
    <font>
      <b/>
      <sz val="9"/>
      <name val="Calibri"/>
      <family val="2"/>
      <scheme val="minor"/>
    </font>
    <font>
      <sz val="10"/>
      <color theme="1"/>
      <name val="Arial"/>
      <family val="2"/>
    </font>
    <font>
      <b/>
      <sz val="9"/>
      <color theme="9"/>
      <name val="Calibri"/>
      <family val="2"/>
      <scheme val="minor"/>
    </font>
    <font>
      <b/>
      <sz val="9"/>
      <color theme="0"/>
      <name val="Calibri"/>
      <family val="2"/>
      <scheme val="minor"/>
    </font>
    <font>
      <sz val="10"/>
      <name val="Arial"/>
      <family val="2"/>
    </font>
    <font>
      <sz val="10"/>
      <color indexed="8"/>
      <name val="Arial"/>
      <family val="2"/>
    </font>
    <font>
      <b/>
      <u/>
      <sz val="11"/>
      <color theme="4"/>
      <name val="Calibri"/>
      <family val="2"/>
      <scheme val="minor"/>
    </font>
    <font>
      <b/>
      <u/>
      <sz val="11"/>
      <color theme="10"/>
      <name val="Calibri"/>
      <family val="2"/>
      <scheme val="minor"/>
    </font>
    <font>
      <sz val="9"/>
      <color theme="1"/>
      <name val="Verdana"/>
      <family val="2"/>
    </font>
    <font>
      <i/>
      <sz val="9"/>
      <color theme="1"/>
      <name val="Verdana"/>
      <family val="2"/>
    </font>
    <font>
      <sz val="8"/>
      <color rgb="FFFF0000"/>
      <name val="Verdana"/>
      <family val="2"/>
    </font>
    <font>
      <sz val="9"/>
      <color rgb="FFC00000"/>
      <name val="Verdana"/>
      <family val="2"/>
    </font>
    <font>
      <sz val="8"/>
      <color theme="1"/>
      <name val="Verdana"/>
      <family val="2"/>
    </font>
    <font>
      <b/>
      <sz val="8"/>
      <color theme="1"/>
      <name val="Verdana"/>
      <family val="2"/>
    </font>
    <font>
      <b/>
      <u/>
      <sz val="8"/>
      <color theme="10"/>
      <name val="Verdana"/>
      <family val="2"/>
    </font>
    <font>
      <sz val="8"/>
      <color rgb="FFC00000"/>
      <name val="Verdana"/>
      <family val="2"/>
    </font>
    <font>
      <b/>
      <sz val="8"/>
      <color rgb="FFC00000"/>
      <name val="Verdana"/>
      <family val="2"/>
    </font>
    <font>
      <strike/>
      <sz val="8"/>
      <color rgb="FFFF0000"/>
      <name val="Verdana"/>
      <family val="2"/>
    </font>
    <font>
      <i/>
      <sz val="8"/>
      <color rgb="FFC00000"/>
      <name val="Verdana"/>
      <family val="2"/>
    </font>
    <font>
      <i/>
      <sz val="8"/>
      <color theme="1"/>
      <name val="Verdana"/>
      <family val="2"/>
    </font>
    <font>
      <sz val="8"/>
      <color theme="4"/>
      <name val="Verdana"/>
      <family val="2"/>
    </font>
    <font>
      <b/>
      <i/>
      <sz val="8"/>
      <color theme="1"/>
      <name val="Verdana"/>
      <family val="2"/>
    </font>
    <font>
      <b/>
      <sz val="8"/>
      <color theme="1" tint="4.9989318521683403E-2"/>
      <name val="Verdana"/>
      <family val="2"/>
    </font>
    <font>
      <b/>
      <u/>
      <sz val="8"/>
      <color theme="1"/>
      <name val="Verdana"/>
      <family val="2"/>
    </font>
    <font>
      <u val="singleAccounting"/>
      <sz val="8"/>
      <color theme="1"/>
      <name val="Verdana"/>
      <family val="2"/>
    </font>
    <font>
      <b/>
      <i/>
      <sz val="8"/>
      <color rgb="FFC00000"/>
      <name val="Verdana"/>
      <family val="2"/>
    </font>
    <font>
      <sz val="8"/>
      <name val="Verdana"/>
      <family val="2"/>
    </font>
    <font>
      <sz val="8"/>
      <color theme="1" tint="4.9989318521683403E-2"/>
      <name val="Verdana"/>
      <family val="2"/>
    </font>
    <font>
      <b/>
      <sz val="8"/>
      <name val="Verdana"/>
      <family val="2"/>
    </font>
    <font>
      <b/>
      <sz val="8"/>
      <color theme="4"/>
      <name val="Verdana"/>
      <family val="2"/>
    </font>
    <font>
      <u/>
      <sz val="8"/>
      <color theme="10"/>
      <name val="Verdana"/>
      <family val="2"/>
    </font>
    <font>
      <u/>
      <sz val="8"/>
      <color theme="1"/>
      <name val="Verdana"/>
      <family val="2"/>
    </font>
    <font>
      <sz val="8"/>
      <color theme="0"/>
      <name val="Verdana"/>
      <family val="2"/>
    </font>
    <font>
      <i/>
      <sz val="8"/>
      <name val="Verdana"/>
      <family val="2"/>
    </font>
    <font>
      <u val="singleAccounting"/>
      <sz val="8"/>
      <name val="Verdana"/>
      <family val="2"/>
    </font>
    <font>
      <b/>
      <i/>
      <sz val="8"/>
      <color theme="8" tint="-0.249977111117893"/>
      <name val="Verdana"/>
      <family val="2"/>
    </font>
    <font>
      <sz val="8"/>
      <color theme="8" tint="-0.249977111117893"/>
      <name val="Verdana"/>
      <family val="2"/>
    </font>
    <font>
      <u/>
      <sz val="8"/>
      <color theme="4"/>
      <name val="Verdana"/>
      <family val="2"/>
    </font>
    <font>
      <sz val="9"/>
      <color rgb="FFFF0000"/>
      <name val="Verdana"/>
      <family val="2"/>
    </font>
    <font>
      <sz val="9"/>
      <color indexed="8"/>
      <name val="Verdana"/>
      <family val="2"/>
    </font>
    <font>
      <i/>
      <sz val="9"/>
      <color rgb="FFFF0000"/>
      <name val="Verdana"/>
      <family val="2"/>
    </font>
    <font>
      <sz val="9"/>
      <color theme="8"/>
      <name val="Verdana"/>
      <family val="2"/>
    </font>
    <font>
      <sz val="9"/>
      <color theme="0"/>
      <name val="Verdana"/>
      <family val="2"/>
    </font>
    <font>
      <i/>
      <sz val="8"/>
      <color theme="1" tint="4.9989318521683403E-2"/>
      <name val="Verdana"/>
      <family val="2"/>
    </font>
    <font>
      <b/>
      <i/>
      <sz val="8"/>
      <color rgb="FF00B050"/>
      <name val="Verdana"/>
      <family val="2"/>
    </font>
  </fonts>
  <fills count="25">
    <fill>
      <patternFill patternType="none"/>
    </fill>
    <fill>
      <patternFill patternType="gray125"/>
    </fill>
    <fill>
      <patternFill patternType="solid">
        <fgColor theme="0" tint="-4.9989318521683403E-2"/>
        <bgColor indexed="64"/>
      </patternFill>
    </fill>
    <fill>
      <patternFill patternType="solid">
        <fgColor theme="2"/>
        <bgColor indexed="64"/>
      </patternFill>
    </fill>
    <fill>
      <patternFill patternType="solid">
        <fgColor theme="0"/>
        <bgColor indexed="64"/>
      </patternFill>
    </fill>
    <fill>
      <patternFill patternType="solid">
        <fgColor rgb="FFE6EBF6"/>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1"/>
        <bgColor indexed="64"/>
      </patternFill>
    </fill>
    <fill>
      <patternFill patternType="solid">
        <fgColor rgb="FFEAEAEA"/>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F0F3FA"/>
        <bgColor indexed="64"/>
      </patternFill>
    </fill>
    <fill>
      <patternFill patternType="solid">
        <fgColor rgb="FFF8F8F8"/>
        <bgColor indexed="64"/>
      </patternFill>
    </fill>
    <fill>
      <patternFill patternType="solid">
        <fgColor rgb="FFF9F9F9"/>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4"/>
        <bgColor indexed="64"/>
      </patternFill>
    </fill>
    <fill>
      <patternFill patternType="solid">
        <fgColor rgb="FFD9D9D9"/>
        <bgColor indexed="64"/>
      </patternFill>
    </fill>
    <fill>
      <patternFill patternType="solid">
        <fgColor rgb="FFD9E1F2"/>
        <bgColor indexed="64"/>
      </patternFill>
    </fill>
    <fill>
      <patternFill patternType="solid">
        <fgColor theme="6" tint="0.79998168889431442"/>
        <bgColor indexed="64"/>
      </patternFill>
    </fill>
    <fill>
      <patternFill patternType="solid">
        <fgColor theme="3"/>
        <bgColor indexed="64"/>
      </patternFill>
    </fill>
    <fill>
      <patternFill patternType="solid">
        <fgColor theme="8" tint="0.79998168889431442"/>
        <bgColor indexed="64"/>
      </patternFill>
    </fill>
  </fills>
  <borders count="5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ck">
        <color auto="1"/>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auto="1"/>
      </top>
      <bottom/>
      <diagonal/>
    </border>
    <border>
      <left style="thin">
        <color indexed="22"/>
      </left>
      <right style="thin">
        <color indexed="22"/>
      </right>
      <top style="thin">
        <color indexed="22"/>
      </top>
      <bottom/>
      <diagonal/>
    </border>
    <border>
      <left/>
      <right style="thin">
        <color rgb="FF000000"/>
      </right>
      <top/>
      <bottom/>
      <diagonal/>
    </border>
    <border>
      <left/>
      <right/>
      <top style="thin">
        <color indexed="64"/>
      </top>
      <bottom/>
      <diagonal/>
    </border>
  </borders>
  <cellStyleXfs count="17">
    <xf numFmtId="0" fontId="0" fillId="15" borderId="0"/>
    <xf numFmtId="44" fontId="6" fillId="0" borderId="0" applyFont="0" applyFill="0" applyBorder="0" applyAlignment="0" applyProtection="0"/>
    <xf numFmtId="9" fontId="6" fillId="0" borderId="0" applyFont="0" applyFill="0" applyBorder="0" applyAlignment="0" applyProtection="0"/>
    <xf numFmtId="14" fontId="6" fillId="0" borderId="0" applyFont="0" applyFill="0" applyBorder="0">
      <alignment horizontal="left" wrapText="1"/>
    </xf>
    <xf numFmtId="165" fontId="6" fillId="0" borderId="0">
      <alignment horizontal="left"/>
    </xf>
    <xf numFmtId="0" fontId="14" fillId="0" borderId="0" applyNumberFormat="0" applyFill="0" applyBorder="0" applyAlignment="0" applyProtection="0"/>
    <xf numFmtId="43" fontId="6" fillId="0" borderId="0" applyFont="0" applyFill="0" applyBorder="0" applyAlignment="0" applyProtection="0"/>
    <xf numFmtId="0" fontId="8" fillId="0" borderId="0"/>
    <xf numFmtId="0" fontId="11" fillId="0" borderId="0"/>
    <xf numFmtId="0" fontId="8" fillId="0" borderId="0"/>
    <xf numFmtId="0" fontId="12" fillId="0" borderId="0"/>
    <xf numFmtId="0" fontId="11" fillId="0" borderId="0"/>
    <xf numFmtId="43"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164" fontId="4" fillId="4" borderId="0"/>
    <xf numFmtId="0" fontId="13" fillId="14" borderId="0" applyNumberFormat="0" applyFill="0" applyBorder="0" applyAlignment="0" applyProtection="0"/>
  </cellStyleXfs>
  <cellXfs count="844">
    <xf numFmtId="0" fontId="0" fillId="15" borderId="0" xfId="0"/>
    <xf numFmtId="0" fontId="3" fillId="15" borderId="0" xfId="0" applyFont="1"/>
    <xf numFmtId="0" fontId="3" fillId="15" borderId="0" xfId="0" applyFont="1" applyAlignment="1">
      <alignment horizontal="center"/>
    </xf>
    <xf numFmtId="0" fontId="4" fillId="15" borderId="0" xfId="0" applyFont="1" applyAlignment="1">
      <alignment horizontal="right"/>
    </xf>
    <xf numFmtId="0" fontId="4" fillId="15" borderId="0" xfId="0" applyFont="1"/>
    <xf numFmtId="0" fontId="4" fillId="15" borderId="1" xfId="0" applyFont="1" applyBorder="1"/>
    <xf numFmtId="0" fontId="4" fillId="15" borderId="0" xfId="0" applyFont="1" applyAlignment="1">
      <alignment horizontal="left" indent="1"/>
    </xf>
    <xf numFmtId="0" fontId="4" fillId="15" borderId="0" xfId="0" applyFont="1" applyAlignment="1">
      <alignment horizontal="center"/>
    </xf>
    <xf numFmtId="0" fontId="4" fillId="15" borderId="5" xfId="0" applyFont="1" applyBorder="1" applyAlignment="1">
      <alignment horizontal="right"/>
    </xf>
    <xf numFmtId="0" fontId="4" fillId="15" borderId="5" xfId="0" applyFont="1" applyBorder="1"/>
    <xf numFmtId="0" fontId="4" fillId="15" borderId="8" xfId="0" applyFont="1" applyBorder="1" applyAlignment="1">
      <alignment horizontal="right"/>
    </xf>
    <xf numFmtId="0" fontId="3" fillId="15" borderId="4" xfId="0" applyFont="1" applyBorder="1" applyAlignment="1">
      <alignment vertical="top"/>
    </xf>
    <xf numFmtId="0" fontId="4" fillId="15" borderId="0" xfId="0" applyFont="1" applyAlignment="1">
      <alignment horizontal="center" vertical="center" wrapText="1"/>
    </xf>
    <xf numFmtId="0" fontId="3" fillId="15" borderId="1" xfId="0" applyFont="1" applyBorder="1" applyAlignment="1">
      <alignment vertical="top"/>
    </xf>
    <xf numFmtId="0" fontId="3" fillId="15" borderId="1" xfId="0" applyFont="1" applyBorder="1" applyAlignment="1">
      <alignment horizontal="center" vertical="center"/>
    </xf>
    <xf numFmtId="0" fontId="3" fillId="15" borderId="7" xfId="0" applyFont="1" applyBorder="1" applyAlignment="1">
      <alignment vertical="top"/>
    </xf>
    <xf numFmtId="0" fontId="3" fillId="15" borderId="0" xfId="0" applyFont="1" applyAlignment="1">
      <alignment horizontal="right"/>
    </xf>
    <xf numFmtId="164" fontId="4" fillId="15" borderId="0" xfId="0" applyNumberFormat="1" applyFont="1"/>
    <xf numFmtId="0" fontId="3" fillId="15" borderId="0" xfId="0" applyFont="1" applyAlignment="1">
      <alignment vertical="center"/>
    </xf>
    <xf numFmtId="0" fontId="4" fillId="12" borderId="0" xfId="0" applyFont="1" applyFill="1"/>
    <xf numFmtId="171" fontId="4" fillId="12" borderId="0" xfId="0" applyNumberFormat="1" applyFont="1" applyFill="1"/>
    <xf numFmtId="14" fontId="4" fillId="12" borderId="0" xfId="0" applyNumberFormat="1" applyFont="1" applyFill="1"/>
    <xf numFmtId="0" fontId="9" fillId="15" borderId="0" xfId="0" applyFont="1"/>
    <xf numFmtId="0" fontId="4" fillId="12" borderId="0" xfId="0" applyFont="1" applyFill="1" applyAlignment="1">
      <alignment horizontal="center"/>
    </xf>
    <xf numFmtId="0" fontId="10" fillId="12" borderId="30" xfId="0" applyFont="1" applyFill="1" applyBorder="1"/>
    <xf numFmtId="0" fontId="10" fillId="12" borderId="31" xfId="0" applyFont="1" applyFill="1" applyBorder="1"/>
    <xf numFmtId="0" fontId="4" fillId="12" borderId="30" xfId="0" applyFont="1" applyFill="1" applyBorder="1"/>
    <xf numFmtId="0" fontId="4" fillId="12" borderId="31" xfId="0" applyFont="1" applyFill="1" applyBorder="1"/>
    <xf numFmtId="0" fontId="4" fillId="12" borderId="31" xfId="0" applyFont="1" applyFill="1" applyBorder="1" applyAlignment="1">
      <alignment horizontal="center"/>
    </xf>
    <xf numFmtId="14" fontId="4" fillId="12" borderId="31" xfId="0" applyNumberFormat="1" applyFont="1" applyFill="1" applyBorder="1"/>
    <xf numFmtId="0" fontId="4" fillId="15" borderId="0" xfId="0" applyFont="1" applyAlignment="1">
      <alignment vertical="top"/>
    </xf>
    <xf numFmtId="0" fontId="5" fillId="15" borderId="0" xfId="0" applyFont="1"/>
    <xf numFmtId="0" fontId="3" fillId="15" borderId="46" xfId="0" applyFont="1" applyBorder="1"/>
    <xf numFmtId="0" fontId="4" fillId="15" borderId="48" xfId="0" applyFont="1" applyBorder="1"/>
    <xf numFmtId="0" fontId="3" fillId="15" borderId="48" xfId="0" applyFont="1" applyBorder="1" applyAlignment="1">
      <alignment vertical="top"/>
    </xf>
    <xf numFmtId="0" fontId="4" fillId="15" borderId="47" xfId="0" applyFont="1" applyBorder="1" applyAlignment="1">
      <alignment horizontal="right"/>
    </xf>
    <xf numFmtId="0" fontId="4" fillId="8" borderId="40" xfId="0" applyFont="1" applyFill="1" applyBorder="1"/>
    <xf numFmtId="0" fontId="4" fillId="8" borderId="41" xfId="0" applyFont="1" applyFill="1" applyBorder="1"/>
    <xf numFmtId="0" fontId="4" fillId="8" borderId="41" xfId="0" applyFont="1" applyFill="1" applyBorder="1" applyAlignment="1">
      <alignment horizontal="left"/>
    </xf>
    <xf numFmtId="0" fontId="4" fillId="8" borderId="39" xfId="0" applyFont="1" applyFill="1" applyBorder="1" applyAlignment="1">
      <alignment horizontal="right"/>
    </xf>
    <xf numFmtId="0" fontId="4" fillId="15" borderId="46" xfId="0" applyFont="1" applyBorder="1"/>
    <xf numFmtId="0" fontId="1" fillId="4" borderId="39" xfId="1" applyNumberFormat="1" applyFont="1" applyFill="1" applyBorder="1" applyAlignment="1">
      <alignment vertical="top"/>
    </xf>
    <xf numFmtId="169" fontId="1" fillId="3" borderId="45" xfId="1" applyNumberFormat="1" applyFont="1" applyFill="1" applyBorder="1" applyAlignment="1">
      <alignment horizontal="center" vertical="top"/>
    </xf>
    <xf numFmtId="0" fontId="3" fillId="15" borderId="45" xfId="0" applyFont="1" applyBorder="1" applyAlignment="1">
      <alignment horizontal="center"/>
    </xf>
    <xf numFmtId="164" fontId="4" fillId="11" borderId="45" xfId="1" applyNumberFormat="1" applyFont="1" applyFill="1" applyBorder="1"/>
    <xf numFmtId="0" fontId="7" fillId="8" borderId="45" xfId="0" applyFont="1" applyFill="1" applyBorder="1" applyAlignment="1">
      <alignment horizontal="center" vertical="center" wrapText="1"/>
    </xf>
    <xf numFmtId="0" fontId="4" fillId="4" borderId="45" xfId="1" applyNumberFormat="1" applyFont="1" applyFill="1" applyBorder="1" applyAlignment="1">
      <alignment horizontal="center" vertical="top"/>
    </xf>
    <xf numFmtId="169" fontId="1" fillId="13" borderId="45" xfId="1" applyNumberFormat="1" applyFont="1" applyFill="1" applyBorder="1" applyAlignment="1">
      <alignment horizontal="center" vertical="top"/>
    </xf>
    <xf numFmtId="14" fontId="4" fillId="4" borderId="45" xfId="1" applyNumberFormat="1" applyFont="1" applyFill="1" applyBorder="1" applyAlignment="1">
      <alignment horizontal="center" vertical="top"/>
    </xf>
    <xf numFmtId="164" fontId="4" fillId="4" borderId="45" xfId="1" applyNumberFormat="1" applyFont="1" applyFill="1" applyBorder="1" applyAlignment="1">
      <alignment vertical="top"/>
    </xf>
    <xf numFmtId="164" fontId="4" fillId="13" borderId="45" xfId="1" applyNumberFormat="1" applyFont="1" applyFill="1" applyBorder="1" applyAlignment="1">
      <alignment vertical="top"/>
    </xf>
    <xf numFmtId="0" fontId="4" fillId="4" borderId="45" xfId="0" applyFont="1" applyFill="1" applyBorder="1" applyAlignment="1">
      <alignment vertical="top"/>
    </xf>
    <xf numFmtId="0" fontId="15" fillId="8" borderId="41" xfId="0" applyFont="1" applyFill="1" applyBorder="1"/>
    <xf numFmtId="0" fontId="15" fillId="8" borderId="41" xfId="0" applyFont="1" applyFill="1" applyBorder="1" applyAlignment="1">
      <alignment horizontal="left"/>
    </xf>
    <xf numFmtId="0" fontId="15" fillId="8" borderId="39" xfId="0" applyFont="1" applyFill="1" applyBorder="1" applyAlignment="1">
      <alignment horizontal="right"/>
    </xf>
    <xf numFmtId="0" fontId="15" fillId="15" borderId="0" xfId="0" applyFont="1"/>
    <xf numFmtId="0" fontId="15" fillId="15" borderId="0" xfId="0" applyFont="1" applyAlignment="1">
      <alignment wrapText="1"/>
    </xf>
    <xf numFmtId="0" fontId="15" fillId="8" borderId="40" xfId="0" applyFont="1" applyFill="1" applyBorder="1"/>
    <xf numFmtId="0" fontId="17" fillId="15" borderId="4" xfId="0" applyFont="1" applyBorder="1" applyAlignment="1">
      <alignment vertical="center"/>
    </xf>
    <xf numFmtId="0" fontId="15" fillId="15" borderId="46" xfId="0" applyFont="1" applyBorder="1"/>
    <xf numFmtId="0" fontId="15" fillId="15" borderId="48" xfId="0" applyFont="1" applyBorder="1"/>
    <xf numFmtId="0" fontId="15" fillId="15" borderId="47" xfId="0" applyFont="1" applyBorder="1" applyAlignment="1">
      <alignment horizontal="right"/>
    </xf>
    <xf numFmtId="0" fontId="15" fillId="15" borderId="7" xfId="0" applyFont="1" applyBorder="1"/>
    <xf numFmtId="0" fontId="15" fillId="15" borderId="8" xfId="0" applyFont="1" applyBorder="1" applyAlignment="1">
      <alignment horizontal="right"/>
    </xf>
    <xf numFmtId="0" fontId="15" fillId="15" borderId="1" xfId="0" applyFont="1" applyBorder="1"/>
    <xf numFmtId="42" fontId="15" fillId="15" borderId="5" xfId="0" applyNumberFormat="1" applyFont="1" applyBorder="1"/>
    <xf numFmtId="42" fontId="15" fillId="15" borderId="0" xfId="0" applyNumberFormat="1" applyFont="1"/>
    <xf numFmtId="42" fontId="15" fillId="15" borderId="0" xfId="0" applyNumberFormat="1" applyFont="1" applyAlignment="1">
      <alignment horizontal="center"/>
    </xf>
    <xf numFmtId="0" fontId="15" fillId="15" borderId="0" xfId="0" applyFont="1" applyAlignment="1">
      <alignment horizontal="left" indent="2"/>
    </xf>
    <xf numFmtId="0" fontId="15" fillId="15" borderId="0" xfId="0" applyFont="1" applyAlignment="1">
      <alignment horizontal="left" indent="1"/>
    </xf>
    <xf numFmtId="164" fontId="15" fillId="4" borderId="45" xfId="1" applyNumberFormat="1" applyFont="1" applyFill="1" applyBorder="1"/>
    <xf numFmtId="164" fontId="15" fillId="3" borderId="45" xfId="1" applyNumberFormat="1" applyFont="1" applyFill="1" applyBorder="1"/>
    <xf numFmtId="164" fontId="15" fillId="15" borderId="0" xfId="0" applyNumberFormat="1" applyFont="1"/>
    <xf numFmtId="0" fontId="19" fillId="15" borderId="46" xfId="0" applyFont="1" applyBorder="1"/>
    <xf numFmtId="0" fontId="19" fillId="15" borderId="48" xfId="0" applyFont="1" applyBorder="1"/>
    <xf numFmtId="0" fontId="19" fillId="15" borderId="48" xfId="0" applyFont="1" applyBorder="1" applyAlignment="1">
      <alignment horizontal="center"/>
    </xf>
    <xf numFmtId="0" fontId="19" fillId="15" borderId="47" xfId="0" applyFont="1" applyBorder="1" applyAlignment="1">
      <alignment horizontal="right"/>
    </xf>
    <xf numFmtId="0" fontId="19" fillId="15" borderId="0" xfId="0" applyFont="1"/>
    <xf numFmtId="0" fontId="19" fillId="15" borderId="7" xfId="0" applyFont="1" applyBorder="1"/>
    <xf numFmtId="0" fontId="19" fillId="15" borderId="0" xfId="0" applyFont="1" applyAlignment="1">
      <alignment horizontal="center"/>
    </xf>
    <xf numFmtId="0" fontId="19" fillId="15" borderId="8" xfId="0" applyFont="1" applyBorder="1" applyAlignment="1">
      <alignment horizontal="right"/>
    </xf>
    <xf numFmtId="42" fontId="19" fillId="15" borderId="8" xfId="0" applyNumberFormat="1" applyFont="1" applyBorder="1"/>
    <xf numFmtId="0" fontId="19" fillId="15" borderId="1" xfId="0" applyFont="1" applyBorder="1"/>
    <xf numFmtId="42" fontId="19" fillId="15" borderId="5" xfId="0" applyNumberFormat="1" applyFont="1" applyBorder="1"/>
    <xf numFmtId="0" fontId="20" fillId="15" borderId="0" xfId="0" applyFont="1"/>
    <xf numFmtId="42" fontId="19" fillId="15" borderId="0" xfId="0" applyNumberFormat="1" applyFont="1"/>
    <xf numFmtId="42" fontId="20" fillId="15" borderId="0" xfId="0" applyNumberFormat="1" applyFont="1" applyAlignment="1">
      <alignment horizontal="center" wrapText="1"/>
    </xf>
    <xf numFmtId="0" fontId="21" fillId="15" borderId="0" xfId="5" applyFont="1" applyFill="1"/>
    <xf numFmtId="0" fontId="20" fillId="15" borderId="0" xfId="0" applyFont="1" applyAlignment="1">
      <alignment horizontal="center" wrapText="1"/>
    </xf>
    <xf numFmtId="42" fontId="19" fillId="15" borderId="0" xfId="0" applyNumberFormat="1" applyFont="1" applyAlignment="1">
      <alignment horizontal="center"/>
    </xf>
    <xf numFmtId="14" fontId="20" fillId="3" borderId="0" xfId="0" applyNumberFormat="1" applyFont="1" applyFill="1" applyAlignment="1">
      <alignment horizontal="center"/>
    </xf>
    <xf numFmtId="0" fontId="20" fillId="15" borderId="0" xfId="0" applyFont="1" applyAlignment="1">
      <alignment horizontal="left" indent="1"/>
    </xf>
    <xf numFmtId="0" fontId="22" fillId="15" borderId="0" xfId="0" applyFont="1"/>
    <xf numFmtId="0" fontId="19" fillId="15" borderId="0" xfId="0" applyFont="1" applyAlignment="1">
      <alignment horizontal="left" indent="2"/>
    </xf>
    <xf numFmtId="0" fontId="23" fillId="15" borderId="0" xfId="5" applyFont="1" applyFill="1"/>
    <xf numFmtId="42" fontId="20" fillId="3" borderId="45" xfId="0" applyNumberFormat="1" applyFont="1" applyFill="1" applyBorder="1"/>
    <xf numFmtId="42" fontId="20" fillId="15" borderId="0" xfId="0" applyNumberFormat="1" applyFont="1"/>
    <xf numFmtId="42" fontId="19" fillId="4" borderId="45" xfId="0" applyNumberFormat="1" applyFont="1" applyFill="1" applyBorder="1"/>
    <xf numFmtId="42" fontId="19" fillId="13" borderId="45" xfId="0" applyNumberFormat="1" applyFont="1" applyFill="1" applyBorder="1"/>
    <xf numFmtId="0" fontId="20" fillId="15" borderId="0" xfId="0" applyFont="1" applyAlignment="1">
      <alignment horizontal="left" indent="2"/>
    </xf>
    <xf numFmtId="0" fontId="19" fillId="15" borderId="0" xfId="0" applyFont="1" applyAlignment="1">
      <alignment horizontal="left" indent="1"/>
    </xf>
    <xf numFmtId="164" fontId="20" fillId="4" borderId="45" xfId="1" applyNumberFormat="1" applyFont="1" applyFill="1" applyBorder="1"/>
    <xf numFmtId="0" fontId="20" fillId="15" borderId="0" xfId="0" applyFont="1" applyAlignment="1">
      <alignment horizontal="left"/>
    </xf>
    <xf numFmtId="0" fontId="24" fillId="15" borderId="0" xfId="0" applyFont="1"/>
    <xf numFmtId="0" fontId="23" fillId="4" borderId="0" xfId="5" applyFont="1" applyFill="1" applyBorder="1"/>
    <xf numFmtId="0" fontId="20" fillId="15" borderId="0" xfId="0" applyFont="1" applyAlignment="1">
      <alignment horizontal="center"/>
    </xf>
    <xf numFmtId="0" fontId="23" fillId="15" borderId="0" xfId="0" applyFont="1"/>
    <xf numFmtId="0" fontId="20" fillId="15" borderId="40" xfId="0" applyFont="1" applyBorder="1" applyAlignment="1">
      <alignment horizontal="center"/>
    </xf>
    <xf numFmtId="0" fontId="24" fillId="15" borderId="0" xfId="0" applyFont="1" applyAlignment="1">
      <alignment horizontal="left" indent="1"/>
    </xf>
    <xf numFmtId="0" fontId="19" fillId="15" borderId="0" xfId="0" applyFont="1" applyAlignment="1">
      <alignment horizontal="left" indent="3"/>
    </xf>
    <xf numFmtId="164" fontId="19" fillId="4" borderId="45" xfId="1" applyNumberFormat="1" applyFont="1" applyFill="1" applyBorder="1"/>
    <xf numFmtId="0" fontId="19" fillId="17" borderId="30" xfId="0" applyFont="1" applyFill="1" applyBorder="1"/>
    <xf numFmtId="0" fontId="19" fillId="15" borderId="30" xfId="0" applyFont="1" applyBorder="1"/>
    <xf numFmtId="44" fontId="19" fillId="15" borderId="0" xfId="0" applyNumberFormat="1" applyFont="1"/>
    <xf numFmtId="164" fontId="19" fillId="3" borderId="45" xfId="1" applyNumberFormat="1" applyFont="1" applyFill="1" applyBorder="1"/>
    <xf numFmtId="164" fontId="19" fillId="15" borderId="0" xfId="0" applyNumberFormat="1" applyFont="1"/>
    <xf numFmtId="42" fontId="19" fillId="15" borderId="0" xfId="0" applyNumberFormat="1" applyFont="1" applyAlignment="1">
      <alignment horizontal="center" wrapText="1"/>
    </xf>
    <xf numFmtId="14" fontId="19" fillId="3" borderId="45" xfId="0" applyNumberFormat="1" applyFont="1" applyFill="1" applyBorder="1" applyAlignment="1">
      <alignment horizontal="center"/>
    </xf>
    <xf numFmtId="14" fontId="19" fillId="4" borderId="45" xfId="0" applyNumberFormat="1" applyFont="1" applyFill="1" applyBorder="1" applyAlignment="1">
      <alignment horizontal="center"/>
    </xf>
    <xf numFmtId="42" fontId="19" fillId="3" borderId="45" xfId="0" applyNumberFormat="1" applyFont="1" applyFill="1" applyBorder="1"/>
    <xf numFmtId="14" fontId="19" fillId="3" borderId="0" xfId="0" applyNumberFormat="1" applyFont="1" applyFill="1" applyAlignment="1">
      <alignment horizontal="center"/>
    </xf>
    <xf numFmtId="0" fontId="19" fillId="8" borderId="40" xfId="0" applyFont="1" applyFill="1" applyBorder="1"/>
    <xf numFmtId="0" fontId="19" fillId="8" borderId="41" xfId="0" applyFont="1" applyFill="1" applyBorder="1"/>
    <xf numFmtId="0" fontId="19" fillId="8" borderId="39" xfId="0" applyFont="1" applyFill="1" applyBorder="1" applyAlignment="1">
      <alignment horizontal="right"/>
    </xf>
    <xf numFmtId="42" fontId="19" fillId="15" borderId="41" xfId="0" applyNumberFormat="1" applyFont="1" applyBorder="1"/>
    <xf numFmtId="42" fontId="15" fillId="15" borderId="48" xfId="0" applyNumberFormat="1" applyFont="1" applyBorder="1"/>
    <xf numFmtId="0" fontId="15" fillId="15" borderId="4" xfId="0" applyFont="1" applyBorder="1"/>
    <xf numFmtId="42" fontId="15" fillId="15" borderId="1" xfId="0" applyNumberFormat="1" applyFont="1" applyBorder="1"/>
    <xf numFmtId="164" fontId="15" fillId="15" borderId="0" xfId="1" applyNumberFormat="1" applyFont="1" applyFill="1" applyBorder="1"/>
    <xf numFmtId="164" fontId="15" fillId="3" borderId="0" xfId="0" applyNumberFormat="1" applyFont="1" applyFill="1"/>
    <xf numFmtId="0" fontId="16" fillId="15" borderId="0" xfId="0" applyFont="1" applyAlignment="1">
      <alignment horizontal="center"/>
    </xf>
    <xf numFmtId="14" fontId="15" fillId="3" borderId="0" xfId="0" applyNumberFormat="1" applyFont="1" applyFill="1" applyAlignment="1">
      <alignment horizontal="center"/>
    </xf>
    <xf numFmtId="6" fontId="15" fillId="15" borderId="0" xfId="0" applyNumberFormat="1" applyFont="1" applyAlignment="1">
      <alignment horizontal="left" indent="1"/>
    </xf>
    <xf numFmtId="0" fontId="18" fillId="15" borderId="0" xfId="5" applyFont="1" applyFill="1"/>
    <xf numFmtId="0" fontId="25" fillId="15" borderId="0" xfId="0" applyFont="1"/>
    <xf numFmtId="42" fontId="19" fillId="15" borderId="48" xfId="0" applyNumberFormat="1" applyFont="1" applyBorder="1"/>
    <xf numFmtId="0" fontId="19" fillId="15" borderId="4" xfId="0" applyFont="1" applyBorder="1"/>
    <xf numFmtId="0" fontId="19" fillId="15" borderId="1" xfId="0" applyFont="1" applyBorder="1" applyAlignment="1">
      <alignment horizontal="center"/>
    </xf>
    <xf numFmtId="42" fontId="19" fillId="15" borderId="1" xfId="0" applyNumberFormat="1" applyFont="1" applyBorder="1"/>
    <xf numFmtId="0" fontId="19" fillId="15" borderId="5" xfId="0" applyFont="1" applyBorder="1" applyAlignment="1">
      <alignment horizontal="right"/>
    </xf>
    <xf numFmtId="0" fontId="19" fillId="8" borderId="41" xfId="0" applyFont="1" applyFill="1" applyBorder="1" applyAlignment="1">
      <alignment horizontal="left"/>
    </xf>
    <xf numFmtId="0" fontId="26" fillId="15" borderId="0" xfId="0" applyFont="1" applyAlignment="1">
      <alignment horizontal="center"/>
    </xf>
    <xf numFmtId="164" fontId="19" fillId="15" borderId="0" xfId="1" applyNumberFormat="1" applyFont="1" applyFill="1"/>
    <xf numFmtId="164" fontId="19" fillId="15" borderId="0" xfId="1" applyNumberFormat="1" applyFont="1" applyFill="1" applyBorder="1"/>
    <xf numFmtId="0" fontId="26" fillId="15" borderId="0" xfId="0" applyFont="1"/>
    <xf numFmtId="0" fontId="19" fillId="15" borderId="0" xfId="0" applyFont="1" applyAlignment="1">
      <alignment horizontal="left"/>
    </xf>
    <xf numFmtId="0" fontId="19" fillId="2" borderId="0" xfId="0" applyFont="1" applyFill="1"/>
    <xf numFmtId="0" fontId="26" fillId="15" borderId="0" xfId="0" applyFont="1" applyAlignment="1">
      <alignment horizontal="right"/>
    </xf>
    <xf numFmtId="164" fontId="26" fillId="15" borderId="0" xfId="1" applyNumberFormat="1" applyFont="1" applyFill="1"/>
    <xf numFmtId="42" fontId="19" fillId="15" borderId="4" xfId="0" applyNumberFormat="1" applyFont="1" applyBorder="1"/>
    <xf numFmtId="0" fontId="19" fillId="15" borderId="0" xfId="0" applyFont="1" applyAlignment="1">
      <alignment horizontal="right"/>
    </xf>
    <xf numFmtId="42" fontId="26" fillId="15" borderId="0" xfId="0" applyNumberFormat="1" applyFont="1"/>
    <xf numFmtId="42" fontId="19" fillId="15" borderId="0" xfId="0" applyNumberFormat="1" applyFont="1" applyAlignment="1">
      <alignment horizontal="center" vertical="center" wrapText="1"/>
    </xf>
    <xf numFmtId="14" fontId="19" fillId="15" borderId="0" xfId="0" applyNumberFormat="1" applyFont="1" applyAlignment="1">
      <alignment horizontal="center"/>
    </xf>
    <xf numFmtId="0" fontId="27" fillId="15" borderId="0" xfId="0" applyFont="1"/>
    <xf numFmtId="0" fontId="17" fillId="15" borderId="0" xfId="0" applyFont="1"/>
    <xf numFmtId="42" fontId="17" fillId="20" borderId="0" xfId="0" applyNumberFormat="1" applyFont="1" applyFill="1"/>
    <xf numFmtId="44" fontId="19" fillId="3" borderId="45" xfId="1" applyFont="1" applyFill="1" applyBorder="1"/>
    <xf numFmtId="164" fontId="19" fillId="0" borderId="45" xfId="1" applyNumberFormat="1" applyFont="1" applyFill="1" applyBorder="1"/>
    <xf numFmtId="0" fontId="19" fillId="8" borderId="41" xfId="0" applyFont="1" applyFill="1" applyBorder="1" applyAlignment="1">
      <alignment wrapText="1"/>
    </xf>
    <xf numFmtId="0" fontId="20" fillId="15" borderId="0" xfId="0" applyFont="1" applyAlignment="1">
      <alignment vertical="top"/>
    </xf>
    <xf numFmtId="42" fontId="20" fillId="15" borderId="0" xfId="0" applyNumberFormat="1" applyFont="1" applyAlignment="1">
      <alignment wrapText="1"/>
    </xf>
    <xf numFmtId="42" fontId="19" fillId="15" borderId="0" xfId="1" applyNumberFormat="1" applyFont="1" applyFill="1"/>
    <xf numFmtId="42" fontId="19" fillId="15" borderId="0" xfId="1" applyNumberFormat="1" applyFont="1" applyFill="1" applyAlignment="1">
      <alignment horizontal="left" indent="1"/>
    </xf>
    <xf numFmtId="0" fontId="28" fillId="15" borderId="0" xfId="0" applyFont="1"/>
    <xf numFmtId="0" fontId="19" fillId="15" borderId="9" xfId="0" applyFont="1" applyBorder="1"/>
    <xf numFmtId="42" fontId="19" fillId="15" borderId="9" xfId="0" applyNumberFormat="1" applyFont="1" applyBorder="1"/>
    <xf numFmtId="164" fontId="26" fillId="5" borderId="0" xfId="1" applyNumberFormat="1" applyFont="1" applyFill="1" applyBorder="1"/>
    <xf numFmtId="164" fontId="19" fillId="13" borderId="45" xfId="1" applyNumberFormat="1" applyFont="1" applyFill="1" applyBorder="1"/>
    <xf numFmtId="42" fontId="19" fillId="13" borderId="45" xfId="1" applyNumberFormat="1" applyFont="1" applyFill="1" applyBorder="1"/>
    <xf numFmtId="42" fontId="19" fillId="15" borderId="1" xfId="0" applyNumberFormat="1" applyFont="1" applyBorder="1" applyAlignment="1">
      <alignment wrapText="1"/>
    </xf>
    <xf numFmtId="42" fontId="22" fillId="15" borderId="0" xfId="0" applyNumberFormat="1" applyFont="1" applyAlignment="1">
      <alignment horizontal="center" wrapText="1"/>
    </xf>
    <xf numFmtId="0" fontId="22" fillId="15" borderId="0" xfId="5" applyFont="1" applyFill="1"/>
    <xf numFmtId="0" fontId="20" fillId="15" borderId="9" xfId="0" applyFont="1" applyBorder="1"/>
    <xf numFmtId="42" fontId="19" fillId="4" borderId="45" xfId="1" applyNumberFormat="1" applyFont="1" applyFill="1" applyBorder="1"/>
    <xf numFmtId="0" fontId="19" fillId="15" borderId="0" xfId="0" applyFont="1" applyAlignment="1">
      <alignment vertical="top" wrapText="1"/>
    </xf>
    <xf numFmtId="44" fontId="19" fillId="2" borderId="0" xfId="1" applyFont="1" applyFill="1"/>
    <xf numFmtId="0" fontId="19" fillId="5" borderId="0" xfId="0" applyFont="1" applyFill="1"/>
    <xf numFmtId="0" fontId="20" fillId="5" borderId="0" xfId="0" applyFont="1" applyFill="1"/>
    <xf numFmtId="42" fontId="19" fillId="5" borderId="0" xfId="0" applyNumberFormat="1" applyFont="1" applyFill="1"/>
    <xf numFmtId="0" fontId="20" fillId="5" borderId="0" xfId="0" applyFont="1" applyFill="1" applyAlignment="1">
      <alignment horizontal="left"/>
    </xf>
    <xf numFmtId="14" fontId="19" fillId="5" borderId="0" xfId="0" applyNumberFormat="1" applyFont="1" applyFill="1"/>
    <xf numFmtId="0" fontId="19" fillId="5" borderId="0" xfId="0" applyFont="1" applyFill="1" applyAlignment="1">
      <alignment horizontal="left" indent="1"/>
    </xf>
    <xf numFmtId="42" fontId="19" fillId="0" borderId="45" xfId="0" applyNumberFormat="1" applyFont="1" applyFill="1" applyBorder="1"/>
    <xf numFmtId="42" fontId="20" fillId="5" borderId="0" xfId="0" applyNumberFormat="1" applyFont="1" applyFill="1"/>
    <xf numFmtId="0" fontId="20" fillId="5" borderId="0" xfId="0" applyFont="1" applyFill="1" applyAlignment="1">
      <alignment horizontal="left" indent="1"/>
    </xf>
    <xf numFmtId="42" fontId="19" fillId="3" borderId="45" xfId="1" applyNumberFormat="1" applyFont="1" applyFill="1" applyBorder="1"/>
    <xf numFmtId="0" fontId="4" fillId="15" borderId="48" xfId="0" applyFont="1" applyBorder="1" applyAlignment="1">
      <alignment vertical="top"/>
    </xf>
    <xf numFmtId="0" fontId="4" fillId="15" borderId="48" xfId="0" applyFont="1" applyBorder="1" applyAlignment="1">
      <alignment horizontal="center" vertical="top"/>
    </xf>
    <xf numFmtId="14" fontId="19" fillId="15" borderId="48" xfId="0" applyNumberFormat="1" applyFont="1" applyBorder="1"/>
    <xf numFmtId="164" fontId="19" fillId="15" borderId="48" xfId="1" applyNumberFormat="1" applyFont="1" applyFill="1" applyBorder="1"/>
    <xf numFmtId="14" fontId="19" fillId="15" borderId="47" xfId="0" applyNumberFormat="1" applyFont="1" applyBorder="1"/>
    <xf numFmtId="14" fontId="19" fillId="15" borderId="0" xfId="0" applyNumberFormat="1" applyFont="1"/>
    <xf numFmtId="14" fontId="19" fillId="15" borderId="8" xfId="0" applyNumberFormat="1" applyFont="1" applyBorder="1"/>
    <xf numFmtId="42" fontId="29" fillId="9" borderId="45" xfId="0" applyNumberFormat="1" applyFont="1" applyFill="1" applyBorder="1" applyAlignment="1">
      <alignment horizontal="center" vertical="center" wrapText="1"/>
    </xf>
    <xf numFmtId="164" fontId="29" fillId="9" borderId="45" xfId="1" applyNumberFormat="1" applyFont="1" applyFill="1" applyBorder="1" applyAlignment="1">
      <alignment horizontal="center" vertical="center" wrapText="1"/>
    </xf>
    <xf numFmtId="0" fontId="29" fillId="9" borderId="39" xfId="0" applyFont="1" applyFill="1" applyBorder="1" applyAlignment="1">
      <alignment horizontal="center" vertical="center" wrapText="1"/>
    </xf>
    <xf numFmtId="42" fontId="29" fillId="9" borderId="39" xfId="0" applyNumberFormat="1" applyFont="1" applyFill="1" applyBorder="1" applyAlignment="1">
      <alignment horizontal="center" vertical="center" wrapText="1"/>
    </xf>
    <xf numFmtId="0" fontId="30" fillId="15" borderId="0" xfId="0" applyFont="1"/>
    <xf numFmtId="42" fontId="19" fillId="15" borderId="0" xfId="0" applyNumberFormat="1" applyFont="1" applyAlignment="1">
      <alignment horizontal="right"/>
    </xf>
    <xf numFmtId="164" fontId="19" fillId="15" borderId="0" xfId="1" applyNumberFormat="1" applyFont="1" applyFill="1" applyBorder="1" applyAlignment="1">
      <alignment horizontal="right"/>
    </xf>
    <xf numFmtId="42" fontId="19" fillId="3" borderId="2" xfId="0" applyNumberFormat="1" applyFont="1" applyFill="1" applyBorder="1"/>
    <xf numFmtId="14" fontId="19" fillId="15" borderId="0" xfId="0" applyNumberFormat="1" applyFont="1" applyAlignment="1">
      <alignment horizontal="right"/>
    </xf>
    <xf numFmtId="164" fontId="19" fillId="3" borderId="2" xfId="1" applyNumberFormat="1" applyFont="1" applyFill="1" applyBorder="1"/>
    <xf numFmtId="172" fontId="19" fillId="3" borderId="2" xfId="1" applyNumberFormat="1" applyFont="1" applyFill="1" applyBorder="1"/>
    <xf numFmtId="2" fontId="19" fillId="3" borderId="2" xfId="0" applyNumberFormat="1" applyFont="1" applyFill="1" applyBorder="1" applyAlignment="1">
      <alignment horizontal="center"/>
    </xf>
    <xf numFmtId="42" fontId="19" fillId="15" borderId="46" xfId="0" applyNumberFormat="1" applyFont="1" applyBorder="1"/>
    <xf numFmtId="0" fontId="19" fillId="15" borderId="2" xfId="0" applyFont="1" applyBorder="1"/>
    <xf numFmtId="42" fontId="19" fillId="3" borderId="6" xfId="0" applyNumberFormat="1" applyFont="1" applyFill="1" applyBorder="1"/>
    <xf numFmtId="164" fontId="19" fillId="3" borderId="6" xfId="1" applyNumberFormat="1" applyFont="1" applyFill="1" applyBorder="1"/>
    <xf numFmtId="2" fontId="19" fillId="3" borderId="6" xfId="0" applyNumberFormat="1" applyFont="1" applyFill="1" applyBorder="1" applyAlignment="1">
      <alignment horizontal="center"/>
    </xf>
    <xf numFmtId="42" fontId="19" fillId="15" borderId="7" xfId="0" applyNumberFormat="1" applyFont="1" applyBorder="1"/>
    <xf numFmtId="0" fontId="19" fillId="15" borderId="6" xfId="0" applyFont="1" applyBorder="1"/>
    <xf numFmtId="42" fontId="31" fillId="3" borderId="6" xfId="0" applyNumberFormat="1" applyFont="1" applyFill="1" applyBorder="1"/>
    <xf numFmtId="164" fontId="31" fillId="3" borderId="6" xfId="1" applyNumberFormat="1" applyFont="1" applyFill="1" applyBorder="1"/>
    <xf numFmtId="0" fontId="20" fillId="15" borderId="0" xfId="0" applyFont="1" applyAlignment="1">
      <alignment horizontal="right"/>
    </xf>
    <xf numFmtId="2" fontId="19" fillId="3" borderId="45" xfId="0" applyNumberFormat="1" applyFont="1" applyFill="1" applyBorder="1" applyAlignment="1">
      <alignment horizontal="center"/>
    </xf>
    <xf numFmtId="0" fontId="19" fillId="15" borderId="40" xfId="0" applyFont="1" applyBorder="1"/>
    <xf numFmtId="0" fontId="19" fillId="15" borderId="45" xfId="0" applyFont="1" applyBorder="1"/>
    <xf numFmtId="0" fontId="22" fillId="15" borderId="1" xfId="0" applyFont="1" applyBorder="1"/>
    <xf numFmtId="14" fontId="19" fillId="15" borderId="1" xfId="0" applyNumberFormat="1" applyFont="1" applyBorder="1"/>
    <xf numFmtId="42" fontId="20" fillId="15" borderId="0" xfId="0" applyNumberFormat="1" applyFont="1" applyAlignment="1">
      <alignment vertical="top"/>
    </xf>
    <xf numFmtId="14" fontId="19" fillId="15" borderId="5" xfId="0" applyNumberFormat="1" applyFont="1" applyBorder="1"/>
    <xf numFmtId="0" fontId="19" fillId="4" borderId="39" xfId="1" applyNumberFormat="1" applyFont="1" applyFill="1" applyBorder="1" applyAlignment="1">
      <alignment vertical="top"/>
    </xf>
    <xf numFmtId="169" fontId="19" fillId="3" borderId="45" xfId="1" applyNumberFormat="1" applyFont="1" applyFill="1" applyBorder="1" applyAlignment="1">
      <alignment horizontal="center" vertical="top"/>
    </xf>
    <xf numFmtId="42" fontId="19" fillId="4" borderId="45" xfId="1" applyNumberFormat="1" applyFont="1" applyFill="1" applyBorder="1" applyAlignment="1">
      <alignment vertical="top"/>
    </xf>
    <xf numFmtId="42" fontId="19" fillId="4" borderId="39" xfId="1" applyNumberFormat="1" applyFont="1" applyFill="1" applyBorder="1" applyAlignment="1">
      <alignment vertical="top"/>
    </xf>
    <xf numFmtId="14" fontId="19" fillId="4" borderId="39" xfId="1" applyNumberFormat="1" applyFont="1" applyFill="1" applyBorder="1" applyAlignment="1">
      <alignment vertical="top"/>
    </xf>
    <xf numFmtId="14" fontId="19" fillId="4" borderId="45" xfId="1" applyNumberFormat="1" applyFont="1" applyFill="1" applyBorder="1" applyAlignment="1">
      <alignment vertical="top"/>
    </xf>
    <xf numFmtId="42" fontId="19" fillId="4" borderId="45" xfId="1" applyNumberFormat="1" applyFont="1" applyFill="1" applyBorder="1" applyAlignment="1">
      <alignment horizontal="center" vertical="top"/>
    </xf>
    <xf numFmtId="166" fontId="19" fillId="4" borderId="45" xfId="2" applyNumberFormat="1" applyFont="1" applyFill="1" applyBorder="1" applyAlignment="1">
      <alignment horizontal="center" vertical="top"/>
    </xf>
    <xf numFmtId="9" fontId="19" fillId="4" borderId="45" xfId="2" applyFont="1" applyFill="1" applyBorder="1" applyAlignment="1">
      <alignment horizontal="center" vertical="top"/>
    </xf>
    <xf numFmtId="14" fontId="19" fillId="4" borderId="39" xfId="1" applyNumberFormat="1" applyFont="1" applyFill="1" applyBorder="1" applyAlignment="1">
      <alignment horizontal="center" vertical="top"/>
    </xf>
    <xf numFmtId="42" fontId="19" fillId="4" borderId="40" xfId="1" applyNumberFormat="1" applyFont="1" applyFill="1" applyBorder="1" applyAlignment="1">
      <alignment vertical="top"/>
    </xf>
    <xf numFmtId="0" fontId="19" fillId="4" borderId="40" xfId="1" applyNumberFormat="1" applyFont="1" applyFill="1" applyBorder="1" applyAlignment="1">
      <alignment horizontal="center" vertical="top"/>
    </xf>
    <xf numFmtId="42" fontId="19" fillId="3" borderId="40" xfId="1" applyNumberFormat="1" applyFont="1" applyFill="1" applyBorder="1" applyAlignment="1">
      <alignment vertical="top"/>
    </xf>
    <xf numFmtId="42" fontId="33" fillId="4" borderId="40" xfId="1" applyNumberFormat="1" applyFont="1" applyFill="1" applyBorder="1" applyAlignment="1">
      <alignment vertical="top"/>
    </xf>
    <xf numFmtId="42" fontId="19" fillId="3" borderId="45" xfId="1" applyNumberFormat="1" applyFont="1" applyFill="1" applyBorder="1" applyAlignment="1">
      <alignment vertical="top"/>
    </xf>
    <xf numFmtId="164" fontId="19" fillId="4" borderId="40" xfId="1" applyNumberFormat="1" applyFont="1" applyFill="1" applyBorder="1" applyAlignment="1">
      <alignment vertical="top"/>
    </xf>
    <xf numFmtId="174" fontId="19" fillId="3" borderId="40" xfId="6" applyNumberFormat="1" applyFont="1" applyFill="1" applyBorder="1" applyAlignment="1">
      <alignment horizontal="center" vertical="top"/>
    </xf>
    <xf numFmtId="174" fontId="19" fillId="4" borderId="40" xfId="1" applyNumberFormat="1" applyFont="1" applyFill="1" applyBorder="1" applyAlignment="1">
      <alignment horizontal="center" vertical="top"/>
    </xf>
    <xf numFmtId="14" fontId="19" fillId="3" borderId="40" xfId="6" applyNumberFormat="1" applyFont="1" applyFill="1" applyBorder="1" applyAlignment="1">
      <alignment horizontal="center" vertical="top"/>
    </xf>
    <xf numFmtId="0" fontId="19" fillId="15" borderId="0" xfId="0" applyFont="1" applyAlignment="1">
      <alignment vertical="top"/>
    </xf>
    <xf numFmtId="0" fontId="19" fillId="15" borderId="48" xfId="0" applyFont="1" applyBorder="1" applyAlignment="1">
      <alignment horizontal="center" vertical="top"/>
    </xf>
    <xf numFmtId="0" fontId="19" fillId="15" borderId="48" xfId="0" applyFont="1" applyBorder="1" applyAlignment="1">
      <alignment vertical="top"/>
    </xf>
    <xf numFmtId="14" fontId="19" fillId="15" borderId="1" xfId="0" applyNumberFormat="1" applyFont="1" applyBorder="1" applyAlignment="1">
      <alignment horizontal="center"/>
    </xf>
    <xf numFmtId="42" fontId="19" fillId="15" borderId="1" xfId="0" applyNumberFormat="1" applyFont="1" applyBorder="1" applyAlignment="1">
      <alignment horizontal="center"/>
    </xf>
    <xf numFmtId="164" fontId="19" fillId="15" borderId="1" xfId="1" applyNumberFormat="1" applyFont="1" applyFill="1" applyBorder="1" applyAlignment="1">
      <alignment horizontal="center"/>
    </xf>
    <xf numFmtId="0" fontId="19" fillId="8" borderId="41" xfId="0" applyFont="1" applyFill="1" applyBorder="1" applyAlignment="1">
      <alignment horizontal="center"/>
    </xf>
    <xf numFmtId="164" fontId="19" fillId="8" borderId="41" xfId="1" applyNumberFormat="1" applyFont="1" applyFill="1" applyBorder="1" applyAlignment="1">
      <alignment horizontal="left"/>
    </xf>
    <xf numFmtId="0" fontId="25" fillId="15" borderId="7" xfId="0" applyFont="1" applyBorder="1"/>
    <xf numFmtId="0" fontId="25" fillId="15" borderId="4" xfId="5" applyFont="1" applyFill="1" applyBorder="1" applyAlignment="1"/>
    <xf numFmtId="42" fontId="25" fillId="15" borderId="0" xfId="5" applyNumberFormat="1" applyFont="1" applyFill="1" applyBorder="1" applyAlignment="1">
      <alignment horizontal="left"/>
    </xf>
    <xf numFmtId="0" fontId="34" fillId="9" borderId="5" xfId="0" applyFont="1" applyFill="1" applyBorder="1" applyAlignment="1">
      <alignment horizontal="center" vertical="center" wrapText="1"/>
    </xf>
    <xf numFmtId="0" fontId="34" fillId="9" borderId="3" xfId="0" applyFont="1" applyFill="1" applyBorder="1" applyAlignment="1">
      <alignment horizontal="center" vertical="center" wrapText="1"/>
    </xf>
    <xf numFmtId="42" fontId="34" fillId="9" borderId="3" xfId="0" applyNumberFormat="1" applyFont="1" applyFill="1" applyBorder="1" applyAlignment="1">
      <alignment horizontal="center" vertical="center" wrapText="1"/>
    </xf>
    <xf numFmtId="164" fontId="34" fillId="9" borderId="3" xfId="1" applyNumberFormat="1" applyFont="1" applyFill="1" applyBorder="1" applyAlignment="1">
      <alignment horizontal="center" vertical="center" wrapText="1"/>
    </xf>
    <xf numFmtId="42" fontId="34" fillId="9" borderId="5" xfId="0" applyNumberFormat="1" applyFont="1" applyFill="1" applyBorder="1" applyAlignment="1">
      <alignment horizontal="center" vertical="center" wrapText="1"/>
    </xf>
    <xf numFmtId="0" fontId="34" fillId="9" borderId="0" xfId="0" applyFont="1" applyFill="1" applyAlignment="1">
      <alignment horizontal="center" vertical="center" wrapText="1"/>
    </xf>
    <xf numFmtId="42" fontId="20" fillId="15" borderId="45" xfId="0" applyNumberFormat="1" applyFont="1" applyBorder="1" applyAlignment="1">
      <alignment horizontal="center" vertical="center" wrapText="1"/>
    </xf>
    <xf numFmtId="0" fontId="19" fillId="15" borderId="5" xfId="0" applyFont="1" applyBorder="1"/>
    <xf numFmtId="0" fontId="19" fillId="21" borderId="0" xfId="0" applyFont="1" applyFill="1"/>
    <xf numFmtId="0" fontId="20" fillId="21" borderId="41" xfId="0" applyFont="1" applyFill="1" applyBorder="1" applyAlignment="1">
      <alignment horizontal="left"/>
    </xf>
    <xf numFmtId="0" fontId="19" fillId="21" borderId="0" xfId="0" applyFont="1" applyFill="1" applyAlignment="1">
      <alignment horizontal="left"/>
    </xf>
    <xf numFmtId="0" fontId="19" fillId="21" borderId="0" xfId="0" applyFont="1" applyFill="1" applyAlignment="1">
      <alignment horizontal="right"/>
    </xf>
    <xf numFmtId="0" fontId="19" fillId="21" borderId="50" xfId="0" applyFont="1" applyFill="1" applyBorder="1" applyAlignment="1">
      <alignment horizontal="right"/>
    </xf>
    <xf numFmtId="0" fontId="19" fillId="0" borderId="0" xfId="0" applyFont="1" applyFill="1"/>
    <xf numFmtId="0" fontId="19" fillId="21" borderId="25" xfId="0" applyFont="1" applyFill="1" applyBorder="1"/>
    <xf numFmtId="0" fontId="19" fillId="21" borderId="13" xfId="0" applyFont="1" applyFill="1" applyBorder="1" applyAlignment="1">
      <alignment horizontal="left"/>
    </xf>
    <xf numFmtId="0" fontId="19" fillId="21" borderId="13" xfId="0" applyFont="1" applyFill="1" applyBorder="1"/>
    <xf numFmtId="0" fontId="19" fillId="21" borderId="13" xfId="0" applyFont="1" applyFill="1" applyBorder="1" applyAlignment="1">
      <alignment horizontal="right"/>
    </xf>
    <xf numFmtId="0" fontId="19" fillId="21" borderId="14" xfId="0" applyFont="1" applyFill="1" applyBorder="1" applyAlignment="1">
      <alignment horizontal="right"/>
    </xf>
    <xf numFmtId="0" fontId="20" fillId="15" borderId="26" xfId="0" applyFont="1" applyBorder="1" applyAlignment="1">
      <alignment horizontal="left"/>
    </xf>
    <xf numFmtId="0" fontId="19" fillId="15" borderId="41" xfId="0" applyFont="1" applyBorder="1"/>
    <xf numFmtId="0" fontId="19" fillId="15" borderId="42" xfId="0" applyFont="1" applyBorder="1"/>
    <xf numFmtId="0" fontId="20" fillId="15" borderId="45" xfId="0" applyFont="1" applyBorder="1" applyAlignment="1">
      <alignment horizontal="center"/>
    </xf>
    <xf numFmtId="0" fontId="20" fillId="15" borderId="40" xfId="0" applyFont="1" applyBorder="1" applyAlignment="1">
      <alignment horizontal="center" vertical="center" wrapText="1"/>
    </xf>
    <xf numFmtId="0" fontId="20" fillId="15" borderId="45" xfId="0" applyFont="1" applyBorder="1" applyAlignment="1">
      <alignment horizontal="center" vertical="center" wrapText="1"/>
    </xf>
    <xf numFmtId="0" fontId="19" fillId="15" borderId="0" xfId="0" applyFont="1" applyAlignment="1">
      <alignment horizontal="center" vertical="center" wrapText="1"/>
    </xf>
    <xf numFmtId="0" fontId="20" fillId="15" borderId="40" xfId="0" applyFont="1" applyBorder="1"/>
    <xf numFmtId="0" fontId="33" fillId="15" borderId="40" xfId="0" applyFont="1" applyBorder="1"/>
    <xf numFmtId="0" fontId="20" fillId="15" borderId="27" xfId="0" applyFont="1" applyBorder="1" applyAlignment="1">
      <alignment horizontal="right"/>
    </xf>
    <xf numFmtId="0" fontId="19" fillId="15" borderId="15" xfId="0" applyFont="1" applyBorder="1"/>
    <xf numFmtId="0" fontId="19" fillId="15" borderId="16" xfId="0" applyFont="1" applyBorder="1"/>
    <xf numFmtId="0" fontId="19" fillId="15" borderId="18" xfId="0" applyFont="1" applyBorder="1"/>
    <xf numFmtId="0" fontId="19" fillId="15" borderId="19" xfId="0" applyFont="1" applyBorder="1"/>
    <xf numFmtId="0" fontId="19" fillId="15" borderId="20" xfId="0" applyFont="1" applyBorder="1"/>
    <xf numFmtId="0" fontId="20" fillId="15" borderId="21" xfId="0" applyFont="1" applyBorder="1"/>
    <xf numFmtId="0" fontId="19" fillId="15" borderId="22" xfId="0" applyFont="1" applyBorder="1"/>
    <xf numFmtId="0" fontId="19" fillId="15" borderId="21" xfId="0" applyFont="1" applyBorder="1"/>
    <xf numFmtId="10" fontId="19" fillId="3" borderId="45" xfId="2" applyNumberFormat="1" applyFont="1" applyFill="1" applyBorder="1"/>
    <xf numFmtId="0" fontId="19" fillId="15" borderId="23" xfId="0" applyFont="1" applyBorder="1"/>
    <xf numFmtId="0" fontId="19" fillId="15" borderId="24" xfId="0" applyFont="1" applyBorder="1"/>
    <xf numFmtId="0" fontId="4" fillId="15" borderId="7" xfId="0" applyFont="1" applyBorder="1" applyAlignment="1">
      <alignment vertical="top"/>
    </xf>
    <xf numFmtId="0" fontId="4" fillId="15" borderId="0" xfId="0" applyFont="1" applyAlignment="1">
      <alignment horizontal="center" vertical="top"/>
    </xf>
    <xf numFmtId="0" fontId="4" fillId="15" borderId="4" xfId="0" applyFont="1" applyBorder="1" applyAlignment="1">
      <alignment vertical="top"/>
    </xf>
    <xf numFmtId="0" fontId="4" fillId="15" borderId="1" xfId="0" applyFont="1" applyBorder="1" applyAlignment="1">
      <alignment vertical="top"/>
    </xf>
    <xf numFmtId="164" fontId="4" fillId="15" borderId="1" xfId="0" applyNumberFormat="1" applyFont="1" applyBorder="1" applyAlignment="1">
      <alignment horizontal="center" vertical="top"/>
    </xf>
    <xf numFmtId="0" fontId="4" fillId="15" borderId="1" xfId="0" applyFont="1" applyBorder="1" applyAlignment="1">
      <alignment horizontal="center" vertical="top"/>
    </xf>
    <xf numFmtId="164" fontId="4" fillId="8" borderId="41" xfId="0" applyNumberFormat="1" applyFont="1" applyFill="1" applyBorder="1" applyAlignment="1">
      <alignment horizontal="left"/>
    </xf>
    <xf numFmtId="0" fontId="35" fillId="8" borderId="45" xfId="0" applyFont="1" applyFill="1" applyBorder="1" applyAlignment="1">
      <alignment horizontal="center" vertical="center" wrapText="1"/>
    </xf>
    <xf numFmtId="0" fontId="20" fillId="15" borderId="2" xfId="0" applyFont="1" applyBorder="1" applyAlignment="1">
      <alignment horizontal="center" vertical="center"/>
    </xf>
    <xf numFmtId="0" fontId="20" fillId="15" borderId="2" xfId="0" applyFont="1" applyBorder="1" applyAlignment="1">
      <alignment vertical="center" wrapText="1"/>
    </xf>
    <xf numFmtId="0" fontId="19" fillId="15" borderId="48" xfId="0" applyFont="1" applyBorder="1" applyAlignment="1">
      <alignment horizontal="center" vertical="center"/>
    </xf>
    <xf numFmtId="0" fontId="19" fillId="15" borderId="2" xfId="0" applyFont="1" applyBorder="1" applyAlignment="1">
      <alignment horizontal="center" vertical="center"/>
    </xf>
    <xf numFmtId="0" fontId="20" fillId="15" borderId="39" xfId="0" applyFont="1" applyBorder="1" applyAlignment="1">
      <alignment horizontal="center" vertical="center"/>
    </xf>
    <xf numFmtId="0" fontId="19" fillId="15" borderId="0" xfId="0" applyFont="1" applyAlignment="1">
      <alignment horizontal="center" vertical="center"/>
    </xf>
    <xf numFmtId="0" fontId="35" fillId="8" borderId="6" xfId="0" applyFont="1" applyFill="1" applyBorder="1" applyAlignment="1">
      <alignment horizontal="center" vertical="center" wrapText="1"/>
    </xf>
    <xf numFmtId="0" fontId="35" fillId="8" borderId="7" xfId="0" applyFont="1" applyFill="1" applyBorder="1" applyAlignment="1">
      <alignment horizontal="center" vertical="center" wrapText="1"/>
    </xf>
    <xf numFmtId="169" fontId="19" fillId="13" borderId="6" xfId="0" applyNumberFormat="1" applyFont="1" applyFill="1" applyBorder="1" applyAlignment="1">
      <alignment horizontal="center" vertical="top"/>
    </xf>
    <xf numFmtId="0" fontId="19" fillId="4" borderId="7" xfId="0" applyFont="1" applyFill="1" applyBorder="1" applyAlignment="1">
      <alignment vertical="top"/>
    </xf>
    <xf numFmtId="14" fontId="19" fillId="4" borderId="6" xfId="0" applyNumberFormat="1" applyFont="1" applyFill="1" applyBorder="1" applyAlignment="1">
      <alignment horizontal="center" vertical="top"/>
    </xf>
    <xf numFmtId="0" fontId="19" fillId="4" borderId="8" xfId="0" applyFont="1" applyFill="1" applyBorder="1" applyAlignment="1">
      <alignment vertical="top"/>
    </xf>
    <xf numFmtId="164" fontId="19" fillId="4" borderId="6" xfId="0" applyNumberFormat="1" applyFont="1" applyFill="1" applyBorder="1" applyAlignment="1">
      <alignment vertical="top"/>
    </xf>
    <xf numFmtId="164" fontId="19" fillId="4" borderId="6" xfId="1" applyNumberFormat="1" applyFont="1" applyFill="1" applyBorder="1" applyAlignment="1">
      <alignment vertical="top"/>
    </xf>
    <xf numFmtId="164" fontId="19" fillId="4" borderId="7" xfId="0" applyNumberFormat="1" applyFont="1" applyFill="1" applyBorder="1" applyAlignment="1">
      <alignment vertical="top" wrapText="1"/>
    </xf>
    <xf numFmtId="0" fontId="19" fillId="4" borderId="2" xfId="0" applyFont="1" applyFill="1" applyBorder="1" applyAlignment="1">
      <alignment vertical="top" wrapText="1"/>
    </xf>
    <xf numFmtId="0" fontId="19" fillId="4" borderId="0" xfId="0" applyFont="1" applyFill="1" applyAlignment="1">
      <alignment vertical="top"/>
    </xf>
    <xf numFmtId="0" fontId="33" fillId="8" borderId="29" xfId="0" applyFont="1" applyFill="1" applyBorder="1" applyAlignment="1">
      <alignment horizontal="center" vertical="center" wrapText="1"/>
    </xf>
    <xf numFmtId="0" fontId="33" fillId="8" borderId="45" xfId="0" applyFont="1" applyFill="1" applyBorder="1" applyAlignment="1">
      <alignment horizontal="center" vertical="center" wrapText="1"/>
    </xf>
    <xf numFmtId="0" fontId="33" fillId="8" borderId="3" xfId="0" applyFont="1" applyFill="1" applyBorder="1" applyAlignment="1">
      <alignment horizontal="center" vertical="center" wrapText="1"/>
    </xf>
    <xf numFmtId="0" fontId="33" fillId="8" borderId="6" xfId="0" applyFont="1" applyFill="1" applyBorder="1" applyAlignment="1">
      <alignment horizontal="center" vertical="center" wrapText="1"/>
    </xf>
    <xf numFmtId="0" fontId="33" fillId="8" borderId="7" xfId="0" applyFont="1" applyFill="1" applyBorder="1" applyAlignment="1">
      <alignment horizontal="center" vertical="center" wrapText="1"/>
    </xf>
    <xf numFmtId="44" fontId="33" fillId="3" borderId="3" xfId="1" applyFont="1" applyFill="1" applyBorder="1" applyAlignment="1">
      <alignment wrapText="1"/>
    </xf>
    <xf numFmtId="44" fontId="19" fillId="3" borderId="45" xfId="1" applyFont="1" applyFill="1" applyBorder="1" applyAlignment="1"/>
    <xf numFmtId="44" fontId="19" fillId="3" borderId="6" xfId="1" applyFont="1" applyFill="1" applyBorder="1" applyAlignment="1">
      <alignment vertical="top"/>
    </xf>
    <xf numFmtId="169" fontId="19" fillId="13" borderId="45" xfId="1" applyNumberFormat="1" applyFont="1" applyFill="1" applyBorder="1" applyAlignment="1">
      <alignment horizontal="center"/>
    </xf>
    <xf numFmtId="164" fontId="19" fillId="11" borderId="45" xfId="1" applyNumberFormat="1" applyFont="1" applyFill="1" applyBorder="1"/>
    <xf numFmtId="0" fontId="19" fillId="15" borderId="7" xfId="0" applyFont="1" applyBorder="1" applyAlignment="1">
      <alignment vertical="top"/>
    </xf>
    <xf numFmtId="0" fontId="19" fillId="15" borderId="0" xfId="0" applyFont="1" applyAlignment="1">
      <alignment horizontal="center" vertical="top"/>
    </xf>
    <xf numFmtId="0" fontId="19" fillId="15" borderId="4" xfId="0" applyFont="1" applyBorder="1" applyAlignment="1">
      <alignment vertical="top"/>
    </xf>
    <xf numFmtId="0" fontId="19" fillId="15" borderId="1" xfId="0" applyFont="1" applyBorder="1" applyAlignment="1">
      <alignment vertical="top"/>
    </xf>
    <xf numFmtId="0" fontId="19" fillId="15" borderId="1" xfId="0" applyFont="1" applyBorder="1" applyAlignment="1">
      <alignment horizontal="center" vertical="top"/>
    </xf>
    <xf numFmtId="44" fontId="19" fillId="13" borderId="45" xfId="1" applyFont="1" applyFill="1" applyBorder="1"/>
    <xf numFmtId="44" fontId="19" fillId="4" borderId="45" xfId="1" applyFont="1" applyFill="1" applyBorder="1"/>
    <xf numFmtId="0" fontId="20" fillId="15" borderId="3" xfId="0" applyFont="1" applyBorder="1" applyAlignment="1">
      <alignment horizontal="center"/>
    </xf>
    <xf numFmtId="0" fontId="20" fillId="15" borderId="6" xfId="0" applyFont="1" applyBorder="1" applyAlignment="1">
      <alignment horizontal="center"/>
    </xf>
    <xf numFmtId="0" fontId="20" fillId="15" borderId="8" xfId="0" applyFont="1" applyBorder="1" applyAlignment="1">
      <alignment horizontal="center"/>
    </xf>
    <xf numFmtId="0" fontId="35" fillId="8" borderId="5" xfId="0" applyFont="1" applyFill="1" applyBorder="1" applyAlignment="1">
      <alignment horizontal="center" vertical="center" wrapText="1"/>
    </xf>
    <xf numFmtId="0" fontId="35" fillId="8" borderId="10" xfId="0" applyFont="1" applyFill="1" applyBorder="1" applyAlignment="1">
      <alignment horizontal="center" vertical="center" wrapText="1"/>
    </xf>
    <xf numFmtId="0" fontId="35" fillId="8" borderId="11" xfId="0" applyFont="1" applyFill="1" applyBorder="1" applyAlignment="1">
      <alignment horizontal="center" vertical="center" wrapText="1"/>
    </xf>
    <xf numFmtId="0" fontId="35" fillId="8" borderId="12" xfId="0" applyFont="1" applyFill="1" applyBorder="1" applyAlignment="1">
      <alignment horizontal="center" vertical="center" wrapText="1"/>
    </xf>
    <xf numFmtId="0" fontId="35" fillId="8" borderId="17" xfId="0" applyFont="1" applyFill="1" applyBorder="1" applyAlignment="1">
      <alignment horizontal="center" vertical="center" wrapText="1"/>
    </xf>
    <xf numFmtId="0" fontId="35" fillId="8" borderId="0" xfId="0" applyFont="1" applyFill="1" applyAlignment="1">
      <alignment horizontal="center" vertical="center" wrapText="1"/>
    </xf>
    <xf numFmtId="164" fontId="19" fillId="4" borderId="7" xfId="1" applyNumberFormat="1" applyFont="1" applyFill="1" applyBorder="1"/>
    <xf numFmtId="0" fontId="19" fillId="4" borderId="11" xfId="0" applyFont="1" applyFill="1" applyBorder="1"/>
    <xf numFmtId="0" fontId="19" fillId="4" borderId="7" xfId="0" applyFont="1" applyFill="1" applyBorder="1"/>
    <xf numFmtId="44" fontId="19" fillId="4" borderId="10" xfId="1" applyFont="1" applyFill="1" applyBorder="1"/>
    <xf numFmtId="44" fontId="19" fillId="4" borderId="11" xfId="1" applyFont="1" applyFill="1" applyBorder="1"/>
    <xf numFmtId="44" fontId="19" fillId="4" borderId="0" xfId="1" applyFont="1" applyFill="1" applyBorder="1"/>
    <xf numFmtId="0" fontId="19" fillId="15" borderId="48" xfId="0" applyFont="1" applyBorder="1" applyAlignment="1">
      <alignment vertical="center"/>
    </xf>
    <xf numFmtId="0" fontId="19" fillId="15" borderId="47" xfId="0" applyFont="1" applyBorder="1" applyAlignment="1">
      <alignment horizontal="right" vertical="center"/>
    </xf>
    <xf numFmtId="0" fontId="19" fillId="15" borderId="0" xfId="0" applyFont="1" applyAlignment="1">
      <alignment vertical="center"/>
    </xf>
    <xf numFmtId="0" fontId="19" fillId="15" borderId="8" xfId="0" applyFont="1" applyBorder="1" applyAlignment="1">
      <alignment horizontal="right" vertical="center"/>
    </xf>
    <xf numFmtId="0" fontId="35" fillId="9" borderId="5" xfId="0" applyFont="1" applyFill="1" applyBorder="1" applyAlignment="1">
      <alignment horizontal="center" wrapText="1"/>
    </xf>
    <xf numFmtId="0" fontId="35" fillId="9" borderId="3" xfId="0" applyFont="1" applyFill="1" applyBorder="1" applyAlignment="1">
      <alignment horizontal="center" wrapText="1"/>
    </xf>
    <xf numFmtId="0" fontId="35" fillId="9" borderId="4" xfId="0" applyFont="1" applyFill="1" applyBorder="1" applyAlignment="1">
      <alignment horizontal="center" wrapText="1"/>
    </xf>
    <xf numFmtId="0" fontId="19" fillId="15" borderId="0" xfId="0" applyFont="1" applyAlignment="1">
      <alignment horizontal="center" wrapText="1"/>
    </xf>
    <xf numFmtId="14" fontId="19" fillId="4" borderId="45" xfId="1" applyNumberFormat="1" applyFont="1" applyFill="1" applyBorder="1"/>
    <xf numFmtId="164" fontId="19" fillId="4" borderId="40" xfId="1" applyNumberFormat="1" applyFont="1" applyFill="1" applyBorder="1"/>
    <xf numFmtId="0" fontId="20" fillId="15" borderId="2" xfId="0" applyFont="1" applyBorder="1" applyAlignment="1">
      <alignment horizontal="center"/>
    </xf>
    <xf numFmtId="0" fontId="20" fillId="15" borderId="2" xfId="0" applyFont="1" applyBorder="1"/>
    <xf numFmtId="0" fontId="35" fillId="8" borderId="1" xfId="0" applyFont="1" applyFill="1" applyBorder="1" applyAlignment="1">
      <alignment horizontal="center" vertical="center" wrapText="1"/>
    </xf>
    <xf numFmtId="0" fontId="35" fillId="8" borderId="40" xfId="0" applyFont="1" applyFill="1" applyBorder="1" applyAlignment="1">
      <alignment horizontal="center" vertical="center" wrapText="1"/>
    </xf>
    <xf numFmtId="164" fontId="19" fillId="4" borderId="41" xfId="1" applyNumberFormat="1" applyFont="1" applyFill="1" applyBorder="1" applyAlignment="1">
      <alignment horizontal="center"/>
    </xf>
    <xf numFmtId="0" fontId="19" fillId="15" borderId="1" xfId="0" applyFont="1" applyBorder="1" applyAlignment="1">
      <alignment horizontal="center" vertical="center"/>
    </xf>
    <xf numFmtId="0" fontId="19" fillId="15" borderId="8" xfId="0" applyFont="1" applyBorder="1"/>
    <xf numFmtId="0" fontId="20" fillId="15" borderId="0" xfId="0" applyFont="1" applyAlignment="1">
      <alignment horizontal="center" vertical="center"/>
    </xf>
    <xf numFmtId="0" fontId="32" fillId="15" borderId="0" xfId="5" applyFont="1" applyFill="1"/>
    <xf numFmtId="0" fontId="19" fillId="15" borderId="0" xfId="0" applyFont="1" applyAlignment="1">
      <alignment wrapText="1"/>
    </xf>
    <xf numFmtId="0" fontId="19" fillId="15" borderId="46" xfId="0" applyFont="1" applyBorder="1" applyAlignment="1">
      <alignment vertical="center"/>
    </xf>
    <xf numFmtId="0" fontId="27" fillId="15" borderId="48" xfId="0" applyFont="1" applyBorder="1" applyAlignment="1">
      <alignment vertical="center"/>
    </xf>
    <xf numFmtId="0" fontId="20" fillId="15" borderId="48" xfId="0" applyFont="1" applyBorder="1" applyAlignment="1">
      <alignment vertical="center"/>
    </xf>
    <xf numFmtId="0" fontId="27" fillId="15" borderId="0" xfId="0" applyFont="1" applyAlignment="1">
      <alignment vertical="center"/>
    </xf>
    <xf numFmtId="0" fontId="20" fillId="15" borderId="48" xfId="0" applyFont="1" applyBorder="1" applyAlignment="1">
      <alignment horizontal="center" vertical="center"/>
    </xf>
    <xf numFmtId="0" fontId="19" fillId="15" borderId="7" xfId="0" applyFont="1" applyBorder="1" applyAlignment="1">
      <alignment vertical="center"/>
    </xf>
    <xf numFmtId="0" fontId="20" fillId="15" borderId="0" xfId="0" applyFont="1" applyAlignment="1">
      <alignment vertical="center"/>
    </xf>
    <xf numFmtId="0" fontId="20" fillId="15" borderId="1" xfId="0" applyFont="1" applyBorder="1" applyAlignment="1">
      <alignment vertical="center"/>
    </xf>
    <xf numFmtId="0" fontId="20" fillId="15" borderId="1" xfId="0" applyFont="1" applyBorder="1" applyAlignment="1">
      <alignment horizontal="center" vertical="center"/>
    </xf>
    <xf numFmtId="0" fontId="20" fillId="15" borderId="5" xfId="0" applyFont="1" applyBorder="1" applyAlignment="1">
      <alignment horizontal="center" vertical="center"/>
    </xf>
    <xf numFmtId="0" fontId="19" fillId="15" borderId="1" xfId="0" applyFont="1" applyBorder="1" applyAlignment="1">
      <alignment vertical="center"/>
    </xf>
    <xf numFmtId="0" fontId="19" fillId="15" borderId="5" xfId="0" applyFont="1" applyBorder="1" applyAlignment="1">
      <alignment vertical="center"/>
    </xf>
    <xf numFmtId="0" fontId="19" fillId="15" borderId="41" xfId="0" applyFont="1" applyBorder="1" applyAlignment="1">
      <alignment vertical="center"/>
    </xf>
    <xf numFmtId="0" fontId="20" fillId="15" borderId="39" xfId="0" applyFont="1" applyBorder="1" applyAlignment="1">
      <alignment horizontal="right" vertical="center"/>
    </xf>
    <xf numFmtId="42" fontId="20" fillId="3" borderId="45" xfId="0" applyNumberFormat="1" applyFont="1" applyFill="1" applyBorder="1" applyAlignment="1">
      <alignment horizontal="right" vertical="center"/>
    </xf>
    <xf numFmtId="0" fontId="19" fillId="15" borderId="0" xfId="0" applyFont="1" applyAlignment="1">
      <alignment vertical="center" wrapText="1"/>
    </xf>
    <xf numFmtId="167" fontId="19" fillId="15" borderId="0" xfId="0" applyNumberFormat="1" applyFont="1" applyAlignment="1">
      <alignment horizontal="left" vertical="center"/>
    </xf>
    <xf numFmtId="0" fontId="19" fillId="15" borderId="0" xfId="0" applyFont="1" applyAlignment="1">
      <alignment horizontal="left" vertical="center"/>
    </xf>
    <xf numFmtId="164" fontId="20" fillId="4" borderId="45" xfId="1" applyNumberFormat="1" applyFont="1" applyFill="1" applyBorder="1" applyAlignment="1">
      <alignment vertical="center"/>
    </xf>
    <xf numFmtId="164" fontId="19" fillId="15" borderId="0" xfId="0" applyNumberFormat="1" applyFont="1" applyAlignment="1">
      <alignment vertical="center"/>
    </xf>
    <xf numFmtId="166" fontId="35" fillId="6" borderId="0" xfId="2" applyNumberFormat="1" applyFont="1" applyFill="1" applyAlignment="1">
      <alignment horizontal="center" vertical="center"/>
    </xf>
    <xf numFmtId="0" fontId="19" fillId="15" borderId="0" xfId="0" applyFont="1" applyAlignment="1">
      <alignment horizontal="right" vertical="center"/>
    </xf>
    <xf numFmtId="166" fontId="19" fillId="5" borderId="0" xfId="2" applyNumberFormat="1" applyFont="1" applyFill="1" applyAlignment="1">
      <alignment vertical="center"/>
    </xf>
    <xf numFmtId="0" fontId="35" fillId="7" borderId="45" xfId="0" applyFont="1" applyFill="1" applyBorder="1" applyAlignment="1">
      <alignment horizontal="center" vertical="center"/>
    </xf>
    <xf numFmtId="0" fontId="36" fillId="15" borderId="45" xfId="0" applyFont="1" applyBorder="1" applyAlignment="1">
      <alignment horizontal="center" vertical="center"/>
    </xf>
    <xf numFmtId="14" fontId="20" fillId="4" borderId="6" xfId="0" applyNumberFormat="1" applyFont="1" applyFill="1" applyBorder="1" applyAlignment="1">
      <alignment horizontal="center" vertical="center"/>
    </xf>
    <xf numFmtId="164" fontId="20" fillId="4" borderId="6" xfId="1" applyNumberFormat="1" applyFont="1" applyFill="1" applyBorder="1" applyAlignment="1">
      <alignment vertical="center"/>
    </xf>
    <xf numFmtId="0" fontId="19" fillId="15" borderId="6" xfId="0" applyFont="1" applyBorder="1" applyAlignment="1">
      <alignment vertical="center"/>
    </xf>
    <xf numFmtId="164" fontId="35" fillId="6" borderId="6" xfId="1" applyNumberFormat="1" applyFont="1" applyFill="1" applyBorder="1" applyAlignment="1">
      <alignment horizontal="center" vertical="center"/>
    </xf>
    <xf numFmtId="168" fontId="19" fillId="15" borderId="0" xfId="0" applyNumberFormat="1" applyFont="1" applyAlignment="1">
      <alignment horizontal="left" vertical="center"/>
    </xf>
    <xf numFmtId="164" fontId="20" fillId="4" borderId="6" xfId="0" applyNumberFormat="1" applyFont="1" applyFill="1" applyBorder="1" applyAlignment="1">
      <alignment vertical="center"/>
    </xf>
    <xf numFmtId="164" fontId="35" fillId="6" borderId="3" xfId="1" applyNumberFormat="1" applyFont="1" applyFill="1" applyBorder="1" applyAlignment="1">
      <alignment horizontal="center" vertical="center"/>
    </xf>
    <xf numFmtId="0" fontId="19" fillId="15" borderId="0" xfId="0" applyFont="1" applyAlignment="1">
      <alignment horizontal="left" vertical="center" wrapText="1"/>
    </xf>
    <xf numFmtId="0" fontId="19" fillId="15" borderId="0" xfId="0" applyFont="1" applyAlignment="1">
      <alignment horizontal="right" vertical="center" wrapText="1"/>
    </xf>
    <xf numFmtId="14" fontId="19" fillId="4" borderId="45" xfId="0" applyNumberFormat="1" applyFont="1" applyFill="1" applyBorder="1" applyAlignment="1">
      <alignment horizontal="center" vertical="center"/>
    </xf>
    <xf numFmtId="164" fontId="19" fillId="4" borderId="6" xfId="1" applyNumberFormat="1" applyFont="1" applyFill="1" applyBorder="1" applyAlignment="1">
      <alignment vertical="center"/>
    </xf>
    <xf numFmtId="164" fontId="33" fillId="6" borderId="6" xfId="1" applyNumberFormat="1" applyFont="1" applyFill="1" applyBorder="1" applyAlignment="1">
      <alignment horizontal="center" vertical="center"/>
    </xf>
    <xf numFmtId="164" fontId="19" fillId="4" borderId="6" xfId="0" applyNumberFormat="1" applyFont="1" applyFill="1" applyBorder="1" applyAlignment="1">
      <alignment vertical="center"/>
    </xf>
    <xf numFmtId="164" fontId="33" fillId="6" borderId="3" xfId="1" applyNumberFormat="1" applyFont="1" applyFill="1" applyBorder="1" applyAlignment="1">
      <alignment horizontal="center" vertical="center"/>
    </xf>
    <xf numFmtId="0" fontId="19" fillId="15" borderId="47" xfId="0" applyFont="1" applyBorder="1"/>
    <xf numFmtId="0" fontId="33" fillId="15" borderId="7" xfId="0" applyFont="1" applyBorder="1"/>
    <xf numFmtId="0" fontId="33" fillId="15" borderId="0" xfId="0" applyFont="1"/>
    <xf numFmtId="0" fontId="33" fillId="15" borderId="8" xfId="0" applyFont="1" applyBorder="1"/>
    <xf numFmtId="0" fontId="35" fillId="15" borderId="0" xfId="0" applyFont="1" applyAlignment="1">
      <alignment horizontal="center"/>
    </xf>
    <xf numFmtId="0" fontId="19" fillId="15" borderId="8" xfId="0" applyFont="1" applyBorder="1" applyAlignment="1">
      <alignment horizontal="left"/>
    </xf>
    <xf numFmtId="0" fontId="33" fillId="15" borderId="0" xfId="0" applyFont="1" applyAlignment="1">
      <alignment horizontal="left"/>
    </xf>
    <xf numFmtId="0" fontId="33" fillId="15" borderId="8" xfId="0" applyFont="1" applyBorder="1" applyAlignment="1">
      <alignment horizontal="left"/>
    </xf>
    <xf numFmtId="0" fontId="19" fillId="15" borderId="0" xfId="0" applyFont="1" applyAlignment="1">
      <alignment horizontal="left" vertical="top" wrapText="1"/>
    </xf>
    <xf numFmtId="0" fontId="19" fillId="15" borderId="8" xfId="0" applyFont="1" applyBorder="1" applyAlignment="1">
      <alignment vertical="top" wrapText="1"/>
    </xf>
    <xf numFmtId="0" fontId="33" fillId="15" borderId="0" xfId="0" applyFont="1" applyAlignment="1">
      <alignment horizontal="left" vertical="top" wrapText="1"/>
    </xf>
    <xf numFmtId="0" fontId="35" fillId="15" borderId="0" xfId="0" applyFont="1" applyAlignment="1">
      <alignment horizontal="left"/>
    </xf>
    <xf numFmtId="164" fontId="33" fillId="6" borderId="0" xfId="1" applyNumberFormat="1" applyFont="1" applyFill="1" applyBorder="1" applyAlignment="1">
      <alignment horizontal="left"/>
    </xf>
    <xf numFmtId="0" fontId="20" fillId="15" borderId="46" xfId="0" applyFont="1" applyBorder="1" applyAlignment="1">
      <alignment horizontal="left"/>
    </xf>
    <xf numFmtId="0" fontId="19" fillId="15" borderId="48" xfId="0" applyFont="1" applyBorder="1" applyAlignment="1">
      <alignment horizontal="left"/>
    </xf>
    <xf numFmtId="0" fontId="19" fillId="15" borderId="47" xfId="0" applyFont="1" applyBorder="1" applyAlignment="1">
      <alignment horizontal="left"/>
    </xf>
    <xf numFmtId="0" fontId="33" fillId="15" borderId="46" xfId="0" applyFont="1" applyBorder="1"/>
    <xf numFmtId="0" fontId="33" fillId="15" borderId="48" xfId="0" applyFont="1" applyBorder="1" applyAlignment="1">
      <alignment horizontal="left" vertical="top" wrapText="1"/>
    </xf>
    <xf numFmtId="0" fontId="33" fillId="15" borderId="47" xfId="0" applyFont="1" applyBorder="1" applyAlignment="1">
      <alignment horizontal="left"/>
    </xf>
    <xf numFmtId="0" fontId="33" fillId="15" borderId="0" xfId="0" applyFont="1" applyAlignment="1">
      <alignment vertical="top" wrapText="1"/>
    </xf>
    <xf numFmtId="0" fontId="19" fillId="15" borderId="1" xfId="0" applyFont="1" applyBorder="1" applyAlignment="1">
      <alignment horizontal="left"/>
    </xf>
    <xf numFmtId="0" fontId="19" fillId="15" borderId="5" xfId="0" applyFont="1" applyBorder="1" applyAlignment="1">
      <alignment horizontal="left"/>
    </xf>
    <xf numFmtId="0" fontId="33" fillId="15" borderId="0" xfId="0" quotePrefix="1" applyFont="1" applyAlignment="1">
      <alignment vertical="top" wrapText="1"/>
    </xf>
    <xf numFmtId="42" fontId="19" fillId="3" borderId="0" xfId="0" applyNumberFormat="1" applyFont="1" applyFill="1"/>
    <xf numFmtId="0" fontId="33" fillId="4" borderId="45" xfId="0" applyFont="1" applyFill="1" applyBorder="1" applyAlignment="1">
      <alignment horizontal="left" vertical="top" wrapText="1"/>
    </xf>
    <xf numFmtId="0" fontId="33" fillId="15" borderId="8" xfId="0" quotePrefix="1" applyFont="1" applyBorder="1" applyAlignment="1">
      <alignment horizontal="left"/>
    </xf>
    <xf numFmtId="0" fontId="33" fillId="15" borderId="0" xfId="0" applyFont="1" applyAlignment="1">
      <alignment horizontal="center" vertical="top" wrapText="1"/>
    </xf>
    <xf numFmtId="0" fontId="19" fillId="15" borderId="8" xfId="0" applyFont="1" applyBorder="1" applyAlignment="1">
      <alignment horizontal="left" vertical="top" wrapText="1"/>
    </xf>
    <xf numFmtId="0" fontId="33" fillId="15" borderId="8" xfId="0" applyFont="1" applyBorder="1" applyAlignment="1">
      <alignment horizontal="left" vertical="top" wrapText="1"/>
    </xf>
    <xf numFmtId="0" fontId="19" fillId="0" borderId="45" xfId="0" applyFont="1" applyFill="1" applyBorder="1"/>
    <xf numFmtId="0" fontId="33" fillId="15" borderId="4" xfId="0" applyFont="1" applyBorder="1"/>
    <xf numFmtId="0" fontId="33" fillId="15" borderId="1" xfId="0" applyFont="1" applyBorder="1"/>
    <xf numFmtId="0" fontId="33" fillId="15" borderId="5" xfId="0" applyFont="1" applyBorder="1"/>
    <xf numFmtId="0" fontId="19" fillId="15" borderId="5" xfId="0" applyFont="1" applyBorder="1" applyAlignment="1">
      <alignment horizontal="center"/>
    </xf>
    <xf numFmtId="14" fontId="19" fillId="0" borderId="45" xfId="0" applyNumberFormat="1" applyFont="1" applyFill="1" applyBorder="1"/>
    <xf numFmtId="0" fontId="19" fillId="15" borderId="7" xfId="0" applyFont="1" applyBorder="1" applyAlignment="1">
      <alignment horizontal="left"/>
    </xf>
    <xf numFmtId="42" fontId="19" fillId="15" borderId="0" xfId="0" applyNumberFormat="1" applyFont="1" applyAlignment="1">
      <alignment vertical="center"/>
    </xf>
    <xf numFmtId="0" fontId="19" fillId="15" borderId="8" xfId="0" applyFont="1" applyBorder="1" applyAlignment="1">
      <alignment vertical="center"/>
    </xf>
    <xf numFmtId="173" fontId="19" fillId="3" borderId="45" xfId="6" applyNumberFormat="1" applyFont="1" applyFill="1" applyBorder="1" applyAlignment="1">
      <alignment horizontal="center" vertical="center"/>
    </xf>
    <xf numFmtId="42" fontId="19" fillId="3" borderId="45" xfId="0" applyNumberFormat="1" applyFont="1" applyFill="1" applyBorder="1" applyAlignment="1">
      <alignment vertical="center"/>
    </xf>
    <xf numFmtId="0" fontId="19" fillId="15" borderId="4" xfId="0" applyFont="1" applyBorder="1" applyAlignment="1">
      <alignment vertical="center"/>
    </xf>
    <xf numFmtId="0" fontId="19" fillId="15" borderId="2" xfId="0" applyFont="1" applyBorder="1" applyAlignment="1">
      <alignment vertical="center"/>
    </xf>
    <xf numFmtId="0" fontId="17" fillId="15" borderId="0" xfId="0" applyFont="1" applyAlignment="1">
      <alignment horizontal="left" vertical="center" wrapText="1"/>
    </xf>
    <xf numFmtId="169" fontId="19" fillId="4" borderId="3" xfId="0" applyNumberFormat="1" applyFont="1" applyFill="1" applyBorder="1" applyAlignment="1">
      <alignment horizontal="center" vertical="center"/>
    </xf>
    <xf numFmtId="42" fontId="19" fillId="4" borderId="3" xfId="0" applyNumberFormat="1" applyFont="1" applyFill="1" applyBorder="1" applyAlignment="1">
      <alignment horizontal="left" vertical="center"/>
    </xf>
    <xf numFmtId="14" fontId="19" fillId="4" borderId="3" xfId="0" applyNumberFormat="1" applyFont="1" applyFill="1" applyBorder="1" applyAlignment="1">
      <alignment horizontal="center" vertical="center"/>
    </xf>
    <xf numFmtId="0" fontId="19" fillId="4" borderId="3" xfId="0" applyFont="1" applyFill="1" applyBorder="1" applyAlignment="1">
      <alignment horizontal="center" vertical="center"/>
    </xf>
    <xf numFmtId="42" fontId="19" fillId="4" borderId="3" xfId="0" applyNumberFormat="1" applyFont="1" applyFill="1" applyBorder="1" applyAlignment="1">
      <alignment vertical="center"/>
    </xf>
    <xf numFmtId="42" fontId="19" fillId="3" borderId="45" xfId="1" applyNumberFormat="1" applyFont="1" applyFill="1" applyBorder="1" applyAlignment="1">
      <alignment vertical="center"/>
    </xf>
    <xf numFmtId="42" fontId="19" fillId="4" borderId="3" xfId="0" applyNumberFormat="1" applyFont="1" applyFill="1" applyBorder="1" applyAlignment="1">
      <alignment horizontal="center" vertical="center"/>
    </xf>
    <xf numFmtId="0" fontId="17" fillId="15" borderId="0" xfId="0" applyFont="1" applyAlignment="1">
      <alignment vertical="center"/>
    </xf>
    <xf numFmtId="0" fontId="33" fillId="15" borderId="0" xfId="0" applyFont="1" applyAlignment="1">
      <alignment horizontal="center" vertical="center"/>
    </xf>
    <xf numFmtId="0" fontId="19" fillId="15" borderId="48" xfId="0" applyFont="1" applyBorder="1" applyAlignment="1">
      <alignment horizontal="right"/>
    </xf>
    <xf numFmtId="0" fontId="19" fillId="15" borderId="7" xfId="0" applyFont="1" applyBorder="1" applyAlignment="1">
      <alignment horizontal="left" vertical="top" wrapText="1"/>
    </xf>
    <xf numFmtId="0" fontId="19" fillId="15" borderId="0" xfId="0" applyFont="1" applyAlignment="1">
      <alignment horizontal="center" vertical="top" wrapText="1"/>
    </xf>
    <xf numFmtId="0" fontId="19" fillId="15" borderId="7" xfId="0" applyFont="1" applyBorder="1" applyAlignment="1">
      <alignment horizontal="left" vertical="center" indent="1"/>
    </xf>
    <xf numFmtId="0" fontId="19" fillId="15" borderId="8" xfId="0" applyFont="1" applyBorder="1" applyAlignment="1">
      <alignment vertical="center" wrapText="1"/>
    </xf>
    <xf numFmtId="0" fontId="19" fillId="15" borderId="7" xfId="0" applyFont="1" applyBorder="1" applyAlignment="1">
      <alignment horizontal="right" vertical="center"/>
    </xf>
    <xf numFmtId="0" fontId="20" fillId="15" borderId="45" xfId="0" applyFont="1" applyBorder="1" applyAlignment="1">
      <alignment horizontal="center" vertical="center"/>
    </xf>
    <xf numFmtId="0" fontId="20" fillId="15" borderId="45" xfId="0" applyFont="1" applyBorder="1" applyAlignment="1">
      <alignment vertical="center"/>
    </xf>
    <xf numFmtId="0" fontId="20" fillId="4" borderId="3" xfId="0" applyFont="1" applyFill="1" applyBorder="1" applyAlignment="1">
      <alignment vertical="center"/>
    </xf>
    <xf numFmtId="0" fontId="33" fillId="8" borderId="37" xfId="0" applyFont="1" applyFill="1" applyBorder="1" applyAlignment="1">
      <alignment horizontal="center" vertical="center" wrapText="1"/>
    </xf>
    <xf numFmtId="164" fontId="19" fillId="14" borderId="0" xfId="1" applyNumberFormat="1" applyFont="1" applyFill="1"/>
    <xf numFmtId="164" fontId="19" fillId="4" borderId="0" xfId="1" applyNumberFormat="1" applyFont="1" applyFill="1"/>
    <xf numFmtId="0" fontId="19" fillId="15" borderId="0" xfId="0" applyFont="1" applyAlignment="1">
      <alignment horizontal="right" vertical="top"/>
    </xf>
    <xf numFmtId="14" fontId="19" fillId="4" borderId="45" xfId="0" applyNumberFormat="1" applyFont="1" applyFill="1" applyBorder="1"/>
    <xf numFmtId="0" fontId="33" fillId="4" borderId="45" xfId="0" applyFont="1" applyFill="1" applyBorder="1" applyAlignment="1">
      <alignment horizontal="center"/>
    </xf>
    <xf numFmtId="175" fontId="19" fillId="3" borderId="45" xfId="1" applyNumberFormat="1" applyFont="1" applyFill="1" applyBorder="1" applyAlignment="1">
      <alignment horizontal="center" vertical="center"/>
    </xf>
    <xf numFmtId="176" fontId="19" fillId="3" borderId="45" xfId="1" applyNumberFormat="1" applyFont="1" applyFill="1" applyBorder="1" applyAlignment="1">
      <alignment horizontal="center" vertical="center"/>
    </xf>
    <xf numFmtId="0" fontId="19" fillId="8" borderId="40" xfId="0" applyFont="1" applyFill="1" applyBorder="1" applyAlignment="1">
      <alignment horizontal="left"/>
    </xf>
    <xf numFmtId="0" fontId="26" fillId="8" borderId="41" xfId="0" applyFont="1" applyFill="1" applyBorder="1"/>
    <xf numFmtId="0" fontId="19" fillId="8" borderId="41" xfId="0" applyFont="1" applyFill="1" applyBorder="1" applyAlignment="1">
      <alignment horizontal="right"/>
    </xf>
    <xf numFmtId="0" fontId="19" fillId="6" borderId="1" xfId="0" applyFont="1" applyFill="1" applyBorder="1"/>
    <xf numFmtId="0" fontId="19" fillId="15" borderId="0" xfId="0" applyFont="1" applyAlignment="1">
      <alignment horizontal="left" vertical="top" indent="3"/>
    </xf>
    <xf numFmtId="164" fontId="19" fillId="3" borderId="45" xfId="1" applyNumberFormat="1" applyFont="1" applyFill="1" applyBorder="1" applyAlignment="1"/>
    <xf numFmtId="0" fontId="33" fillId="15" borderId="0" xfId="0" applyFont="1" applyAlignment="1">
      <alignment horizontal="left" vertical="top" indent="3"/>
    </xf>
    <xf numFmtId="0" fontId="33" fillId="15" borderId="0" xfId="0" applyFont="1" applyAlignment="1">
      <alignment horizontal="left" vertical="top" indent="7"/>
    </xf>
    <xf numFmtId="0" fontId="20" fillId="15" borderId="0" xfId="0" applyFont="1" applyAlignment="1">
      <alignment horizontal="left" vertical="top"/>
    </xf>
    <xf numFmtId="1" fontId="19" fillId="3" borderId="45" xfId="1" applyNumberFormat="1" applyFont="1" applyFill="1" applyBorder="1" applyAlignment="1">
      <alignment horizontal="center"/>
    </xf>
    <xf numFmtId="164" fontId="19" fillId="4" borderId="45" xfId="1" applyNumberFormat="1" applyFont="1" applyFill="1" applyBorder="1" applyAlignment="1"/>
    <xf numFmtId="0" fontId="35" fillId="15" borderId="0" xfId="0" applyFont="1" applyAlignment="1">
      <alignment horizontal="center" vertical="top"/>
    </xf>
    <xf numFmtId="0" fontId="20" fillId="15" borderId="0" xfId="0" applyFont="1" applyAlignment="1">
      <alignment horizontal="center" vertical="top"/>
    </xf>
    <xf numFmtId="0" fontId="40" fillId="15" borderId="0" xfId="0" applyFont="1" applyAlignment="1">
      <alignment horizontal="left" indent="3"/>
    </xf>
    <xf numFmtId="43" fontId="19" fillId="13" borderId="45" xfId="6" applyFont="1" applyFill="1" applyBorder="1" applyAlignment="1">
      <alignment horizontal="center" vertical="center"/>
    </xf>
    <xf numFmtId="2" fontId="19" fillId="6" borderId="40" xfId="0" applyNumberFormat="1" applyFont="1" applyFill="1" applyBorder="1" applyAlignment="1">
      <alignment horizontal="center"/>
    </xf>
    <xf numFmtId="2" fontId="19" fillId="6" borderId="45" xfId="6" applyNumberFormat="1" applyFont="1" applyFill="1" applyBorder="1" applyAlignment="1">
      <alignment horizontal="center"/>
    </xf>
    <xf numFmtId="166" fontId="19" fillId="4" borderId="45" xfId="2" applyNumberFormat="1" applyFont="1" applyFill="1" applyBorder="1" applyAlignment="1">
      <alignment horizontal="center"/>
    </xf>
    <xf numFmtId="0" fontId="40" fillId="15" borderId="0" xfId="0" applyFont="1" applyAlignment="1">
      <alignment horizontal="left" vertical="top" indent="3"/>
    </xf>
    <xf numFmtId="2" fontId="19" fillId="4" borderId="45" xfId="6" applyNumberFormat="1" applyFont="1" applyFill="1" applyBorder="1" applyAlignment="1">
      <alignment horizontal="center"/>
    </xf>
    <xf numFmtId="43" fontId="19" fillId="4" borderId="45" xfId="6" applyFont="1" applyFill="1" applyBorder="1"/>
    <xf numFmtId="164" fontId="19" fillId="5" borderId="0" xfId="1" applyNumberFormat="1" applyFont="1" applyFill="1" applyAlignment="1"/>
    <xf numFmtId="0" fontId="19" fillId="4" borderId="0" xfId="0" applyFont="1" applyFill="1" applyAlignment="1">
      <alignment wrapText="1"/>
    </xf>
    <xf numFmtId="166" fontId="19" fillId="3" borderId="0" xfId="2" applyNumberFormat="1" applyFont="1" applyFill="1" applyAlignment="1">
      <alignment horizontal="center"/>
    </xf>
    <xf numFmtId="0" fontId="19" fillId="4" borderId="0" xfId="0" applyFont="1" applyFill="1"/>
    <xf numFmtId="166" fontId="19" fillId="5" borderId="0" xfId="2" applyNumberFormat="1" applyFont="1" applyFill="1" applyAlignment="1">
      <alignment horizontal="center"/>
    </xf>
    <xf numFmtId="166" fontId="19" fillId="5" borderId="0" xfId="2" applyNumberFormat="1" applyFont="1" applyFill="1"/>
    <xf numFmtId="9" fontId="19" fillId="5" borderId="0" xfId="2" applyFont="1" applyFill="1" applyAlignment="1">
      <alignment horizontal="center"/>
    </xf>
    <xf numFmtId="0" fontId="19" fillId="15" borderId="46" xfId="0" applyFont="1" applyBorder="1" applyAlignment="1">
      <alignment horizontal="center"/>
    </xf>
    <xf numFmtId="0" fontId="19" fillId="15" borderId="4" xfId="0" applyFont="1" applyBorder="1" applyAlignment="1">
      <alignment horizontal="center"/>
    </xf>
    <xf numFmtId="0" fontId="19" fillId="15" borderId="4" xfId="0" applyFont="1" applyBorder="1" applyAlignment="1">
      <alignment horizontal="left"/>
    </xf>
    <xf numFmtId="0" fontId="19" fillId="15" borderId="1" xfId="0" applyFont="1" applyBorder="1" applyAlignment="1">
      <alignment horizontal="right"/>
    </xf>
    <xf numFmtId="1" fontId="19" fillId="4" borderId="45" xfId="1" applyNumberFormat="1" applyFont="1" applyFill="1" applyBorder="1" applyAlignment="1">
      <alignment horizontal="center"/>
    </xf>
    <xf numFmtId="177" fontId="19" fillId="4" borderId="45" xfId="0" applyNumberFormat="1" applyFont="1" applyFill="1" applyBorder="1" applyAlignment="1">
      <alignment horizontal="center"/>
    </xf>
    <xf numFmtId="1" fontId="33" fillId="4" borderId="45" xfId="1" applyNumberFormat="1" applyFont="1" applyFill="1" applyBorder="1" applyAlignment="1">
      <alignment horizontal="center"/>
    </xf>
    <xf numFmtId="44" fontId="19" fillId="4" borderId="45" xfId="1" applyFont="1" applyFill="1" applyBorder="1" applyAlignment="1"/>
    <xf numFmtId="164" fontId="33" fillId="4" borderId="45" xfId="1" applyNumberFormat="1" applyFont="1" applyFill="1" applyBorder="1" applyAlignment="1">
      <alignment horizontal="center"/>
    </xf>
    <xf numFmtId="164" fontId="33" fillId="4" borderId="40" xfId="1" applyNumberFormat="1" applyFont="1" applyFill="1" applyBorder="1" applyAlignment="1">
      <alignment horizontal="center"/>
    </xf>
    <xf numFmtId="164" fontId="33" fillId="6" borderId="2" xfId="1" applyNumberFormat="1" applyFont="1" applyFill="1" applyBorder="1" applyAlignment="1">
      <alignment horizontal="center"/>
    </xf>
    <xf numFmtId="164" fontId="33" fillId="6" borderId="6" xfId="1" applyNumberFormat="1" applyFont="1" applyFill="1" applyBorder="1" applyAlignment="1">
      <alignment horizontal="center"/>
    </xf>
    <xf numFmtId="164" fontId="33" fillId="4" borderId="2" xfId="1" applyNumberFormat="1" applyFont="1" applyFill="1" applyBorder="1"/>
    <xf numFmtId="164" fontId="33" fillId="4" borderId="46" xfId="1" applyNumberFormat="1" applyFont="1" applyFill="1" applyBorder="1"/>
    <xf numFmtId="0" fontId="37" fillId="15" borderId="0" xfId="5" applyFont="1" applyFill="1" applyAlignment="1">
      <alignment horizontal="left" indent="1"/>
    </xf>
    <xf numFmtId="0" fontId="40" fillId="14" borderId="0" xfId="11" applyFont="1" applyFill="1"/>
    <xf numFmtId="0" fontId="33" fillId="14" borderId="0" xfId="11" applyFont="1" applyFill="1"/>
    <xf numFmtId="173" fontId="35" fillId="14" borderId="0" xfId="12" applyNumberFormat="1" applyFont="1" applyFill="1" applyBorder="1" applyAlignment="1">
      <alignment horizontal="center"/>
    </xf>
    <xf numFmtId="164" fontId="33" fillId="4" borderId="2" xfId="1" applyNumberFormat="1" applyFont="1" applyFill="1" applyBorder="1" applyAlignment="1">
      <alignment horizontal="center"/>
    </xf>
    <xf numFmtId="164" fontId="33" fillId="4" borderId="46" xfId="1" applyNumberFormat="1" applyFont="1" applyFill="1" applyBorder="1" applyAlignment="1">
      <alignment horizontal="center"/>
    </xf>
    <xf numFmtId="164" fontId="33" fillId="4" borderId="45" xfId="1" applyNumberFormat="1" applyFont="1" applyFill="1" applyBorder="1"/>
    <xf numFmtId="164" fontId="33" fillId="6" borderId="2" xfId="1" applyNumberFormat="1" applyFont="1" applyFill="1" applyBorder="1"/>
    <xf numFmtId="164" fontId="41" fillId="6" borderId="6" xfId="1" applyNumberFormat="1" applyFont="1" applyFill="1" applyBorder="1"/>
    <xf numFmtId="164" fontId="33" fillId="6" borderId="40" xfId="1" applyNumberFormat="1" applyFont="1" applyFill="1" applyBorder="1" applyAlignment="1">
      <alignment horizontal="center" vertical="top"/>
    </xf>
    <xf numFmtId="164" fontId="33" fillId="6" borderId="41" xfId="1" applyNumberFormat="1" applyFont="1" applyFill="1" applyBorder="1" applyAlignment="1">
      <alignment horizontal="center" vertical="top"/>
    </xf>
    <xf numFmtId="164" fontId="33" fillId="6" borderId="39" xfId="1" applyNumberFormat="1" applyFont="1" applyFill="1" applyBorder="1" applyAlignment="1">
      <alignment horizontal="center" vertical="top"/>
    </xf>
    <xf numFmtId="164" fontId="33" fillId="6" borderId="3" xfId="1" applyNumberFormat="1" applyFont="1" applyFill="1" applyBorder="1" applyAlignment="1">
      <alignment vertical="top"/>
    </xf>
    <xf numFmtId="164" fontId="33" fillId="6" borderId="45" xfId="1" applyNumberFormat="1" applyFont="1" applyFill="1" applyBorder="1"/>
    <xf numFmtId="164" fontId="33" fillId="6" borderId="45" xfId="1" applyNumberFormat="1" applyFont="1" applyFill="1" applyBorder="1" applyAlignment="1">
      <alignment horizontal="center"/>
    </xf>
    <xf numFmtId="0" fontId="35" fillId="14" borderId="46" xfId="11" applyFont="1" applyFill="1" applyBorder="1" applyAlignment="1">
      <alignment horizontal="left"/>
    </xf>
    <xf numFmtId="0" fontId="33" fillId="14" borderId="48" xfId="11" applyFont="1" applyFill="1" applyBorder="1"/>
    <xf numFmtId="14" fontId="33" fillId="14" borderId="48" xfId="12" applyNumberFormat="1" applyFont="1" applyFill="1" applyBorder="1"/>
    <xf numFmtId="173" fontId="33" fillId="14" borderId="48" xfId="12" applyNumberFormat="1" applyFont="1" applyFill="1" applyBorder="1"/>
    <xf numFmtId="173" fontId="33" fillId="14" borderId="47" xfId="12" applyNumberFormat="1" applyFont="1" applyFill="1" applyBorder="1"/>
    <xf numFmtId="0" fontId="33" fillId="14" borderId="7" xfId="11" applyFont="1" applyFill="1" applyBorder="1" applyAlignment="1">
      <alignment horizontal="left" indent="1"/>
    </xf>
    <xf numFmtId="164" fontId="33" fillId="6" borderId="46" xfId="1" applyNumberFormat="1" applyFont="1" applyFill="1" applyBorder="1"/>
    <xf numFmtId="164" fontId="33" fillId="6" borderId="48" xfId="1" applyNumberFormat="1" applyFont="1" applyFill="1" applyBorder="1"/>
    <xf numFmtId="164" fontId="33" fillId="6" borderId="47" xfId="1" applyNumberFormat="1" applyFont="1" applyFill="1" applyBorder="1"/>
    <xf numFmtId="164" fontId="33" fillId="6" borderId="7" xfId="1" applyNumberFormat="1" applyFont="1" applyFill="1" applyBorder="1"/>
    <xf numFmtId="164" fontId="33" fillId="6" borderId="0" xfId="1" applyNumberFormat="1" applyFont="1" applyFill="1" applyBorder="1"/>
    <xf numFmtId="164" fontId="33" fillId="6" borderId="8" xfId="1" applyNumberFormat="1" applyFont="1" applyFill="1" applyBorder="1"/>
    <xf numFmtId="0" fontId="33" fillId="14" borderId="4" xfId="11" applyFont="1" applyFill="1" applyBorder="1" applyAlignment="1">
      <alignment horizontal="left" indent="1"/>
    </xf>
    <xf numFmtId="0" fontId="33" fillId="14" borderId="1" xfId="11" applyFont="1" applyFill="1" applyBorder="1"/>
    <xf numFmtId="164" fontId="33" fillId="6" borderId="4" xfId="1" applyNumberFormat="1" applyFont="1" applyFill="1" applyBorder="1"/>
    <xf numFmtId="164" fontId="33" fillId="6" borderId="1" xfId="1" applyNumberFormat="1" applyFont="1" applyFill="1" applyBorder="1"/>
    <xf numFmtId="164" fontId="33" fillId="6" borderId="5" xfId="1" applyNumberFormat="1" applyFont="1" applyFill="1" applyBorder="1"/>
    <xf numFmtId="14" fontId="19" fillId="8" borderId="2" xfId="0" applyNumberFormat="1" applyFont="1" applyFill="1" applyBorder="1" applyAlignment="1">
      <alignment horizontal="center"/>
    </xf>
    <xf numFmtId="0" fontId="19" fillId="8" borderId="2" xfId="0" applyFont="1" applyFill="1" applyBorder="1" applyAlignment="1">
      <alignment horizontal="center"/>
    </xf>
    <xf numFmtId="0" fontId="19" fillId="8" borderId="46" xfId="0" applyFont="1" applyFill="1" applyBorder="1" applyAlignment="1">
      <alignment horizontal="center"/>
    </xf>
    <xf numFmtId="0" fontId="19" fillId="8" borderId="48" xfId="0" applyFont="1" applyFill="1" applyBorder="1" applyAlignment="1">
      <alignment horizontal="center"/>
    </xf>
    <xf numFmtId="0" fontId="19" fillId="8" borderId="47" xfId="0" applyFont="1" applyFill="1" applyBorder="1" applyAlignment="1">
      <alignment horizontal="center"/>
    </xf>
    <xf numFmtId="14" fontId="19" fillId="8" borderId="3" xfId="0" applyNumberFormat="1" applyFont="1" applyFill="1" applyBorder="1" applyAlignment="1">
      <alignment horizontal="center"/>
    </xf>
    <xf numFmtId="0" fontId="19" fillId="8" borderId="3" xfId="0" applyFont="1" applyFill="1" applyBorder="1" applyAlignment="1">
      <alignment horizontal="center"/>
    </xf>
    <xf numFmtId="0" fontId="19" fillId="8" borderId="4" xfId="0" applyFont="1" applyFill="1" applyBorder="1" applyAlignment="1">
      <alignment horizontal="center"/>
    </xf>
    <xf numFmtId="164" fontId="33" fillId="6" borderId="40" xfId="1" applyNumberFormat="1" applyFont="1" applyFill="1" applyBorder="1" applyAlignment="1">
      <alignment horizontal="center"/>
    </xf>
    <xf numFmtId="0" fontId="35" fillId="9" borderId="5" xfId="11" applyFont="1" applyFill="1" applyBorder="1" applyAlignment="1">
      <alignment horizontal="center" wrapText="1"/>
    </xf>
    <xf numFmtId="0" fontId="35" fillId="9" borderId="4" xfId="11" applyFont="1" applyFill="1" applyBorder="1" applyAlignment="1">
      <alignment horizontal="center" textRotation="90" wrapText="1"/>
    </xf>
    <xf numFmtId="0" fontId="35" fillId="9" borderId="4" xfId="11" applyFont="1" applyFill="1" applyBorder="1" applyAlignment="1">
      <alignment horizontal="center" wrapText="1"/>
    </xf>
    <xf numFmtId="0" fontId="35" fillId="9" borderId="45" xfId="11" applyFont="1" applyFill="1" applyBorder="1" applyAlignment="1">
      <alignment horizontal="center"/>
    </xf>
    <xf numFmtId="14" fontId="35" fillId="9" borderId="3" xfId="11" applyNumberFormat="1" applyFont="1" applyFill="1" applyBorder="1" applyAlignment="1">
      <alignment horizontal="center" wrapText="1"/>
    </xf>
    <xf numFmtId="0" fontId="35" fillId="9" borderId="3" xfId="11" applyFont="1" applyFill="1" applyBorder="1" applyAlignment="1">
      <alignment horizontal="center" wrapText="1"/>
    </xf>
    <xf numFmtId="0" fontId="35" fillId="9" borderId="7" xfId="11" applyFont="1" applyFill="1" applyBorder="1" applyAlignment="1">
      <alignment horizontal="center" wrapText="1"/>
    </xf>
    <xf numFmtId="0" fontId="20" fillId="4" borderId="45" xfId="0" applyFont="1" applyFill="1" applyBorder="1" applyAlignment="1">
      <alignment vertical="center"/>
    </xf>
    <xf numFmtId="0" fontId="33" fillId="3" borderId="40" xfId="11" applyFont="1" applyFill="1" applyBorder="1" applyAlignment="1">
      <alignment horizontal="center" vertical="center"/>
    </xf>
    <xf numFmtId="164" fontId="33" fillId="3" borderId="40" xfId="1" applyNumberFormat="1" applyFont="1" applyFill="1" applyBorder="1" applyAlignment="1">
      <alignment vertical="center"/>
    </xf>
    <xf numFmtId="0" fontId="33" fillId="4" borderId="40" xfId="11" applyFont="1" applyFill="1" applyBorder="1" applyAlignment="1">
      <alignment vertical="center"/>
    </xf>
    <xf numFmtId="164" fontId="33" fillId="4" borderId="45" xfId="1" applyNumberFormat="1" applyFont="1" applyFill="1" applyBorder="1" applyAlignment="1">
      <alignment vertical="center"/>
    </xf>
    <xf numFmtId="164" fontId="33" fillId="6" borderId="45" xfId="1" applyNumberFormat="1" applyFont="1" applyFill="1" applyBorder="1" applyAlignment="1">
      <alignment vertical="center"/>
    </xf>
    <xf numFmtId="0" fontId="33" fillId="4" borderId="45" xfId="11" applyFont="1" applyFill="1" applyBorder="1" applyAlignment="1">
      <alignment vertical="center" wrapText="1"/>
    </xf>
    <xf numFmtId="0" fontId="33" fillId="4" borderId="45" xfId="11" applyFont="1" applyFill="1" applyBorder="1" applyAlignment="1">
      <alignment vertical="center"/>
    </xf>
    <xf numFmtId="0" fontId="33" fillId="4" borderId="46" xfId="11" applyFont="1" applyFill="1" applyBorder="1" applyAlignment="1">
      <alignment vertical="center"/>
    </xf>
    <xf numFmtId="0" fontId="33" fillId="4" borderId="2" xfId="11" applyFont="1" applyFill="1" applyBorder="1" applyAlignment="1">
      <alignment vertical="center" wrapText="1"/>
    </xf>
    <xf numFmtId="0" fontId="19" fillId="6" borderId="5" xfId="0" applyFont="1" applyFill="1" applyBorder="1" applyAlignment="1">
      <alignment horizontal="center"/>
    </xf>
    <xf numFmtId="0" fontId="33" fillId="9" borderId="2" xfId="11" applyFont="1" applyFill="1" applyBorder="1" applyAlignment="1">
      <alignment horizontal="center"/>
    </xf>
    <xf numFmtId="14" fontId="33" fillId="9" borderId="6" xfId="11" applyNumberFormat="1" applyFont="1" applyFill="1" applyBorder="1" applyAlignment="1">
      <alignment horizontal="center" wrapText="1"/>
    </xf>
    <xf numFmtId="0" fontId="33" fillId="9" borderId="6" xfId="11" applyFont="1" applyFill="1" applyBorder="1" applyAlignment="1">
      <alignment horizontal="center" wrapText="1"/>
    </xf>
    <xf numFmtId="0" fontId="33" fillId="9" borderId="2" xfId="11" applyFont="1" applyFill="1" applyBorder="1" applyAlignment="1">
      <alignment horizontal="center" wrapText="1"/>
    </xf>
    <xf numFmtId="0" fontId="35" fillId="14" borderId="0" xfId="11" applyFont="1" applyFill="1" applyAlignment="1">
      <alignment horizontal="right"/>
    </xf>
    <xf numFmtId="173" fontId="33" fillId="3" borderId="45" xfId="11" applyNumberFormat="1" applyFont="1" applyFill="1" applyBorder="1"/>
    <xf numFmtId="0" fontId="35" fillId="14" borderId="0" xfId="11" applyFont="1" applyFill="1"/>
    <xf numFmtId="173" fontId="35" fillId="14" borderId="0" xfId="12" applyNumberFormat="1" applyFont="1" applyFill="1" applyBorder="1" applyAlignment="1">
      <alignment horizontal="right"/>
    </xf>
    <xf numFmtId="0" fontId="35" fillId="14" borderId="0" xfId="11" applyFont="1" applyFill="1" applyAlignment="1">
      <alignment horizontal="left" indent="1"/>
    </xf>
    <xf numFmtId="0" fontId="33" fillId="14" borderId="0" xfId="11" applyFont="1" applyFill="1" applyAlignment="1">
      <alignment vertical="center"/>
    </xf>
    <xf numFmtId="42" fontId="19" fillId="4" borderId="45" xfId="1" applyNumberFormat="1" applyFont="1" applyFill="1" applyBorder="1" applyAlignment="1">
      <alignment vertical="center"/>
    </xf>
    <xf numFmtId="164" fontId="33" fillId="3" borderId="45" xfId="1" applyNumberFormat="1" applyFont="1" applyFill="1" applyBorder="1" applyAlignment="1">
      <alignment vertical="center"/>
    </xf>
    <xf numFmtId="0" fontId="33" fillId="4" borderId="40" xfId="11" applyFont="1" applyFill="1" applyBorder="1" applyAlignment="1">
      <alignment horizontal="left" vertical="center"/>
    </xf>
    <xf numFmtId="0" fontId="33" fillId="4" borderId="46" xfId="11" applyFont="1" applyFill="1" applyBorder="1" applyAlignment="1">
      <alignment horizontal="left" vertical="center"/>
    </xf>
    <xf numFmtId="0" fontId="33" fillId="4" borderId="47" xfId="11" applyFont="1" applyFill="1" applyBorder="1" applyAlignment="1">
      <alignment vertical="center"/>
    </xf>
    <xf numFmtId="0" fontId="33" fillId="4" borderId="46" xfId="11" applyFont="1" applyFill="1" applyBorder="1" applyAlignment="1">
      <alignment horizontal="center" vertical="center"/>
    </xf>
    <xf numFmtId="173" fontId="33" fillId="4" borderId="46" xfId="12" applyNumberFormat="1" applyFont="1" applyFill="1" applyBorder="1" applyAlignment="1">
      <alignment vertical="center"/>
    </xf>
    <xf numFmtId="173" fontId="33" fillId="4" borderId="2" xfId="12" applyNumberFormat="1" applyFont="1" applyFill="1" applyBorder="1" applyAlignment="1">
      <alignment vertical="center"/>
    </xf>
    <xf numFmtId="0" fontId="33" fillId="9" borderId="45" xfId="11" applyFont="1" applyFill="1" applyBorder="1" applyAlignment="1">
      <alignment horizontal="center" wrapText="1"/>
    </xf>
    <xf numFmtId="0" fontId="42" fillId="15" borderId="0" xfId="0" applyFont="1" applyAlignment="1">
      <alignment vertical="center"/>
    </xf>
    <xf numFmtId="0" fontId="19" fillId="13" borderId="32" xfId="0" applyFont="1" applyFill="1" applyBorder="1" applyAlignment="1">
      <alignment horizontal="center"/>
    </xf>
    <xf numFmtId="164" fontId="19" fillId="13" borderId="0" xfId="1" applyNumberFormat="1" applyFont="1" applyFill="1"/>
    <xf numFmtId="0" fontId="19" fillId="15" borderId="0" xfId="0" quotePrefix="1" applyFont="1" applyAlignment="1">
      <alignment horizontal="center"/>
    </xf>
    <xf numFmtId="0" fontId="31" fillId="15" borderId="0" xfId="0" quotePrefix="1" applyFont="1" applyAlignment="1">
      <alignment horizontal="center"/>
    </xf>
    <xf numFmtId="0" fontId="31" fillId="15" borderId="0" xfId="0" applyFont="1"/>
    <xf numFmtId="164" fontId="31" fillId="13" borderId="0" xfId="1" applyNumberFormat="1" applyFont="1" applyFill="1"/>
    <xf numFmtId="0" fontId="38" fillId="15" borderId="0" xfId="0" applyFont="1"/>
    <xf numFmtId="164" fontId="38" fillId="13" borderId="0" xfId="1" applyNumberFormat="1" applyFont="1" applyFill="1"/>
    <xf numFmtId="0" fontId="19" fillId="15" borderId="0" xfId="0" quotePrefix="1" applyFont="1"/>
    <xf numFmtId="0" fontId="19" fillId="15" borderId="0" xfId="0" quotePrefix="1" applyFont="1" applyAlignment="1">
      <alignment horizontal="left"/>
    </xf>
    <xf numFmtId="2" fontId="20" fillId="13" borderId="32" xfId="1" applyNumberFormat="1" applyFont="1" applyFill="1" applyBorder="1" applyAlignment="1">
      <alignment horizontal="center"/>
    </xf>
    <xf numFmtId="0" fontId="40" fillId="15" borderId="0" xfId="0" applyFont="1"/>
    <xf numFmtId="0" fontId="43" fillId="15" borderId="0" xfId="0" applyFont="1"/>
    <xf numFmtId="166" fontId="20" fillId="13" borderId="0" xfId="2" applyNumberFormat="1" applyFont="1" applyFill="1" applyAlignment="1">
      <alignment horizontal="center"/>
    </xf>
    <xf numFmtId="164" fontId="19" fillId="4" borderId="0" xfId="1" applyNumberFormat="1" applyFont="1" applyFill="1" applyAlignment="1">
      <alignment horizontal="center"/>
    </xf>
    <xf numFmtId="0" fontId="19" fillId="15" borderId="0" xfId="0" pivotButton="1" applyFont="1"/>
    <xf numFmtId="0" fontId="26" fillId="15" borderId="0" xfId="0" applyFont="1" applyAlignment="1">
      <alignment vertical="top" wrapText="1"/>
    </xf>
    <xf numFmtId="169" fontId="33" fillId="4" borderId="45" xfId="1" applyNumberFormat="1" applyFont="1" applyFill="1" applyBorder="1" applyAlignment="1">
      <alignment horizontal="center"/>
    </xf>
    <xf numFmtId="0" fontId="36" fillId="4" borderId="45" xfId="0" applyFont="1" applyFill="1" applyBorder="1" applyAlignment="1">
      <alignment horizontal="center"/>
    </xf>
    <xf numFmtId="170" fontId="19" fillId="4" borderId="1" xfId="0" applyNumberFormat="1" applyFont="1" applyFill="1" applyBorder="1" applyAlignment="1">
      <alignment horizontal="center"/>
    </xf>
    <xf numFmtId="0" fontId="19" fillId="4" borderId="1" xfId="0" applyFont="1" applyFill="1" applyBorder="1"/>
    <xf numFmtId="171" fontId="19" fillId="4" borderId="1" xfId="0" applyNumberFormat="1" applyFont="1" applyFill="1" applyBorder="1" applyAlignment="1">
      <alignment horizontal="left"/>
    </xf>
    <xf numFmtId="14" fontId="19" fillId="4" borderId="1" xfId="0" applyNumberFormat="1" applyFont="1" applyFill="1" applyBorder="1" applyAlignment="1">
      <alignment horizontal="center"/>
    </xf>
    <xf numFmtId="0" fontId="19" fillId="4" borderId="1" xfId="0" applyFont="1" applyFill="1" applyBorder="1" applyAlignment="1">
      <alignment horizontal="center"/>
    </xf>
    <xf numFmtId="0" fontId="26" fillId="15" borderId="0" xfId="0" applyFont="1" applyAlignment="1">
      <alignment horizontal="right" vertical="top"/>
    </xf>
    <xf numFmtId="42" fontId="27" fillId="15" borderId="0" xfId="0" applyNumberFormat="1" applyFont="1"/>
    <xf numFmtId="0" fontId="27" fillId="4" borderId="45" xfId="0" applyFont="1" applyFill="1" applyBorder="1"/>
    <xf numFmtId="0" fontId="40" fillId="15" borderId="0" xfId="0" applyFont="1" applyAlignment="1">
      <alignment horizontal="left"/>
    </xf>
    <xf numFmtId="0" fontId="17" fillId="15" borderId="0" xfId="0" applyFont="1" applyAlignment="1">
      <alignment horizontal="left" vertical="center"/>
    </xf>
    <xf numFmtId="0" fontId="25" fillId="15" borderId="40" xfId="5" applyFont="1" applyFill="1" applyBorder="1" applyAlignment="1">
      <alignment vertical="center"/>
    </xf>
    <xf numFmtId="0" fontId="22" fillId="15" borderId="0" xfId="0" applyFont="1" applyAlignment="1">
      <alignment horizontal="center"/>
    </xf>
    <xf numFmtId="0" fontId="33" fillId="8" borderId="0" xfId="0" applyFont="1" applyFill="1"/>
    <xf numFmtId="0" fontId="35" fillId="8" borderId="0" xfId="0" applyFont="1" applyFill="1" applyAlignment="1">
      <alignment horizontal="center" wrapText="1"/>
    </xf>
    <xf numFmtId="0" fontId="44" fillId="4" borderId="0" xfId="16" applyFont="1" applyFill="1" applyAlignment="1">
      <alignment vertical="center"/>
    </xf>
    <xf numFmtId="0" fontId="19" fillId="4" borderId="0" xfId="0" applyFont="1" applyFill="1" applyAlignment="1">
      <alignment horizontal="center" vertical="center"/>
    </xf>
    <xf numFmtId="0" fontId="19" fillId="4" borderId="0" xfId="0" applyFont="1" applyFill="1" applyAlignment="1">
      <alignment horizontal="left" vertical="center"/>
    </xf>
    <xf numFmtId="0" fontId="27" fillId="4" borderId="0" xfId="16" applyFont="1" applyFill="1" applyAlignment="1">
      <alignment vertical="center"/>
    </xf>
    <xf numFmtId="0" fontId="44" fillId="16" borderId="0" xfId="16" applyFont="1" applyFill="1" applyAlignment="1">
      <alignment vertical="center"/>
    </xf>
    <xf numFmtId="0" fontId="35" fillId="8" borderId="0" xfId="0" applyFont="1" applyFill="1" applyAlignment="1">
      <alignment horizontal="left" vertical="center"/>
    </xf>
    <xf numFmtId="0" fontId="38" fillId="15" borderId="0" xfId="0" applyFont="1" applyAlignment="1">
      <alignment vertical="top"/>
    </xf>
    <xf numFmtId="0" fontId="33" fillId="8" borderId="0" xfId="0" applyFont="1" applyFill="1" applyAlignment="1">
      <alignment horizontal="center" vertical="center" wrapText="1"/>
    </xf>
    <xf numFmtId="176" fontId="19" fillId="3" borderId="0" xfId="1" applyNumberFormat="1" applyFont="1" applyFill="1" applyBorder="1" applyAlignment="1">
      <alignment horizontal="center" vertical="center"/>
    </xf>
    <xf numFmtId="44" fontId="19" fillId="24" borderId="3" xfId="1" applyFont="1" applyFill="1" applyBorder="1" applyAlignment="1">
      <alignment horizontal="center" vertical="center"/>
    </xf>
    <xf numFmtId="1" fontId="19" fillId="24" borderId="3" xfId="1" applyNumberFormat="1" applyFont="1" applyFill="1" applyBorder="1" applyAlignment="1">
      <alignment horizontal="center" vertical="center"/>
    </xf>
    <xf numFmtId="178" fontId="19" fillId="15" borderId="0" xfId="0" applyNumberFormat="1" applyFont="1" applyAlignment="1">
      <alignment horizontal="right"/>
    </xf>
    <xf numFmtId="178" fontId="19" fillId="15" borderId="0" xfId="0" applyNumberFormat="1" applyFont="1" applyAlignment="1">
      <alignment horizontal="left"/>
    </xf>
    <xf numFmtId="178" fontId="19" fillId="8" borderId="41" xfId="0" applyNumberFormat="1" applyFont="1" applyFill="1" applyBorder="1" applyAlignment="1">
      <alignment horizontal="right"/>
    </xf>
    <xf numFmtId="178" fontId="19" fillId="15" borderId="48" xfId="0" applyNumberFormat="1" applyFont="1" applyBorder="1"/>
    <xf numFmtId="178" fontId="19" fillId="15" borderId="0" xfId="0" applyNumberFormat="1" applyFont="1" applyAlignment="1">
      <alignment vertical="top" wrapText="1"/>
    </xf>
    <xf numFmtId="178" fontId="19" fillId="15" borderId="0" xfId="0" applyNumberFormat="1" applyFont="1" applyAlignment="1">
      <alignment horizontal="left" vertical="top" wrapText="1"/>
    </xf>
    <xf numFmtId="178" fontId="19" fillId="15" borderId="0" xfId="0" applyNumberFormat="1" applyFont="1" applyAlignment="1">
      <alignment vertical="center"/>
    </xf>
    <xf numFmtId="178" fontId="33" fillId="8" borderId="0" xfId="0" applyNumberFormat="1" applyFont="1" applyFill="1" applyAlignment="1">
      <alignment horizontal="center" vertical="center" wrapText="1"/>
    </xf>
    <xf numFmtId="178" fontId="19" fillId="3" borderId="0" xfId="1" applyNumberFormat="1" applyFont="1" applyFill="1" applyBorder="1" applyAlignment="1">
      <alignment horizontal="center" vertical="center"/>
    </xf>
    <xf numFmtId="178" fontId="20" fillId="15" borderId="45" xfId="0" applyNumberFormat="1" applyFont="1" applyBorder="1" applyAlignment="1">
      <alignment horizontal="center" vertical="center"/>
    </xf>
    <xf numFmtId="178" fontId="19" fillId="15" borderId="1" xfId="0" applyNumberFormat="1" applyFont="1" applyBorder="1" applyAlignment="1">
      <alignment vertical="center"/>
    </xf>
    <xf numFmtId="178" fontId="33" fillId="8" borderId="6" xfId="0" applyNumberFormat="1" applyFont="1" applyFill="1" applyBorder="1" applyAlignment="1">
      <alignment horizontal="center" vertical="center" wrapText="1"/>
    </xf>
    <xf numFmtId="178" fontId="19" fillId="24" borderId="3" xfId="1" applyNumberFormat="1" applyFont="1" applyFill="1" applyBorder="1" applyAlignment="1">
      <alignment horizontal="center" vertical="center"/>
    </xf>
    <xf numFmtId="0" fontId="15" fillId="15" borderId="0" xfId="0" applyFont="1" applyAlignment="1">
      <alignment horizontal="left"/>
    </xf>
    <xf numFmtId="0" fontId="15" fillId="15" borderId="0" xfId="0" applyFont="1" applyAlignment="1">
      <alignment vertical="top"/>
    </xf>
    <xf numFmtId="0" fontId="15" fillId="15" borderId="0" xfId="0" applyFont="1" applyAlignment="1">
      <alignment horizontal="left" vertical="center"/>
    </xf>
    <xf numFmtId="0" fontId="15" fillId="15" borderId="36" xfId="0" applyFont="1" applyBorder="1" applyAlignment="1">
      <alignment vertical="top"/>
    </xf>
    <xf numFmtId="0" fontId="45" fillId="15" borderId="0" xfId="0" applyFont="1" applyAlignment="1">
      <alignment horizontal="left" indent="1"/>
    </xf>
    <xf numFmtId="0" fontId="15" fillId="15" borderId="38" xfId="0" applyFont="1" applyBorder="1" applyAlignment="1">
      <alignment horizontal="left" vertical="center"/>
    </xf>
    <xf numFmtId="0" fontId="45" fillId="15" borderId="0" xfId="0" applyFont="1" applyAlignment="1">
      <alignment horizontal="left" indent="2"/>
    </xf>
    <xf numFmtId="14" fontId="15" fillId="15" borderId="0" xfId="0" applyNumberFormat="1" applyFont="1" applyAlignment="1">
      <alignment horizontal="left"/>
    </xf>
    <xf numFmtId="0" fontId="15" fillId="15" borderId="0" xfId="0" quotePrefix="1" applyFont="1"/>
    <xf numFmtId="0" fontId="46" fillId="0" borderId="49" xfId="0" applyFont="1" applyFill="1" applyBorder="1" applyAlignment="1">
      <alignment horizontal="left"/>
    </xf>
    <xf numFmtId="0" fontId="47" fillId="15" borderId="0" xfId="0" applyFont="1"/>
    <xf numFmtId="0" fontId="45" fillId="5" borderId="0" xfId="0" applyFont="1" applyFill="1" applyAlignment="1">
      <alignment horizontal="left" indent="2"/>
    </xf>
    <xf numFmtId="0" fontId="45" fillId="5" borderId="0" xfId="0" applyFont="1" applyFill="1"/>
    <xf numFmtId="0" fontId="15" fillId="4" borderId="0" xfId="0" applyFont="1" applyFill="1"/>
    <xf numFmtId="0" fontId="15" fillId="4" borderId="0" xfId="0" applyFont="1" applyFill="1" applyAlignment="1">
      <alignment vertical="top"/>
    </xf>
    <xf numFmtId="0" fontId="15" fillId="10" borderId="0" xfId="0" applyFont="1" applyFill="1" applyAlignment="1">
      <alignment vertical="top"/>
    </xf>
    <xf numFmtId="0" fontId="15" fillId="15" borderId="45" xfId="0" applyFont="1" applyBorder="1" applyAlignment="1">
      <alignment vertical="top"/>
    </xf>
    <xf numFmtId="0" fontId="15" fillId="15" borderId="45" xfId="0" applyFont="1" applyBorder="1"/>
    <xf numFmtId="0" fontId="15" fillId="10" borderId="0" xfId="0" applyFont="1" applyFill="1"/>
    <xf numFmtId="0" fontId="15" fillId="17" borderId="31" xfId="0" applyFont="1" applyFill="1" applyBorder="1"/>
    <xf numFmtId="0" fontId="15" fillId="17" borderId="30" xfId="0" applyFont="1" applyFill="1" applyBorder="1"/>
    <xf numFmtId="0" fontId="15" fillId="15" borderId="31" xfId="0" applyFont="1" applyBorder="1"/>
    <xf numFmtId="0" fontId="15" fillId="15" borderId="30" xfId="0" applyFont="1" applyBorder="1"/>
    <xf numFmtId="0" fontId="15" fillId="17" borderId="44" xfId="0" applyFont="1" applyFill="1" applyBorder="1"/>
    <xf numFmtId="44" fontId="15" fillId="15" borderId="0" xfId="1" applyFont="1" applyFill="1" applyAlignment="1"/>
    <xf numFmtId="44" fontId="15" fillId="15" borderId="0" xfId="1" applyFont="1" applyFill="1" applyAlignment="1">
      <alignment horizontal="left"/>
    </xf>
    <xf numFmtId="0" fontId="45" fillId="4" borderId="0" xfId="0" applyFont="1" applyFill="1"/>
    <xf numFmtId="0" fontId="48" fillId="15" borderId="0" xfId="0" applyFont="1" applyAlignment="1">
      <alignment vertical="top"/>
    </xf>
    <xf numFmtId="0" fontId="49" fillId="19" borderId="0" xfId="0" applyFont="1" applyFill="1" applyAlignment="1">
      <alignment horizontal="center" vertical="top"/>
    </xf>
    <xf numFmtId="0" fontId="48" fillId="15" borderId="0" xfId="0" applyFont="1"/>
    <xf numFmtId="0" fontId="48" fillId="10" borderId="0" xfId="0" applyFont="1" applyFill="1"/>
    <xf numFmtId="0" fontId="49" fillId="19" borderId="0" xfId="0" applyFont="1" applyFill="1"/>
    <xf numFmtId="0" fontId="49" fillId="18" borderId="43" xfId="0" applyFont="1" applyFill="1" applyBorder="1"/>
    <xf numFmtId="0" fontId="49" fillId="18" borderId="30" xfId="0" applyFont="1" applyFill="1" applyBorder="1"/>
    <xf numFmtId="0" fontId="45" fillId="15" borderId="0" xfId="0" applyFont="1"/>
    <xf numFmtId="6" fontId="45" fillId="15" borderId="0" xfId="0" applyNumberFormat="1" applyFont="1" applyAlignment="1">
      <alignment horizontal="left" indent="1"/>
    </xf>
    <xf numFmtId="0" fontId="16" fillId="15" borderId="0" xfId="0" applyFont="1"/>
    <xf numFmtId="0" fontId="19" fillId="15" borderId="51" xfId="0" applyFont="1" applyBorder="1"/>
    <xf numFmtId="169" fontId="19" fillId="4" borderId="45" xfId="1" applyNumberFormat="1" applyFont="1" applyFill="1" applyBorder="1" applyAlignment="1">
      <alignment horizontal="center" vertical="top"/>
    </xf>
    <xf numFmtId="0" fontId="15" fillId="17" borderId="38" xfId="0" applyFont="1" applyFill="1" applyBorder="1"/>
    <xf numFmtId="0" fontId="15" fillId="15" borderId="38" xfId="0" applyFont="1" applyBorder="1"/>
    <xf numFmtId="0" fontId="49" fillId="18" borderId="38" xfId="0" applyFont="1" applyFill="1" applyBorder="1"/>
    <xf numFmtId="0" fontId="37" fillId="4" borderId="0" xfId="5" applyFont="1" applyFill="1" applyAlignment="1">
      <alignment vertical="center"/>
    </xf>
    <xf numFmtId="0" fontId="51" fillId="15" borderId="0" xfId="0" applyFont="1"/>
    <xf numFmtId="0" fontId="49" fillId="19" borderId="0" xfId="0" applyFont="1" applyFill="1" applyAlignment="1">
      <alignment horizontal="left" vertical="top"/>
    </xf>
    <xf numFmtId="0" fontId="15" fillId="15" borderId="0" xfId="0" applyFont="1" applyAlignment="1">
      <alignment horizontal="left" vertical="top" wrapText="1"/>
    </xf>
    <xf numFmtId="0" fontId="49" fillId="19" borderId="0" xfId="0" applyFont="1" applyFill="1" applyAlignment="1">
      <alignment horizontal="center" vertical="top"/>
    </xf>
    <xf numFmtId="0" fontId="19" fillId="15" borderId="0" xfId="0" applyFont="1" applyAlignment="1">
      <alignment horizontal="left" vertical="top" wrapText="1"/>
    </xf>
    <xf numFmtId="0" fontId="19" fillId="4" borderId="1" xfId="0" applyFont="1" applyFill="1" applyBorder="1" applyAlignment="1">
      <alignment horizontal="left"/>
    </xf>
    <xf numFmtId="0" fontId="19" fillId="4" borderId="0" xfId="0" applyFont="1" applyFill="1" applyAlignment="1">
      <alignment horizontal="left" wrapText="1"/>
    </xf>
    <xf numFmtId="0" fontId="26" fillId="24" borderId="40" xfId="0" applyFont="1" applyFill="1" applyBorder="1" applyAlignment="1">
      <alignment horizontal="left" vertical="top" wrapText="1"/>
    </xf>
    <xf numFmtId="0" fontId="26" fillId="24" borderId="41" xfId="0" applyFont="1" applyFill="1" applyBorder="1" applyAlignment="1">
      <alignment horizontal="left" vertical="top" wrapText="1"/>
    </xf>
    <xf numFmtId="0" fontId="26" fillId="24" borderId="39" xfId="0" applyFont="1" applyFill="1" applyBorder="1" applyAlignment="1">
      <alignment horizontal="left" vertical="top" wrapText="1"/>
    </xf>
    <xf numFmtId="0" fontId="19" fillId="4" borderId="46" xfId="0" applyFont="1" applyFill="1" applyBorder="1" applyAlignment="1">
      <alignment horizontal="left" vertical="top"/>
    </xf>
    <xf numFmtId="0" fontId="19" fillId="4" borderId="48" xfId="0" applyFont="1" applyFill="1" applyBorder="1" applyAlignment="1">
      <alignment horizontal="left" vertical="top"/>
    </xf>
    <xf numFmtId="0" fontId="19" fillId="4" borderId="47" xfId="0" applyFont="1" applyFill="1" applyBorder="1" applyAlignment="1">
      <alignment horizontal="left" vertical="top"/>
    </xf>
    <xf numFmtId="0" fontId="19" fillId="4" borderId="4" xfId="0" applyFont="1" applyFill="1" applyBorder="1" applyAlignment="1">
      <alignment horizontal="left" vertical="top"/>
    </xf>
    <xf numFmtId="0" fontId="19" fillId="4" borderId="1" xfId="0" applyFont="1" applyFill="1" applyBorder="1" applyAlignment="1">
      <alignment horizontal="left" vertical="top"/>
    </xf>
    <xf numFmtId="0" fontId="19" fillId="4" borderId="5" xfId="0" applyFont="1" applyFill="1" applyBorder="1" applyAlignment="1">
      <alignment horizontal="left" vertical="top"/>
    </xf>
    <xf numFmtId="42" fontId="26" fillId="6" borderId="48" xfId="0" applyNumberFormat="1" applyFont="1" applyFill="1" applyBorder="1" applyAlignment="1">
      <alignment horizontal="left"/>
    </xf>
    <xf numFmtId="0" fontId="19" fillId="4" borderId="1" xfId="0" applyFont="1" applyFill="1" applyBorder="1" applyAlignment="1">
      <alignment horizontal="left" wrapText="1"/>
    </xf>
    <xf numFmtId="0" fontId="19" fillId="4" borderId="40" xfId="0" applyFont="1" applyFill="1" applyBorder="1" applyAlignment="1">
      <alignment horizontal="center"/>
    </xf>
    <xf numFmtId="0" fontId="19" fillId="4" borderId="41" xfId="0" applyFont="1" applyFill="1" applyBorder="1" applyAlignment="1">
      <alignment horizontal="center"/>
    </xf>
    <xf numFmtId="0" fontId="19" fillId="4" borderId="39" xfId="0" applyFont="1" applyFill="1" applyBorder="1" applyAlignment="1">
      <alignment horizontal="center"/>
    </xf>
    <xf numFmtId="42" fontId="19" fillId="3" borderId="40" xfId="0" applyNumberFormat="1" applyFont="1" applyFill="1" applyBorder="1" applyAlignment="1">
      <alignment horizontal="center"/>
    </xf>
    <xf numFmtId="42" fontId="19" fillId="3" borderId="41" xfId="0" applyNumberFormat="1" applyFont="1" applyFill="1" applyBorder="1" applyAlignment="1">
      <alignment horizontal="center"/>
    </xf>
    <xf numFmtId="42" fontId="19" fillId="3" borderId="39" xfId="0" applyNumberFormat="1" applyFont="1" applyFill="1" applyBorder="1" applyAlignment="1">
      <alignment horizontal="center"/>
    </xf>
    <xf numFmtId="42" fontId="20" fillId="3" borderId="40" xfId="0" applyNumberFormat="1" applyFont="1" applyFill="1" applyBorder="1" applyAlignment="1">
      <alignment horizontal="center"/>
    </xf>
    <xf numFmtId="42" fontId="20" fillId="3" borderId="41" xfId="0" applyNumberFormat="1" applyFont="1" applyFill="1" applyBorder="1" applyAlignment="1">
      <alignment horizontal="center"/>
    </xf>
    <xf numFmtId="42" fontId="20" fillId="3" borderId="39" xfId="0" applyNumberFormat="1" applyFont="1" applyFill="1" applyBorder="1" applyAlignment="1">
      <alignment horizontal="center"/>
    </xf>
    <xf numFmtId="0" fontId="20" fillId="15" borderId="40" xfId="0" applyFont="1" applyBorder="1" applyAlignment="1">
      <alignment horizontal="center"/>
    </xf>
    <xf numFmtId="0" fontId="20" fillId="15" borderId="41" xfId="0" applyFont="1" applyBorder="1" applyAlignment="1">
      <alignment horizontal="center"/>
    </xf>
    <xf numFmtId="0" fontId="20" fillId="15" borderId="39" xfId="0" applyFont="1" applyBorder="1" applyAlignment="1">
      <alignment horizontal="center"/>
    </xf>
    <xf numFmtId="0" fontId="15" fillId="15" borderId="48" xfId="0" applyFont="1" applyBorder="1" applyAlignment="1">
      <alignment horizontal="center"/>
    </xf>
    <xf numFmtId="0" fontId="15" fillId="15" borderId="0" xfId="0" applyFont="1" applyAlignment="1">
      <alignment horizontal="center"/>
    </xf>
    <xf numFmtId="0" fontId="15" fillId="15" borderId="1" xfId="0" applyFont="1" applyBorder="1" applyAlignment="1">
      <alignment horizontal="center"/>
    </xf>
    <xf numFmtId="0" fontId="15" fillId="4" borderId="40" xfId="0" applyFont="1" applyFill="1" applyBorder="1" applyAlignment="1">
      <alignment horizontal="left"/>
    </xf>
    <xf numFmtId="0" fontId="15" fillId="4" borderId="41" xfId="0" applyFont="1" applyFill="1" applyBorder="1" applyAlignment="1">
      <alignment horizontal="left"/>
    </xf>
    <xf numFmtId="0" fontId="15" fillId="4" borderId="39" xfId="0" applyFont="1" applyFill="1" applyBorder="1" applyAlignment="1">
      <alignment horizontal="left"/>
    </xf>
    <xf numFmtId="42" fontId="15" fillId="15" borderId="48" xfId="0" applyNumberFormat="1" applyFont="1" applyBorder="1" applyAlignment="1">
      <alignment horizontal="center" wrapText="1"/>
    </xf>
    <xf numFmtId="42" fontId="15" fillId="15" borderId="0" xfId="0" applyNumberFormat="1" applyFont="1" applyAlignment="1">
      <alignment horizontal="center" wrapText="1"/>
    </xf>
    <xf numFmtId="0" fontId="15" fillId="4" borderId="40" xfId="0" applyFont="1" applyFill="1" applyBorder="1" applyAlignment="1">
      <alignment horizontal="center"/>
    </xf>
    <xf numFmtId="0" fontId="15" fillId="4" borderId="41" xfId="0" applyFont="1" applyFill="1" applyBorder="1" applyAlignment="1">
      <alignment horizontal="center"/>
    </xf>
    <xf numFmtId="0" fontId="15" fillId="4" borderId="39" xfId="0" applyFont="1" applyFill="1" applyBorder="1" applyAlignment="1">
      <alignment horizontal="center"/>
    </xf>
    <xf numFmtId="0" fontId="19" fillId="15" borderId="48" xfId="0" applyFont="1" applyBorder="1" applyAlignment="1">
      <alignment horizontal="center"/>
    </xf>
    <xf numFmtId="0" fontId="19" fillId="15" borderId="0" xfId="0" applyFont="1" applyAlignment="1">
      <alignment horizontal="center"/>
    </xf>
    <xf numFmtId="0" fontId="19" fillId="15" borderId="1" xfId="0" applyFont="1" applyBorder="1" applyAlignment="1">
      <alignment horizontal="center"/>
    </xf>
    <xf numFmtId="0" fontId="19" fillId="0" borderId="40" xfId="0" applyFont="1" applyFill="1" applyBorder="1" applyAlignment="1">
      <alignment horizontal="center"/>
    </xf>
    <xf numFmtId="0" fontId="19" fillId="0" borderId="41" xfId="0" applyFont="1" applyFill="1" applyBorder="1" applyAlignment="1">
      <alignment horizontal="center"/>
    </xf>
    <xf numFmtId="0" fontId="19" fillId="0" borderId="39" xfId="0" applyFont="1" applyFill="1" applyBorder="1" applyAlignment="1">
      <alignment horizontal="center"/>
    </xf>
    <xf numFmtId="0" fontId="19" fillId="0" borderId="40" xfId="0" applyFont="1" applyFill="1" applyBorder="1" applyAlignment="1">
      <alignment horizontal="left"/>
    </xf>
    <xf numFmtId="0" fontId="19" fillId="0" borderId="41" xfId="0" applyFont="1" applyFill="1" applyBorder="1" applyAlignment="1">
      <alignment horizontal="left"/>
    </xf>
    <xf numFmtId="0" fontId="19" fillId="0" borderId="39" xfId="0" applyFont="1" applyFill="1" applyBorder="1" applyAlignment="1">
      <alignment horizontal="left"/>
    </xf>
    <xf numFmtId="0" fontId="19" fillId="4" borderId="40" xfId="0" applyFont="1" applyFill="1" applyBorder="1" applyAlignment="1">
      <alignment horizontal="left"/>
    </xf>
    <xf numFmtId="0" fontId="19" fillId="4" borderId="41" xfId="0" applyFont="1" applyFill="1" applyBorder="1" applyAlignment="1">
      <alignment horizontal="left"/>
    </xf>
    <xf numFmtId="0" fontId="19" fillId="4" borderId="39" xfId="0" applyFont="1" applyFill="1" applyBorder="1" applyAlignment="1">
      <alignment horizontal="left"/>
    </xf>
    <xf numFmtId="0" fontId="19" fillId="15" borderId="41" xfId="0" applyFont="1" applyBorder="1" applyAlignment="1">
      <alignment horizontal="center" wrapText="1"/>
    </xf>
    <xf numFmtId="0" fontId="19" fillId="15" borderId="42" xfId="0" applyFont="1" applyBorder="1" applyAlignment="1">
      <alignment horizontal="center" wrapText="1"/>
    </xf>
    <xf numFmtId="0" fontId="19" fillId="15" borderId="26" xfId="0" applyFont="1" applyBorder="1" applyAlignment="1">
      <alignment horizontal="center" wrapText="1"/>
    </xf>
    <xf numFmtId="0" fontId="19" fillId="15" borderId="39" xfId="0" applyFont="1" applyBorder="1" applyAlignment="1">
      <alignment horizontal="center" wrapText="1"/>
    </xf>
    <xf numFmtId="42" fontId="20" fillId="15" borderId="40" xfId="0" applyNumberFormat="1" applyFont="1" applyBorder="1" applyAlignment="1">
      <alignment horizontal="center"/>
    </xf>
    <xf numFmtId="42" fontId="20" fillId="15" borderId="41" xfId="0" applyNumberFormat="1" applyFont="1" applyBorder="1" applyAlignment="1">
      <alignment horizontal="center"/>
    </xf>
    <xf numFmtId="42" fontId="20" fillId="15" borderId="39" xfId="0" applyNumberFormat="1" applyFont="1" applyBorder="1" applyAlignment="1">
      <alignment horizontal="center"/>
    </xf>
    <xf numFmtId="0" fontId="19" fillId="15" borderId="48" xfId="0" applyFont="1" applyBorder="1" applyAlignment="1">
      <alignment horizontal="center" vertical="top"/>
    </xf>
    <xf numFmtId="0" fontId="19" fillId="15" borderId="40" xfId="0" applyFont="1" applyBorder="1" applyAlignment="1">
      <alignment horizontal="center" wrapText="1"/>
    </xf>
    <xf numFmtId="0" fontId="20" fillId="15" borderId="46" xfId="0" applyFont="1" applyBorder="1" applyAlignment="1">
      <alignment horizontal="center" vertical="center"/>
    </xf>
    <xf numFmtId="0" fontId="20" fillId="15" borderId="47" xfId="0" applyFont="1" applyBorder="1" applyAlignment="1">
      <alignment horizontal="center" vertical="center"/>
    </xf>
    <xf numFmtId="0" fontId="20" fillId="15" borderId="40" xfId="0" applyFont="1" applyBorder="1" applyAlignment="1">
      <alignment horizontal="center" vertical="center"/>
    </xf>
    <xf numFmtId="0" fontId="20" fillId="15" borderId="41" xfId="0" applyFont="1" applyBorder="1" applyAlignment="1">
      <alignment horizontal="center" vertical="center"/>
    </xf>
    <xf numFmtId="0" fontId="20" fillId="15" borderId="39" xfId="0" applyFont="1" applyBorder="1" applyAlignment="1">
      <alignment horizontal="center" vertical="center"/>
    </xf>
    <xf numFmtId="0" fontId="25" fillId="15" borderId="0" xfId="0" applyFont="1" applyAlignment="1">
      <alignment horizontal="left" wrapText="1"/>
    </xf>
    <xf numFmtId="0" fontId="25" fillId="15" borderId="1" xfId="0" applyFont="1" applyBorder="1" applyAlignment="1">
      <alignment horizontal="left" wrapText="1"/>
    </xf>
    <xf numFmtId="0" fontId="19" fillId="15" borderId="0" xfId="0" applyFont="1" applyAlignment="1">
      <alignment horizontal="center" vertical="top"/>
    </xf>
    <xf numFmtId="0" fontId="20" fillId="15" borderId="17" xfId="0" applyFont="1" applyBorder="1" applyAlignment="1">
      <alignment horizontal="center"/>
    </xf>
    <xf numFmtId="0" fontId="20" fillId="15" borderId="28" xfId="0" applyFont="1" applyBorder="1" applyAlignment="1">
      <alignment horizontal="center"/>
    </xf>
    <xf numFmtId="0" fontId="20" fillId="15" borderId="1" xfId="0" applyFont="1" applyBorder="1" applyAlignment="1">
      <alignment horizontal="center"/>
    </xf>
    <xf numFmtId="44" fontId="19" fillId="3" borderId="40" xfId="1" applyFont="1" applyFill="1" applyBorder="1" applyAlignment="1">
      <alignment horizontal="center"/>
    </xf>
    <xf numFmtId="44" fontId="19" fillId="3" borderId="39" xfId="1" applyFont="1" applyFill="1" applyBorder="1" applyAlignment="1">
      <alignment horizontal="center"/>
    </xf>
    <xf numFmtId="14" fontId="19" fillId="4" borderId="40" xfId="0" applyNumberFormat="1" applyFont="1" applyFill="1" applyBorder="1" applyAlignment="1">
      <alignment horizontal="center"/>
    </xf>
    <xf numFmtId="14" fontId="19" fillId="4" borderId="39" xfId="0" applyNumberFormat="1" applyFont="1" applyFill="1" applyBorder="1" applyAlignment="1">
      <alignment horizontal="center"/>
    </xf>
    <xf numFmtId="44" fontId="19" fillId="4" borderId="40" xfId="1" applyFont="1" applyFill="1" applyBorder="1" applyAlignment="1">
      <alignment horizontal="center"/>
    </xf>
    <xf numFmtId="44" fontId="19" fillId="4" borderId="39" xfId="1" applyFont="1" applyFill="1" applyBorder="1" applyAlignment="1">
      <alignment horizontal="center"/>
    </xf>
    <xf numFmtId="164" fontId="19" fillId="4" borderId="40" xfId="0" applyNumberFormat="1" applyFont="1" applyFill="1" applyBorder="1" applyAlignment="1">
      <alignment horizontal="center"/>
    </xf>
    <xf numFmtId="164" fontId="19" fillId="4" borderId="39" xfId="0" applyNumberFormat="1" applyFont="1" applyFill="1" applyBorder="1" applyAlignment="1">
      <alignment horizontal="center"/>
    </xf>
    <xf numFmtId="0" fontId="33" fillId="15" borderId="0" xfId="0" applyFont="1" applyAlignment="1">
      <alignment horizontal="left" vertical="top" wrapText="1"/>
    </xf>
    <xf numFmtId="14" fontId="33" fillId="0" borderId="40" xfId="0" applyNumberFormat="1" applyFont="1" applyFill="1" applyBorder="1" applyAlignment="1">
      <alignment horizontal="left"/>
    </xf>
    <xf numFmtId="14" fontId="33" fillId="0" borderId="39" xfId="0" applyNumberFormat="1" applyFont="1" applyFill="1" applyBorder="1" applyAlignment="1">
      <alignment horizontal="left"/>
    </xf>
    <xf numFmtId="0" fontId="33" fillId="0" borderId="40" xfId="0" applyFont="1" applyFill="1" applyBorder="1" applyAlignment="1">
      <alignment horizontal="center"/>
    </xf>
    <xf numFmtId="0" fontId="33" fillId="0" borderId="39" xfId="0" applyFont="1" applyFill="1" applyBorder="1" applyAlignment="1">
      <alignment horizontal="center"/>
    </xf>
    <xf numFmtId="0" fontId="33" fillId="0" borderId="45" xfId="0" applyFont="1" applyFill="1" applyBorder="1" applyAlignment="1">
      <alignment horizontal="center"/>
    </xf>
    <xf numFmtId="14" fontId="33" fillId="0" borderId="45" xfId="0" applyNumberFormat="1" applyFont="1" applyFill="1" applyBorder="1" applyAlignment="1">
      <alignment horizontal="left"/>
    </xf>
    <xf numFmtId="0" fontId="33" fillId="4" borderId="46" xfId="0" applyFont="1" applyFill="1" applyBorder="1" applyAlignment="1">
      <alignment horizontal="left"/>
    </xf>
    <xf numFmtId="0" fontId="33" fillId="4" borderId="48" xfId="0" applyFont="1" applyFill="1" applyBorder="1" applyAlignment="1">
      <alignment horizontal="left"/>
    </xf>
    <xf numFmtId="0" fontId="33" fillId="4" borderId="47" xfId="0" applyFont="1" applyFill="1" applyBorder="1" applyAlignment="1">
      <alignment horizontal="left"/>
    </xf>
    <xf numFmtId="0" fontId="33" fillId="4" borderId="7" xfId="0" applyFont="1" applyFill="1" applyBorder="1" applyAlignment="1">
      <alignment horizontal="left"/>
    </xf>
    <xf numFmtId="0" fontId="33" fillId="4" borderId="0" xfId="0" applyFont="1" applyFill="1" applyAlignment="1">
      <alignment horizontal="left"/>
    </xf>
    <xf numFmtId="0" fontId="33" fillId="4" borderId="8" xfId="0" applyFont="1" applyFill="1" applyBorder="1" applyAlignment="1">
      <alignment horizontal="left"/>
    </xf>
    <xf numFmtId="0" fontId="33" fillId="4" borderId="4" xfId="0" applyFont="1" applyFill="1" applyBorder="1" applyAlignment="1">
      <alignment horizontal="left"/>
    </xf>
    <xf numFmtId="0" fontId="33" fillId="4" borderId="1" xfId="0" applyFont="1" applyFill="1" applyBorder="1" applyAlignment="1">
      <alignment horizontal="left"/>
    </xf>
    <xf numFmtId="0" fontId="33" fillId="4" borderId="5" xfId="0" applyFont="1" applyFill="1" applyBorder="1" applyAlignment="1">
      <alignment horizontal="left"/>
    </xf>
    <xf numFmtId="0" fontId="19" fillId="4" borderId="7" xfId="0" applyFont="1" applyFill="1" applyBorder="1" applyAlignment="1">
      <alignment horizontal="left" vertical="top"/>
    </xf>
    <xf numFmtId="0" fontId="19" fillId="4" borderId="0" xfId="0" applyFont="1" applyFill="1" applyAlignment="1">
      <alignment horizontal="left" vertical="top"/>
    </xf>
    <xf numFmtId="0" fontId="19" fillId="4" borderId="8" xfId="0" applyFont="1" applyFill="1" applyBorder="1" applyAlignment="1">
      <alignment horizontal="left" vertical="top"/>
    </xf>
    <xf numFmtId="0" fontId="19" fillId="15" borderId="0" xfId="0" applyFont="1" applyAlignment="1">
      <alignment horizontal="left" vertical="top"/>
    </xf>
    <xf numFmtId="0" fontId="39" fillId="23" borderId="41" xfId="0" applyFont="1" applyFill="1" applyBorder="1" applyAlignment="1">
      <alignment horizontal="center" vertical="center"/>
    </xf>
    <xf numFmtId="0" fontId="39" fillId="23" borderId="39" xfId="0" applyFont="1" applyFill="1" applyBorder="1" applyAlignment="1">
      <alignment horizontal="center" vertical="center"/>
    </xf>
    <xf numFmtId="0" fontId="19" fillId="22" borderId="40" xfId="0" applyFont="1" applyFill="1" applyBorder="1" applyAlignment="1">
      <alignment horizontal="center" vertical="center" wrapText="1"/>
    </xf>
    <xf numFmtId="0" fontId="19" fillId="22" borderId="41" xfId="0" applyFont="1" applyFill="1" applyBorder="1" applyAlignment="1">
      <alignment horizontal="center" vertical="center" wrapText="1"/>
    </xf>
    <xf numFmtId="0" fontId="19" fillId="22" borderId="39" xfId="0" applyFont="1" applyFill="1" applyBorder="1" applyAlignment="1">
      <alignment horizontal="center" vertical="center" wrapText="1"/>
    </xf>
    <xf numFmtId="0" fontId="19" fillId="22" borderId="41" xfId="0" applyFont="1" applyFill="1" applyBorder="1" applyAlignment="1">
      <alignment horizontal="center" vertical="center"/>
    </xf>
    <xf numFmtId="0" fontId="19" fillId="22" borderId="39" xfId="0" applyFont="1" applyFill="1" applyBorder="1" applyAlignment="1">
      <alignment horizontal="center" vertical="center"/>
    </xf>
    <xf numFmtId="0" fontId="26" fillId="15" borderId="0" xfId="0" applyFont="1" applyAlignment="1">
      <alignment horizontal="left" vertical="top" wrapText="1"/>
    </xf>
    <xf numFmtId="0" fontId="19" fillId="4" borderId="46" xfId="0" applyFont="1" applyFill="1" applyBorder="1" applyAlignment="1">
      <alignment horizontal="left" vertical="top" wrapText="1"/>
    </xf>
    <xf numFmtId="0" fontId="19" fillId="4" borderId="48" xfId="0" applyFont="1" applyFill="1" applyBorder="1" applyAlignment="1">
      <alignment horizontal="left" vertical="top" wrapText="1"/>
    </xf>
    <xf numFmtId="0" fontId="19" fillId="4" borderId="47" xfId="0" applyFont="1" applyFill="1" applyBorder="1" applyAlignment="1">
      <alignment horizontal="left" vertical="top" wrapText="1"/>
    </xf>
    <xf numFmtId="0" fontId="19" fillId="4" borderId="7" xfId="0" applyFont="1" applyFill="1" applyBorder="1" applyAlignment="1">
      <alignment horizontal="left" vertical="top" wrapText="1"/>
    </xf>
    <xf numFmtId="0" fontId="19" fillId="4" borderId="0" xfId="0" applyFont="1" applyFill="1" applyAlignment="1">
      <alignment horizontal="left" vertical="top" wrapText="1"/>
    </xf>
    <xf numFmtId="0" fontId="19" fillId="4" borderId="8" xfId="0" applyFont="1" applyFill="1" applyBorder="1" applyAlignment="1">
      <alignment horizontal="left" vertical="top" wrapText="1"/>
    </xf>
    <xf numFmtId="0" fontId="19" fillId="4" borderId="4" xfId="0" applyFont="1" applyFill="1" applyBorder="1" applyAlignment="1">
      <alignment horizontal="left" vertical="top" wrapText="1"/>
    </xf>
    <xf numFmtId="0" fontId="19" fillId="4" borderId="1" xfId="0" applyFont="1" applyFill="1" applyBorder="1" applyAlignment="1">
      <alignment horizontal="left" vertical="top" wrapText="1"/>
    </xf>
    <xf numFmtId="0" fontId="19" fillId="4" borderId="5" xfId="0" applyFont="1" applyFill="1" applyBorder="1" applyAlignment="1">
      <alignment horizontal="left" vertical="top" wrapText="1"/>
    </xf>
    <xf numFmtId="0" fontId="33" fillId="4" borderId="41" xfId="11" applyFont="1" applyFill="1" applyBorder="1" applyAlignment="1">
      <alignment horizontal="left"/>
    </xf>
    <xf numFmtId="0" fontId="38" fillId="8" borderId="1" xfId="0" applyFont="1" applyFill="1" applyBorder="1" applyAlignment="1">
      <alignment horizontal="center"/>
    </xf>
    <xf numFmtId="0" fontId="38" fillId="8" borderId="5" xfId="0" applyFont="1" applyFill="1" applyBorder="1" applyAlignment="1">
      <alignment horizontal="center"/>
    </xf>
    <xf numFmtId="0" fontId="33" fillId="4" borderId="40" xfId="11" applyFont="1" applyFill="1" applyBorder="1" applyAlignment="1">
      <alignment horizontal="left"/>
    </xf>
    <xf numFmtId="0" fontId="19" fillId="15" borderId="0" xfId="0" applyFont="1"/>
    <xf numFmtId="0" fontId="19" fillId="15" borderId="48" xfId="0" applyFont="1" applyBorder="1"/>
    <xf numFmtId="0" fontId="33" fillId="9" borderId="40" xfId="11" applyFont="1" applyFill="1" applyBorder="1" applyAlignment="1">
      <alignment horizontal="center" wrapText="1"/>
    </xf>
    <xf numFmtId="0" fontId="33" fillId="9" borderId="41" xfId="11" applyFont="1" applyFill="1" applyBorder="1" applyAlignment="1">
      <alignment horizontal="center" wrapText="1"/>
    </xf>
    <xf numFmtId="0" fontId="33" fillId="9" borderId="39" xfId="11" applyFont="1" applyFill="1" applyBorder="1" applyAlignment="1">
      <alignment horizontal="center" wrapText="1"/>
    </xf>
    <xf numFmtId="0" fontId="33" fillId="9" borderId="40" xfId="11" applyFont="1" applyFill="1" applyBorder="1" applyAlignment="1">
      <alignment horizontal="center"/>
    </xf>
    <xf numFmtId="0" fontId="33" fillId="9" borderId="41" xfId="11" applyFont="1" applyFill="1" applyBorder="1" applyAlignment="1">
      <alignment horizontal="center"/>
    </xf>
    <xf numFmtId="0" fontId="33" fillId="9" borderId="39" xfId="11" applyFont="1" applyFill="1" applyBorder="1" applyAlignment="1">
      <alignment horizontal="center"/>
    </xf>
    <xf numFmtId="0" fontId="33" fillId="9" borderId="2" xfId="11" applyFont="1" applyFill="1" applyBorder="1" applyAlignment="1">
      <alignment horizontal="center" wrapText="1"/>
    </xf>
    <xf numFmtId="0" fontId="33" fillId="9" borderId="6" xfId="11" applyFont="1" applyFill="1" applyBorder="1" applyAlignment="1">
      <alignment horizontal="center" wrapText="1"/>
    </xf>
    <xf numFmtId="0" fontId="33" fillId="9" borderId="2" xfId="11" applyFont="1" applyFill="1" applyBorder="1" applyAlignment="1">
      <alignment horizontal="center" textRotation="90" wrapText="1"/>
    </xf>
    <xf numFmtId="0" fontId="33" fillId="9" borderId="6" xfId="11" applyFont="1" applyFill="1" applyBorder="1" applyAlignment="1">
      <alignment horizontal="center" textRotation="90" wrapText="1"/>
    </xf>
    <xf numFmtId="173" fontId="33" fillId="2" borderId="46" xfId="12" applyNumberFormat="1" applyFont="1" applyFill="1" applyBorder="1" applyAlignment="1">
      <alignment horizontal="center"/>
    </xf>
    <xf numFmtId="173" fontId="33" fillId="2" borderId="48" xfId="12" applyNumberFormat="1" applyFont="1" applyFill="1" applyBorder="1" applyAlignment="1">
      <alignment horizontal="center"/>
    </xf>
    <xf numFmtId="173" fontId="33" fillId="2" borderId="47" xfId="12" applyNumberFormat="1" applyFont="1" applyFill="1" applyBorder="1" applyAlignment="1">
      <alignment horizontal="center"/>
    </xf>
    <xf numFmtId="0" fontId="19" fillId="13" borderId="34" xfId="0" applyFont="1" applyFill="1" applyBorder="1" applyAlignment="1">
      <alignment horizontal="center"/>
    </xf>
    <xf numFmtId="0" fontId="19" fillId="13" borderId="35" xfId="0" applyFont="1" applyFill="1" applyBorder="1" applyAlignment="1">
      <alignment horizontal="center"/>
    </xf>
    <xf numFmtId="0" fontId="19" fillId="13" borderId="33" xfId="0" applyFont="1" applyFill="1" applyBorder="1" applyAlignment="1">
      <alignment horizontal="center"/>
    </xf>
    <xf numFmtId="0" fontId="19" fillId="15" borderId="0" xfId="0" applyFont="1" applyAlignment="1">
      <alignment horizontal="left" wrapText="1"/>
    </xf>
    <xf numFmtId="0" fontId="4" fillId="15" borderId="0" xfId="0" applyFont="1" applyAlignment="1">
      <alignment horizontal="left" vertical="top" wrapText="1" indent="1"/>
    </xf>
    <xf numFmtId="0" fontId="4" fillId="15" borderId="0" xfId="0" applyFont="1" applyAlignment="1">
      <alignment horizontal="left" vertical="top" wrapText="1"/>
    </xf>
    <xf numFmtId="0" fontId="3" fillId="15" borderId="48" xfId="0" applyFont="1" applyBorder="1" applyAlignment="1">
      <alignment horizontal="center" vertical="center"/>
    </xf>
    <xf numFmtId="0" fontId="3" fillId="15" borderId="0" xfId="0" applyFont="1" applyAlignment="1">
      <alignment horizontal="center" vertical="center"/>
    </xf>
  </cellXfs>
  <cellStyles count="17">
    <cellStyle name="Comma" xfId="6" builtinId="3"/>
    <cellStyle name="Comma 2" xfId="12" xr:uid="{84A6161E-C4CC-40F6-9D33-7646F3D043B4}"/>
    <cellStyle name="Currency" xfId="1" builtinId="4"/>
    <cellStyle name="Currency 2" xfId="13" xr:uid="{63432630-C7E1-40D3-AE5A-A5461DC7E439}"/>
    <cellStyle name="Date" xfId="3" xr:uid="{085D43D0-3CF1-4266-9940-7CE6F6990E3A}"/>
    <cellStyle name="entrycurrency" xfId="15" xr:uid="{076F0106-5D08-4A72-92D6-ED6219EA4642}"/>
    <cellStyle name="Followed Hyperlink" xfId="16" builtinId="9" customBuiltin="1"/>
    <cellStyle name="Hyperlink" xfId="5" builtinId="8" customBuiltin="1"/>
    <cellStyle name="Normal" xfId="0" builtinId="0" customBuiltin="1"/>
    <cellStyle name="Normal 2" xfId="7" xr:uid="{9992B06B-BCBF-4B46-B994-9F4B6E6D11A3}"/>
    <cellStyle name="Normal 2 2" xfId="9" xr:uid="{5F2036BF-EA4B-4567-AA3F-60B4C61ACAF2}"/>
    <cellStyle name="Normal 2 3" xfId="11" xr:uid="{836F033E-1562-4392-B85A-1630169E0B65}"/>
    <cellStyle name="Normal 3" xfId="8" xr:uid="{7BC22173-AF44-4F1E-A304-2362D29C49A0}"/>
    <cellStyle name="Normal_selection_1 2" xfId="10" xr:uid="{FD317CA6-5137-4CC3-9935-43E880CA8DA3}"/>
    <cellStyle name="Percent" xfId="2" builtinId="5"/>
    <cellStyle name="Percent 2" xfId="14" xr:uid="{FE74E628-142C-414E-A9B0-24F2C7588331}"/>
    <cellStyle name="Phone" xfId="4" xr:uid="{1A01DB16-9DCF-4A69-B88B-5DFEE646315A}"/>
  </cellStyles>
  <dxfs count="437">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ont>
        <name val="Verdana"/>
        <scheme val="none"/>
      </font>
    </dxf>
    <dxf>
      <fill>
        <patternFill>
          <bgColor theme="1"/>
        </patternFill>
      </fill>
    </dxf>
    <dxf>
      <font>
        <color theme="4"/>
      </font>
    </dxf>
    <dxf>
      <font>
        <b/>
        <i/>
        <color rgb="FFFF0000"/>
      </font>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3" formatCode="_(* #,##0_);_(* \(#,##0\);_(* &quot;-&quot;??_);_(@_)"/>
      <fill>
        <patternFill patternType="solid">
          <fgColor indexed="64"/>
          <bgColor theme="2"/>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3" formatCode="_(* #,##0_);_(* \(#,##0\);_(* &quot;-&quot;??_);_(@_)"/>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3" formatCode="_(* #,##0_);_(* \(#,##0\);_(* &quot;-&quot;??_);_(@_)"/>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3" formatCode="_(* #,##0_);_(* \(#,##0\);_(* &quot;-&quot;??_);_(@_)"/>
      <fill>
        <patternFill patternType="solid">
          <fgColor indexed="64"/>
          <bgColor theme="0"/>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3" formatCode="_(* #,##0_);_(* \(#,##0\);_(* &quot;-&quot;??_);_(@_)"/>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73" formatCode="_(* #,##0_);_(* \(#,##0\);_(* &quot;-&quot;??_);_(@_)"/>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tint="-0.1499984740745262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164" formatCode="_(&quot;$&quot;* #,##0_);_(&quot;$&quot;* \(#,##0\);_(&quot;$&quot;* &quot;-&quot;??_);_(@_)"/>
      <fill>
        <patternFill patternType="solid">
          <fgColor indexed="64"/>
          <bgColor theme="2"/>
        </patternFill>
      </fill>
      <alignment vertical="center" textRotation="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0" formatCode="General"/>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indexed="64"/>
        </left>
        <top style="thin">
          <color indexed="64"/>
        </top>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0"/>
        </patternFill>
      </fill>
      <alignment vertical="center" textRotation="0" indent="0" justifyLastLine="0" shrinkToFit="0" readingOrder="0"/>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sz val="8"/>
        <color theme="1"/>
        <name val="Verdana"/>
        <family val="2"/>
        <scheme val="none"/>
      </font>
    </dxf>
    <dxf>
      <font>
        <b/>
        <i val="0"/>
        <strike val="0"/>
        <condense val="0"/>
        <extend val="0"/>
        <outline val="0"/>
        <shadow val="0"/>
        <u val="none"/>
        <vertAlign val="baseline"/>
        <sz val="8"/>
        <color theme="1"/>
        <name val="Verdana"/>
        <family val="2"/>
        <scheme val="none"/>
      </font>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strike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strike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dxf>
    <dxf>
      <font>
        <strike val="0"/>
        <outline val="0"/>
        <shadow val="0"/>
        <u val="none"/>
        <vertAlign val="baseline"/>
        <sz val="8"/>
        <color theme="1"/>
        <name val="Verdana"/>
        <family val="2"/>
        <scheme val="none"/>
      </font>
      <alignment horizontal="center" vertical="bottom" textRotation="0" wrapText="0" indent="0" justifyLastLine="0" shrinkToFit="0" readingOrder="0"/>
    </dxf>
    <dxf>
      <font>
        <strike val="0"/>
        <outline val="0"/>
        <shadow val="0"/>
        <u val="none"/>
        <vertAlign val="baseline"/>
        <sz val="8"/>
        <color theme="1"/>
        <name val="Verdana"/>
        <family val="2"/>
        <scheme val="none"/>
      </font>
      <numFmt numFmtId="166" formatCode="0.0%"/>
      <fill>
        <patternFill patternType="solid">
          <fgColor indexed="64"/>
          <bgColor theme="2"/>
        </patternFill>
      </fill>
      <alignment horizontal="center" vertical="bottom" textRotation="0" wrapText="0"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dxf>
    <dxf>
      <font>
        <strike val="0"/>
        <outline val="0"/>
        <shadow val="0"/>
        <u val="none"/>
        <vertAlign val="baseline"/>
        <sz val="8"/>
        <color theme="1"/>
        <name val="Verdana"/>
        <family val="2"/>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sz val="8"/>
        <color theme="1"/>
        <name val="Verdana"/>
        <family val="2"/>
        <scheme val="none"/>
      </font>
    </dxf>
    <dxf>
      <font>
        <b/>
        <i val="0"/>
        <strike val="0"/>
        <condense val="0"/>
        <extend val="0"/>
        <outline val="0"/>
        <shadow val="0"/>
        <u val="none"/>
        <vertAlign val="baseline"/>
        <sz val="8"/>
        <color theme="1"/>
        <name val="Verdana"/>
        <family val="2"/>
        <scheme val="none"/>
      </font>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78"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75" formatCode="#.##\x"/>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5" formatCode="#.##\x"/>
      <fill>
        <patternFill patternType="solid">
          <fgColor indexed="64"/>
          <bgColor them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32" formatCode="_(&quot;$&quot;* #,##0_);_(&quot;$&quot;* \(#,##0\);_(&quot;$&quot;* &quot;-&quot;_);_(@_)"/>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8"/>
        <color theme="1"/>
        <name val="Verdana"/>
        <family val="2"/>
        <scheme val="none"/>
      </font>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vertical="center" textRotation="0" indent="0" justifyLastLine="0" shrinkToFit="0" readingOrder="0"/>
    </dxf>
    <dxf>
      <font>
        <b val="0"/>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outline="0">
        <left/>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8"/>
        <color auto="1"/>
        <name val="Verdana"/>
        <family val="2"/>
        <scheme val="none"/>
      </font>
      <fill>
        <patternFill patternType="solid">
          <fgColor indexed="64"/>
          <bgColor theme="3" tint="0.79998168889431442"/>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style="thin">
          <color indexed="64"/>
        </left>
        <right style="medium">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medium">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top/>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2" tint="-9.9978637043366805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8"/>
        <name val="Verdana"/>
        <family val="2"/>
        <scheme val="none"/>
      </font>
    </dxf>
    <dxf>
      <font>
        <strike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2" tint="-9.9978637043366805E-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2" tint="-9.9978637043366805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dxf>
    <dxf>
      <border outline="0">
        <bottom style="thin">
          <color indexed="64"/>
        </bottom>
      </border>
    </dxf>
    <dxf>
      <font>
        <b val="0"/>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0" indent="0" justifyLastLine="0" shrinkToFit="0" readingOrder="0"/>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2" tint="-9.9978637043366805E-2"/>
        </patternFill>
      </fill>
      <alignment horizontal="center"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strike val="0"/>
        <outline val="0"/>
        <shadow val="0"/>
        <u val="none"/>
        <vertAlign val="baseline"/>
        <sz val="8"/>
        <name val="Verdana"/>
        <family val="2"/>
        <scheme val="none"/>
      </font>
    </dxf>
    <dxf>
      <font>
        <b val="0"/>
        <i val="0"/>
        <strike val="0"/>
        <condense val="0"/>
        <extend val="0"/>
        <outline val="0"/>
        <shadow val="0"/>
        <u val="none"/>
        <vertAlign val="baseline"/>
        <sz val="8"/>
        <color auto="1"/>
        <name val="Verdana"/>
        <family val="2"/>
        <scheme val="none"/>
      </font>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64" formatCode="_(&quot;$&quot;* #,##0_);_(&quot;$&quot;* \(#,##0\);_(&quot;$&quot;* &quot;-&quot;??_);_(@_)"/>
      <fill>
        <patternFill patternType="solid">
          <fgColor indexed="64"/>
          <bgColor theme="2" tint="-9.9978637043366805E-2"/>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19" formatCode="m/d/yyyy"/>
      <fill>
        <patternFill patternType="solid">
          <fgColor indexed="64"/>
          <bgColor theme="0"/>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family val="2"/>
        <scheme val="minor"/>
      </font>
      <numFmt numFmtId="169" formatCode="00\-0000000"/>
      <fill>
        <patternFill patternType="solid">
          <fgColor indexed="64"/>
          <bgColor theme="2" tint="-9.9978637043366805E-2"/>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numFmt numFmtId="0" formatCode="General"/>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Calibri"/>
        <family val="2"/>
        <scheme val="minor"/>
      </font>
      <numFmt numFmtId="169" formatCode="00\-0000000"/>
      <fill>
        <patternFill patternType="solid">
          <fgColor indexed="64"/>
          <bgColor theme="2"/>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Calibri"/>
        <family val="2"/>
        <scheme val="minor"/>
      </font>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rgb="FF000000"/>
        <name val="Calibri"/>
        <family val="2"/>
        <scheme val="none"/>
      </font>
      <fill>
        <patternFill patternType="solid">
          <fgColor rgb="FF000000"/>
          <bgColor rgb="FFFFFFFF"/>
        </patternFill>
      </fill>
      <alignment vertical="top" textRotation="0" indent="0" justifyLastLine="0" shrinkToFit="0" readingOrder="0"/>
    </dxf>
    <dxf>
      <border>
        <bottom style="thin">
          <color rgb="FF000000"/>
        </bottom>
      </border>
    </dxf>
    <dxf>
      <font>
        <b/>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dxf>
    <dxf>
      <font>
        <b val="0"/>
        <i val="0"/>
        <strike val="0"/>
        <condense val="0"/>
        <extend val="0"/>
        <outline val="0"/>
        <shadow val="0"/>
        <u val="none"/>
        <vertAlign val="baseline"/>
        <sz val="8"/>
        <color theme="1"/>
        <name val="Verdana"/>
        <family val="2"/>
        <scheme val="none"/>
      </font>
      <numFmt numFmtId="174" formatCode="#,##0.0"/>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4" formatCode="#,##0.0"/>
      <fill>
        <patternFill patternType="solid">
          <fgColor indexed="64"/>
          <bgColor theme="2"/>
        </patternFill>
      </fill>
      <alignment horizontal="center"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4" formatCode="#,##0.0"/>
      <fill>
        <patternFill patternType="solid">
          <fgColor indexed="64"/>
          <bgColor theme="0"/>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74" formatCode="#,##0.0"/>
      <fill>
        <patternFill patternType="solid">
          <fgColor indexed="64"/>
          <bgColor theme="2"/>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auto="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2"/>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4"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6" formatCode="0.0%"/>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center" vertical="top" textRotation="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9" formatCode="m/d/yyyy"/>
      <fill>
        <patternFill patternType="solid">
          <fgColor indexed="64"/>
          <bgColor theme="0"/>
        </patternFill>
      </fill>
      <alignment vertical="top" textRotation="0" indent="0" justifyLastLine="0" shrinkToFit="0" readingOrder="0"/>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32" formatCode="_(&quot;$&quot;* #,##0_);_(&quot;$&quot;* \(#,##0\);_(&quot;$&quot;* &quot;-&quot;_);_(@_)"/>
      <fill>
        <patternFill patternType="solid">
          <fgColor indexed="64"/>
          <bgColor theme="0"/>
        </patternFill>
      </fill>
      <alignmen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0"/>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169" formatCode="00\-0000000"/>
      <fill>
        <patternFill patternType="solid">
          <fgColor indexed="64"/>
          <bgColor theme="2"/>
        </patternFill>
      </fill>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numFmt numFmtId="0" formatCode="General"/>
      <fill>
        <patternFill patternType="solid">
          <fgColor indexed="64"/>
          <bgColor theme="0"/>
        </patternFill>
      </fill>
      <alignment vertical="top" textRotation="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vertical="top" textRotation="0" indent="0" justifyLastLine="0" shrinkToFit="0" readingOrder="0"/>
    </dxf>
    <dxf>
      <border outline="0">
        <bottom style="thin">
          <color indexed="64"/>
        </bottom>
      </border>
    </dxf>
    <dxf>
      <font>
        <b val="0"/>
        <i val="0"/>
        <strike val="0"/>
        <condense val="0"/>
        <extend val="0"/>
        <outline val="0"/>
        <shadow val="0"/>
        <u val="none"/>
        <vertAlign val="baseline"/>
        <sz val="8"/>
        <color theme="1" tint="4.9989318521683403E-2"/>
        <name val="Verdana"/>
        <family val="2"/>
        <scheme val="none"/>
      </font>
      <fill>
        <patternFill patternType="none">
          <fgColor indexed="64"/>
          <bgColor theme="3"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theme="4"/>
      </font>
    </dxf>
    <dxf>
      <fill>
        <patternFill>
          <bgColor theme="0"/>
        </patternFill>
      </fill>
      <border>
        <left style="thin">
          <color auto="1"/>
        </left>
        <right style="thin">
          <color auto="1"/>
        </right>
        <top style="thin">
          <color auto="1"/>
        </top>
        <bottom style="thin">
          <color auto="1"/>
        </bottom>
        <vertical/>
        <horizontal/>
      </border>
    </dxf>
    <dxf>
      <fill>
        <patternFill>
          <fgColor rgb="FFDDDDDD"/>
          <bgColor rgb="FFF8F8F8"/>
        </patternFill>
      </fill>
      <border>
        <left/>
        <right/>
        <top style="thin">
          <color auto="1"/>
        </top>
        <bottom/>
        <vertical/>
        <horizontal/>
      </border>
    </dxf>
    <dxf>
      <font>
        <color theme="4"/>
      </font>
    </dxf>
    <dxf>
      <numFmt numFmtId="32" formatCode="_(&quot;$&quot;* #,##0_);_(&quot;$&quot;* \(#,##0\);_(&quot;$&quot;* &quot;-&quot;_);_(@_)"/>
      <fill>
        <patternFill>
          <bgColor theme="2" tint="-9.9948118533890809E-2"/>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numFmt numFmtId="32" formatCode="_(&quot;$&quot;* #,##0_);_(&quot;$&quot;* \(#,##0\);_(&quot;$&quot;* &quot;-&quot;_);_(@_)"/>
      <fill>
        <patternFill>
          <bgColor rgb="FFDDDDDD"/>
        </patternFill>
      </fill>
      <border>
        <left style="thin">
          <color auto="1"/>
        </left>
        <right style="thin">
          <color auto="1"/>
        </right>
        <top style="thin">
          <color auto="1"/>
        </top>
        <bottom style="thin">
          <color auto="1"/>
        </bottom>
      </border>
    </dxf>
    <dxf>
      <fill>
        <patternFill>
          <bgColor rgb="FFF8F8F8"/>
        </patternFill>
      </fill>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numFmt numFmtId="32" formatCode="_(&quot;$&quot;* #,##0_);_(&quot;$&quot;* \(#,##0\);_(&quot;$&quot;* &quot;-&quot;_);_(@_)"/>
      <fill>
        <patternFill>
          <bgColor rgb="FFDDDDDD"/>
        </patternFill>
      </fill>
      <border>
        <left style="thin">
          <color auto="1"/>
        </left>
        <right style="thin">
          <color auto="1"/>
        </right>
        <top style="thin">
          <color auto="1"/>
        </top>
        <bottom style="thin">
          <color auto="1"/>
        </bottom>
      </border>
    </dxf>
    <dxf>
      <fill>
        <patternFill>
          <bgColor rgb="FFF8F8F8"/>
        </patternFill>
      </fill>
    </dxf>
    <dxf>
      <border>
        <left/>
        <right/>
        <vertical/>
        <horizontal/>
      </border>
    </dxf>
    <dxf>
      <font>
        <color theme="4"/>
      </font>
    </dxf>
    <dxf>
      <font>
        <color theme="4"/>
      </font>
    </dxf>
    <dxf>
      <font>
        <color theme="4"/>
      </font>
    </dxf>
    <dxf>
      <font>
        <color theme="4"/>
      </font>
    </dxf>
    <dxf>
      <font>
        <color theme="4"/>
      </font>
    </dxf>
    <dxf>
      <font>
        <color theme="4"/>
      </font>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numFmt numFmtId="32" formatCode="_(&quot;$&quot;* #,##0_);_(&quot;$&quot;* \(#,##0\);_(&quot;$&quot;* &quot;-&quot;_);_(@_)"/>
      <fill>
        <patternFill>
          <bgColor theme="0"/>
        </patternFill>
      </fill>
      <border>
        <left style="thin">
          <color auto="1"/>
        </left>
        <right style="thin">
          <color auto="1"/>
        </right>
        <top style="thin">
          <color auto="1"/>
        </top>
        <bottom style="thin">
          <color auto="1"/>
        </bottom>
      </border>
    </dxf>
    <dxf>
      <fill>
        <patternFill>
          <bgColor rgb="FFF8F8F8"/>
        </patternFill>
      </fill>
    </dxf>
    <dxf>
      <font>
        <b val="0"/>
        <strike val="0"/>
        <outline val="0"/>
        <shadow val="0"/>
        <vertAlign val="baseline"/>
        <sz val="8"/>
        <name val="Verdana"/>
        <family val="2"/>
        <scheme val="none"/>
      </font>
      <fill>
        <patternFill patternType="solid">
          <fgColor indexed="64"/>
          <bgColor theme="0"/>
        </patternFill>
      </fill>
      <alignment horizontal="left"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8"/>
        <color theme="1"/>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center"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horizontal="general" vertical="center" textRotation="0" wrapText="0" indent="0" justifyLastLine="0" shrinkToFit="0" readingOrder="0"/>
    </dxf>
    <dxf>
      <font>
        <b val="0"/>
        <strike val="0"/>
        <outline val="0"/>
        <shadow val="0"/>
        <vertAlign val="baseline"/>
        <sz val="8"/>
        <name val="Verdana"/>
        <family val="2"/>
        <scheme val="none"/>
      </font>
      <fill>
        <patternFill patternType="solid">
          <fgColor indexed="64"/>
          <bgColor theme="0"/>
        </patternFill>
      </fill>
      <alignment vertical="center" textRotation="0" indent="0" justifyLastLine="0" shrinkToFit="0" readingOrder="0"/>
    </dxf>
    <dxf>
      <font>
        <b/>
        <strike val="0"/>
        <outline val="0"/>
        <shadow val="0"/>
        <u val="none"/>
        <vertAlign val="baseline"/>
        <sz val="8"/>
        <color auto="1"/>
        <name val="Verdana"/>
        <family val="2"/>
        <scheme val="none"/>
      </font>
      <fill>
        <patternFill patternType="solid">
          <fgColor indexed="64"/>
          <bgColor theme="4" tint="0.79998168889431442"/>
        </patternFill>
      </fill>
    </dxf>
    <dxf>
      <font>
        <b val="0"/>
        <i val="0"/>
        <strike val="0"/>
        <condense val="0"/>
        <extend val="0"/>
        <outline val="0"/>
        <shadow val="0"/>
        <u val="none"/>
        <vertAlign val="baseline"/>
        <sz val="9"/>
        <color theme="1"/>
        <name val="Verdana"/>
        <family val="2"/>
        <scheme val="none"/>
      </font>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9"/>
        <color theme="1"/>
        <name val="Verdana"/>
        <family val="2"/>
        <scheme val="none"/>
      </font>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outline="0">
        <left/>
        <right/>
        <top style="thin">
          <color theme="4" tint="0.39997558519241921"/>
        </top>
        <bottom style="thin">
          <color theme="4" tint="0.39997558519241921"/>
        </bottom>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val="0"/>
        <i val="0"/>
        <strike val="0"/>
        <condense val="0"/>
        <extend val="0"/>
        <outline val="0"/>
        <shadow val="0"/>
        <u val="none"/>
        <vertAlign val="baseline"/>
        <sz val="9"/>
        <color theme="1"/>
        <name val="Verdana"/>
        <family val="2"/>
        <scheme val="none"/>
      </font>
      <fill>
        <patternFill patternType="solid">
          <fgColor theme="4" tint="0.79998168889431442"/>
          <bgColor theme="4" tint="0.79998168889431442"/>
        </patternFill>
      </fill>
      <alignment horizontal="general" vertical="bottom" textRotation="0" wrapText="0" indent="0" justifyLastLine="0" shrinkToFit="0" readingOrder="0"/>
    </dxf>
    <dxf>
      <border outline="0">
        <bottom style="thin">
          <color theme="4" tint="0.39997558519241921"/>
        </bottom>
      </border>
    </dxf>
    <dxf>
      <font>
        <b val="0"/>
        <i val="0"/>
        <strike val="0"/>
        <condense val="0"/>
        <extend val="0"/>
        <outline val="0"/>
        <shadow val="0"/>
        <u val="none"/>
        <vertAlign val="baseline"/>
        <sz val="9"/>
        <color theme="0"/>
        <name val="Verdana"/>
        <family val="2"/>
        <scheme val="none"/>
      </font>
      <fill>
        <patternFill patternType="solid">
          <fgColor theme="4"/>
          <bgColor theme="4"/>
        </patternFill>
      </fill>
      <alignment horizontal="general" vertical="bottom" textRotation="0" wrapText="0" indent="0" justifyLastLine="0" shrinkToFit="0" readingOrder="0"/>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dxf>
    <dxf>
      <font>
        <b val="0"/>
        <i val="0"/>
        <strike val="0"/>
        <condense val="0"/>
        <extend val="0"/>
        <outline val="0"/>
        <shadow val="0"/>
        <u val="none"/>
        <vertAlign val="baseline"/>
        <sz val="9"/>
        <color theme="0"/>
        <name val="Verdana"/>
        <family val="2"/>
        <scheme val="none"/>
      </font>
      <fill>
        <patternFill patternType="solid">
          <fgColor indexed="64"/>
          <bgColor theme="4"/>
        </patternFill>
      </fill>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numFmt numFmtId="0" formatCode="General"/>
      <alignment horizontal="general" vertical="bottom" textRotation="0" wrapText="0" indent="0" justifyLastLine="0" shrinkToFit="0" readingOrder="0"/>
    </dxf>
    <dxf>
      <font>
        <b val="0"/>
        <strike val="0"/>
        <outline val="0"/>
        <shadow val="0"/>
        <u val="none"/>
        <vertAlign val="baseline"/>
        <sz val="9"/>
        <color theme="1"/>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i val="0"/>
        <strike val="0"/>
        <condense val="0"/>
        <extend val="0"/>
        <outline val="0"/>
        <shadow val="0"/>
        <u val="none"/>
        <vertAlign val="baseline"/>
        <sz val="9"/>
        <color indexed="8"/>
        <name val="Verdana"/>
        <family val="2"/>
        <scheme val="none"/>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numFmt numFmtId="0" formatCode="General"/>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general"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general"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general" vertical="top"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border outline="0">
        <top style="thin">
          <color indexed="22"/>
        </top>
      </border>
    </dxf>
    <dxf>
      <border outline="0">
        <top style="thin">
          <color indexed="8"/>
        </top>
        <bottom style="thin">
          <color indexed="22"/>
        </bottom>
      </border>
    </dxf>
    <dxf>
      <font>
        <b val="0"/>
        <strike val="0"/>
        <outline val="0"/>
        <shadow val="0"/>
        <u val="none"/>
        <vertAlign val="baseline"/>
        <sz val="9"/>
        <name val="Verdana"/>
        <family val="2"/>
        <scheme val="none"/>
      </font>
      <alignment horizontal="left" vertical="bottom" textRotation="0" wrapText="0" indent="0" justifyLastLine="0" shrinkToFit="0" readingOrder="0"/>
    </dxf>
    <dxf>
      <border outline="0">
        <bottom style="thin">
          <color indexed="8"/>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tint="4.9989318521683403E-2"/>
        <name val="Verdana"/>
        <family val="2"/>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tint="4.9989318521683403E-2"/>
        <name val="Verdana"/>
        <family val="2"/>
        <scheme val="none"/>
      </font>
      <fill>
        <patternFill patternType="solid">
          <fgColor indexed="64"/>
          <bgColor theme="0"/>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name val="Verdana"/>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9"/>
        <color theme="1"/>
        <name val="Verdana"/>
        <family val="2"/>
        <scheme val="none"/>
      </font>
      <alignment horizontal="left" vertical="top"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8"/>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lef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lef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9"/>
        <color indexed="8"/>
        <name val="Verdana"/>
        <family val="2"/>
        <scheme val="none"/>
      </font>
      <fill>
        <patternFill patternType="none">
          <fgColor indexed="64"/>
          <bgColor indexed="65"/>
        </patternFill>
      </fill>
      <alignment horizontal="left" vertical="bottom" textRotation="0" wrapText="0" indent="0" justifyLastLine="0" shrinkToFit="0" readingOrder="0"/>
    </dxf>
    <dxf>
      <border outline="0">
        <bottom style="thin">
          <color indexed="8"/>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horizontal="left" vertical="bottom"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fill>
        <patternFill patternType="solid">
          <fgColor indexed="64"/>
          <bgColor theme="1"/>
        </patternFill>
      </fill>
      <alignment horizontal="general" vertical="top"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alignment textRotation="0" wrapText="0" indent="0" justifyLastLine="0" shrinkToFit="0" readingOrder="0"/>
    </dxf>
    <dxf>
      <font>
        <b val="0"/>
        <strike val="0"/>
        <outline val="0"/>
        <shadow val="0"/>
        <u val="none"/>
        <vertAlign val="baseline"/>
        <sz val="9"/>
        <name val="Verdana"/>
        <family val="2"/>
        <scheme val="none"/>
      </font>
      <fill>
        <patternFill patternType="solid">
          <fgColor indexed="64"/>
          <bgColor theme="1"/>
        </patternFill>
      </fill>
      <alignment horizontal="general" vertical="top" textRotation="0" wrapText="0" indent="0" justifyLastLine="0" shrinkToFit="0" readingOrder="0"/>
    </dxf>
    <dxf>
      <font>
        <b val="0"/>
        <i val="0"/>
        <strike val="0"/>
        <condense val="0"/>
        <extend val="0"/>
        <outline val="0"/>
        <shadow val="0"/>
        <u val="none"/>
        <vertAlign val="baseline"/>
        <sz val="9"/>
        <color rgb="FF000000"/>
        <name val="Verdana"/>
        <family val="2"/>
        <scheme val="none"/>
      </font>
      <alignment horizontal="general" vertical="center"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9"/>
        <color theme="1"/>
        <name val="Verdana"/>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outline="0">
        <right style="medium">
          <color indexed="64"/>
        </right>
        <top style="medium">
          <color indexed="64"/>
        </top>
        <bottom style="medium">
          <color indexed="64"/>
        </bottom>
      </border>
    </dxf>
    <dxf>
      <font>
        <b val="0"/>
        <strike val="0"/>
        <outline val="0"/>
        <shadow val="0"/>
        <u val="none"/>
        <vertAlign val="baseline"/>
        <sz val="9"/>
        <name val="Verdana"/>
        <family val="2"/>
        <scheme val="none"/>
      </font>
      <alignment textRotation="0" wrapText="0" indent="0" justifyLastLine="0" shrinkToFit="0" readingOrder="0"/>
    </dxf>
    <dxf>
      <border outline="0">
        <bottom style="medium">
          <color indexed="64"/>
        </bottom>
      </border>
    </dxf>
    <dxf>
      <font>
        <b val="0"/>
        <i val="0"/>
        <strike val="0"/>
        <condense val="0"/>
        <extend val="0"/>
        <outline val="0"/>
        <shadow val="0"/>
        <u val="none"/>
        <vertAlign val="baseline"/>
        <sz val="9"/>
        <color rgb="FF000000"/>
        <name val="Verdana"/>
        <family val="2"/>
        <scheme val="none"/>
      </font>
      <fill>
        <patternFill patternType="solid">
          <fgColor indexed="64"/>
          <bgColor rgb="FF9CC2E5"/>
        </patternFill>
      </fill>
      <alignment horizontal="general" vertical="center" textRotation="0" wrapText="0" indent="0" justifyLastLine="0" shrinkToFit="0" readingOrder="0"/>
      <border diagonalUp="0" diagonalDown="0" outline="0">
        <left style="medium">
          <color indexed="64"/>
        </left>
        <right style="medium">
          <color indexed="64"/>
        </right>
        <top/>
        <bottom/>
      </border>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rgb="FF333333"/>
        <name val="Verdana"/>
        <family val="2"/>
        <scheme val="none"/>
      </font>
      <fill>
        <patternFill patternType="solid">
          <fgColor indexed="64"/>
          <bgColor rgb="FFFFFFFF"/>
        </patternFill>
      </fill>
      <alignment horizontal="general" vertical="bottom" textRotation="0" wrapText="0" indent="0" justifyLastLine="0" shrinkToFit="0" readingOrder="0"/>
      <border diagonalUp="0" diagonalDown="0" outline="0">
        <left style="medium">
          <color rgb="FFDCDCDC"/>
        </left>
        <right style="medium">
          <color rgb="FFDCDCDC"/>
        </right>
        <top style="medium">
          <color rgb="FFDCDCDC"/>
        </top>
        <bottom style="medium">
          <color rgb="FFDCDCDC"/>
        </bottom>
      </border>
    </dxf>
    <dxf>
      <font>
        <b val="0"/>
        <strike val="0"/>
        <outline val="0"/>
        <shadow val="0"/>
        <u val="none"/>
        <vertAlign val="baseline"/>
        <sz val="9"/>
        <name val="Verdana"/>
        <family val="2"/>
        <scheme val="none"/>
      </font>
    </dxf>
    <dxf>
      <font>
        <b val="0"/>
        <strike val="0"/>
        <outline val="0"/>
        <shadow val="0"/>
        <u val="none"/>
        <vertAlign val="baseline"/>
        <sz val="9"/>
        <name val="Verdana"/>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numFmt numFmtId="171" formatCode="00000"/>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numFmt numFmtId="19" formatCode="m/d/yyyy"/>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numFmt numFmtId="19" formatCode="m/d/yyyy"/>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
      <font>
        <b val="0"/>
        <i val="0"/>
        <strike val="0"/>
        <condense val="0"/>
        <extend val="0"/>
        <outline val="0"/>
        <shadow val="0"/>
        <u val="none"/>
        <vertAlign val="baseline"/>
        <sz val="9"/>
        <color theme="1"/>
        <name val="Calibri"/>
        <family val="2"/>
        <scheme val="minor"/>
      </font>
      <fill>
        <patternFill patternType="solid">
          <fgColor indexed="64"/>
          <bgColor rgb="FF92D050"/>
        </patternFill>
      </fill>
    </dxf>
  </dxfs>
  <tableStyles count="0" defaultTableStyle="TableStyleMedium2" defaultPivotStyle="PivotStyleLight16"/>
  <colors>
    <mruColors>
      <color rgb="FFF8F8F8"/>
      <color rgb="FFDDDDDD"/>
      <color rgb="FFFBFBFB"/>
      <color rgb="FFF9F9F9"/>
      <color rgb="FFF0F3FA"/>
      <color rgb="FFE6EBF6"/>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microsoft.com/office/2006/relationships/vbaProject" Target="vbaProject.bin"/><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'1-Cover'!$C$6</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ExecSum!$J$40</c:f>
              <c:strCache>
                <c:ptCount val="1"/>
                <c:pt idx="0">
                  <c:v>Net DPI</c:v>
                </c:pt>
              </c:strCache>
            </c:strRef>
          </c:tx>
          <c:spPr>
            <a:ln w="28575" cap="rnd">
              <a:solidFill>
                <a:schemeClr val="accent1"/>
              </a:solidFill>
              <a:round/>
            </a:ln>
            <a:effectLst/>
          </c:spPr>
          <c:marker>
            <c:symbol val="none"/>
          </c:marker>
          <c:cat>
            <c:numRef>
              <c:f>ExecSum!$I$41:$I$53</c:f>
              <c:numCache>
                <c:formatCode>m/d/yyyy</c:formatCode>
                <c:ptCount val="13"/>
              </c:numCache>
            </c:numRef>
          </c:cat>
          <c:val>
            <c:numRef>
              <c:f>ExecSum!$J$41:$J$53</c:f>
              <c:numCache>
                <c:formatCode>0.00</c:formatCode>
                <c:ptCount val="13"/>
              </c:numCache>
            </c:numRef>
          </c:val>
          <c:smooth val="0"/>
          <c:extLst>
            <c:ext xmlns:c16="http://schemas.microsoft.com/office/drawing/2014/chart" uri="{C3380CC4-5D6E-409C-BE32-E72D297353CC}">
              <c16:uniqueId val="{00000000-3772-467B-A278-4FD2CD6445BD}"/>
            </c:ext>
          </c:extLst>
        </c:ser>
        <c:ser>
          <c:idx val="1"/>
          <c:order val="1"/>
          <c:tx>
            <c:strRef>
              <c:f>ExecSum!$K$40</c:f>
              <c:strCache>
                <c:ptCount val="1"/>
                <c:pt idx="0">
                  <c:v>Net TVPI</c:v>
                </c:pt>
              </c:strCache>
            </c:strRef>
          </c:tx>
          <c:spPr>
            <a:ln w="12700" cap="rnd">
              <a:solidFill>
                <a:sysClr val="windowText" lastClr="000000"/>
              </a:solidFill>
              <a:prstDash val="dash"/>
              <a:round/>
            </a:ln>
            <a:effectLst/>
          </c:spPr>
          <c:marker>
            <c:symbol val="none"/>
          </c:marker>
          <c:cat>
            <c:numRef>
              <c:f>ExecSum!$I$41:$I$53</c:f>
              <c:numCache>
                <c:formatCode>m/d/yyyy</c:formatCode>
                <c:ptCount val="13"/>
              </c:numCache>
            </c:numRef>
          </c:cat>
          <c:val>
            <c:numRef>
              <c:f>ExecSum!$K$41:$K$53</c:f>
              <c:numCache>
                <c:formatCode>0.00</c:formatCode>
                <c:ptCount val="13"/>
              </c:numCache>
            </c:numRef>
          </c:val>
          <c:smooth val="0"/>
          <c:extLst>
            <c:ext xmlns:c16="http://schemas.microsoft.com/office/drawing/2014/chart" uri="{C3380CC4-5D6E-409C-BE32-E72D297353CC}">
              <c16:uniqueId val="{00000001-3772-467B-A278-4FD2CD6445BD}"/>
            </c:ext>
          </c:extLst>
        </c:ser>
        <c:dLbls>
          <c:showLegendKey val="0"/>
          <c:showVal val="0"/>
          <c:showCatName val="0"/>
          <c:showSerName val="0"/>
          <c:showPercent val="0"/>
          <c:showBubbleSize val="0"/>
        </c:dLbls>
        <c:smooth val="0"/>
        <c:axId val="857373135"/>
        <c:axId val="857375631"/>
      </c:lineChart>
      <c:catAx>
        <c:axId val="857373135"/>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7375631"/>
        <c:crosses val="autoZero"/>
        <c:auto val="1"/>
        <c:lblAlgn val="ctr"/>
        <c:lblOffset val="100"/>
        <c:tickLblSkip val="12"/>
        <c:noMultiLvlLbl val="1"/>
      </c:catAx>
      <c:valAx>
        <c:axId val="8573756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73731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91440</xdr:colOff>
      <xdr:row>0</xdr:row>
      <xdr:rowOff>76200</xdr:rowOff>
    </xdr:from>
    <xdr:to>
      <xdr:col>4</xdr:col>
      <xdr:colOff>0</xdr:colOff>
      <xdr:row>1</xdr:row>
      <xdr:rowOff>114300</xdr:rowOff>
    </xdr:to>
    <xdr:sp macro="[0]!SplitTOC" textlink="">
      <xdr:nvSpPr>
        <xdr:cNvPr id="4" name="Rectangle 3">
          <a:extLst>
            <a:ext uri="{FF2B5EF4-FFF2-40B4-BE49-F238E27FC236}">
              <a16:creationId xmlns:a16="http://schemas.microsoft.com/office/drawing/2014/main" id="{86AFF85F-7CFB-9A0A-F8EF-61D98FCE4A43}"/>
            </a:ext>
          </a:extLst>
        </xdr:cNvPr>
        <xdr:cNvSpPr/>
      </xdr:nvSpPr>
      <xdr:spPr>
        <a:xfrm>
          <a:off x="5341620" y="76200"/>
          <a:ext cx="1722120" cy="2209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100" b="1" i="1">
              <a:solidFill>
                <a:srgbClr val="C00000"/>
              </a:solidFill>
              <a:latin typeface="+mn-lt"/>
              <a:ea typeface="+mn-lt"/>
              <a:cs typeface="+mn-lt"/>
            </a:rPr>
            <a:t>Split Table of Content View</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861060</xdr:colOff>
      <xdr:row>4</xdr:row>
      <xdr:rowOff>86979</xdr:rowOff>
    </xdr:to>
    <xdr:pic>
      <xdr:nvPicPr>
        <xdr:cNvPr id="3" name="SBALogo" descr="Small Business Administration Logo">
          <a:extLst>
            <a:ext uri="{FF2B5EF4-FFF2-40B4-BE49-F238E27FC236}">
              <a16:creationId xmlns:a16="http://schemas.microsoft.com/office/drawing/2014/main" id="{F054B910-3BF6-757F-FD1A-D14FD2564A4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61060" cy="7194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171450</xdr:colOff>
      <xdr:row>40</xdr:row>
      <xdr:rowOff>129540</xdr:rowOff>
    </xdr:from>
    <xdr:to>
      <xdr:col>7</xdr:col>
      <xdr:colOff>106680</xdr:colOff>
      <xdr:row>55</xdr:row>
      <xdr:rowOff>129540</xdr:rowOff>
    </xdr:to>
    <xdr:graphicFrame macro="">
      <xdr:nvGraphicFramePr>
        <xdr:cNvPr id="2" name="Chart 1" descr="This is a chart that shows net DPI and net TVPI over time.">
          <a:extLst>
            <a:ext uri="{FF2B5EF4-FFF2-40B4-BE49-F238E27FC236}">
              <a16:creationId xmlns:a16="http://schemas.microsoft.com/office/drawing/2014/main" id="{CCEEA647-4A6D-4405-862A-BC6E4E1F80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685.434958101854" createdVersion="7" refreshedVersion="7" minRefreshableVersion="3" recordCount="1012" xr:uid="{8017FDA1-F113-46E6-8005-0EC80B2B2E45}">
  <cacheSource type="worksheet">
    <worksheetSource name="Select_naics2022"/>
  </cacheSource>
  <cacheFields count="4">
    <cacheField name="2022 NAICS Code" numFmtId="0">
      <sharedItems containsSemiMixedTypes="0" containsString="0" containsNumber="1" containsInteger="1" minValue="111110" maxValue="928120" count="1012">
        <n v="111110"/>
        <n v="111120"/>
        <n v="111130"/>
        <n v="111140"/>
        <n v="111150"/>
        <n v="111160"/>
        <n v="111191"/>
        <n v="111199"/>
        <n v="111211"/>
        <n v="111219"/>
        <n v="111310"/>
        <n v="111320"/>
        <n v="111331"/>
        <n v="111332"/>
        <n v="111333"/>
        <n v="111334"/>
        <n v="111335"/>
        <n v="111336"/>
        <n v="111339"/>
        <n v="111411"/>
        <n v="111419"/>
        <n v="111421"/>
        <n v="111422"/>
        <n v="111910"/>
        <n v="111920"/>
        <n v="111930"/>
        <n v="111940"/>
        <n v="111991"/>
        <n v="111992"/>
        <n v="111998"/>
        <n v="112111"/>
        <n v="112112"/>
        <n v="112120"/>
        <n v="112130"/>
        <n v="112210"/>
        <n v="112310"/>
        <n v="112320"/>
        <n v="112330"/>
        <n v="112340"/>
        <n v="112390"/>
        <n v="112410"/>
        <n v="112420"/>
        <n v="112511"/>
        <n v="112512"/>
        <n v="112519"/>
        <n v="112910"/>
        <n v="112920"/>
        <n v="112930"/>
        <n v="112990"/>
        <n v="113110"/>
        <n v="113210"/>
        <n v="113310"/>
        <n v="114111"/>
        <n v="114112"/>
        <n v="114119"/>
        <n v="114210"/>
        <n v="115111"/>
        <n v="115112"/>
        <n v="115113"/>
        <n v="115114"/>
        <n v="115115"/>
        <n v="115116"/>
        <n v="115210"/>
        <n v="115310"/>
        <n v="211120"/>
        <n v="211130"/>
        <n v="212114"/>
        <n v="212115"/>
        <n v="212210"/>
        <n v="212220"/>
        <n v="212230"/>
        <n v="212290"/>
        <n v="212311"/>
        <n v="212312"/>
        <n v="212313"/>
        <n v="212319"/>
        <n v="212321"/>
        <n v="212322"/>
        <n v="212323"/>
        <n v="212390"/>
        <n v="213111"/>
        <n v="213112"/>
        <n v="213113"/>
        <n v="213114"/>
        <n v="213115"/>
        <n v="221111"/>
        <n v="221112"/>
        <n v="221113"/>
        <n v="221114"/>
        <n v="221115"/>
        <n v="221116"/>
        <n v="221117"/>
        <n v="221118"/>
        <n v="221121"/>
        <n v="221122"/>
        <n v="221210"/>
        <n v="221310"/>
        <n v="221320"/>
        <n v="221330"/>
        <n v="236115"/>
        <n v="236116"/>
        <n v="236117"/>
        <n v="236118"/>
        <n v="236210"/>
        <n v="236220"/>
        <n v="237110"/>
        <n v="237120"/>
        <n v="237130"/>
        <n v="237210"/>
        <n v="237310"/>
        <n v="237990"/>
        <n v="238110"/>
        <n v="238120"/>
        <n v="238130"/>
        <n v="238140"/>
        <n v="238150"/>
        <n v="238160"/>
        <n v="238170"/>
        <n v="238190"/>
        <n v="238210"/>
        <n v="238220"/>
        <n v="238290"/>
        <n v="238310"/>
        <n v="238320"/>
        <n v="238330"/>
        <n v="238340"/>
        <n v="238350"/>
        <n v="238390"/>
        <n v="238910"/>
        <n v="238990"/>
        <n v="311111"/>
        <n v="311119"/>
        <n v="311211"/>
        <n v="311212"/>
        <n v="311213"/>
        <n v="311221"/>
        <n v="311224"/>
        <n v="311225"/>
        <n v="311230"/>
        <n v="311313"/>
        <n v="311314"/>
        <n v="311340"/>
        <n v="311351"/>
        <n v="311352"/>
        <n v="311411"/>
        <n v="311412"/>
        <n v="311421"/>
        <n v="311422"/>
        <n v="311423"/>
        <n v="311511"/>
        <n v="311512"/>
        <n v="311513"/>
        <n v="311514"/>
        <n v="311520"/>
        <n v="311611"/>
        <n v="311612"/>
        <n v="311613"/>
        <n v="311615"/>
        <n v="311710"/>
        <n v="311811"/>
        <n v="311812"/>
        <n v="311813"/>
        <n v="311821"/>
        <n v="311824"/>
        <n v="311830"/>
        <n v="311911"/>
        <n v="311919"/>
        <n v="311920"/>
        <n v="311930"/>
        <n v="311941"/>
        <n v="311942"/>
        <n v="311991"/>
        <n v="311999"/>
        <n v="312111"/>
        <n v="312112"/>
        <n v="312113"/>
        <n v="312120"/>
        <n v="312130"/>
        <n v="312140"/>
        <n v="312230"/>
        <n v="313110"/>
        <n v="313210"/>
        <n v="313220"/>
        <n v="313230"/>
        <n v="313240"/>
        <n v="313310"/>
        <n v="313320"/>
        <n v="314110"/>
        <n v="314120"/>
        <n v="314910"/>
        <n v="314994"/>
        <n v="314999"/>
        <n v="315120"/>
        <n v="315210"/>
        <n v="315250"/>
        <n v="315990"/>
        <n v="316110"/>
        <n v="316210"/>
        <n v="316990"/>
        <n v="321113"/>
        <n v="321114"/>
        <n v="321211"/>
        <n v="321212"/>
        <n v="321215"/>
        <n v="321219"/>
        <n v="321911"/>
        <n v="321912"/>
        <n v="321918"/>
        <n v="321920"/>
        <n v="321991"/>
        <n v="321992"/>
        <n v="321999"/>
        <n v="322110"/>
        <n v="322120"/>
        <n v="322130"/>
        <n v="322211"/>
        <n v="322212"/>
        <n v="322219"/>
        <n v="322220"/>
        <n v="322230"/>
        <n v="322291"/>
        <n v="322299"/>
        <n v="323111"/>
        <n v="323113"/>
        <n v="323117"/>
        <n v="323120"/>
        <n v="324110"/>
        <n v="324121"/>
        <n v="324122"/>
        <n v="324191"/>
        <n v="324199"/>
        <n v="325110"/>
        <n v="325120"/>
        <n v="325130"/>
        <n v="325180"/>
        <n v="325193"/>
        <n v="325194"/>
        <n v="325199"/>
        <n v="325211"/>
        <n v="325212"/>
        <n v="325220"/>
        <n v="325311"/>
        <n v="325312"/>
        <n v="325314"/>
        <n v="325315"/>
        <n v="325320"/>
        <n v="325411"/>
        <n v="325412"/>
        <n v="325413"/>
        <n v="325414"/>
        <n v="325510"/>
        <n v="325520"/>
        <n v="325611"/>
        <n v="325612"/>
        <n v="325613"/>
        <n v="325620"/>
        <n v="325910"/>
        <n v="325920"/>
        <n v="325991"/>
        <n v="325992"/>
        <n v="325998"/>
        <n v="326111"/>
        <n v="326112"/>
        <n v="326113"/>
        <n v="326121"/>
        <n v="326122"/>
        <n v="326130"/>
        <n v="326140"/>
        <n v="326150"/>
        <n v="326160"/>
        <n v="326191"/>
        <n v="326199"/>
        <n v="326211"/>
        <n v="326212"/>
        <n v="326220"/>
        <n v="326291"/>
        <n v="326299"/>
        <n v="327110"/>
        <n v="327120"/>
        <n v="327211"/>
        <n v="327212"/>
        <n v="327213"/>
        <n v="327215"/>
        <n v="327310"/>
        <n v="327320"/>
        <n v="327331"/>
        <n v="327332"/>
        <n v="327390"/>
        <n v="327410"/>
        <n v="327420"/>
        <n v="327910"/>
        <n v="327991"/>
        <n v="327992"/>
        <n v="327993"/>
        <n v="327999"/>
        <n v="331110"/>
        <n v="331210"/>
        <n v="331221"/>
        <n v="331222"/>
        <n v="331313"/>
        <n v="331314"/>
        <n v="331315"/>
        <n v="331318"/>
        <n v="331410"/>
        <n v="331420"/>
        <n v="331491"/>
        <n v="331492"/>
        <n v="331511"/>
        <n v="331512"/>
        <n v="331513"/>
        <n v="331523"/>
        <n v="331524"/>
        <n v="331529"/>
        <n v="332111"/>
        <n v="332112"/>
        <n v="332114"/>
        <n v="332117"/>
        <n v="332119"/>
        <n v="332215"/>
        <n v="332216"/>
        <n v="332311"/>
        <n v="332312"/>
        <n v="332313"/>
        <n v="332321"/>
        <n v="332322"/>
        <n v="332323"/>
        <n v="332410"/>
        <n v="332420"/>
        <n v="332431"/>
        <n v="332439"/>
        <n v="332510"/>
        <n v="332613"/>
        <n v="332618"/>
        <n v="332710"/>
        <n v="332721"/>
        <n v="332722"/>
        <n v="332811"/>
        <n v="332812"/>
        <n v="332813"/>
        <n v="332911"/>
        <n v="332912"/>
        <n v="332913"/>
        <n v="332919"/>
        <n v="332991"/>
        <n v="332992"/>
        <n v="332993"/>
        <n v="332994"/>
        <n v="332996"/>
        <n v="332999"/>
        <n v="333111"/>
        <n v="333112"/>
        <n v="333120"/>
        <n v="333131"/>
        <n v="333132"/>
        <n v="333241"/>
        <n v="333242"/>
        <n v="333243"/>
        <n v="333248"/>
        <n v="333310"/>
        <n v="333413"/>
        <n v="333414"/>
        <n v="333415"/>
        <n v="333511"/>
        <n v="333514"/>
        <n v="333515"/>
        <n v="333517"/>
        <n v="333519"/>
        <n v="333611"/>
        <n v="333612"/>
        <n v="333613"/>
        <n v="333618"/>
        <n v="333912"/>
        <n v="333914"/>
        <n v="333921"/>
        <n v="333922"/>
        <n v="333923"/>
        <n v="333924"/>
        <n v="333991"/>
        <n v="333992"/>
        <n v="333993"/>
        <n v="333994"/>
        <n v="333995"/>
        <n v="333996"/>
        <n v="333998"/>
        <n v="334111"/>
        <n v="334112"/>
        <n v="334118"/>
        <n v="334210"/>
        <n v="334220"/>
        <n v="334290"/>
        <n v="334310"/>
        <n v="334412"/>
        <n v="334413"/>
        <n v="334416"/>
        <n v="334417"/>
        <n v="334418"/>
        <n v="334419"/>
        <n v="334510"/>
        <n v="334511"/>
        <n v="334512"/>
        <n v="334513"/>
        <n v="334514"/>
        <n v="334515"/>
        <n v="334516"/>
        <n v="334517"/>
        <n v="334519"/>
        <n v="334610"/>
        <n v="335131"/>
        <n v="335132"/>
        <n v="335139"/>
        <n v="335210"/>
        <n v="335220"/>
        <n v="335311"/>
        <n v="335312"/>
        <n v="335313"/>
        <n v="335314"/>
        <n v="335910"/>
        <n v="335921"/>
        <n v="335929"/>
        <n v="335931"/>
        <n v="335932"/>
        <n v="335991"/>
        <n v="335999"/>
        <n v="336110"/>
        <n v="336120"/>
        <n v="336211"/>
        <n v="336212"/>
        <n v="336213"/>
        <n v="336214"/>
        <n v="336310"/>
        <n v="336320"/>
        <n v="336330"/>
        <n v="336340"/>
        <n v="336350"/>
        <n v="336360"/>
        <n v="336370"/>
        <n v="336390"/>
        <n v="336411"/>
        <n v="336412"/>
        <n v="336413"/>
        <n v="336414"/>
        <n v="336415"/>
        <n v="336419"/>
        <n v="336510"/>
        <n v="336611"/>
        <n v="336612"/>
        <n v="336991"/>
        <n v="336992"/>
        <n v="336999"/>
        <n v="337110"/>
        <n v="337121"/>
        <n v="337122"/>
        <n v="337126"/>
        <n v="337127"/>
        <n v="337211"/>
        <n v="337212"/>
        <n v="337214"/>
        <n v="337215"/>
        <n v="337910"/>
        <n v="337920"/>
        <n v="339112"/>
        <n v="339113"/>
        <n v="339114"/>
        <n v="339115"/>
        <n v="339116"/>
        <n v="339910"/>
        <n v="339920"/>
        <n v="339930"/>
        <n v="339940"/>
        <n v="339950"/>
        <n v="339991"/>
        <n v="339992"/>
        <n v="339993"/>
        <n v="339994"/>
        <n v="339995"/>
        <n v="339999"/>
        <n v="423110"/>
        <n v="423120"/>
        <n v="423130"/>
        <n v="423140"/>
        <n v="423210"/>
        <n v="423220"/>
        <n v="423310"/>
        <n v="423320"/>
        <n v="423330"/>
        <n v="423390"/>
        <n v="423410"/>
        <n v="423420"/>
        <n v="423430"/>
        <n v="423440"/>
        <n v="423450"/>
        <n v="423460"/>
        <n v="423490"/>
        <n v="423510"/>
        <n v="423520"/>
        <n v="423610"/>
        <n v="423620"/>
        <n v="423690"/>
        <n v="423710"/>
        <n v="423720"/>
        <n v="423730"/>
        <n v="423740"/>
        <n v="423810"/>
        <n v="423820"/>
        <n v="423830"/>
        <n v="423840"/>
        <n v="423850"/>
        <n v="423860"/>
        <n v="423910"/>
        <n v="423920"/>
        <n v="423930"/>
        <n v="423940"/>
        <n v="423990"/>
        <n v="424110"/>
        <n v="424120"/>
        <n v="424130"/>
        <n v="424210"/>
        <n v="424310"/>
        <n v="424340"/>
        <n v="424350"/>
        <n v="424410"/>
        <n v="424420"/>
        <n v="424430"/>
        <n v="424440"/>
        <n v="424450"/>
        <n v="424460"/>
        <n v="424470"/>
        <n v="424480"/>
        <n v="424490"/>
        <n v="424510"/>
        <n v="424520"/>
        <n v="424590"/>
        <n v="424610"/>
        <n v="424690"/>
        <n v="424710"/>
        <n v="424720"/>
        <n v="424810"/>
        <n v="424820"/>
        <n v="424910"/>
        <n v="424920"/>
        <n v="424930"/>
        <n v="424940"/>
        <n v="424950"/>
        <n v="424990"/>
        <n v="425120"/>
        <n v="441110"/>
        <n v="441120"/>
        <n v="441210"/>
        <n v="441222"/>
        <n v="441227"/>
        <n v="441330"/>
        <n v="441340"/>
        <n v="444110"/>
        <n v="444120"/>
        <n v="444140"/>
        <n v="444180"/>
        <n v="444230"/>
        <n v="444240"/>
        <n v="445110"/>
        <n v="445131"/>
        <n v="445132"/>
        <n v="445230"/>
        <n v="445240"/>
        <n v="445250"/>
        <n v="445291"/>
        <n v="445292"/>
        <n v="445298"/>
        <n v="445320"/>
        <n v="449110"/>
        <n v="449121"/>
        <n v="449122"/>
        <n v="449129"/>
        <n v="449210"/>
        <n v="455110"/>
        <n v="455211"/>
        <n v="455219"/>
        <n v="456110"/>
        <n v="456120"/>
        <n v="456130"/>
        <n v="456191"/>
        <n v="456199"/>
        <n v="457110"/>
        <n v="457120"/>
        <n v="457210"/>
        <n v="458110"/>
        <n v="458210"/>
        <n v="458310"/>
        <n v="458320"/>
        <n v="459110"/>
        <n v="459120"/>
        <n v="459130"/>
        <n v="459140"/>
        <n v="459210"/>
        <n v="459310"/>
        <n v="459410"/>
        <n v="459420"/>
        <n v="459510"/>
        <n v="459910"/>
        <n v="459920"/>
        <n v="459930"/>
        <n v="459991"/>
        <n v="459999"/>
        <n v="481111"/>
        <n v="481112"/>
        <n v="481211"/>
        <n v="481212"/>
        <n v="481219"/>
        <n v="482111"/>
        <n v="482112"/>
        <n v="483111"/>
        <n v="483112"/>
        <n v="483113"/>
        <n v="483114"/>
        <n v="483211"/>
        <n v="483212"/>
        <n v="484110"/>
        <n v="484121"/>
        <n v="484122"/>
        <n v="484210"/>
        <n v="484220"/>
        <n v="484230"/>
        <n v="485111"/>
        <n v="485112"/>
        <n v="485113"/>
        <n v="485119"/>
        <n v="485210"/>
        <n v="485310"/>
        <n v="485320"/>
        <n v="485410"/>
        <n v="485510"/>
        <n v="485991"/>
        <n v="485999"/>
        <n v="486110"/>
        <n v="486210"/>
        <n v="486910"/>
        <n v="486990"/>
        <n v="487110"/>
        <n v="487210"/>
        <n v="487990"/>
        <n v="488111"/>
        <n v="488119"/>
        <n v="488190"/>
        <n v="488210"/>
        <n v="488310"/>
        <n v="488320"/>
        <n v="488330"/>
        <n v="488390"/>
        <n v="488410"/>
        <n v="488490"/>
        <n v="488510"/>
        <n v="488991"/>
        <n v="488999"/>
        <n v="491110"/>
        <n v="492110"/>
        <n v="492210"/>
        <n v="493110"/>
        <n v="493120"/>
        <n v="493130"/>
        <n v="493190"/>
        <n v="512110"/>
        <n v="512120"/>
        <n v="512131"/>
        <n v="512132"/>
        <n v="512191"/>
        <n v="512199"/>
        <n v="512230"/>
        <n v="512240"/>
        <n v="512250"/>
        <n v="512290"/>
        <n v="513110"/>
        <n v="513120"/>
        <n v="513130"/>
        <n v="513140"/>
        <n v="513191"/>
        <n v="513199"/>
        <n v="513210"/>
        <n v="516110"/>
        <n v="516120"/>
        <n v="516210"/>
        <n v="517111"/>
        <n v="517112"/>
        <n v="517121"/>
        <n v="517122"/>
        <n v="517410"/>
        <n v="517810"/>
        <n v="518210"/>
        <n v="519210"/>
        <n v="519290"/>
        <n v="521110"/>
        <n v="522110"/>
        <n v="522130"/>
        <n v="522180"/>
        <n v="522210"/>
        <n v="522220"/>
        <n v="522291"/>
        <n v="522292"/>
        <n v="522299"/>
        <n v="522310"/>
        <n v="522320"/>
        <n v="522390"/>
        <n v="523150"/>
        <n v="523160"/>
        <n v="523210"/>
        <n v="523910"/>
        <n v="523940"/>
        <n v="523991"/>
        <n v="523999"/>
        <n v="524113"/>
        <n v="524114"/>
        <n v="524126"/>
        <n v="524127"/>
        <n v="524128"/>
        <n v="524130"/>
        <n v="524210"/>
        <n v="524291"/>
        <n v="524292"/>
        <n v="524298"/>
        <n v="525110"/>
        <n v="525120"/>
        <n v="525190"/>
        <n v="525910"/>
        <n v="525920"/>
        <n v="525990"/>
        <n v="531110"/>
        <n v="531120"/>
        <n v="531130"/>
        <n v="531190"/>
        <n v="531210"/>
        <n v="531311"/>
        <n v="531312"/>
        <n v="531320"/>
        <n v="531390"/>
        <n v="532111"/>
        <n v="532112"/>
        <n v="532120"/>
        <n v="532210"/>
        <n v="532281"/>
        <n v="532282"/>
        <n v="532283"/>
        <n v="532284"/>
        <n v="532289"/>
        <n v="532310"/>
        <n v="532411"/>
        <n v="532412"/>
        <n v="532420"/>
        <n v="532490"/>
        <n v="533110"/>
        <n v="541110"/>
        <n v="541120"/>
        <n v="541191"/>
        <n v="541199"/>
        <n v="541211"/>
        <n v="541213"/>
        <n v="541214"/>
        <n v="541219"/>
        <n v="541310"/>
        <n v="541320"/>
        <n v="541330"/>
        <n v="541340"/>
        <n v="541350"/>
        <n v="541360"/>
        <n v="541370"/>
        <n v="541380"/>
        <n v="541410"/>
        <n v="541420"/>
        <n v="541430"/>
        <n v="541490"/>
        <n v="541511"/>
        <n v="541512"/>
        <n v="541513"/>
        <n v="541519"/>
        <n v="541611"/>
        <n v="541612"/>
        <n v="541613"/>
        <n v="541614"/>
        <n v="541618"/>
        <n v="541620"/>
        <n v="541690"/>
        <n v="541713"/>
        <n v="541714"/>
        <n v="541715"/>
        <n v="541720"/>
        <n v="541810"/>
        <n v="541820"/>
        <n v="541830"/>
        <n v="541840"/>
        <n v="541850"/>
        <n v="541860"/>
        <n v="541870"/>
        <n v="541890"/>
        <n v="541910"/>
        <n v="541921"/>
        <n v="541922"/>
        <n v="541930"/>
        <n v="541940"/>
        <n v="541990"/>
        <n v="551111"/>
        <n v="551112"/>
        <n v="551114"/>
        <n v="561110"/>
        <n v="561210"/>
        <n v="561311"/>
        <n v="561312"/>
        <n v="561320"/>
        <n v="561330"/>
        <n v="561410"/>
        <n v="561421"/>
        <n v="561422"/>
        <n v="561431"/>
        <n v="561439"/>
        <n v="561440"/>
        <n v="561450"/>
        <n v="561491"/>
        <n v="561492"/>
        <n v="561499"/>
        <n v="561510"/>
        <n v="561520"/>
        <n v="561591"/>
        <n v="561599"/>
        <n v="561611"/>
        <n v="561612"/>
        <n v="561613"/>
        <n v="561621"/>
        <n v="561622"/>
        <n v="561710"/>
        <n v="561720"/>
        <n v="561730"/>
        <n v="561740"/>
        <n v="561790"/>
        <n v="561910"/>
        <n v="561920"/>
        <n v="561990"/>
        <n v="562111"/>
        <n v="562112"/>
        <n v="562119"/>
        <n v="562211"/>
        <n v="562212"/>
        <n v="562213"/>
        <n v="562219"/>
        <n v="562910"/>
        <n v="562920"/>
        <n v="562991"/>
        <n v="562998"/>
        <n v="611110"/>
        <n v="611210"/>
        <n v="611310"/>
        <n v="611410"/>
        <n v="611420"/>
        <n v="611430"/>
        <n v="611511"/>
        <n v="611512"/>
        <n v="611513"/>
        <n v="611519"/>
        <n v="611610"/>
        <n v="611620"/>
        <n v="611630"/>
        <n v="611691"/>
        <n v="611692"/>
        <n v="611699"/>
        <n v="611710"/>
        <n v="621111"/>
        <n v="621112"/>
        <n v="621210"/>
        <n v="621310"/>
        <n v="621320"/>
        <n v="621330"/>
        <n v="621340"/>
        <n v="621391"/>
        <n v="621399"/>
        <n v="621410"/>
        <n v="621420"/>
        <n v="621491"/>
        <n v="621492"/>
        <n v="621493"/>
        <n v="621498"/>
        <n v="621511"/>
        <n v="621512"/>
        <n v="621610"/>
        <n v="621910"/>
        <n v="621991"/>
        <n v="621999"/>
        <n v="622110"/>
        <n v="622210"/>
        <n v="622310"/>
        <n v="623110"/>
        <n v="623210"/>
        <n v="623220"/>
        <n v="623311"/>
        <n v="623312"/>
        <n v="623990"/>
        <n v="624110"/>
        <n v="624120"/>
        <n v="624190"/>
        <n v="624210"/>
        <n v="624221"/>
        <n v="624229"/>
        <n v="624230"/>
        <n v="624310"/>
        <n v="624410"/>
        <n v="711110"/>
        <n v="711120"/>
        <n v="711130"/>
        <n v="711190"/>
        <n v="711211"/>
        <n v="711212"/>
        <n v="711219"/>
        <n v="711310"/>
        <n v="711320"/>
        <n v="711410"/>
        <n v="711510"/>
        <n v="712110"/>
        <n v="712120"/>
        <n v="712130"/>
        <n v="712190"/>
        <n v="713110"/>
        <n v="713120"/>
        <n v="713210"/>
        <n v="713290"/>
        <n v="713910"/>
        <n v="713920"/>
        <n v="713930"/>
        <n v="713940"/>
        <n v="713950"/>
        <n v="713990"/>
        <n v="721110"/>
        <n v="721120"/>
        <n v="721191"/>
        <n v="721199"/>
        <n v="721211"/>
        <n v="721214"/>
        <n v="721310"/>
        <n v="722310"/>
        <n v="722320"/>
        <n v="722330"/>
        <n v="722410"/>
        <n v="722511"/>
        <n v="722513"/>
        <n v="722514"/>
        <n v="722515"/>
        <n v="811111"/>
        <n v="811114"/>
        <n v="811121"/>
        <n v="811122"/>
        <n v="811191"/>
        <n v="811192"/>
        <n v="811198"/>
        <n v="811210"/>
        <n v="811310"/>
        <n v="811411"/>
        <n v="811412"/>
        <n v="811420"/>
        <n v="811430"/>
        <n v="811490"/>
        <n v="812111"/>
        <n v="812112"/>
        <n v="812113"/>
        <n v="812191"/>
        <n v="812199"/>
        <n v="812210"/>
        <n v="812220"/>
        <n v="812310"/>
        <n v="812320"/>
        <n v="812331"/>
        <n v="812332"/>
        <n v="812910"/>
        <n v="812921"/>
        <n v="812922"/>
        <n v="812930"/>
        <n v="812990"/>
        <n v="813110"/>
        <n v="813211"/>
        <n v="813212"/>
        <n v="813219"/>
        <n v="813311"/>
        <n v="813312"/>
        <n v="813319"/>
        <n v="813410"/>
        <n v="813910"/>
        <n v="813920"/>
        <n v="813930"/>
        <n v="813940"/>
        <n v="813990"/>
        <n v="814110"/>
        <n v="921110"/>
        <n v="921120"/>
        <n v="921130"/>
        <n v="921140"/>
        <n v="921150"/>
        <n v="921190"/>
        <n v="922110"/>
        <n v="922120"/>
        <n v="922130"/>
        <n v="922140"/>
        <n v="922150"/>
        <n v="922160"/>
        <n v="922190"/>
        <n v="923110"/>
        <n v="923120"/>
        <n v="923130"/>
        <n v="923140"/>
        <n v="924110"/>
        <n v="924120"/>
        <n v="925110"/>
        <n v="925120"/>
        <n v="926110"/>
        <n v="926120"/>
        <n v="926130"/>
        <n v="926140"/>
        <n v="926150"/>
        <n v="927110"/>
        <n v="928110"/>
        <n v="928120"/>
      </sharedItems>
    </cacheField>
    <cacheField name="2022 NAICS Title" numFmtId="0">
      <sharedItems/>
    </cacheField>
    <cacheField name="NAICS Combined" numFmtId="0">
      <sharedItems count="1012">
        <s v="111110:  Soybean Farming"/>
        <s v="111120:  Oilseed (except Soybean) Farming "/>
        <s v="111130:  Dry Pea and Bean Farming "/>
        <s v="111140:  Wheat Farming"/>
        <s v="111150:  Corn Farming "/>
        <s v="111160:  Rice Farming"/>
        <s v="111191:  Oilseed and Grain Combination Farming "/>
        <s v="111199:  All Other Grain Farming "/>
        <s v="111211:  Potato Farming "/>
        <s v="111219:  Other Vegetable (except Potato) and Melon Farming "/>
        <s v="111310:  Orange Groves"/>
        <s v="111320:  Citrus (except Orange) Groves "/>
        <s v="111331:  Apple Orchards "/>
        <s v="111332:  Grape Vineyards "/>
        <s v="111333:  Strawberry Farming "/>
        <s v="111334:  Berry (except Strawberry) Farming "/>
        <s v="111335:  Tree Nut Farming "/>
        <s v="111336:  Fruit and Tree Nut Combination Farming "/>
        <s v="111339:  Other Noncitrus Fruit Farming "/>
        <s v="111411:  Mushroom Production "/>
        <s v="111419:  Other Food Crops Grown Under Cover "/>
        <s v="111421:  Nursery and Tree Production "/>
        <s v="111422:  Floriculture Production "/>
        <s v="111910:  Tobacco Farming"/>
        <s v="111920:  Cotton Farming"/>
        <s v="111930:  Sugarcane Farming"/>
        <s v="111940:  Hay Farming "/>
        <s v="111991:  Sugar Beet Farming "/>
        <s v="111992:  Peanut Farming "/>
        <s v="111998:  All Other Miscellaneous Crop Farming "/>
        <s v="112111:  Beef Cattle Ranching and Farming "/>
        <s v="112112:  Cattle Feedlots "/>
        <s v="112120:  Dairy Cattle and Milk Production"/>
        <s v="112130:  Dual-Purpose Cattle Ranching and Farming "/>
        <s v="112210:  Hog and Pig Farming "/>
        <s v="112310:  Chicken Egg Production "/>
        <s v="112320:  Broilers and Other Meat Type Chicken Production "/>
        <s v="112330:  Turkey Production"/>
        <s v="112340:  Poultry Hatcheries"/>
        <s v="112390:  Other Poultry Production "/>
        <s v="112410:  Sheep Farming"/>
        <s v="112420:  Goat Farming"/>
        <s v="112511:  Finfish Farming and Fish Hatcheries "/>
        <s v="112512:  Shellfish Farming "/>
        <s v="112519:  Other Aquaculture "/>
        <s v="112910:  Apiculture"/>
        <s v="112920:  Horses and Other Equine Production"/>
        <s v="112930:  Fur-Bearing Animal and Rabbit Production"/>
        <s v="112990:  All Other Animal Production "/>
        <s v="113110:  Timber Tract Operations"/>
        <s v="113210:  Forest Nurseries and Gathering of Forest Products "/>
        <s v="113310:  Logging "/>
        <s v="114111:  Finfish Fishing "/>
        <s v="114112:  Shellfish Fishing "/>
        <s v="114119:  Other Marine Fishing "/>
        <s v="114210:  Hunting and Trapping"/>
        <s v="115111:  Cotton Ginning "/>
        <s v="115112:  Soil Preparation, Planting, and Cultivating "/>
        <s v="115113:  Crop Harvesting, Primarily by Machine "/>
        <s v="115114:  Postharvest Crop Activities (except Cotton Ginning) "/>
        <s v="115115:  Farm Labor Contractors and Crew Leaders "/>
        <s v="115116:  Farm Management Services "/>
        <s v="115210:  Support Activities for Animal Production"/>
        <s v="115310:  Support Activities for Forestry"/>
        <s v="211120:  Crude Petroleum Extraction "/>
        <s v="211130:  Natural Gas Extraction "/>
        <s v="212114:  Surface Coal Mining "/>
        <s v="212115:  Underground Coal Mining "/>
        <s v="212210:  Iron Ore Mining"/>
        <s v="212220:  Gold Ore and Silver Ore Mining "/>
        <s v="212230:  Copper, Nickel, Lead, and Zinc Mining "/>
        <s v="212290:  Other Metal Ore Mining "/>
        <s v="212311:  Dimension Stone Mining and Quarrying "/>
        <s v="212312:  Crushed and Broken Limestone Mining and Quarrying "/>
        <s v="212313:  Crushed and Broken Granite Mining and Quarrying "/>
        <s v="212319:  Other Crushed and Broken Stone Mining and Quarrying "/>
        <s v="212321:  Construction Sand and Gravel Mining "/>
        <s v="212322:  Industrial Sand Mining "/>
        <s v="212323:  Kaolin, Clay, and Ceramic and Refractory Minerals Mining "/>
        <s v="212390:  Other Nonmetallic Mineral Mining and Quarrying "/>
        <s v="213111:  Drilling Oil and Gas Wells"/>
        <s v="213112:  Support Activities for Oil and Gas Operations "/>
        <s v="213113:  Support Activities for Coal Mining "/>
        <s v="213114:  Support Activities for Metal Mining "/>
        <s v="213115:  Support Activities for Nonmetallic Minerals (except Fuels) Mining "/>
        <s v="221111:  Hydroelectric Power Generation "/>
        <s v="221112:  Fossil Fuel Electric Power Generation "/>
        <s v="221113:  Nuclear Electric Power Generation "/>
        <s v="221114:  Solar Electric Power Generation "/>
        <s v="221115:  Wind Electric Power Generation "/>
        <s v="221116:  Geothermal Electric Power Generation "/>
        <s v="221117:  Biomass Electric Power Generation "/>
        <s v="221118:  Other Electric Power Generation "/>
        <s v="221121:  Electric Bulk Power Transmission and Control "/>
        <s v="221122:  Electric Power Distribution "/>
        <s v="221210:  Natural Gas Distribution "/>
        <s v="221310:  Water Supply and Irrigation Systems "/>
        <s v="221320:  Sewage Treatment Facilities "/>
        <s v="221330:  Steam and Air-Conditioning Supply "/>
        <s v="236115:  New Single-Family Housing Construction (except For-Sale Builders) "/>
        <s v="236116:  New Multifamily Housing Construction (except For-Sale Builders) "/>
        <s v="236117:  New Housing For-Sale Builders "/>
        <s v="236118:  Residential Remodelers "/>
        <s v="236210:  Industrial Building Construction "/>
        <s v="236220:  Commercial and Institutional Building Construction "/>
        <s v="237110:  Water and Sewer Line and Related Structures Construction "/>
        <s v="237120:  Oil and Gas Pipeline and Related Structures Construction "/>
        <s v="237130:  Power and Communication Line and Related Structures Construction "/>
        <s v="237210:  Land Subdivision "/>
        <s v="237310:  Highway, Street, and Bridge Construction "/>
        <s v="237990:  Other Heavy and Civil Engineering Construction "/>
        <s v="238110:  Poured Concrete Foundation and Structure Contractors "/>
        <s v="238120:  Structural Steel and Precast Concrete Contractors "/>
        <s v="238130:  Framing Contractors "/>
        <s v="238140:  Masonry Contractors "/>
        <s v="238150:  Glass and Glazing Contractors "/>
        <s v="238160:  Roofing Contractors "/>
        <s v="238170:  Siding Contractors "/>
        <s v="238190:  Other Foundation, Structure, and Building Exterior Contractors "/>
        <s v="238210:  Electrical Contractors and Other Wiring Installation Contractors"/>
        <s v="238220:  Plumbing, Heating, and Air-Conditioning Contractors "/>
        <s v="238290:  Other Building Equipment Contractors "/>
        <s v="238310:  Drywall and Insulation Contractors "/>
        <s v="238320:  Painting and Wall Covering Contractors"/>
        <s v="238330:  Flooring Contractors"/>
        <s v="238340:  Tile and Terrazzo Contractors"/>
        <s v="238350:  Finish Carpentry Contractors"/>
        <s v="238390:  Other Building Finishing Contractors"/>
        <s v="238910:  Site Preparation Contractors"/>
        <s v="238990:  All Other Specialty Trade Contractors"/>
        <s v="311111:  Dog and Cat Food Manufacturing "/>
        <s v="311119:  Other Animal Food Manufacturing "/>
        <s v="311211:  Flour Milling "/>
        <s v="311212:  Rice Milling "/>
        <s v="311213:  Malt Manufacturing "/>
        <s v="311221:  Wet Corn Milling and Starch Manufacturing "/>
        <s v="311224:  Soybean and Other Oilseed Processing "/>
        <s v="311225:  Fats and Oils Refining and Blending "/>
        <s v="311230:  Breakfast Cereal Manufacturing"/>
        <s v="311313:  Beet Sugar Manufacturing "/>
        <s v="311314:  Cane Sugar Manufacturing "/>
        <s v="311340:  Nonchocolate Confectionery Manufacturing"/>
        <s v="311351:  Chocolate and Confectionery Manufacturing from Cacao Beans "/>
        <s v="311352:  Confectionery Manufacturing from Purchased Chocolate "/>
        <s v="311411:  Frozen Fruit, Juice, and Vegetable Manufacturing "/>
        <s v="311412:  Frozen Specialty Food Manufacturing "/>
        <s v="311421:  Fruit and Vegetable Canning "/>
        <s v="311422:  Specialty Canning "/>
        <s v="311423:  Dried and Dehydrated Food Manufacturing "/>
        <s v="311511:  Fluid Milk Manufacturing "/>
        <s v="311512:  Creamery Butter Manufacturing "/>
        <s v="311513:  Cheese Manufacturing "/>
        <s v="311514:  Dry, Condensed, and Evaporated Dairy Product Manufacturing "/>
        <s v="311520:  Ice Cream and Frozen Dessert Manufacturing"/>
        <s v="311611:  Animal (except Poultry) Slaughtering "/>
        <s v="311612:  Meat Processed from Carcasses "/>
        <s v="311613:  Rendering and Meat Byproduct Processing "/>
        <s v="311615:  Poultry Processing "/>
        <s v="311710:  Seafood Product Preparation and Packaging"/>
        <s v="311811:  Retail Bakeries "/>
        <s v="311812:  Commercial Bakeries "/>
        <s v="311813:  Frozen Cakes, Pies, and Other Pastries Manufacturing "/>
        <s v="311821:  Cookie and Cracker Manufacturing "/>
        <s v="311824:  Dry Pasta, Dough, and Flour Mixes Manufacturing from Purchased Flour "/>
        <s v="311830:  Tortilla Manufacturing"/>
        <s v="311911:  Roasted Nuts and Peanut Butter Manufacturing "/>
        <s v="311919:  Other Snack Food Manufacturing "/>
        <s v="311920:  Coffee and Tea Manufacturing "/>
        <s v="311930:  Flavoring Syrup and Concentrate Manufacturing"/>
        <s v="311941:  Mayonnaise, Dressing, and Other Prepared Sauce Manufacturing "/>
        <s v="311942:  Spice and Extract Manufacturing "/>
        <s v="311991:  Perishable Prepared Food Manufacturing "/>
        <s v="311999:  All Other Miscellaneous Food Manufacturing "/>
        <s v="312111:  Soft Drink Manufacturing "/>
        <s v="312112:  Bottled Water Manufacturing "/>
        <s v="312113:  Ice Manufacturing "/>
        <s v="312120:  Breweries"/>
        <s v="312130:  Wineries "/>
        <s v="312140:  Distilleries "/>
        <s v="312230:  Tobacco Manufacturing "/>
        <s v="313110:  Fiber, Yarn, and Thread Mills "/>
        <s v="313210:  Broadwoven Fabric Mills"/>
        <s v="313220:  Narrow Fabric Mills and Schiffli Machine Embroidery"/>
        <s v="313230:  Nonwoven Fabric Mills"/>
        <s v="313240:  Knit Fabric Mills"/>
        <s v="313310:  Textile and Fabric Finishing Mills "/>
        <s v="313320:  Fabric Coating Mills"/>
        <s v="314110:  Carpet and Rug Mills"/>
        <s v="314120:  Curtain and Linen Mills"/>
        <s v="314910:  Textile Bag and Canvas Mills "/>
        <s v="314994:  Rope, Cordage, Twine, Tire Cord, and Tire Fabric Mills "/>
        <s v="314999:  All Other Miscellaneous Textile Product Mills "/>
        <s v="315120:  Apparel Knitting Mills"/>
        <s v="315210:  Cut and Sew Apparel Contractors "/>
        <s v="315250:  Cut and Sew Apparel Manufacturing (except Contractors) "/>
        <s v="315990:  Apparel Accessories and Other Apparel Manufacturing "/>
        <s v="316110:  Leather and Hide Tanning and Finishing"/>
        <s v="316210:  Footwear Manufacturing "/>
        <s v="316990:  Other Leather and Allied Product Manufacturing "/>
        <s v="321113:  Sawmills "/>
        <s v="321114:  Wood Preservation "/>
        <s v="321211:  Hardwood Veneer and Plywood Manufacturing "/>
        <s v="321212:  Softwood Veneer and Plywood Manufacturing "/>
        <s v="321215:  Engineered Wood Member Manufacturing "/>
        <s v="321219:  Reconstituted Wood Product Manufacturing "/>
        <s v="321911:  Wood Window and Door Manufacturing "/>
        <s v="321912:  Cut Stock, Resawing Lumber, and Planing "/>
        <s v="321918:  Other Millwork (including Flooring) "/>
        <s v="321920:  Wood Container and Pallet Manufacturing"/>
        <s v="321991:  Manufactured Home (Mobile Home) Manufacturing "/>
        <s v="321992:  Prefabricated Wood Building Manufacturing "/>
        <s v="321999:  All Other Miscellaneous Wood Product Manufacturing "/>
        <s v="322110:  Pulp Mills "/>
        <s v="322120:  Paper Mills "/>
        <s v="322130:  Paperboard Mills "/>
        <s v="322211:  Corrugated and Solid Fiber Box Manufacturing "/>
        <s v="322212:  Folding Paperboard Box Manufacturing "/>
        <s v="322219:  Other Paperboard Container Manufacturing "/>
        <s v="322220:  Paper Bag and Coated and Treated Paper Manufacturing"/>
        <s v="322230:  Stationery Product Manufacturing"/>
        <s v="322291:  Sanitary Paper Product Manufacturing "/>
        <s v="322299:  All Other Converted Paper Product Manufacturing "/>
        <s v="323111:  Commercial Printing (except Screen and Books) "/>
        <s v="323113:  Commercial Screen Printing "/>
        <s v="323117:  Books Printing "/>
        <s v="323120:  Support Activities for Printing"/>
        <s v="324110:  Petroleum Refineries"/>
        <s v="324121:  Asphalt Paving Mixture and Block Manufacturing "/>
        <s v="324122:  Asphalt Shingle and Coating Materials Manufacturing "/>
        <s v="324191:  Petroleum Lubricating Oil and Grease Manufacturing "/>
        <s v="324199:  All Other Petroleum and Coal Products Manufacturing "/>
        <s v="325110:  Petrochemical Manufacturing"/>
        <s v="325120:  Industrial Gas Manufacturing"/>
        <s v="325130:  Synthetic Dye and Pigment Manufacturing"/>
        <s v="325180:  Other Basic Inorganic Chemical Manufacturing "/>
        <s v="325193:  Ethyl Alcohol Manufacturing "/>
        <s v="325194:  Cyclic Crude, Intermediate, and Gum and Wood Chemical Manufacturing "/>
        <s v="325199:  All Other Basic Organic Chemical Manufacturing "/>
        <s v="325211:  Plastics Material and Resin Manufacturing "/>
        <s v="325212:  Synthetic Rubber Manufacturing "/>
        <s v="325220:  Artificial and Synthetic Fibers and Filaments Manufacturing"/>
        <s v="325311:  Nitrogenous Fertilizer Manufacturing "/>
        <s v="325312:  Phosphatic Fertilizer Manufacturing "/>
        <s v="325314:  Fertilizer (Mixing Only) Manufacturing "/>
        <s v="325315:  Compost Manufacturing"/>
        <s v="325320:  Pesticide and Other Agricultural Chemical Manufacturing"/>
        <s v="325411:  Medicinal and Botanical Manufacturing "/>
        <s v="325412:  Pharmaceutical Preparation Manufacturing "/>
        <s v="325413:  In-Vitro Diagnostic Substance Manufacturing "/>
        <s v="325414:  Biological Product (except Diagnostic) Manufacturing "/>
        <s v="325510:  Paint and Coating Manufacturing"/>
        <s v="325520:  Adhesive Manufacturing"/>
        <s v="325611:  Soap and Other Detergent Manufacturing "/>
        <s v="325612:  Polish and Other Sanitation Good Manufacturing "/>
        <s v="325613:  Surface Active Agent Manufacturing "/>
        <s v="325620:  Toilet Preparation Manufacturing"/>
        <s v="325910:  Printing Ink Manufacturing"/>
        <s v="325920:  Explosives Manufacturing"/>
        <s v="325991:  Custom Compounding of Purchased Resins "/>
        <s v="325992:  Photographic Film, Paper, Plate, Chemical, and Copy Toner Manufacturing "/>
        <s v="325998:  All Other Miscellaneous Chemical Product and Preparation Manufacturing "/>
        <s v="326111:  Plastics Bag and Pouch Manufacturing "/>
        <s v="326112:  Plastics Packaging Film and Sheet (including Laminated) Manufacturing "/>
        <s v="326113:  Unlaminated Plastics Film and Sheet (except Packaging) Manufacturing "/>
        <s v="326121:  Unlaminated Plastics Profile Shape Manufacturing "/>
        <s v="326122:  Plastics Pipe and Pipe Fitting Manufacturing "/>
        <s v="326130:  Laminated Plastics Plate, Sheet (except Packaging), and Shape Manufacturing"/>
        <s v="326140:  Polystyrene Foam Product Manufacturing"/>
        <s v="326150:  Urethane and Other Foam Product (except Polystyrene) Manufacturing"/>
        <s v="326160:  Plastics Bottle Manufacturing"/>
        <s v="326191:  Plastics Plumbing Fixture Manufacturing "/>
        <s v="326199:  All Other Plastics Product Manufacturing "/>
        <s v="326211:  Tire Manufacturing (except Retreading) "/>
        <s v="326212:  Tire Retreading "/>
        <s v="326220:  Rubber and Plastics Hoses and Belting Manufacturing"/>
        <s v="326291:  Rubber Product Manufacturing for Mechanical Use "/>
        <s v="326299:  All Other Rubber Product Manufacturing "/>
        <s v="327110:  Pottery, Ceramics, and Plumbing Fixture Manufacturing "/>
        <s v="327120:  Clay Building Material and Refractories Manufacturing "/>
        <s v="327211:  Flat Glass Manufacturing "/>
        <s v="327212:  Other Pressed and Blown Glass and Glassware Manufacturing "/>
        <s v="327213:  Glass Container Manufacturing "/>
        <s v="327215:  Glass Product Manufacturing Made of Purchased Glass "/>
        <s v="327310:  Cement Manufacturing"/>
        <s v="327320:  Ready-Mix Concrete Manufacturing"/>
        <s v="327331:  Concrete Block and Brick Manufacturing "/>
        <s v="327332:  Concrete Pipe Manufacturing "/>
        <s v="327390:  Other Concrete Product Manufacturing "/>
        <s v="327410:  Lime Manufacturing"/>
        <s v="327420:  Gypsum Product Manufacturing"/>
        <s v="327910:  Abrasive Product Manufacturing"/>
        <s v="327991:  Cut Stone and Stone Product Manufacturing "/>
        <s v="327992:  Ground or Treated Mineral and Earth Manufacturing "/>
        <s v="327993:  Mineral Wool Manufacturing "/>
        <s v="327999:  All Other Miscellaneous Nonmetallic Mineral Product Manufacturing "/>
        <s v="331110:  Iron and Steel Mills and Ferroalloy Manufacturing "/>
        <s v="331210:  Iron and Steel Pipe and Tube Manufacturing from Purchased Steel"/>
        <s v="331221:  Rolled Steel Shape Manufacturing "/>
        <s v="331222:  Steel Wire Drawing "/>
        <s v="331313:  Alumina Refining and Primary Aluminum Production "/>
        <s v="331314:  Secondary Smelting and Alloying of Aluminum "/>
        <s v="331315:  Aluminum Sheet, Plate, and Foil Manufacturing "/>
        <s v="331318:  Other Aluminum Rolling, Drawing, and Extruding "/>
        <s v="331410:  Nonferrous Metal (except Aluminum) Smelting and Refining "/>
        <s v="331420:  Copper Rolling, Drawing, Extruding, and Alloying"/>
        <s v="331491:  Nonferrous Metal (except Copper and Aluminum) Rolling, Drawing, and Extruding "/>
        <s v="331492:  Secondary Smelting, Refining, and Alloying of Nonferrous Metal (except Copper and Aluminum) "/>
        <s v="331511:  Iron Foundries "/>
        <s v="331512:  Steel Investment Foundries "/>
        <s v="331513:  Steel Foundries (except Investment) "/>
        <s v="331523:  Nonferrous Metal Die-Casting Foundries "/>
        <s v="331524:  Aluminum Foundries (except Die-Casting) "/>
        <s v="331529:  Other Nonferrous Metal Foundries (except Die-Casting) "/>
        <s v="332111:  Iron and Steel Forging "/>
        <s v="332112:  Nonferrous Forging "/>
        <s v="332114:  Custom Roll Forming "/>
        <s v="332117:  Powder Metallurgy Part Manufacturing "/>
        <s v="332119:  Metal Crown, Closure, and Other Metal Stamping (except Automotive) "/>
        <s v="332215:  Metal Kitchen Cookware, Utensil, Cutlery, and Flatware (except Precious) Manufacturing "/>
        <s v="332216:  Saw Blade and Handtool Manufacturing "/>
        <s v="332311:  Prefabricated Metal Building and Component Manufacturing "/>
        <s v="332312:  Fabricated Structural Metal Manufacturing "/>
        <s v="332313:  Plate Work Manufacturing "/>
        <s v="332321:  Metal Window and Door Manufacturing "/>
        <s v="332322:  Sheet Metal Work Manufacturing "/>
        <s v="332323:  Ornamental and Architectural Metal Work Manufacturing "/>
        <s v="332410:  Power Boiler and Heat Exchanger Manufacturing"/>
        <s v="332420:  Metal Tank (Heavy Gauge) Manufacturing"/>
        <s v="332431:  Metal Can Manufacturing "/>
        <s v="332439:  Other Metal Container Manufacturing "/>
        <s v="332510:  Hardware Manufacturing"/>
        <s v="332613:  Spring Manufacturing "/>
        <s v="332618:  Other Fabricated Wire Product Manufacturing "/>
        <s v="332710:  Machine Shops"/>
        <s v="332721:  Precision Turned Product Manufacturing "/>
        <s v="332722:  Bolt, Nut, Screw, Rivet, and Washer Manufacturing "/>
        <s v="332811:  Metal Heat Treating "/>
        <s v="332812:  Metal Coating, Engraving (except Jewelry and Silverware), and Allied Services to Manufacturers "/>
        <s v="332813:  Electroplating, Plating, Polishing, Anodizing, and Coloring "/>
        <s v="332911:  Industrial Valve Manufacturing "/>
        <s v="332912:  Fluid Power Valve and Hose Fitting Manufacturing "/>
        <s v="332913:  Plumbing Fixture Fitting and Trim Manufacturing "/>
        <s v="332919:  Other Metal Valve and Pipe Fitting Manufacturing "/>
        <s v="332991:  Ball and Roller Bearing Manufacturing"/>
        <s v="332992:  Small Arms Ammunition Manufacturing "/>
        <s v="332993:  Ammunition (except Small Arms) Manufacturing "/>
        <s v="332994:  Small Arms, Ordnance, and Ordnance Accessories Manufacturing "/>
        <s v="332996:  Fabricated Pipe and Pipe Fitting Manufacturing "/>
        <s v="332999:  All Other Miscellaneous Fabricated Metal Product Manufacturing "/>
        <s v="333111:  Farm Machinery and Equipment Manufacturing "/>
        <s v="333112:  Lawn and Garden Tractor and Home Lawn and Garden Equipment Manufacturing "/>
        <s v="333120:  Construction Machinery Manufacturing"/>
        <s v="333131:  Mining Machinery and Equipment Manufacturing "/>
        <s v="333132:  Oil and Gas Field Machinery and Equipment Manufacturing "/>
        <s v="333241:  Food Product Machinery Manufacturing "/>
        <s v="333242:  Semiconductor Machinery Manufacturing "/>
        <s v="333243:  Sawmill, Woodworking, and Paper Machinery Manufacturing "/>
        <s v="333248:  All Other Industrial Machinery Manufacturing "/>
        <s v="333310:  Commercial and Service Industry Machinery Manufacturing "/>
        <s v="333413:  Industrial and Commercial Fan and Blower and Air Purification Equipment Manufacturing "/>
        <s v="333414:  Heating Equipment (except Warm Air Furnaces) Manufacturing "/>
        <s v="333415:  Air-Conditioning and Warm Air Heating Equipment and Commercial and Industrial Refrigeration Equipment Manufacturing "/>
        <s v="333511:  Industrial Mold Manufacturing "/>
        <s v="333514:  Special Die and Tool, Die Set, Jig, and Fixture Manufacturing "/>
        <s v="333515:  Cutting Tool and Machine Tool Accessory Manufacturing "/>
        <s v="333517:  Machine Tool Manufacturing "/>
        <s v="333519:  Rolling Mill and Other Metalworking Machinery Manufacturing "/>
        <s v="333611:  Turbine and Turbine Generator Set Units Manufacturing "/>
        <s v="333612:  Speed Changer, Industrial High-Speed Drive, and Gear Manufacturing "/>
        <s v="333613:  Mechanical Power Transmission Equipment Manufacturing "/>
        <s v="333618:  Other Engine Equipment Manufacturing "/>
        <s v="333912:  Air and Gas Compressor Manufacturing "/>
        <s v="333914:  Measuring, Dispensing, and Other Pumping Equipment Manufacturing "/>
        <s v="333921:  Elevator and Moving Stairway Manufacturing "/>
        <s v="333922:  Conveyor and Conveying Equipment Manufacturing "/>
        <s v="333923:  Overhead Traveling Crane, Hoist, and Monorail System Manufacturing "/>
        <s v="333924:  Industrial Truck, Tractor, Trailer, and Stacker Machinery Manufacturing "/>
        <s v="333991:  Power-Driven Handtool Manufacturing "/>
        <s v="333992:  Welding and Soldering Equipment Manufacturing "/>
        <s v="333993:  Packaging Machinery Manufacturing "/>
        <s v="333994:  Industrial Process Furnace and Oven Manufacturing "/>
        <s v="333995:  Fluid Power Cylinder and Actuator Manufacturing "/>
        <s v="333996:  Fluid Power Pump and Motor Manufacturing "/>
        <s v="333998:  All Other Miscellaneous General Purpose Machinery Manufacturing "/>
        <s v="334111:  Electronic Computer Manufacturing "/>
        <s v="334112:  Computer Storage Device Manufacturing "/>
        <s v="334118:  Computer Terminal and Other Computer Peripheral Equipment Manufacturing "/>
        <s v="334210:  Telephone Apparatus Manufacturing"/>
        <s v="334220:  Radio and Television Broadcasting and Wireless Communications Equipment Manufacturing"/>
        <s v="334290:  Other Communications Equipment Manufacturing"/>
        <s v="334310:  Audio and Video Equipment Manufacturing"/>
        <s v="334412:  Bare Printed Circuit Board Manufacturing  "/>
        <s v="334413:  Semiconductor and Related Device Manufacturing "/>
        <s v="334416:  Capacitor, Resistor, Coil, Transformer, and Other Inductor Manufacturing "/>
        <s v="334417:  Electronic Connector Manufacturing "/>
        <s v="334418:  Printed Circuit Assembly (Electronic Assembly) Manufacturing "/>
        <s v="334419:  Other Electronic Component Manufacturing "/>
        <s v="334510:  Electromedical and Electrotherapeutic Apparatus Manufacturing "/>
        <s v="334511:  Search, Detection, Navigation, Guidance, Aeronautical, and Nautical System and Instrument Manufacturing "/>
        <s v="334512:  Automatic Environmental Control Manufacturing for Residential, Commercial, and Appliance Use "/>
        <s v="334513:  Instruments and Related Products Manufacturing for Measuring, Displaying, and Controlling Industrial Process Variables "/>
        <s v="334514:  Totalizing Fluid Meter and Counting Device Manufacturing "/>
        <s v="334515:  Instrument Manufacturing for Measuring and Testing Electricity and Electrical Signals "/>
        <s v="334516:  Analytical Laboratory Instrument Manufacturing "/>
        <s v="334517:  Irradiation Apparatus Manufacturing "/>
        <s v="334519:  Other Measuring and Controlling Device Manufacturing "/>
        <s v="334610:  Manufacturing and Reproducing Magnetic and Optical Media "/>
        <s v="335131:  Residential Electric Lighting Fixture Manufacturing "/>
        <s v="335132:  Commercial, Industrial, and Institutional Electric Lighting Fixture Manufacturing "/>
        <s v="335139:  Electric Lamp Bulb and Other Lighting Equipment Manufacturing "/>
        <s v="335210:  Small Electrical Appliance Manufacturing"/>
        <s v="335220:  Major Household Appliance Manufacturing "/>
        <s v="335311:  Power, Distribution, and Specialty Transformer Manufacturing "/>
        <s v="335312:  Motor and Generator Manufacturing "/>
        <s v="335313:  Switchgear and Switchboard Apparatus Manufacturing "/>
        <s v="335314:  Relay and Industrial Control Manufacturing "/>
        <s v="335910:  Battery Manufacturing "/>
        <s v="335921:  Fiber Optic Cable Manufacturing "/>
        <s v="335929:  Other Communication and Energy Wire Manufacturing "/>
        <s v="335931:  Current-Carrying Wiring Device Manufacturing "/>
        <s v="335932:  Noncurrent-Carrying Wiring Device Manufacturing "/>
        <s v="335991:  Carbon and Graphite Product Manufacturing "/>
        <s v="335999:  All Other Miscellaneous Electrical Equipment and Component Manufacturing "/>
        <s v="336110:  Automobile and Light Duty Motor Vehicle Manufacturing "/>
        <s v="336120:  Heavy Duty Truck Manufacturing"/>
        <s v="336211:  Motor Vehicle Body Manufacturing "/>
        <s v="336212:  Truck Trailer Manufacturing "/>
        <s v="336213:  Motor Home Manufacturing "/>
        <s v="336214:  Travel Trailer and Camper Manufacturing "/>
        <s v="336310:  Motor Vehicle Gasoline Engine and Engine Parts Manufacturing"/>
        <s v="336320:  Motor Vehicle Electrical and Electronic Equipment Manufacturing"/>
        <s v="336330:  Motor Vehicle Steering and Suspension Components (except Spring) Manufacturing"/>
        <s v="336340:  Motor Vehicle Brake System Manufacturing"/>
        <s v="336350:  Motor Vehicle Transmission and Power Train Parts Manufacturing"/>
        <s v="336360:  Motor Vehicle Seating and Interior Trim Manufacturing"/>
        <s v="336370:  Motor Vehicle Metal Stamping"/>
        <s v="336390:  Other Motor Vehicle Parts Manufacturing"/>
        <s v="336411:  Aircraft Manufacturing "/>
        <s v="336412:  Aircraft Engine and Engine Parts Manufacturing "/>
        <s v="336413:  Other Aircraft Parts and Auxiliary Equipment Manufacturing "/>
        <s v="336414:  Guided Missile and Space Vehicle Manufacturing "/>
        <s v="336415:  Guided Missile and Space Vehicle Propulsion Unit and Propulsion Unit Parts Manufacturing "/>
        <s v="336419:  Other Guided Missile and Space Vehicle Parts and Auxiliary Equipment Manufacturing "/>
        <s v="336510:  Railroad Rolling Stock Manufacturing"/>
        <s v="336611:  Ship Building and Repairing "/>
        <s v="336612:  Boat Building "/>
        <s v="336991:  Motorcycle, Bicycle, and Parts Manufacturing "/>
        <s v="336992:  Military Armored Vehicle, Tank, and Tank Component Manufacturing "/>
        <s v="336999:  All Other Transportation Equipment Manufacturing "/>
        <s v="337110:  Wood Kitchen Cabinet and Countertop Manufacturing"/>
        <s v="337121:  Upholstered Household Furniture Manufacturing "/>
        <s v="337122:  Nonupholstered Wood Household Furniture Manufacturing "/>
        <s v="337126:  Household Furniture (except Wood and Upholstered) Manufacturing "/>
        <s v="337127:  Institutional Furniture Manufacturing "/>
        <s v="337211:  Wood Office Furniture Manufacturing "/>
        <s v="337212:  Custom Architectural Woodwork and Millwork Manufacturing "/>
        <s v="337214:  Office Furniture (except Wood) Manufacturing "/>
        <s v="337215:  Showcase, Partition, Shelving, and Locker Manufacturing "/>
        <s v="337910:  Mattress Manufacturing"/>
        <s v="337920:  Blind and Shade Manufacturing"/>
        <s v="339112:  Surgical and Medical Instrument Manufacturing "/>
        <s v="339113:  Surgical Appliance and Supplies Manufacturing "/>
        <s v="339114:  Dental Equipment and Supplies Manufacturing "/>
        <s v="339115:  Ophthalmic Goods Manufacturing "/>
        <s v="339116:  Dental Laboratories "/>
        <s v="339910:  Jewelry and Silverware Manufacturing "/>
        <s v="339920:  Sporting and Athletic Goods Manufacturing"/>
        <s v="339930:  Doll, Toy, and Game Manufacturing"/>
        <s v="339940:  Office Supplies (except Paper) Manufacturing"/>
        <s v="339950:  Sign Manufacturing"/>
        <s v="339991:  Gasket, Packing, and Sealing Device Manufacturing "/>
        <s v="339992:  Musical Instrument Manufacturing "/>
        <s v="339993:  Fastener, Button, Needle, and Pin Manufacturing "/>
        <s v="339994:  Broom, Brush, and Mop Manufacturing "/>
        <s v="339995:  Burial Casket Manufacturing "/>
        <s v="339999:  All Other Miscellaneous Manufacturing "/>
        <s v="423110:  Automobile and Other Motor Vehicle Merchant Wholesalers "/>
        <s v="423120:  Motor Vehicle Supplies and New Parts Merchant Wholesalers "/>
        <s v="423130:  Tire and Tube Merchant Wholesalers "/>
        <s v="423140:  Motor Vehicle Parts (Used) Merchant Wholesalers "/>
        <s v="423210:  Furniture Merchant Wholesalers "/>
        <s v="423220:  Home Furnishing Merchant Wholesalers "/>
        <s v="423310:  Lumber, Plywood, Millwork, and Wood Panel Merchant Wholesalers "/>
        <s v="423320:  Brick, Stone, and Related Construction Material Merchant Wholesalers "/>
        <s v="423330:  Roofing, Siding, and Insulation Material Merchant Wholesalers "/>
        <s v="423390:  Other Construction Material Merchant Wholesalers "/>
        <s v="423410:  Photographic Equipment and Supplies Merchant Wholesalers "/>
        <s v="423420:  Office Equipment Merchant Wholesalers "/>
        <s v="423430:  Computer and Computer Peripheral Equipment and Software Merchant Wholesalers "/>
        <s v="423440:  Other Commercial Equipment Merchant Wholesalers "/>
        <s v="423450:  Medical, Dental, and Hospital Equipment and Supplies Merchant Wholesalers "/>
        <s v="423460:  Ophthalmic Goods Merchant Wholesalers "/>
        <s v="423490:  Other Professional Equipment and Supplies Merchant Wholesalers "/>
        <s v="423510:  Metal Service Centers and Other Metal Merchant Wholesalers "/>
        <s v="423520:  Coal and Other Mineral and Ore Merchant Wholesalers "/>
        <s v="423610:  Electrical Apparatus and Equipment, Wiring Supplies, and Related Equipment Merchant Wholesalers "/>
        <s v="423620:  Household Appliances, Electric Housewares, and Consumer Electronics Merchant Wholesalers "/>
        <s v="423690:  Other Electronic Parts and Equipment Merchant Wholesalers "/>
        <s v="423710:  Hardware Merchant Wholesalers "/>
        <s v="423720:  Plumbing and Heating Equipment and Supplies (Hydronics) Merchant Wholesalers "/>
        <s v="423730:  Warm Air Heating and Air-Conditioning Equipment and Supplies Merchant Wholesalers "/>
        <s v="423740:  Refrigeration Equipment and Supplies Merchant Wholesalers "/>
        <s v="423810:  Construction and Mining (except Oil Well) Machinery and Equipment Merchant Wholesalers "/>
        <s v="423820:  Farm and Garden Machinery and Equipment Merchant Wholesalers "/>
        <s v="423830:  Industrial Machinery and Equipment Merchant Wholesalers "/>
        <s v="423840:  Industrial Supplies Merchant Wholesalers"/>
        <s v="423850:  Service Establishment Equipment and Supplies Merchant Wholesalers "/>
        <s v="423860:  Transportation Equipment and Supplies (except Motor Vehicle) Merchant Wholesalers "/>
        <s v="423910:  Sporting and Recreational Goods and Supplies Merchant Wholesalers "/>
        <s v="423920:  Toy and Hobby Goods and Supplies Merchant Wholesalers "/>
        <s v="423930:  Recyclable Material Merchant Wholesalers "/>
        <s v="423940:  Jewelry, Watch, Precious Stone, and Precious Metal Merchant Wholesalers "/>
        <s v="423990:  Other Miscellaneous Durable Goods Merchant Wholesalers "/>
        <s v="424110:  Printing and Writing Paper Merchant Wholesalers "/>
        <s v="424120:  Stationery and Office Supplies Merchant Wholesalers "/>
        <s v="424130:  Industrial and Personal Service Paper Merchant Wholesalers "/>
        <s v="424210:  Drugs and Druggists' Sundries Merchant Wholesalers "/>
        <s v="424310:  Piece Goods, Notions, and Other Dry Goods Merchant Wholesalers "/>
        <s v="424340:  Footwear Merchant Wholesalers "/>
        <s v="424350:  Clothing and Clothing Accessories Merchant Wholesalers"/>
        <s v="424410:  General Line Grocery Merchant Wholesalers "/>
        <s v="424420:  Packaged Frozen Food Merchant Wholesalers "/>
        <s v="424430:  Dairy Product (except Dried or Canned) Merchant Wholesalers "/>
        <s v="424440:  Poultry and Poultry Product Merchant Wholesalers "/>
        <s v="424450:  Confectionery Merchant Wholesalers "/>
        <s v="424460:  Fish and Seafood Merchant Wholesalers "/>
        <s v="424470:  Meat and Meat Product Merchant Wholesalers "/>
        <s v="424480:  Fresh Fruit and Vegetable Merchant Wholesalers "/>
        <s v="424490:  Other Grocery and Related Products Merchant Wholesalers "/>
        <s v="424510:  Grain and Field Bean Merchant Wholesalers "/>
        <s v="424520:  Livestock Merchant Wholesalers "/>
        <s v="424590:  Other Farm Product Raw Material Merchant Wholesalers "/>
        <s v="424610:  Plastics Materials and Basic Forms and Shapes Merchant Wholesalers "/>
        <s v="424690:  Other Chemical and Allied Products Merchant Wholesalers "/>
        <s v="424710:  Petroleum Bulk Stations and Terminals "/>
        <s v="424720:  Petroleum and Petroleum Products Merchant Wholesalers (except Bulk Stations and Terminals) "/>
        <s v="424810:  Beer and Ale Merchant Wholesalers "/>
        <s v="424820:  Wine and Distilled Alcoholic Beverage Merchant Wholesalers "/>
        <s v="424910:  Farm Supplies Merchant Wholesalers "/>
        <s v="424920:  Book, Periodical, and Newspaper Merchant Wholesalers "/>
        <s v="424930:  Flower, Nursery Stock, and Florists' Supplies Merchant Wholesalers "/>
        <s v="424940:  Tobacco Product and Electronic Cigarette Merchant Wholesalers "/>
        <s v="424950:  Paint, Varnish, and Supplies Merchant Wholesalers "/>
        <s v="424990:  Other Miscellaneous Nondurable Goods Merchant Wholesalers "/>
        <s v="425120:  Wholesale Trade Agents and Brokers "/>
        <s v="441110:  New Car Dealers "/>
        <s v="441120:  Used Car Dealers "/>
        <s v="441210:  Recreational Vehicle Dealers "/>
        <s v="441222:  Boat Dealers "/>
        <s v="441227:  Motorcycle, ATV, and All Other Motor Vehicle Dealers "/>
        <s v="441330:  Automotive Parts and Accessories Retailers "/>
        <s v="441340:  Tire Dealers "/>
        <s v="444110:  Home Centers "/>
        <s v="444120:  Paint and Wallpaper Retailers "/>
        <s v="444140:  Hardware Retailers "/>
        <s v="444180:  Other Building Material Dealers "/>
        <s v="444230:  Outdoor Power Equipment Retailers "/>
        <s v="444240:  Nursery, Garden Center, and Farm Supply Retailers "/>
        <s v="445110:  Supermarkets and Other Grocery Retailers (except Convenience Retailers) "/>
        <s v="445131:  Convenience Retailers "/>
        <s v="445132:  Vending Machine Operators "/>
        <s v="445230:  Fruit and Vegetable Retailers "/>
        <s v="445240:  Meat Retailers "/>
        <s v="445250:  Fish and Seafood Retailers "/>
        <s v="445291:  Baked Goods Retailers "/>
        <s v="445292:  Confectionery and Nut Retailers "/>
        <s v="445298:  All Other Specialty Food Retailers "/>
        <s v="445320:  Beer, Wine, and Liquor Retailers "/>
        <s v="449110:  Furniture Retailers "/>
        <s v="449121:  Floor Covering Retailers "/>
        <s v="449122:  Window Treatment Retailers "/>
        <s v="449129:  All Other Home Furnishings Retailers "/>
        <s v="449210:  Electronics and Appliance Retailers"/>
        <s v="455110:  Department Stores "/>
        <s v="455211:  Warehouse Clubs and Supercenters "/>
        <s v="455219:  All Other General Merchandise Retailers "/>
        <s v="456110:  Pharmacies and Drug Retailers "/>
        <s v="456120:  Cosmetics, Beauty Supplies, and Perfume Retailers "/>
        <s v="456130:  Optical Goods Retailers "/>
        <s v="456191:  Food (Health) Supplement Retailers "/>
        <s v="456199:  All Other Health and Personal Care Retailers "/>
        <s v="457110:  Gasoline Stations with Convenience Stores "/>
        <s v="457120:  Other Gasoline Stations "/>
        <s v="457210:  Fuel Dealers "/>
        <s v="458110:  Clothing and Clothing Accessories Retailers "/>
        <s v="458210:  Shoe Retailers "/>
        <s v="458310:  Jewelry Retailers "/>
        <s v="458320:  Luggage and Leather Goods Retailers "/>
        <s v="459110:  Sporting Goods Retailers "/>
        <s v="459120:  Hobby, Toy, and Game Retailers "/>
        <s v="459130:  Sewing, Needlework, and Piece Goods Retailers "/>
        <s v="459140:  Musical Instrument and Supplies Retailers "/>
        <s v="459210:  Book Retailers and News Dealers "/>
        <s v="459310:  Florists "/>
        <s v="459410:  Office Supplies and Stationery Retailers "/>
        <s v="459420:  Gift, Novelty, and Souvenir Retailers "/>
        <s v="459510:  Used Merchandise Retailers "/>
        <s v="459910:  Pet and Pet Supplies Retailers "/>
        <s v="459920:  Art Dealers "/>
        <s v="459930:  Manufactured (Mobile) Home Dealers "/>
        <s v="459991:  Tobacco, Electronic Cigarette, and Other Smoking Supplies Retailers "/>
        <s v="459999:  All Other Miscellaneous Retailers "/>
        <s v="481111:  Scheduled Passenger Air Transportation "/>
        <s v="481112:  Scheduled Freight Air Transportation "/>
        <s v="481211:  Nonscheduled Chartered Passenger Air Transportation "/>
        <s v="481212:  Nonscheduled Chartered Freight Air Transportation "/>
        <s v="481219:  Other Nonscheduled Air Transportation "/>
        <s v="482111:  Line-Haul Railroads "/>
        <s v="482112:  Short Line Railroads "/>
        <s v="483111:  Deep Sea Freight Transportation "/>
        <s v="483112:  Deep Sea Passenger Transportation "/>
        <s v="483113:  Coastal and Great Lakes Freight Transportation "/>
        <s v="483114:  Coastal and Great Lakes Passenger Transportation "/>
        <s v="483211:  Inland Water Freight Transportation "/>
        <s v="483212:  Inland Water Passenger Transportation "/>
        <s v="484110:  General Freight Trucking, Local "/>
        <s v="484121:  General Freight Trucking, Long-Distance, Truckload "/>
        <s v="484122:  General Freight Trucking, Long-Distance, Less Than Truckload "/>
        <s v="484210:  Used Household and Office Goods Moving"/>
        <s v="484220:  Specialized Freight (except Used Goods) Trucking, Local "/>
        <s v="484230:  Specialized Freight (except Used Goods) Trucking, Long-Distance "/>
        <s v="485111:  Mixed Mode Transit Systems "/>
        <s v="485112:  Commuter Rail Systems "/>
        <s v="485113:  Bus and Other Motor Vehicle Transit Systems "/>
        <s v="485119:  Other Urban Transit Systems "/>
        <s v="485210:  Interurban and Rural Bus Transportation"/>
        <s v="485310:  Taxi and Ridesharing Services "/>
        <s v="485320:  Limousine Service"/>
        <s v="485410:  School and Employee Bus Transportation"/>
        <s v="485510:  Charter Bus Industry"/>
        <s v="485991:  Special Needs Transportation "/>
        <s v="485999:  All Other Transit and Ground Passenger Transportation "/>
        <s v="486110:  Pipeline Transportation of Crude Oil"/>
        <s v="486210:  Pipeline Transportation of Natural Gas"/>
        <s v="486910:  Pipeline Transportation of Refined Petroleum Products"/>
        <s v="486990:  All Other Pipeline Transportation"/>
        <s v="487110:  Scenic and Sightseeing Transportation, Land"/>
        <s v="487210:  Scenic and Sightseeing Transportation, Water"/>
        <s v="487990:  Scenic and Sightseeing Transportation, Other"/>
        <s v="488111:  Air Traffic Control"/>
        <s v="488119:  Other Airport Operations "/>
        <s v="488190:  Other Support Activities for Air Transportation"/>
        <s v="488210:  Support Activities for Rail Transportation"/>
        <s v="488310:  Port and Harbor Operations"/>
        <s v="488320:  Marine Cargo Handling"/>
        <s v="488330:  Navigational Services to Shipping "/>
        <s v="488390:  Other Support Activities for Water Transportation"/>
        <s v="488410:  Motor Vehicle Towing"/>
        <s v="488490:  Other Support Activities for Road Transportation "/>
        <s v="488510:  Freight Transportation Arrangement "/>
        <s v="488991:  Packing and Crating "/>
        <s v="488999:  All Other Support Activities for Transportation "/>
        <s v="491110:  Postal Service"/>
        <s v="492110:  Couriers and Express Delivery Services"/>
        <s v="492210:  Local Messengers and Local Delivery"/>
        <s v="493110:  General Warehousing and Storage "/>
        <s v="493120:  Refrigerated Warehousing and Storage"/>
        <s v="493130:  Farm Product Warehousing and Storage"/>
        <s v="493190:  Other Warehousing and Storage"/>
        <s v="512110:  Motion Picture and Video Production "/>
        <s v="512120:  Motion Picture and Video Distribution"/>
        <s v="512131:  Motion Picture Theaters (except Drive-Ins) "/>
        <s v="512132:  Drive-In Motion Picture Theaters "/>
        <s v="512191:  Teleproduction and Other Postproduction Services "/>
        <s v="512199:  Other Motion Picture and Video Industries "/>
        <s v="512230:  Music Publishers"/>
        <s v="512240:  Sound Recording Studios"/>
        <s v="512250:  Record Production and Distribution"/>
        <s v="512290:  Other Sound Recording Industries"/>
        <s v="513110:  Newspaper Publishers "/>
        <s v="513120:  Periodical Publishers "/>
        <s v="513130:  Book Publishers "/>
        <s v="513140:  Directory and Mailing List Publishers "/>
        <s v="513191:  Greeting Card Publishers "/>
        <s v="513199:  All Other Publishers "/>
        <s v="513210:  Software Publishers"/>
        <s v="516110:  Radio Broadcasting Stations "/>
        <s v="516120:  Television Broadcasting Stations "/>
        <s v="516210:  Media Streaming Distribution Services, Social Networks, and Other Media Networks and Content Providers"/>
        <s v="517111:  Wired Telecommunications Carriers "/>
        <s v="517112:  Wireless Telecommunications Carriers (except Satellite)"/>
        <s v="517121:  Telecommunications Resellers"/>
        <s v="517122:  Agents for Wireless Telecommunications Services"/>
        <s v="517410:  Satellite Telecommunications"/>
        <s v="517810:  All Other Telecommunications "/>
        <s v="518210:  Computing Infrastructure Providers, Data Processing, Web Hosting, and Related Services"/>
        <s v="519210:  Libraries and Archives "/>
        <s v="519290:  Web Search Portals and All Other Information Services"/>
        <s v="521110:  Monetary Authorities-Central Bank"/>
        <s v="522110:  Commercial Banking "/>
        <s v="522130:  Credit Unions "/>
        <s v="522180:  Savings Institutions and Other Depository Credit Intermediation "/>
        <s v="522210:  Credit Card Issuing "/>
        <s v="522220:  Sales Financing "/>
        <s v="522291:  Consumer Lending "/>
        <s v="522292:  Real Estate Credit "/>
        <s v="522299:  International, Secondary Market, and All Other Nondepository Credit Intermediation "/>
        <s v="522310:  Mortgage and Nonmortgage Loan Brokers "/>
        <s v="522320:  Financial Transactions Processing, Reserve, and Clearinghouse Activities "/>
        <s v="522390:  Other Activities Related to Credit Intermediation "/>
        <s v="523150:  Investment Banking and Securities Intermediation "/>
        <s v="523160:  Commodity Contracts Intermediation "/>
        <s v="523210:  Securities and Commodity Exchanges"/>
        <s v="523910:  Miscellaneous Intermediation "/>
        <s v="523940:  Portfolio Management and Investment Advice "/>
        <s v="523991:  Trust, Fiduciary, and Custody Activities "/>
        <s v="523999:  Miscellaneous Financial Investment Activities "/>
        <s v="524113:  Direct Life Insurance Carriers "/>
        <s v="524114:  Direct Health and Medical Insurance Carriers "/>
        <s v="524126:  Direct Property and Casualty Insurance Carriers "/>
        <s v="524127:  Direct Title Insurance Carriers "/>
        <s v="524128:  Other Direct Insurance (except Life, Health, and Medical) Carriers "/>
        <s v="524130:  Reinsurance Carriers "/>
        <s v="524210:  Insurance Agencies and Brokerages "/>
        <s v="524291:  Claims Adjusting "/>
        <s v="524292:  Pharmacy Benefit Management and Other Third Party Administration of Insurance and Pension Funds "/>
        <s v="524298:  All Other Insurance Related Activities "/>
        <s v="525110:  Pension Funds "/>
        <s v="525120:  Health and Welfare Funds "/>
        <s v="525190:  Other Insurance Funds "/>
        <s v="525910:  Open-End Investment Funds "/>
        <s v="525920:  Trusts, Estates, and Agency Accounts "/>
        <s v="525990:  Other Financial Vehicles "/>
        <s v="531110:  Lessors of Residential Buildings and Dwellings "/>
        <s v="531120:  Lessors of Nonresidential Buildings (except Miniwarehouses) "/>
        <s v="531130:  Lessors of Miniwarehouses and Self-Storage Units "/>
        <s v="531190:  Lessors of Other Real Estate Property "/>
        <s v="531210:  Offices of Real Estate Agents and Brokers"/>
        <s v="531311:  Residential Property Managers "/>
        <s v="531312:  Nonresidential Property Managers "/>
        <s v="531320:  Offices of Real Estate Appraisers "/>
        <s v="531390:  Other Activities Related to Real Estate "/>
        <s v="532111:  Passenger Car Rental "/>
        <s v="532112:  Passenger Car Leasing "/>
        <s v="532120:  Truck, Utility Trailer, and RV (Recreational Vehicle) Rental and Leasing "/>
        <s v="532210:  Consumer Electronics and Appliances Rental"/>
        <s v="532281:  Formal Wear and Costume Rental"/>
        <s v="532282:  Video Tape and Disc Rental"/>
        <s v="532283:  Home Health Equipment Rental "/>
        <s v="532284:  Recreational Goods Rental "/>
        <s v="532289:  All Other Consumer Goods Rental "/>
        <s v="532310:  General Rental Centers"/>
        <s v="532411:  Commercial Air, Rail, and Water Transportation Equipment Rental and Leasing "/>
        <s v="532412:  Construction, Mining, and Forestry Machinery and Equipment Rental and Leasing "/>
        <s v="532420:  Office Machinery and Equipment Rental and Leasing"/>
        <s v="532490:  Other Commercial and Industrial Machinery and Equipment Rental and Leasing "/>
        <s v="533110:  Lessors of Nonfinancial Intangible Assets (except Copyrighted Works)"/>
        <s v="541110:  Offices of Lawyers"/>
        <s v="541120:  Offices of Notaries"/>
        <s v="541191:  Title Abstract and Settlement Offices "/>
        <s v="541199:  All Other Legal Services "/>
        <s v="541211:  Offices of Certified Public Accountants "/>
        <s v="541213:  Tax Preparation Services "/>
        <s v="541214:  Payroll Services "/>
        <s v="541219:  Other Accounting Services "/>
        <s v="541310:  Architectural Services"/>
        <s v="541320:  Landscape Architectural Services"/>
        <s v="541330:  Engineering Services"/>
        <s v="541340:  Drafting Services"/>
        <s v="541350:  Building Inspection Services"/>
        <s v="541360:  Geophysical Surveying and Mapping Services"/>
        <s v="541370:  Surveying and Mapping (except Geophysical) Services"/>
        <s v="541380:  Testing Laboratories and Services"/>
        <s v="541410:  Interior Design Services"/>
        <s v="541420:  Industrial Design Services"/>
        <s v="541430:  Graphic Design Services"/>
        <s v="541490:  Other Specialized Design Services"/>
        <s v="541511:  Custom Computer Programming Services "/>
        <s v="541512:  Computer Systems Design Services "/>
        <s v="541513:  Computer Facilities Management Services "/>
        <s v="541519:  Other Computer Related Services"/>
        <s v="541611:  Administrative Management and General Management Consulting Services "/>
        <s v="541612:  Human Resources Consulting Services "/>
        <s v="541613:  Marketing Consulting Services "/>
        <s v="541614:  Process, Physical Distribution, and Logistics Consulting Services "/>
        <s v="541618:  Other Management Consulting Services "/>
        <s v="541620:  Environmental Consulting Services"/>
        <s v="541690:  Other Scientific and Technical Consulting Services"/>
        <s v="541713:  Research and Development in Nanotechnology "/>
        <s v="541714:  Research and Development in Biotechnology (except Nanobiotechnology)"/>
        <s v="541715:  Research and Development in the Physical, Engineering, and Life Sciences (except Nanotechnology and Biotechnology) "/>
        <s v="541720:  Research and Development in the Social Sciences and Humanities "/>
        <s v="541810:  Advertising Agencies"/>
        <s v="541820:  Public Relations Agencies"/>
        <s v="541830:  Media Buying Agencies"/>
        <s v="541840:  Media Representatives"/>
        <s v="541850:  Indoor and Outdoor Display Advertising"/>
        <s v="541860:  Direct Mail Advertising"/>
        <s v="541870:  Advertising Material Distribution Services"/>
        <s v="541890:  Other Services Related to Advertising "/>
        <s v="541910:  Marketing Research and Public Opinion Polling"/>
        <s v="541921:  Photography Studios, Portrait "/>
        <s v="541922:  Commercial Photography "/>
        <s v="541930:  Translation and Interpretation Services"/>
        <s v="541940:  Veterinary Services "/>
        <s v="541990:  All Other Professional, Scientific, and Technical Services"/>
        <s v="551111:  Offices of Bank Holding Companies "/>
        <s v="551112:  Offices of Other Holding Companies "/>
        <s v="551114:  Corporate, Subsidiary, and Regional Managing Offices "/>
        <s v="561110:  Office Administrative Services"/>
        <s v="561210:  Facilities Support Services"/>
        <s v="561311:  Employment Placement Agencies "/>
        <s v="561312:  Executive Search Services "/>
        <s v="561320:  Temporary Help Services"/>
        <s v="561330:  Professional Employer Organizations"/>
        <s v="561410:  Document Preparation Services"/>
        <s v="561421:  Telephone Answering Services "/>
        <s v="561422:  Telemarketing Bureaus and Other Contact Centers "/>
        <s v="561431:  Private Mail Centers "/>
        <s v="561439:  Other Business Service Centers (including Copy Shops) "/>
        <s v="561440:  Collection Agencies"/>
        <s v="561450:  Credit Bureaus"/>
        <s v="561491:  Repossession Services "/>
        <s v="561492:  Court Reporting and Stenotype Services "/>
        <s v="561499:  All Other Business Support Services "/>
        <s v="561510:  Travel Agencies"/>
        <s v="561520:  Tour Operators"/>
        <s v="561591:  Convention and Visitors Bureaus "/>
        <s v="561599:  All Other Travel Arrangement and Reservation Services "/>
        <s v="561611:  Investigation and Personal Background Check Services "/>
        <s v="561612:  Security Guards and Patrol Services "/>
        <s v="561613:  Armored Car Services "/>
        <s v="561621:  Security Systems Services (except Locksmiths) "/>
        <s v="561622:  Locksmiths "/>
        <s v="561710:  Exterminating and Pest Control Services"/>
        <s v="561720:  Janitorial Services "/>
        <s v="561730:  Landscaping Services"/>
        <s v="561740:  Carpet and Upholstery Cleaning Services"/>
        <s v="561790:  Other Services to Buildings and Dwellings "/>
        <s v="561910:  Packaging and Labeling Services"/>
        <s v="561920:  Convention and Trade Show Organizers"/>
        <s v="561990:  All Other Support Services"/>
        <s v="562111:  Solid Waste Collection "/>
        <s v="562112:  Hazardous Waste Collection "/>
        <s v="562119:  Other Waste Collection "/>
        <s v="562211:  Hazardous Waste Treatment and Disposal "/>
        <s v="562212:  Solid Waste Landfill "/>
        <s v="562213:  Solid Waste Combustors and Incinerators "/>
        <s v="562219:  Other Nonhazardous Waste Treatment and Disposal "/>
        <s v="562910:  Remediation Services "/>
        <s v="562920:  Materials Recovery Facilities "/>
        <s v="562991:  Septic Tank and Related Services "/>
        <s v="562998:  All Other Miscellaneous Waste Management Services "/>
        <s v="611110:  Elementary and Secondary Schools "/>
        <s v="611210:  Junior Colleges "/>
        <s v="611310:  Colleges, Universities, and Professional Schools "/>
        <s v="611410:  Business and Secretarial Schools "/>
        <s v="611420:  Computer Training "/>
        <s v="611430:  Professional and Management Development Training "/>
        <s v="611511:  Cosmetology and Barber Schools "/>
        <s v="611512:  Flight Training "/>
        <s v="611513:  Apprenticeship Training "/>
        <s v="611519:  Other Technical and Trade Schools "/>
        <s v="611610:  Fine Arts Schools "/>
        <s v="611620:  Sports and Recreation Instruction "/>
        <s v="611630:  Language Schools "/>
        <s v="611691:  Exam Preparation and Tutoring "/>
        <s v="611692:  Automobile Driving Schools "/>
        <s v="611699:  All Other Miscellaneous Schools and Instruction "/>
        <s v="611710:  Educational Support Services"/>
        <s v="621111:  Offices of Physicians (except Mental Health Specialists) "/>
        <s v="621112:  Offices of Physicians, Mental Health Specialists "/>
        <s v="621210:  Offices of Dentists "/>
        <s v="621310:  Offices of Chiropractors "/>
        <s v="621320:  Offices of Optometrists"/>
        <s v="621330:  Offices of Mental Health Practitioners (except Physicians) "/>
        <s v="621340:  Offices of Physical, Occupational and Speech Therapists, and Audiologists "/>
        <s v="621391:  Offices of Podiatrists "/>
        <s v="621399:  Offices of All Other Miscellaneous Health Practitioners "/>
        <s v="621410:  Family Planning Centers "/>
        <s v="621420:  Outpatient Mental Health and Substance Abuse Centers "/>
        <s v="621491:  HMO Medical Centers "/>
        <s v="621492:  Kidney Dialysis Centers "/>
        <s v="621493:  Freestanding Ambulatory Surgical and Emergency Centers "/>
        <s v="621498:  All Other Outpatient Care Centers "/>
        <s v="621511:  Medical Laboratories "/>
        <s v="621512:  Diagnostic Imaging Centers "/>
        <s v="621610:  Home Health Care Services"/>
        <s v="621910:  Ambulance Services "/>
        <s v="621991:  Blood and Organ Banks "/>
        <s v="621999:  All Other Miscellaneous Ambulatory Health Care Services "/>
        <s v="622110:  General Medical and Surgical Hospitals "/>
        <s v="622210:  Psychiatric and Substance Abuse Hospitals "/>
        <s v="622310:  Specialty (except Psychiatric and Substance Abuse) Hospitals "/>
        <s v="623110:  Nursing Care Facilities (Skilled Nursing Facilities) "/>
        <s v="623210:  Residential Intellectual and Developmental Disability Facilities "/>
        <s v="623220:  Residential Mental Health and Substance Abuse Facilities "/>
        <s v="623311:  Continuing Care Retirement Communities "/>
        <s v="623312:  Assisted Living Facilities for the Elderly "/>
        <s v="623990:  Other Residential Care Facilities "/>
        <s v="624110:  Child and Youth Services "/>
        <s v="624120:  Services for the Elderly and Persons with Disabilities "/>
        <s v="624190:  Other Individual and Family Services "/>
        <s v="624210:  Community Food Services "/>
        <s v="624221:  Temporary Shelters "/>
        <s v="624229:  Other Community Housing Services "/>
        <s v="624230:  Emergency and Other Relief Services "/>
        <s v="624310:  Vocational Rehabilitation Services "/>
        <s v="624410:  Child Care Services "/>
        <s v="711110:  Theater Companies and Dinner Theaters "/>
        <s v="711120:  Dance Companies "/>
        <s v="711130:  Musical Groups and Artists "/>
        <s v="711190:  Other Performing Arts Companies "/>
        <s v="711211:  Sports Teams and Clubs "/>
        <s v="711212:  Racetracks "/>
        <s v="711219:  Other Spectator Sports "/>
        <s v="711310:  Promoters of Performing Arts, Sports, and Similar Events with Facilities "/>
        <s v="711320:  Promoters of Performing Arts, Sports, and Similar Events without Facilities "/>
        <s v="711410:  Agents and Managers for Artists, Athletes, Entertainers, and Other Public Figures"/>
        <s v="711510:  Independent Artists, Writers, and Performers "/>
        <s v="712110:  Museums "/>
        <s v="712120:  Historical Sites"/>
        <s v="712130:  Zoos and Botanical Gardens "/>
        <s v="712190:  Nature Parks and Other Similar Institutions"/>
        <s v="713110:  Amusement and Theme Parks "/>
        <s v="713120:  Amusement Arcades"/>
        <s v="713210:  Casinos (except Casino Hotels)"/>
        <s v="713290:  Other Gambling Industries "/>
        <s v="713910:  Golf Courses and Country Clubs"/>
        <s v="713920:  Skiing Facilities"/>
        <s v="713930:  Marinas"/>
        <s v="713940:  Fitness and Recreational Sports Centers "/>
        <s v="713950:  Bowling Centers"/>
        <s v="713990:  All Other Amusement and Recreation Industries "/>
        <s v="721110:  Hotels (except Casino Hotels) and Motels "/>
        <s v="721120:  Casino Hotels"/>
        <s v="721191:  Bed-and-Breakfast Inns "/>
        <s v="721199:  All Other Traveler Accommodation "/>
        <s v="721211:  RV (Recreational Vehicle) Parks and Campgrounds "/>
        <s v="721214:  Recreational and Vacation Camps (except Campgrounds) "/>
        <s v="721310:  Rooming and Boarding Houses, Dormitories, and Workers' Camps "/>
        <s v="722310:  Food Service Contractors"/>
        <s v="722320:  Caterers"/>
        <s v="722330:  Mobile Food Services"/>
        <s v="722410:  Drinking Places (Alcoholic Beverages) "/>
        <s v="722511:  Full-Service Restaurants "/>
        <s v="722513:  Limited-Service Restaurants "/>
        <s v="722514:  Cafeterias, Grill Buffets, and Buffets "/>
        <s v="722515:  Snack and Nonalcoholic Beverage Bars "/>
        <s v="811111:  General Automotive Repair "/>
        <s v="811114:  Specialized Automotive Repair "/>
        <s v="811121:  Automotive Body, Paint, and Interior Repair and Maintenance "/>
        <s v="811122:  Automotive Glass Replacement Shops "/>
        <s v="811191:  Automotive Oil Change and Lubrication Shops "/>
        <s v="811192:  Car Washes "/>
        <s v="811198:  All Other Automotive Repair and Maintenance "/>
        <s v="811210:  Electronic and Precision Equipment Repair and Maintenance "/>
        <s v="811310:  Commercial and Industrial Machinery and Equipment (except Automotive and Electronic) Repair and Maintenance "/>
        <s v="811411:  Home and Garden Equipment Repair and Maintenance "/>
        <s v="811412:  Appliance Repair and Maintenance "/>
        <s v="811420:  Reupholstery and Furniture Repair"/>
        <s v="811430:  Footwear and Leather Goods Repair"/>
        <s v="811490:  Other Personal and Household Goods Repair and Maintenance "/>
        <s v="812111:  Barber Shops "/>
        <s v="812112:  Beauty Salons "/>
        <s v="812113:  Nail Salons "/>
        <s v="812191:  Diet and Weight Reducing Centers "/>
        <s v="812199:  Other Personal Care Services "/>
        <s v="812210:  Funeral Homes and Funeral Services "/>
        <s v="812220:  Cemeteries and Crematories "/>
        <s v="812310:  Coin-Operated Laundries and Drycleaners "/>
        <s v="812320:  Drycleaning and Laundry Services (except Coin-Operated) "/>
        <s v="812331:  Linen Supply "/>
        <s v="812332:  Industrial Launderers "/>
        <s v="812910:  Pet Care (except Veterinary) Services "/>
        <s v="812921:  Photofinishing Laboratories (except One-Hour) "/>
        <s v="812922:  One-Hour Photofinishing "/>
        <s v="812930:  Parking Lots and Garages "/>
        <s v="812990:  All Other Personal Services "/>
        <s v="813110:  Religious Organizations "/>
        <s v="813211:  Grantmaking Foundations "/>
        <s v="813212:  Voluntary Health Organizations "/>
        <s v="813219:  Other Grantmaking and Giving Services "/>
        <s v="813311:  Human Rights Organizations "/>
        <s v="813312:  Environment, Conservation and Wildlife Organizations "/>
        <s v="813319:  Other Social Advocacy Organizations "/>
        <s v="813410:  Civic and Social Organizations "/>
        <s v="813910:  Business Associations "/>
        <s v="813920:  Professional Organizations "/>
        <s v="813930:  Labor Unions and Similar Labor Organizations "/>
        <s v="813940:  Political Organizations "/>
        <s v="813990:  Other Similar Organizations (except Business, Professional, Labor, and Political Organizations) "/>
        <s v="814110:  Private Households"/>
        <s v="921110:  Executive Offices "/>
        <s v="921120:  Legislative Bodies "/>
        <s v="921130:  Public Finance Activities "/>
        <s v="921140:  Executive and Legislative Offices, Combined "/>
        <s v="921150:  American Indian and Alaska Native Tribal Governments "/>
        <s v="921190:  Other General Government Support "/>
        <s v="922110:  Courts "/>
        <s v="922120:  Police Protection "/>
        <s v="922130:  Legal Counsel and Prosecution "/>
        <s v="922140:  Correctional Institutions "/>
        <s v="922150:  Parole Offices and Probation Offices "/>
        <s v="922160:  Fire Protection "/>
        <s v="922190:  Other Justice, Public Order, and Safety Activities "/>
        <s v="923110:  Administration of Education Programs "/>
        <s v="923120:  Administration of Public Health Programs "/>
        <s v="923130:  Administration of Human Resource Programs (except Education, Public Health, and Veterans' Affairs Programs) "/>
        <s v="923140:  Administration of Veterans' Affairs "/>
        <s v="924110:  Administration of Air and Water Resource and Solid Waste Management Programs "/>
        <s v="924120:  Administration of Conservation Programs "/>
        <s v="925110:  Administration of Housing Programs "/>
        <s v="925120:  Administration of Urban Planning and Community and Rural Development "/>
        <s v="926110:  Administration of General Economic Programs "/>
        <s v="926120:  Regulation and Administration of Transportation Programs "/>
        <s v="926130:  Regulation and Administration of Communications, Electric, Gas, and Other Utilities "/>
        <s v="926140:  Regulation of Agricultural Marketing and Commodities "/>
        <s v="926150:  Regulation, Licensing, and Inspection of Miscellaneous Commercial Sectors "/>
        <s v="927110:  Space Research and Technology "/>
        <s v="928110:  National Security "/>
        <s v="928120:  International Affairs "/>
      </sharedItems>
    </cacheField>
    <cacheField name="Search" numFmtId="0">
      <sharedItems count="1012">
        <s v="Soybean Farming"/>
        <s v="Oilseed (except Soybean) Farming "/>
        <s v="Dry Pea and Bean Farming "/>
        <s v="Wheat Farming"/>
        <s v="Corn Farming "/>
        <s v="Rice Farming"/>
        <s v="Oilseed and Grain Combination Farming "/>
        <s v="All Other Grain Farming "/>
        <s v="Potato Farming "/>
        <s v="Other Vegetable (except Potato) and Melon Farming "/>
        <s v="Orange Groves"/>
        <s v="Citrus (except Orange) Groves "/>
        <s v="Apple Orchards "/>
        <s v="Grape Vineyards "/>
        <s v="Strawberry Farming "/>
        <s v="Berry (except Strawberry) Farming "/>
        <s v="Tree Nut Farming "/>
        <s v="Fruit and Tree Nut Combination Farming "/>
        <s v="Other Noncitrus Fruit Farming "/>
        <s v="Mushroom Production "/>
        <s v="Other Food Crops Grown Under Cover "/>
        <s v="Nursery and Tree Production "/>
        <s v="Floriculture Production "/>
        <s v="Tobacco Farming"/>
        <s v="Cotton Farming"/>
        <s v="Sugarcane Farming"/>
        <s v="Hay Farming "/>
        <s v="Sugar Beet Farming "/>
        <s v="Peanut Farming "/>
        <s v="All Other Miscellaneous Crop Farming "/>
        <s v="Beef Cattle Ranching and Farming "/>
        <s v="Cattle Feedlots "/>
        <s v="Dairy Cattle and Milk Production"/>
        <s v="Dual-Purpose Cattle Ranching and Farming "/>
        <s v="Hog and Pig Farming "/>
        <s v="Chicken Egg Production "/>
        <s v="Broilers and Other Meat Type Chicken Production "/>
        <s v="Turkey Production"/>
        <s v="Poultry Hatcheries"/>
        <s v="Other Poultry Production "/>
        <s v="Sheep Farming"/>
        <s v="Goat Farming"/>
        <s v="Finfish Farming and Fish Hatcheries "/>
        <s v="Shellfish Farming "/>
        <s v="Other Aquaculture "/>
        <s v="Apiculture"/>
        <s v="Horses and Other Equine Production"/>
        <s v="Fur-Bearing Animal and Rabbit Production"/>
        <s v="All Other Animal Production "/>
        <s v="Timber Tract Operations"/>
        <s v="Forest Nurseries and Gathering of Forest Products "/>
        <s v="Logging "/>
        <s v="Finfish Fishing "/>
        <s v="Shellfish Fishing "/>
        <s v="Other Marine Fishing "/>
        <s v="Hunting and Trapping"/>
        <s v="Cotton Ginning "/>
        <s v="Soil Preparation, Planting, and Cultivating "/>
        <s v="Crop Harvesting, Primarily by Machine "/>
        <s v="Postharvest Crop Activities (except Cotton Ginning) "/>
        <s v="Farm Labor Contractors and Crew Leaders "/>
        <s v="Farm Management Services "/>
        <s v="Support Activities for Animal Production"/>
        <s v="Support Activities for Forestry"/>
        <s v="Crude Petroleum Extraction "/>
        <s v="Natural Gas Extraction "/>
        <s v="Surface Coal Mining "/>
        <s v="Underground Coal Mining "/>
        <s v="Iron Ore Mining"/>
        <s v="Gold Ore and Silver Ore Mining "/>
        <s v="Copper, Nickel, Lead, and Zinc Mining "/>
        <s v="Other Metal Ore Mining "/>
        <s v="Dimension Stone Mining and Quarrying "/>
        <s v="Crushed and Broken Limestone Mining and Quarrying "/>
        <s v="Crushed and Broken Granite Mining and Quarrying "/>
        <s v="Other Crushed and Broken Stone Mining and Quarrying "/>
        <s v="Construction Sand and Gravel Mining "/>
        <s v="Industrial Sand Mining "/>
        <s v="Kaolin, Clay, and Ceramic and Refractory Minerals Mining "/>
        <s v="Other Nonmetallic Mineral Mining and Quarrying "/>
        <s v="Drilling Oil and Gas Wells"/>
        <s v="Support Activities for Oil and Gas Operations "/>
        <s v="Support Activities for Coal Mining "/>
        <s v="Support Activities for Metal Mining "/>
        <s v="Support Activities for Nonmetallic Minerals (except Fuels) Mining "/>
        <s v="Hydroelectric Power Generation "/>
        <s v="Fossil Fuel Electric Power Generation "/>
        <s v="Nuclear Electric Power Generation "/>
        <s v="Solar Electric Power Generation "/>
        <s v="Wind Electric Power Generation "/>
        <s v="Geothermal Electric Power Generation "/>
        <s v="Biomass Electric Power Generation "/>
        <s v="Other Electric Power Generation "/>
        <s v="Electric Bulk Power Transmission and Control "/>
        <s v="Electric Power Distribution "/>
        <s v="Natural Gas Distribution "/>
        <s v="Water Supply and Irrigation Systems "/>
        <s v="Sewage Treatment Facilities "/>
        <s v="Steam and Air-Conditioning Supply "/>
        <s v="New Single-Family Housing Construction (except For-Sale Builders) "/>
        <s v="New Multifamily Housing Construction (except For-Sale Builders) "/>
        <s v="New Housing For-Sale Builders "/>
        <s v="Residential Remodelers "/>
        <s v="Industrial Building Construction "/>
        <s v="Commercial and Institutional Building Construction "/>
        <s v="Water and Sewer Line and Related Structures Construction "/>
        <s v="Oil and Gas Pipeline and Related Structures Construction "/>
        <s v="Power and Communication Line and Related Structures Construction "/>
        <s v="Land Subdivision "/>
        <s v="Highway, Street, and Bridge Construction "/>
        <s v="Other Heavy and Civil Engineering Construction "/>
        <s v="Poured Concrete Foundation and Structure Contractors "/>
        <s v="Structural Steel and Precast Concrete Contractors "/>
        <s v="Framing Contractors "/>
        <s v="Masonry Contractors "/>
        <s v="Glass and Glazing Contractors "/>
        <s v="Roofing Contractors "/>
        <s v="Siding Contractors "/>
        <s v="Other Foundation, Structure, and Building Exterior Contractors "/>
        <s v="Electrical Contractors and Other Wiring Installation Contractors"/>
        <s v="Plumbing, Heating, and Air-Conditioning Contractors "/>
        <s v="Other Building Equipment Contractors "/>
        <s v="Drywall and Insulation Contractors "/>
        <s v="Painting and Wall Covering Contractors"/>
        <s v="Flooring Contractors"/>
        <s v="Tile and Terrazzo Contractors"/>
        <s v="Finish Carpentry Contractors"/>
        <s v="Other Building Finishing Contractors"/>
        <s v="Site Preparation Contractors"/>
        <s v="All Other Specialty Trade Contractors"/>
        <s v="Dog and Cat Food Manufacturing "/>
        <s v="Other Animal Food Manufacturing "/>
        <s v="Flour Milling "/>
        <s v="Rice Milling "/>
        <s v="Malt Manufacturing "/>
        <s v="Wet Corn Milling and Starch Manufacturing "/>
        <s v="Soybean and Other Oilseed Processing "/>
        <s v="Fats and Oils Refining and Blending "/>
        <s v="Breakfast Cereal Manufacturing"/>
        <s v="Beet Sugar Manufacturing "/>
        <s v="Cane Sugar Manufacturing "/>
        <s v="Nonchocolate Confectionery Manufacturing"/>
        <s v="Chocolate and Confectionery Manufacturing from Cacao Beans "/>
        <s v="Confectionery Manufacturing from Purchased Chocolate "/>
        <s v="Frozen Fruit, Juice, and Vegetable Manufacturing "/>
        <s v="Frozen Specialty Food Manufacturing "/>
        <s v="Fruit and Vegetable Canning "/>
        <s v="Specialty Canning "/>
        <s v="Dried and Dehydrated Food Manufacturing "/>
        <s v="Fluid Milk Manufacturing "/>
        <s v="Creamery Butter Manufacturing "/>
        <s v="Cheese Manufacturing "/>
        <s v="Dry, Condensed, and Evaporated Dairy Product Manufacturing "/>
        <s v="Ice Cream and Frozen Dessert Manufacturing"/>
        <s v="Animal (except Poultry) Slaughtering "/>
        <s v="Meat Processed from Carcasses "/>
        <s v="Rendering and Meat Byproduct Processing "/>
        <s v="Poultry Processing "/>
        <s v="Seafood Product Preparation and Packaging"/>
        <s v="Retail Bakeries "/>
        <s v="Commercial Bakeries "/>
        <s v="Frozen Cakes, Pies, and Other Pastries Manufacturing "/>
        <s v="Cookie and Cracker Manufacturing "/>
        <s v="Dry Pasta, Dough, and Flour Mixes Manufacturing from Purchased Flour "/>
        <s v="Tortilla Manufacturing"/>
        <s v="Roasted Nuts and Peanut Butter Manufacturing "/>
        <s v="Other Snack Food Manufacturing "/>
        <s v="Coffee and Tea Manufacturing "/>
        <s v="Flavoring Syrup and Concentrate Manufacturing"/>
        <s v="Mayonnaise, Dressing, and Other Prepared Sauce Manufacturing "/>
        <s v="Spice and Extract Manufacturing "/>
        <s v="Perishable Prepared Food Manufacturing "/>
        <s v="All Other Miscellaneous Food Manufacturing "/>
        <s v="Soft Drink Manufacturing "/>
        <s v="Bottled Water Manufacturing "/>
        <s v="Ice Manufacturing "/>
        <s v="Breweries"/>
        <s v="Wineries "/>
        <s v="Distilleries "/>
        <s v="Tobacco Manufacturing "/>
        <s v="Fiber, Yarn, and Thread Mills "/>
        <s v="Broadwoven Fabric Mills"/>
        <s v="Narrow Fabric Mills and Schiffli Machine Embroidery"/>
        <s v="Nonwoven Fabric Mills"/>
        <s v="Knit Fabric Mills"/>
        <s v="Textile and Fabric Finishing Mills "/>
        <s v="Fabric Coating Mills"/>
        <s v="Carpet and Rug Mills"/>
        <s v="Curtain and Linen Mills"/>
        <s v="Textile Bag and Canvas Mills "/>
        <s v="Rope, Cordage, Twine, Tire Cord, and Tire Fabric Mills "/>
        <s v="All Other Miscellaneous Textile Product Mills "/>
        <s v="Apparel Knitting Mills"/>
        <s v="Cut and Sew Apparel Contractors "/>
        <s v="Cut and Sew Apparel Manufacturing (except Contractors) "/>
        <s v="Apparel Accessories and Other Apparel Manufacturing "/>
        <s v="Leather and Hide Tanning and Finishing"/>
        <s v="Footwear Manufacturing "/>
        <s v="Other Leather and Allied Product Manufacturing "/>
        <s v="Sawmills "/>
        <s v="Wood Preservation "/>
        <s v="Hardwood Veneer and Plywood Manufacturing "/>
        <s v="Softwood Veneer and Plywood Manufacturing "/>
        <s v="Engineered Wood Member Manufacturing "/>
        <s v="Reconstituted Wood Product Manufacturing "/>
        <s v="Wood Window and Door Manufacturing "/>
        <s v="Cut Stock, Resawing Lumber, and Planing "/>
        <s v="Other Millwork (including Flooring) "/>
        <s v="Wood Container and Pallet Manufacturing"/>
        <s v="Manufactured Home (Mobile Home) Manufacturing "/>
        <s v="Prefabricated Wood Building Manufacturing "/>
        <s v="All Other Miscellaneous Wood Product Manufacturing "/>
        <s v="Pulp Mills "/>
        <s v="Paper Mills "/>
        <s v="Paperboard Mills "/>
        <s v="Corrugated and Solid Fiber Box Manufacturing "/>
        <s v="Folding Paperboard Box Manufacturing "/>
        <s v="Other Paperboard Container Manufacturing "/>
        <s v="Paper Bag and Coated and Treated Paper Manufacturing"/>
        <s v="Stationery Product Manufacturing"/>
        <s v="Sanitary Paper Product Manufacturing "/>
        <s v="All Other Converted Paper Product Manufacturing "/>
        <s v="Commercial Printing (except Screen and Books) "/>
        <s v="Commercial Screen Printing "/>
        <s v="Books Printing "/>
        <s v="Support Activities for Printing"/>
        <s v="Petroleum Refineries"/>
        <s v="Asphalt Paving Mixture and Block Manufacturing "/>
        <s v="Asphalt Shingle and Coating Materials Manufacturing "/>
        <s v="Petroleum Lubricating Oil and Grease Manufacturing "/>
        <s v="All Other Petroleum and Coal Products Manufacturing "/>
        <s v="Petrochemical Manufacturing"/>
        <s v="Industrial Gas Manufacturing"/>
        <s v="Synthetic Dye and Pigment Manufacturing"/>
        <s v="Other Basic Inorganic Chemical Manufacturing "/>
        <s v="Ethyl Alcohol Manufacturing "/>
        <s v="Cyclic Crude, Intermediate, and Gum and Wood Chemical Manufacturing "/>
        <s v="All Other Basic Organic Chemical Manufacturing "/>
        <s v="Plastics Material and Resin Manufacturing "/>
        <s v="Synthetic Rubber Manufacturing "/>
        <s v="Artificial and Synthetic Fibers and Filaments Manufacturing"/>
        <s v="Nitrogenous Fertilizer Manufacturing "/>
        <s v="Phosphatic Fertilizer Manufacturing "/>
        <s v="Fertilizer (Mixing Only) Manufacturing "/>
        <s v="Compost Manufacturing"/>
        <s v="Pesticide and Other Agricultural Chemical Manufacturing"/>
        <s v="Medicinal and Botanical Manufacturing "/>
        <s v="Pharmaceutical Preparation Manufacturing "/>
        <s v="In-Vitro Diagnostic Substance Manufacturing "/>
        <s v="Biological Product (except Diagnostic) Manufacturing "/>
        <s v="Paint and Coating Manufacturing"/>
        <s v="Adhesive Manufacturing"/>
        <s v="Soap and Other Detergent Manufacturing "/>
        <s v="Polish and Other Sanitation Good Manufacturing "/>
        <s v="Surface Active Agent Manufacturing "/>
        <s v="Toilet Preparation Manufacturing"/>
        <s v="Printing Ink Manufacturing"/>
        <s v="Explosives Manufacturing"/>
        <s v="Custom Compounding of Purchased Resins "/>
        <s v="Photographic Film, Paper, Plate, Chemical, and Copy Toner Manufacturing "/>
        <s v="All Other Miscellaneous Chemical Product and Preparation Manufacturing "/>
        <s v="Plastics Bag and Pouch Manufacturing "/>
        <s v="Plastics Packaging Film and Sheet (including Laminated) Manufacturing "/>
        <s v="Unlaminated Plastics Film and Sheet (except Packaging) Manufacturing "/>
        <s v="Unlaminated Plastics Profile Shape Manufacturing "/>
        <s v="Plastics Pipe and Pipe Fitting Manufacturing "/>
        <s v="Laminated Plastics Plate, Sheet (except Packaging), and Shape Manufacturing"/>
        <s v="Polystyrene Foam Product Manufacturing"/>
        <s v="Urethane and Other Foam Product (except Polystyrene) Manufacturing"/>
        <s v="Plastics Bottle Manufacturing"/>
        <s v="Plastics Plumbing Fixture Manufacturing "/>
        <s v="All Other Plastics Product Manufacturing "/>
        <s v="Tire Manufacturing (except Retreading) "/>
        <s v="Tire Retreading "/>
        <s v="Rubber and Plastics Hoses and Belting Manufacturing"/>
        <s v="Rubber Product Manufacturing for Mechanical Use "/>
        <s v="All Other Rubber Product Manufacturing "/>
        <s v="Pottery, Ceramics, and Plumbing Fixture Manufacturing "/>
        <s v="Clay Building Material and Refractories Manufacturing "/>
        <s v="Flat Glass Manufacturing "/>
        <s v="Other Pressed and Blown Glass and Glassware Manufacturing "/>
        <s v="Glass Container Manufacturing "/>
        <s v="Glass Product Manufacturing Made of Purchased Glass "/>
        <s v="Cement Manufacturing"/>
        <s v="Ready-Mix Concrete Manufacturing"/>
        <s v="Concrete Block and Brick Manufacturing "/>
        <s v="Concrete Pipe Manufacturing "/>
        <s v="Other Concrete Product Manufacturing "/>
        <s v="Lime Manufacturing"/>
        <s v="Gypsum Product Manufacturing"/>
        <s v="Abrasive Product Manufacturing"/>
        <s v="Cut Stone and Stone Product Manufacturing "/>
        <s v="Ground or Treated Mineral and Earth Manufacturing "/>
        <s v="Mineral Wool Manufacturing "/>
        <s v="All Other Miscellaneous Nonmetallic Mineral Product Manufacturing "/>
        <s v="Iron and Steel Mills and Ferroalloy Manufacturing "/>
        <s v="Iron and Steel Pipe and Tube Manufacturing from Purchased Steel"/>
        <s v="Rolled Steel Shape Manufacturing "/>
        <s v="Steel Wire Drawing "/>
        <s v="Alumina Refining and Primary Aluminum Production "/>
        <s v="Secondary Smelting and Alloying of Aluminum "/>
        <s v="Aluminum Sheet, Plate, and Foil Manufacturing "/>
        <s v="Other Aluminum Rolling, Drawing, and Extruding "/>
        <s v="Nonferrous Metal (except Aluminum) Smelting and Refining "/>
        <s v="Copper Rolling, Drawing, Extruding, and Alloying"/>
        <s v="Nonferrous Metal (except Copper and Aluminum) Rolling, Drawing, and Extruding "/>
        <s v="Secondary Smelting, Refining, and Alloying of Nonferrous Metal (except Copper and Aluminum) "/>
        <s v="Iron Foundries "/>
        <s v="Steel Investment Foundries "/>
        <s v="Steel Foundries (except Investment) "/>
        <s v="Nonferrous Metal Die-Casting Foundries "/>
        <s v="Aluminum Foundries (except Die-Casting) "/>
        <s v="Other Nonferrous Metal Foundries (except Die-Casting) "/>
        <s v="Iron and Steel Forging "/>
        <s v="Nonferrous Forging "/>
        <s v="Custom Roll Forming "/>
        <s v="Powder Metallurgy Part Manufacturing "/>
        <s v="Metal Crown, Closure, and Other Metal Stamping (except Automotive) "/>
        <s v="Metal Kitchen Cookware, Utensil, Cutlery, and Flatware (except Precious) Manufacturing "/>
        <s v="Saw Blade and Handtool Manufacturing "/>
        <s v="Prefabricated Metal Building and Component Manufacturing "/>
        <s v="Fabricated Structural Metal Manufacturing "/>
        <s v="Plate Work Manufacturing "/>
        <s v="Metal Window and Door Manufacturing "/>
        <s v="Sheet Metal Work Manufacturing "/>
        <s v="Ornamental and Architectural Metal Work Manufacturing "/>
        <s v="Power Boiler and Heat Exchanger Manufacturing"/>
        <s v="Metal Tank (Heavy Gauge) Manufacturing"/>
        <s v="Metal Can Manufacturing "/>
        <s v="Other Metal Container Manufacturing "/>
        <s v="Hardware Manufacturing"/>
        <s v="Spring Manufacturing "/>
        <s v="Other Fabricated Wire Product Manufacturing "/>
        <s v="Machine Shops"/>
        <s v="Precision Turned Product Manufacturing "/>
        <s v="Bolt, Nut, Screw, Rivet, and Washer Manufacturing "/>
        <s v="Metal Heat Treating "/>
        <s v="Metal Coating, Engraving (except Jewelry and Silverware), and Allied Services to Manufacturers "/>
        <s v="Electroplating, Plating, Polishing, Anodizing, and Coloring "/>
        <s v="Industrial Valve Manufacturing "/>
        <s v="Fluid Power Valve and Hose Fitting Manufacturing "/>
        <s v="Plumbing Fixture Fitting and Trim Manufacturing "/>
        <s v="Other Metal Valve and Pipe Fitting Manufacturing "/>
        <s v="Ball and Roller Bearing Manufacturing"/>
        <s v="Small Arms Ammunition Manufacturing "/>
        <s v="Ammunition (except Small Arms) Manufacturing "/>
        <s v="Small Arms, Ordnance, and Ordnance Accessories Manufacturing "/>
        <s v="Fabricated Pipe and Pipe Fitting Manufacturing "/>
        <s v="All Other Miscellaneous Fabricated Metal Product Manufacturing "/>
        <s v="Farm Machinery and Equipment Manufacturing "/>
        <s v="Lawn and Garden Tractor and Home Lawn and Garden Equipment Manufacturing "/>
        <s v="Construction Machinery Manufacturing"/>
        <s v="Mining Machinery and Equipment Manufacturing "/>
        <s v="Oil and Gas Field Machinery and Equipment Manufacturing "/>
        <s v="Food Product Machinery Manufacturing "/>
        <s v="Semiconductor Machinery Manufacturing "/>
        <s v="Sawmill, Woodworking, and Paper Machinery Manufacturing "/>
        <s v="All Other Industrial Machinery Manufacturing "/>
        <s v="Commercial and Service Industry Machinery Manufacturing "/>
        <s v="Industrial and Commercial Fan and Blower and Air Purification Equipment Manufacturing "/>
        <s v="Heating Equipment (except Warm Air Furnaces) Manufacturing "/>
        <s v="Air-Conditioning and Warm Air Heating Equipment and Commercial and Industrial Refrigeration Equipment Manufacturing "/>
        <s v="Industrial Mold Manufacturing "/>
        <s v="Special Die and Tool, Die Set, Jig, and Fixture Manufacturing "/>
        <s v="Cutting Tool and Machine Tool Accessory Manufacturing "/>
        <s v="Machine Tool Manufacturing "/>
        <s v="Rolling Mill and Other Metalworking Machinery Manufacturing "/>
        <s v="Turbine and Turbine Generator Set Units Manufacturing "/>
        <s v="Speed Changer, Industrial High-Speed Drive, and Gear Manufacturing "/>
        <s v="Mechanical Power Transmission Equipment Manufacturing "/>
        <s v="Other Engine Equipment Manufacturing "/>
        <s v="Air and Gas Compressor Manufacturing "/>
        <s v="Measuring, Dispensing, and Other Pumping Equipment Manufacturing "/>
        <s v="Elevator and Moving Stairway Manufacturing "/>
        <s v="Conveyor and Conveying Equipment Manufacturing "/>
        <s v="Overhead Traveling Crane, Hoist, and Monorail System Manufacturing "/>
        <s v="Industrial Truck, Tractor, Trailer, and Stacker Machinery Manufacturing "/>
        <s v="Power-Driven Handtool Manufacturing "/>
        <s v="Welding and Soldering Equipment Manufacturing "/>
        <s v="Packaging Machinery Manufacturing "/>
        <s v="Industrial Process Furnace and Oven Manufacturing "/>
        <s v="Fluid Power Cylinder and Actuator Manufacturing "/>
        <s v="Fluid Power Pump and Motor Manufacturing "/>
        <s v="All Other Miscellaneous General Purpose Machinery Manufacturing "/>
        <s v="Electronic Computer Manufacturing "/>
        <s v="Computer Storage Device Manufacturing "/>
        <s v="Computer Terminal and Other Computer Peripheral Equipment Manufacturing "/>
        <s v="Telephone Apparatus Manufacturing"/>
        <s v="Radio and Television Broadcasting and Wireless Communications Equipment Manufacturing"/>
        <s v="Other Communications Equipment Manufacturing"/>
        <s v="Audio and Video Equipment Manufacturing"/>
        <s v="Bare Printed Circuit Board Manufacturing  "/>
        <s v="Semiconductor and Related Device Manufacturing "/>
        <s v="Capacitor, Resistor, Coil, Transformer, and Other Inductor Manufacturing "/>
        <s v="Electronic Connector Manufacturing "/>
        <s v="Printed Circuit Assembly (Electronic Assembly) Manufacturing "/>
        <s v="Other Electronic Component Manufacturing "/>
        <s v="Electromedical and Electrotherapeutic Apparatus Manufacturing "/>
        <s v="Search, Detection, Navigation, Guidance, Aeronautical, and Nautical System and Instrument Manufacturing "/>
        <s v="Automatic Environmental Control Manufacturing for Residential, Commercial, and Appliance Use "/>
        <s v="Instruments and Related Products Manufacturing for Measuring, Displaying, and Controlling Industrial Process Variables "/>
        <s v="Totalizing Fluid Meter and Counting Device Manufacturing "/>
        <s v="Instrument Manufacturing for Measuring and Testing Electricity and Electrical Signals "/>
        <s v="Analytical Laboratory Instrument Manufacturing "/>
        <s v="Irradiation Apparatus Manufacturing "/>
        <s v="Other Measuring and Controlling Device Manufacturing "/>
        <s v="Manufacturing and Reproducing Magnetic and Optical Media "/>
        <s v="Residential Electric Lighting Fixture Manufacturing "/>
        <s v="Commercial, Industrial, and Institutional Electric Lighting Fixture Manufacturing "/>
        <s v="Electric Lamp Bulb and Other Lighting Equipment Manufacturing "/>
        <s v="Small Electrical Appliance Manufacturing"/>
        <s v="Major Household Appliance Manufacturing "/>
        <s v="Power, Distribution, and Specialty Transformer Manufacturing "/>
        <s v="Motor and Generator Manufacturing "/>
        <s v="Switchgear and Switchboard Apparatus Manufacturing "/>
        <s v="Relay and Industrial Control Manufacturing "/>
        <s v="Battery Manufacturing "/>
        <s v="Fiber Optic Cable Manufacturing "/>
        <s v="Other Communication and Energy Wire Manufacturing "/>
        <s v="Current-Carrying Wiring Device Manufacturing "/>
        <s v="Noncurrent-Carrying Wiring Device Manufacturing "/>
        <s v="Carbon and Graphite Product Manufacturing "/>
        <s v="All Other Miscellaneous Electrical Equipment and Component Manufacturing "/>
        <s v="Automobile and Light Duty Motor Vehicle Manufacturing "/>
        <s v="Heavy Duty Truck Manufacturing"/>
        <s v="Motor Vehicle Body Manufacturing "/>
        <s v="Truck Trailer Manufacturing "/>
        <s v="Motor Home Manufacturing "/>
        <s v="Travel Trailer and Camper Manufacturing "/>
        <s v="Motor Vehicle Gasoline Engine and Engine Parts Manufacturing"/>
        <s v="Motor Vehicle Electrical and Electronic Equipment Manufacturing"/>
        <s v="Motor Vehicle Steering and Suspension Components (except Spring) Manufacturing"/>
        <s v="Motor Vehicle Brake System Manufacturing"/>
        <s v="Motor Vehicle Transmission and Power Train Parts Manufacturing"/>
        <s v="Motor Vehicle Seating and Interior Trim Manufacturing"/>
        <s v="Motor Vehicle Metal Stamping"/>
        <s v="Other Motor Vehicle Parts Manufacturing"/>
        <s v="Aircraft Manufacturing "/>
        <s v="Aircraft Engine and Engine Parts Manufacturing "/>
        <s v="Other Aircraft Parts and Auxiliary Equipment Manufacturing "/>
        <s v="Guided Missile and Space Vehicle Manufacturing "/>
        <s v="Guided Missile and Space Vehicle Propulsion Unit and Propulsion Unit Parts Manufacturing "/>
        <s v="Other Guided Missile and Space Vehicle Parts and Auxiliary Equipment Manufacturing "/>
        <s v="Railroad Rolling Stock Manufacturing"/>
        <s v="Ship Building and Repairing "/>
        <s v="Boat Building "/>
        <s v="Motorcycle, Bicycle, and Parts Manufacturing "/>
        <s v="Military Armored Vehicle, Tank, and Tank Component Manufacturing "/>
        <s v="All Other Transportation Equipment Manufacturing "/>
        <s v="Wood Kitchen Cabinet and Countertop Manufacturing"/>
        <s v="Upholstered Household Furniture Manufacturing "/>
        <s v="Nonupholstered Wood Household Furniture Manufacturing "/>
        <s v="Household Furniture (except Wood and Upholstered) Manufacturing "/>
        <s v="Institutional Furniture Manufacturing "/>
        <s v="Wood Office Furniture Manufacturing "/>
        <s v="Custom Architectural Woodwork and Millwork Manufacturing "/>
        <s v="Office Furniture (except Wood) Manufacturing "/>
        <s v="Showcase, Partition, Shelving, and Locker Manufacturing "/>
        <s v="Mattress Manufacturing"/>
        <s v="Blind and Shade Manufacturing"/>
        <s v="Surgical and Medical Instrument Manufacturing "/>
        <s v="Surgical Appliance and Supplies Manufacturing "/>
        <s v="Dental Equipment and Supplies Manufacturing "/>
        <s v="Ophthalmic Goods Manufacturing "/>
        <s v="Dental Laboratories "/>
        <s v="Jewelry and Silverware Manufacturing "/>
        <s v="Sporting and Athletic Goods Manufacturing"/>
        <s v="Doll, Toy, and Game Manufacturing"/>
        <s v="Office Supplies (except Paper) Manufacturing"/>
        <s v="Sign Manufacturing"/>
        <s v="Gasket, Packing, and Sealing Device Manufacturing "/>
        <s v="Musical Instrument Manufacturing "/>
        <s v="Fastener, Button, Needle, and Pin Manufacturing "/>
        <s v="Broom, Brush, and Mop Manufacturing "/>
        <s v="Burial Casket Manufacturing "/>
        <s v="All Other Miscellaneous Manufacturing "/>
        <s v="Automobile and Other Motor Vehicle Merchant Wholesalers "/>
        <s v="Motor Vehicle Supplies and New Parts Merchant Wholesalers "/>
        <s v="Tire and Tube Merchant Wholesalers "/>
        <s v="Motor Vehicle Parts (Used) Merchant Wholesalers "/>
        <s v="Furniture Merchant Wholesalers "/>
        <s v="Home Furnishing Merchant Wholesalers "/>
        <s v="Lumber, Plywood, Millwork, and Wood Panel Merchant Wholesalers "/>
        <s v="Brick, Stone, and Related Construction Material Merchant Wholesalers "/>
        <s v="Roofing, Siding, and Insulation Material Merchant Wholesalers "/>
        <s v="Other Construction Material Merchant Wholesalers "/>
        <s v="Photographic Equipment and Supplies Merchant Wholesalers "/>
        <s v="Office Equipment Merchant Wholesalers "/>
        <s v="Computer and Computer Peripheral Equipment and Software Merchant Wholesalers "/>
        <s v="Other Commercial Equipment Merchant Wholesalers "/>
        <s v="Medical, Dental, and Hospital Equipment and Supplies Merchant Wholesalers "/>
        <s v="Ophthalmic Goods Merchant Wholesalers "/>
        <s v="Other Professional Equipment and Supplies Merchant Wholesalers "/>
        <s v="Metal Service Centers and Other Metal Merchant Wholesalers "/>
        <s v="Coal and Other Mineral and Ore Merchant Wholesalers "/>
        <s v="Electrical Apparatus and Equipment, Wiring Supplies, and Related Equipment Merchant Wholesalers "/>
        <s v="Household Appliances, Electric Housewares, and Consumer Electronics Merchant Wholesalers "/>
        <s v="Other Electronic Parts and Equipment Merchant Wholesalers "/>
        <s v="Hardware Merchant Wholesalers "/>
        <s v="Plumbing and Heating Equipment and Supplies (Hydronics) Merchant Wholesalers "/>
        <s v="Warm Air Heating and Air-Conditioning Equipment and Supplies Merchant Wholesalers "/>
        <s v="Refrigeration Equipment and Supplies Merchant Wholesalers "/>
        <s v="Construction and Mining (except Oil Well) Machinery and Equipment Merchant Wholesalers "/>
        <s v="Farm and Garden Machinery and Equipment Merchant Wholesalers "/>
        <s v="Industrial Machinery and Equipment Merchant Wholesalers "/>
        <s v="Industrial Supplies Merchant Wholesalers"/>
        <s v="Service Establishment Equipment and Supplies Merchant Wholesalers "/>
        <s v="Transportation Equipment and Supplies (except Motor Vehicle) Merchant Wholesalers "/>
        <s v="Sporting and Recreational Goods and Supplies Merchant Wholesalers "/>
        <s v="Toy and Hobby Goods and Supplies Merchant Wholesalers "/>
        <s v="Recyclable Material Merchant Wholesalers "/>
        <s v="Jewelry, Watch, Precious Stone, and Precious Metal Merchant Wholesalers "/>
        <s v="Other Miscellaneous Durable Goods Merchant Wholesalers "/>
        <s v="Printing and Writing Paper Merchant Wholesalers "/>
        <s v="Stationery and Office Supplies Merchant Wholesalers "/>
        <s v="Industrial and Personal Service Paper Merchant Wholesalers "/>
        <s v="Drugs and Druggists' Sundries Merchant Wholesalers "/>
        <s v="Piece Goods, Notions, and Other Dry Goods Merchant Wholesalers "/>
        <s v="Footwear Merchant Wholesalers "/>
        <s v="Clothing and Clothing Accessories Merchant Wholesalers"/>
        <s v="General Line Grocery Merchant Wholesalers "/>
        <s v="Packaged Frozen Food Merchant Wholesalers "/>
        <s v="Dairy Product (except Dried or Canned) Merchant Wholesalers "/>
        <s v="Poultry and Poultry Product Merchant Wholesalers "/>
        <s v="Confectionery Merchant Wholesalers "/>
        <s v="Fish and Seafood Merchant Wholesalers "/>
        <s v="Meat and Meat Product Merchant Wholesalers "/>
        <s v="Fresh Fruit and Vegetable Merchant Wholesalers "/>
        <s v="Other Grocery and Related Products Merchant Wholesalers "/>
        <s v="Grain and Field Bean Merchant Wholesalers "/>
        <s v="Livestock Merchant Wholesalers "/>
        <s v="Other Farm Product Raw Material Merchant Wholesalers "/>
        <s v="Plastics Materials and Basic Forms and Shapes Merchant Wholesalers "/>
        <s v="Other Chemical and Allied Products Merchant Wholesalers "/>
        <s v="Petroleum Bulk Stations and Terminals "/>
        <s v="Petroleum and Petroleum Products Merchant Wholesalers (except Bulk Stations and Terminals) "/>
        <s v="Beer and Ale Merchant Wholesalers "/>
        <s v="Wine and Distilled Alcoholic Beverage Merchant Wholesalers "/>
        <s v="Farm Supplies Merchant Wholesalers "/>
        <s v="Book, Periodical, and Newspaper Merchant Wholesalers "/>
        <s v="Flower, Nursery Stock, and Florists' Supplies Merchant Wholesalers "/>
        <s v="Tobacco Product and Electronic Cigarette Merchant Wholesalers "/>
        <s v="Paint, Varnish, and Supplies Merchant Wholesalers "/>
        <s v="Other Miscellaneous Nondurable Goods Merchant Wholesalers "/>
        <s v="Wholesale Trade Agents and Brokers "/>
        <s v="New Car Dealers "/>
        <s v="Used Car Dealers "/>
        <s v="Recreational Vehicle Dealers "/>
        <s v="Boat Dealers "/>
        <s v="Motorcycle, ATV, and All Other Motor Vehicle Dealers "/>
        <s v="Automotive Parts and Accessories Retailers "/>
        <s v="Tire Dealers "/>
        <s v="Home Centers "/>
        <s v="Paint and Wallpaper Retailers "/>
        <s v="Hardware Retailers "/>
        <s v="Other Building Material Dealers "/>
        <s v="Outdoor Power Equipment Retailers "/>
        <s v="Nursery, Garden Center, and Farm Supply Retailers "/>
        <s v="Supermarkets and Other Grocery Retailers (except Convenience Retailers) "/>
        <s v="Convenience Retailers "/>
        <s v="Vending Machine Operators "/>
        <s v="Fruit and Vegetable Retailers "/>
        <s v="Meat Retailers "/>
        <s v="Fish and Seafood Retailers "/>
        <s v="Baked Goods Retailers "/>
        <s v="Confectionery and Nut Retailers "/>
        <s v="All Other Specialty Food Retailers "/>
        <s v="Beer, Wine, and Liquor Retailers "/>
        <s v="Furniture Retailers "/>
        <s v="Floor Covering Retailers "/>
        <s v="Window Treatment Retailers "/>
        <s v="All Other Home Furnishings Retailers "/>
        <s v="Electronics and Appliance Retailers"/>
        <s v="Department Stores "/>
        <s v="Warehouse Clubs and Supercenters "/>
        <s v="All Other General Merchandise Retailers "/>
        <s v="Pharmacies and Drug Retailers "/>
        <s v="Cosmetics, Beauty Supplies, and Perfume Retailers "/>
        <s v="Optical Goods Retailers "/>
        <s v="Food (Health) Supplement Retailers "/>
        <s v="All Other Health and Personal Care Retailers "/>
        <s v="Gasoline Stations with Convenience Stores "/>
        <s v="Other Gasoline Stations "/>
        <s v="Fuel Dealers "/>
        <s v="Clothing and Clothing Accessories Retailers "/>
        <s v="Shoe Retailers "/>
        <s v="Jewelry Retailers "/>
        <s v="Luggage and Leather Goods Retailers "/>
        <s v="Sporting Goods Retailers "/>
        <s v="Hobby, Toy, and Game Retailers "/>
        <s v="Sewing, Needlework, and Piece Goods Retailers "/>
        <s v="Musical Instrument and Supplies Retailers "/>
        <s v="Book Retailers and News Dealers "/>
        <s v="Florists "/>
        <s v="Office Supplies and Stationery Retailers "/>
        <s v="Gift, Novelty, and Souvenir Retailers "/>
        <s v="Used Merchandise Retailers "/>
        <s v="Pet and Pet Supplies Retailers "/>
        <s v="Art Dealers "/>
        <s v="Manufactured (Mobile) Home Dealers "/>
        <s v="Tobacco, Electronic Cigarette, and Other Smoking Supplies Retailers "/>
        <s v="All Other Miscellaneous Retailers "/>
        <s v="Scheduled Passenger Air Transportation "/>
        <s v="Scheduled Freight Air Transportation "/>
        <s v="Nonscheduled Chartered Passenger Air Transportation "/>
        <s v="Nonscheduled Chartered Freight Air Transportation "/>
        <s v="Other Nonscheduled Air Transportation "/>
        <s v="Line-Haul Railroads "/>
        <s v="Short Line Railroads "/>
        <s v="Deep Sea Freight Transportation "/>
        <s v="Deep Sea Passenger Transportation "/>
        <s v="Coastal and Great Lakes Freight Transportation "/>
        <s v="Coastal and Great Lakes Passenger Transportation "/>
        <s v="Inland Water Freight Transportation "/>
        <s v="Inland Water Passenger Transportation "/>
        <s v="General Freight Trucking, Local "/>
        <s v="General Freight Trucking, Long-Distance, Truckload "/>
        <s v="General Freight Trucking, Long-Distance, Less Than Truckload "/>
        <s v="Used Household and Office Goods Moving"/>
        <s v="Specialized Freight (except Used Goods) Trucking, Local "/>
        <s v="Specialized Freight (except Used Goods) Trucking, Long-Distance "/>
        <s v="Mixed Mode Transit Systems "/>
        <s v="Commuter Rail Systems "/>
        <s v="Bus and Other Motor Vehicle Transit Systems "/>
        <s v="Other Urban Transit Systems "/>
        <s v="Interurban and Rural Bus Transportation"/>
        <s v="Taxi and Ridesharing Services "/>
        <s v="Limousine Service"/>
        <s v="School and Employee Bus Transportation"/>
        <s v="Charter Bus Industry"/>
        <s v="Special Needs Transportation "/>
        <s v="All Other Transit and Ground Passenger Transportation "/>
        <s v="Pipeline Transportation of Crude Oil"/>
        <s v="Pipeline Transportation of Natural Gas"/>
        <s v="Pipeline Transportation of Refined Petroleum Products"/>
        <s v="All Other Pipeline Transportation"/>
        <s v="Scenic and Sightseeing Transportation, Land"/>
        <s v="Scenic and Sightseeing Transportation, Water"/>
        <s v="Scenic and Sightseeing Transportation, Other"/>
        <s v="Air Traffic Control"/>
        <s v="Other Airport Operations "/>
        <s v="Other Support Activities for Air Transportation"/>
        <s v="Support Activities for Rail Transportation"/>
        <s v="Port and Harbor Operations"/>
        <s v="Marine Cargo Handling"/>
        <s v="Navigational Services to Shipping "/>
        <s v="Other Support Activities for Water Transportation"/>
        <s v="Motor Vehicle Towing"/>
        <s v="Other Support Activities for Road Transportation "/>
        <s v="Freight Transportation Arrangement "/>
        <s v="Packing and Crating "/>
        <s v="All Other Support Activities for Transportation "/>
        <s v="Postal Service"/>
        <s v="Couriers and Express Delivery Services"/>
        <s v="Local Messengers and Local Delivery"/>
        <s v="General Warehousing and Storage "/>
        <s v="Refrigerated Warehousing and Storage"/>
        <s v="Farm Product Warehousing and Storage"/>
        <s v="Other Warehousing and Storage"/>
        <s v="Motion Picture and Video Production "/>
        <s v="Motion Picture and Video Distribution"/>
        <s v="Motion Picture Theaters (except Drive-Ins) "/>
        <s v="Drive-In Motion Picture Theaters "/>
        <s v="Teleproduction and Other Postproduction Services "/>
        <s v="Other Motion Picture and Video Industries "/>
        <s v="Music Publishers"/>
        <s v="Sound Recording Studios"/>
        <s v="Record Production and Distribution"/>
        <s v="Other Sound Recording Industries"/>
        <s v="Newspaper Publishers "/>
        <s v="Periodical Publishers "/>
        <s v="Book Publishers "/>
        <s v="Directory and Mailing List Publishers "/>
        <s v="Greeting Card Publishers "/>
        <s v="All Other Publishers "/>
        <s v="Software Publishers"/>
        <s v="Radio Broadcasting Stations "/>
        <s v="Television Broadcasting Stations "/>
        <s v="Media Streaming Distribution Services, Social Networks, and Other Media Networks and Content Providers"/>
        <s v="Wired Telecommunications Carriers "/>
        <s v="Wireless Telecommunications Carriers (except Satellite)"/>
        <s v="Telecommunications Resellers"/>
        <s v="Agents for Wireless Telecommunications Services"/>
        <s v="Satellite Telecommunications"/>
        <s v="All Other Telecommunications "/>
        <s v="Computing Infrastructure Providers, Data Processing, Web Hosting, and Related Services"/>
        <s v="Libraries and Archives "/>
        <s v="Web Search Portals and All Other Information Services"/>
        <s v="Monetary Authorities-Central Bank"/>
        <s v="Commercial Banking "/>
        <s v="Credit Unions "/>
        <s v="Savings Institutions and Other Depository Credit Intermediation "/>
        <s v="Credit Card Issuing "/>
        <s v="Sales Financing "/>
        <s v="Consumer Lending "/>
        <s v="Real Estate Credit "/>
        <s v="International, Secondary Market, and All Other Nondepository Credit Intermediation "/>
        <s v="Mortgage and Nonmortgage Loan Brokers "/>
        <s v="Financial Transactions Processing, Reserve, and Clearinghouse Activities "/>
        <s v="Other Activities Related to Credit Intermediation "/>
        <s v="Investment Banking and Securities Intermediation "/>
        <s v="Commodity Contracts Intermediation "/>
        <s v="Securities and Commodity Exchanges"/>
        <s v="Miscellaneous Intermediation "/>
        <s v="Portfolio Management and Investment Advice "/>
        <s v="Trust, Fiduciary, and Custody Activities "/>
        <s v="Miscellaneous Financial Investment Activities "/>
        <s v="Direct Life Insurance Carriers "/>
        <s v="Direct Health and Medical Insurance Carriers "/>
        <s v="Direct Property and Casualty Insurance Carriers "/>
        <s v="Direct Title Insurance Carriers "/>
        <s v="Other Direct Insurance (except Life, Health, and Medical) Carriers "/>
        <s v="Reinsurance Carriers "/>
        <s v="Insurance Agencies and Brokerages "/>
        <s v="Claims Adjusting "/>
        <s v="Pharmacy Benefit Management and Other Third Party Administration of Insurance and Pension Funds "/>
        <s v="All Other Insurance Related Activities "/>
        <s v="Pension Funds "/>
        <s v="Health and Welfare Funds "/>
        <s v="Other Insurance Funds "/>
        <s v="Open-End Investment Funds "/>
        <s v="Trusts, Estates, and Agency Accounts "/>
        <s v="Other Financial Vehicles "/>
        <s v="Lessors of Residential Buildings and Dwellings "/>
        <s v="Lessors of Nonresidential Buildings (except Miniwarehouses) "/>
        <s v="Lessors of Miniwarehouses and Self-Storage Units "/>
        <s v="Lessors of Other Real Estate Property "/>
        <s v="Offices of Real Estate Agents and Brokers"/>
        <s v="Residential Property Managers "/>
        <s v="Nonresidential Property Managers "/>
        <s v="Offices of Real Estate Appraisers "/>
        <s v="Other Activities Related to Real Estate "/>
        <s v="Passenger Car Rental "/>
        <s v="Passenger Car Leasing "/>
        <s v="Truck, Utility Trailer, and RV (Recreational Vehicle) Rental and Leasing "/>
        <s v="Consumer Electronics and Appliances Rental"/>
        <s v="Formal Wear and Costume Rental"/>
        <s v="Video Tape and Disc Rental"/>
        <s v="Home Health Equipment Rental "/>
        <s v="Recreational Goods Rental "/>
        <s v="All Other Consumer Goods Rental "/>
        <s v="General Rental Centers"/>
        <s v="Commercial Air, Rail, and Water Transportation Equipment Rental and Leasing "/>
        <s v="Construction, Mining, and Forestry Machinery and Equipment Rental and Leasing "/>
        <s v="Office Machinery and Equipment Rental and Leasing"/>
        <s v="Other Commercial and Industrial Machinery and Equipment Rental and Leasing "/>
        <s v="Lessors of Nonfinancial Intangible Assets (except Copyrighted Works)"/>
        <s v="Offices of Lawyers"/>
        <s v="Offices of Notaries"/>
        <s v="Title Abstract and Settlement Offices "/>
        <s v="All Other Legal Services "/>
        <s v="Offices of Certified Public Accountants "/>
        <s v="Tax Preparation Services "/>
        <s v="Payroll Services "/>
        <s v="Other Accounting Services "/>
        <s v="Architectural Services"/>
        <s v="Landscape Architectural Services"/>
        <s v="Engineering Services"/>
        <s v="Drafting Services"/>
        <s v="Building Inspection Services"/>
        <s v="Geophysical Surveying and Mapping Services"/>
        <s v="Surveying and Mapping (except Geophysical) Services"/>
        <s v="Testing Laboratories and Services"/>
        <s v="Interior Design Services"/>
        <s v="Industrial Design Services"/>
        <s v="Graphic Design Services"/>
        <s v="Other Specialized Design Services"/>
        <s v="Custom Computer Programming Services "/>
        <s v="Computer Systems Design Services "/>
        <s v="Computer Facilities Management Services "/>
        <s v="Other Computer Related Services"/>
        <s v="Administrative Management and General Management Consulting Services "/>
        <s v="Human Resources Consulting Services "/>
        <s v="Marketing Consulting Services "/>
        <s v="Process, Physical Distribution, and Logistics Consulting Services "/>
        <s v="Other Management Consulting Services "/>
        <s v="Environmental Consulting Services"/>
        <s v="Other Scientific and Technical Consulting Services"/>
        <s v="Research and Development in Nanotechnology "/>
        <s v="Research and Development in Biotechnology (except Nanobiotechnology)"/>
        <s v="Research and Development in the Physical, Engineering, and Life Sciences (except Nanotechnology and Biotechnology) "/>
        <s v="Research and Development in the Social Sciences and Humanities "/>
        <s v="Advertising Agencies"/>
        <s v="Public Relations Agencies"/>
        <s v="Media Buying Agencies"/>
        <s v="Media Representatives"/>
        <s v="Indoor and Outdoor Display Advertising"/>
        <s v="Direct Mail Advertising"/>
        <s v="Advertising Material Distribution Services"/>
        <s v="Other Services Related to Advertising "/>
        <s v="Marketing Research and Public Opinion Polling"/>
        <s v="Photography Studios, Portrait "/>
        <s v="Commercial Photography "/>
        <s v="Translation and Interpretation Services"/>
        <s v="Veterinary Services "/>
        <s v="All Other Professional, Scientific, and Technical Services"/>
        <s v="Offices of Bank Holding Companies "/>
        <s v="Offices of Other Holding Companies "/>
        <s v="Corporate, Subsidiary, and Regional Managing Offices "/>
        <s v="Office Administrative Services"/>
        <s v="Facilities Support Services"/>
        <s v="Employment Placement Agencies "/>
        <s v="Executive Search Services "/>
        <s v="Temporary Help Services"/>
        <s v="Professional Employer Organizations"/>
        <s v="Document Preparation Services"/>
        <s v="Telephone Answering Services "/>
        <s v="Telemarketing Bureaus and Other Contact Centers "/>
        <s v="Private Mail Centers "/>
        <s v="Other Business Service Centers (including Copy Shops) "/>
        <s v="Collection Agencies"/>
        <s v="Credit Bureaus"/>
        <s v="Repossession Services "/>
        <s v="Court Reporting and Stenotype Services "/>
        <s v="All Other Business Support Services "/>
        <s v="Travel Agencies"/>
        <s v="Tour Operators"/>
        <s v="Convention and Visitors Bureaus "/>
        <s v="All Other Travel Arrangement and Reservation Services "/>
        <s v="Investigation and Personal Background Check Services "/>
        <s v="Security Guards and Patrol Services "/>
        <s v="Armored Car Services "/>
        <s v="Security Systems Services (except Locksmiths) "/>
        <s v="Locksmiths "/>
        <s v="Exterminating and Pest Control Services"/>
        <s v="Janitorial Services "/>
        <s v="Landscaping Services"/>
        <s v="Carpet and Upholstery Cleaning Services"/>
        <s v="Other Services to Buildings and Dwellings "/>
        <s v="Packaging and Labeling Services"/>
        <s v="Convention and Trade Show Organizers"/>
        <s v="All Other Support Services"/>
        <s v="Solid Waste Collection "/>
        <s v="Hazardous Waste Collection "/>
        <s v="Other Waste Collection "/>
        <s v="Hazardous Waste Treatment and Disposal "/>
        <s v="Solid Waste Landfill "/>
        <s v="Solid Waste Combustors and Incinerators "/>
        <s v="Other Nonhazardous Waste Treatment and Disposal "/>
        <s v="Remediation Services "/>
        <s v="Materials Recovery Facilities "/>
        <s v="Septic Tank and Related Services "/>
        <s v="All Other Miscellaneous Waste Management Services "/>
        <s v="Elementary and Secondary Schools "/>
        <s v="Junior Colleges "/>
        <s v="Colleges, Universities, and Professional Schools "/>
        <s v="Business and Secretarial Schools "/>
        <s v="Computer Training "/>
        <s v="Professional and Management Development Training "/>
        <s v="Cosmetology and Barber Schools "/>
        <s v="Flight Training "/>
        <s v="Apprenticeship Training "/>
        <s v="Other Technical and Trade Schools "/>
        <s v="Fine Arts Schools "/>
        <s v="Sports and Recreation Instruction "/>
        <s v="Language Schools "/>
        <s v="Exam Preparation and Tutoring "/>
        <s v="Automobile Driving Schools "/>
        <s v="All Other Miscellaneous Schools and Instruction "/>
        <s v="Educational Support Services"/>
        <s v="Offices of Physicians (except Mental Health Specialists) "/>
        <s v="Offices of Physicians, Mental Health Specialists "/>
        <s v="Offices of Dentists "/>
        <s v="Offices of Chiropractors "/>
        <s v="Offices of Optometrists"/>
        <s v="Offices of Mental Health Practitioners (except Physicians) "/>
        <s v="Offices of Physical, Occupational and Speech Therapists, and Audiologists "/>
        <s v="Offices of Podiatrists "/>
        <s v="Offices of All Other Miscellaneous Health Practitioners "/>
        <s v="Family Planning Centers "/>
        <s v="Outpatient Mental Health and Substance Abuse Centers "/>
        <s v="HMO Medical Centers "/>
        <s v="Kidney Dialysis Centers "/>
        <s v="Freestanding Ambulatory Surgical and Emergency Centers "/>
        <s v="All Other Outpatient Care Centers "/>
        <s v="Medical Laboratories "/>
        <s v="Diagnostic Imaging Centers "/>
        <s v="Home Health Care Services"/>
        <s v="Ambulance Services "/>
        <s v="Blood and Organ Banks "/>
        <s v="All Other Miscellaneous Ambulatory Health Care Services "/>
        <s v="General Medical and Surgical Hospitals "/>
        <s v="Psychiatric and Substance Abuse Hospitals "/>
        <s v="Specialty (except Psychiatric and Substance Abuse) Hospitals "/>
        <s v="Nursing Care Facilities (Skilled Nursing Facilities) "/>
        <s v="Residential Intellectual and Developmental Disability Facilities "/>
        <s v="Residential Mental Health and Substance Abuse Facilities "/>
        <s v="Continuing Care Retirement Communities "/>
        <s v="Assisted Living Facilities for the Elderly "/>
        <s v="Other Residential Care Facilities "/>
        <s v="Child and Youth Services "/>
        <s v="Services for the Elderly and Persons with Disabilities "/>
        <s v="Other Individual and Family Services "/>
        <s v="Community Food Services "/>
        <s v="Temporary Shelters "/>
        <s v="Other Community Housing Services "/>
        <s v="Emergency and Other Relief Services "/>
        <s v="Vocational Rehabilitation Services "/>
        <s v="Child Care Services "/>
        <s v="Theater Companies and Dinner Theaters "/>
        <s v="Dance Companies "/>
        <s v="Musical Groups and Artists "/>
        <s v="Other Performing Arts Companies "/>
        <s v="Sports Teams and Clubs "/>
        <s v="Racetracks "/>
        <s v="Other Spectator Sports "/>
        <s v="Promoters of Performing Arts, Sports, and Similar Events with Facilities "/>
        <s v="Promoters of Performing Arts, Sports, and Similar Events without Facilities "/>
        <s v="Agents and Managers for Artists, Athletes, Entertainers, and Other Public Figures"/>
        <s v="Independent Artists, Writers, and Performers "/>
        <s v="Museums "/>
        <s v="Historical Sites"/>
        <s v="Zoos and Botanical Gardens "/>
        <s v="Nature Parks and Other Similar Institutions"/>
        <s v="Amusement and Theme Parks "/>
        <s v="Amusement Arcades"/>
        <s v="Casinos (except Casino Hotels)"/>
        <s v="Other Gambling Industries "/>
        <s v="Golf Courses and Country Clubs"/>
        <s v="Skiing Facilities"/>
        <s v="Marinas"/>
        <s v="Fitness and Recreational Sports Centers "/>
        <s v="Bowling Centers"/>
        <s v="All Other Amusement and Recreation Industries "/>
        <s v="Hotels (except Casino Hotels) and Motels "/>
        <s v="Casino Hotels"/>
        <s v="Bed-and-Breakfast Inns "/>
        <s v="All Other Traveler Accommodation "/>
        <s v="RV (Recreational Vehicle) Parks and Campgrounds "/>
        <s v="Recreational and Vacation Camps (except Campgrounds) "/>
        <s v="Rooming and Boarding Houses, Dormitories, and Workers' Camps "/>
        <s v="Food Service Contractors"/>
        <s v="Caterers"/>
        <s v="Mobile Food Services"/>
        <s v="Drinking Places (Alcoholic Beverages) "/>
        <s v="Full-Service Restaurants "/>
        <s v="Limited-Service Restaurants "/>
        <s v="Cafeterias, Grill Buffets, and Buffets "/>
        <s v="Snack and Nonalcoholic Beverage Bars "/>
        <s v="General Automotive Repair "/>
        <s v="Specialized Automotive Repair "/>
        <s v="Automotive Body, Paint, and Interior Repair and Maintenance "/>
        <s v="Automotive Glass Replacement Shops "/>
        <s v="Automotive Oil Change and Lubrication Shops "/>
        <s v="Car Washes "/>
        <s v="All Other Automotive Repair and Maintenance "/>
        <s v="Electronic and Precision Equipment Repair and Maintenance "/>
        <s v="Commercial and Industrial Machinery and Equipment (except Automotive and Electronic) Repair and Maintenance "/>
        <s v="Home and Garden Equipment Repair and Maintenance "/>
        <s v="Appliance Repair and Maintenance "/>
        <s v="Reupholstery and Furniture Repair"/>
        <s v="Footwear and Leather Goods Repair"/>
        <s v="Other Personal and Household Goods Repair and Maintenance "/>
        <s v="Barber Shops "/>
        <s v="Beauty Salons "/>
        <s v="Nail Salons "/>
        <s v="Diet and Weight Reducing Centers "/>
        <s v="Other Personal Care Services "/>
        <s v="Funeral Homes and Funeral Services "/>
        <s v="Cemeteries and Crematories "/>
        <s v="Coin-Operated Laundries and Drycleaners "/>
        <s v="Drycleaning and Laundry Services (except Coin-Operated) "/>
        <s v="Linen Supply "/>
        <s v="Industrial Launderers "/>
        <s v="Pet Care (except Veterinary) Services "/>
        <s v="Photofinishing Laboratories (except One-Hour) "/>
        <s v="One-Hour Photofinishing "/>
        <s v="Parking Lots and Garages "/>
        <s v="All Other Personal Services "/>
        <s v="Religious Organizations "/>
        <s v="Grantmaking Foundations "/>
        <s v="Voluntary Health Organizations "/>
        <s v="Other Grantmaking and Giving Services "/>
        <s v="Human Rights Organizations "/>
        <s v="Environment, Conservation and Wildlife Organizations "/>
        <s v="Other Social Advocacy Organizations "/>
        <s v="Civic and Social Organizations "/>
        <s v="Business Associations "/>
        <s v="Professional Organizations "/>
        <s v="Labor Unions and Similar Labor Organizations "/>
        <s v="Political Organizations "/>
        <s v="Other Similar Organizations (except Business, Professional, Labor, and Political Organizations) "/>
        <s v="Private Households"/>
        <s v="Executive Offices "/>
        <s v="Legislative Bodies "/>
        <s v="Public Finance Activities "/>
        <s v="Executive and Legislative Offices, Combined "/>
        <s v="American Indian and Alaska Native Tribal Governments "/>
        <s v="Other General Government Support "/>
        <s v="Courts "/>
        <s v="Police Protection "/>
        <s v="Legal Counsel and Prosecution "/>
        <s v="Correctional Institutions "/>
        <s v="Parole Offices and Probation Offices "/>
        <s v="Fire Protection "/>
        <s v="Other Justice, Public Order, and Safety Activities "/>
        <s v="Administration of Education Programs "/>
        <s v="Administration of Public Health Programs "/>
        <s v="Administration of Human Resource Programs (except Education, Public Health, and Veterans' Affairs Programs) "/>
        <s v="Administration of Veterans' Affairs "/>
        <s v="Administration of Air and Water Resource and Solid Waste Management Programs "/>
        <s v="Administration of Conservation Programs "/>
        <s v="Administration of Housing Programs "/>
        <s v="Administration of Urban Planning and Community and Rural Development "/>
        <s v="Administration of General Economic Programs "/>
        <s v="Regulation and Administration of Transportation Programs "/>
        <s v="Regulation and Administration of Communications, Electric, Gas, and Other Utilities "/>
        <s v="Regulation of Agricultural Marketing and Commodities "/>
        <s v="Regulation, Licensing, and Inspection of Miscellaneous Commercial Sectors "/>
        <s v="Space Research and Technology "/>
        <s v="National Security "/>
        <s v="International Affairs "/>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2">
  <r>
    <x v="0"/>
    <s v="Soybean Farming"/>
    <x v="0"/>
    <x v="0"/>
  </r>
  <r>
    <x v="1"/>
    <s v="Oilseed (except Soybean) Farming "/>
    <x v="1"/>
    <x v="1"/>
  </r>
  <r>
    <x v="2"/>
    <s v="Dry Pea and Bean Farming "/>
    <x v="2"/>
    <x v="2"/>
  </r>
  <r>
    <x v="3"/>
    <s v="Wheat Farming"/>
    <x v="3"/>
    <x v="3"/>
  </r>
  <r>
    <x v="4"/>
    <s v="Corn Farming "/>
    <x v="4"/>
    <x v="4"/>
  </r>
  <r>
    <x v="5"/>
    <s v="Rice Farming"/>
    <x v="5"/>
    <x v="5"/>
  </r>
  <r>
    <x v="6"/>
    <s v="Oilseed and Grain Combination Farming "/>
    <x v="6"/>
    <x v="6"/>
  </r>
  <r>
    <x v="7"/>
    <s v="All Other Grain Farming "/>
    <x v="7"/>
    <x v="7"/>
  </r>
  <r>
    <x v="8"/>
    <s v="Potato Farming "/>
    <x v="8"/>
    <x v="8"/>
  </r>
  <r>
    <x v="9"/>
    <s v="Other Vegetable (except Potato) and Melon Farming "/>
    <x v="9"/>
    <x v="9"/>
  </r>
  <r>
    <x v="10"/>
    <s v="Orange Groves"/>
    <x v="10"/>
    <x v="10"/>
  </r>
  <r>
    <x v="11"/>
    <s v="Citrus (except Orange) Groves "/>
    <x v="11"/>
    <x v="11"/>
  </r>
  <r>
    <x v="12"/>
    <s v="Apple Orchards "/>
    <x v="12"/>
    <x v="12"/>
  </r>
  <r>
    <x v="13"/>
    <s v="Grape Vineyards "/>
    <x v="13"/>
    <x v="13"/>
  </r>
  <r>
    <x v="14"/>
    <s v="Strawberry Farming "/>
    <x v="14"/>
    <x v="14"/>
  </r>
  <r>
    <x v="15"/>
    <s v="Berry (except Strawberry) Farming "/>
    <x v="15"/>
    <x v="15"/>
  </r>
  <r>
    <x v="16"/>
    <s v="Tree Nut Farming "/>
    <x v="16"/>
    <x v="16"/>
  </r>
  <r>
    <x v="17"/>
    <s v="Fruit and Tree Nut Combination Farming "/>
    <x v="17"/>
    <x v="17"/>
  </r>
  <r>
    <x v="18"/>
    <s v="Other Noncitrus Fruit Farming "/>
    <x v="18"/>
    <x v="18"/>
  </r>
  <r>
    <x v="19"/>
    <s v="Mushroom Production "/>
    <x v="19"/>
    <x v="19"/>
  </r>
  <r>
    <x v="20"/>
    <s v="Other Food Crops Grown Under Cover "/>
    <x v="20"/>
    <x v="20"/>
  </r>
  <r>
    <x v="21"/>
    <s v="Nursery and Tree Production "/>
    <x v="21"/>
    <x v="21"/>
  </r>
  <r>
    <x v="22"/>
    <s v="Floriculture Production "/>
    <x v="22"/>
    <x v="22"/>
  </r>
  <r>
    <x v="23"/>
    <s v="Tobacco Farming"/>
    <x v="23"/>
    <x v="23"/>
  </r>
  <r>
    <x v="24"/>
    <s v="Cotton Farming"/>
    <x v="24"/>
    <x v="24"/>
  </r>
  <r>
    <x v="25"/>
    <s v="Sugarcane Farming"/>
    <x v="25"/>
    <x v="25"/>
  </r>
  <r>
    <x v="26"/>
    <s v="Hay Farming "/>
    <x v="26"/>
    <x v="26"/>
  </r>
  <r>
    <x v="27"/>
    <s v="Sugar Beet Farming "/>
    <x v="27"/>
    <x v="27"/>
  </r>
  <r>
    <x v="28"/>
    <s v="Peanut Farming "/>
    <x v="28"/>
    <x v="28"/>
  </r>
  <r>
    <x v="29"/>
    <s v="All Other Miscellaneous Crop Farming "/>
    <x v="29"/>
    <x v="29"/>
  </r>
  <r>
    <x v="30"/>
    <s v="Beef Cattle Ranching and Farming "/>
    <x v="30"/>
    <x v="30"/>
  </r>
  <r>
    <x v="31"/>
    <s v="Cattle Feedlots "/>
    <x v="31"/>
    <x v="31"/>
  </r>
  <r>
    <x v="32"/>
    <s v="Dairy Cattle and Milk Production"/>
    <x v="32"/>
    <x v="32"/>
  </r>
  <r>
    <x v="33"/>
    <s v="Dual-Purpose Cattle Ranching and Farming "/>
    <x v="33"/>
    <x v="33"/>
  </r>
  <r>
    <x v="34"/>
    <s v="Hog and Pig Farming "/>
    <x v="34"/>
    <x v="34"/>
  </r>
  <r>
    <x v="35"/>
    <s v="Chicken Egg Production "/>
    <x v="35"/>
    <x v="35"/>
  </r>
  <r>
    <x v="36"/>
    <s v="Broilers and Other Meat Type Chicken Production "/>
    <x v="36"/>
    <x v="36"/>
  </r>
  <r>
    <x v="37"/>
    <s v="Turkey Production"/>
    <x v="37"/>
    <x v="37"/>
  </r>
  <r>
    <x v="38"/>
    <s v="Poultry Hatcheries"/>
    <x v="38"/>
    <x v="38"/>
  </r>
  <r>
    <x v="39"/>
    <s v="Other Poultry Production "/>
    <x v="39"/>
    <x v="39"/>
  </r>
  <r>
    <x v="40"/>
    <s v="Sheep Farming"/>
    <x v="40"/>
    <x v="40"/>
  </r>
  <r>
    <x v="41"/>
    <s v="Goat Farming"/>
    <x v="41"/>
    <x v="41"/>
  </r>
  <r>
    <x v="42"/>
    <s v="Finfish Farming and Fish Hatcheries "/>
    <x v="42"/>
    <x v="42"/>
  </r>
  <r>
    <x v="43"/>
    <s v="Shellfish Farming "/>
    <x v="43"/>
    <x v="43"/>
  </r>
  <r>
    <x v="44"/>
    <s v="Other Aquaculture "/>
    <x v="44"/>
    <x v="44"/>
  </r>
  <r>
    <x v="45"/>
    <s v="Apiculture"/>
    <x v="45"/>
    <x v="45"/>
  </r>
  <r>
    <x v="46"/>
    <s v="Horses and Other Equine Production"/>
    <x v="46"/>
    <x v="46"/>
  </r>
  <r>
    <x v="47"/>
    <s v="Fur-Bearing Animal and Rabbit Production"/>
    <x v="47"/>
    <x v="47"/>
  </r>
  <r>
    <x v="48"/>
    <s v="All Other Animal Production "/>
    <x v="48"/>
    <x v="48"/>
  </r>
  <r>
    <x v="49"/>
    <s v="Timber Tract Operations"/>
    <x v="49"/>
    <x v="49"/>
  </r>
  <r>
    <x v="50"/>
    <s v="Forest Nurseries and Gathering of Forest Products "/>
    <x v="50"/>
    <x v="50"/>
  </r>
  <r>
    <x v="51"/>
    <s v="Logging "/>
    <x v="51"/>
    <x v="51"/>
  </r>
  <r>
    <x v="52"/>
    <s v="Finfish Fishing "/>
    <x v="52"/>
    <x v="52"/>
  </r>
  <r>
    <x v="53"/>
    <s v="Shellfish Fishing "/>
    <x v="53"/>
    <x v="53"/>
  </r>
  <r>
    <x v="54"/>
    <s v="Other Marine Fishing "/>
    <x v="54"/>
    <x v="54"/>
  </r>
  <r>
    <x v="55"/>
    <s v="Hunting and Trapping"/>
    <x v="55"/>
    <x v="55"/>
  </r>
  <r>
    <x v="56"/>
    <s v="Cotton Ginning "/>
    <x v="56"/>
    <x v="56"/>
  </r>
  <r>
    <x v="57"/>
    <s v="Soil Preparation, Planting, and Cultivating "/>
    <x v="57"/>
    <x v="57"/>
  </r>
  <r>
    <x v="58"/>
    <s v="Crop Harvesting, Primarily by Machine "/>
    <x v="58"/>
    <x v="58"/>
  </r>
  <r>
    <x v="59"/>
    <s v="Postharvest Crop Activities (except Cotton Ginning) "/>
    <x v="59"/>
    <x v="59"/>
  </r>
  <r>
    <x v="60"/>
    <s v="Farm Labor Contractors and Crew Leaders "/>
    <x v="60"/>
    <x v="60"/>
  </r>
  <r>
    <x v="61"/>
    <s v="Farm Management Services "/>
    <x v="61"/>
    <x v="61"/>
  </r>
  <r>
    <x v="62"/>
    <s v="Support Activities for Animal Production"/>
    <x v="62"/>
    <x v="62"/>
  </r>
  <r>
    <x v="63"/>
    <s v="Support Activities for Forestry"/>
    <x v="63"/>
    <x v="63"/>
  </r>
  <r>
    <x v="64"/>
    <s v="Crude Petroleum Extraction "/>
    <x v="64"/>
    <x v="64"/>
  </r>
  <r>
    <x v="65"/>
    <s v="Natural Gas Extraction "/>
    <x v="65"/>
    <x v="65"/>
  </r>
  <r>
    <x v="66"/>
    <s v="Surface Coal Mining "/>
    <x v="66"/>
    <x v="66"/>
  </r>
  <r>
    <x v="67"/>
    <s v="Underground Coal Mining "/>
    <x v="67"/>
    <x v="67"/>
  </r>
  <r>
    <x v="68"/>
    <s v="Iron Ore Mining"/>
    <x v="68"/>
    <x v="68"/>
  </r>
  <r>
    <x v="69"/>
    <s v="Gold Ore and Silver Ore Mining "/>
    <x v="69"/>
    <x v="69"/>
  </r>
  <r>
    <x v="70"/>
    <s v="Copper, Nickel, Lead, and Zinc Mining "/>
    <x v="70"/>
    <x v="70"/>
  </r>
  <r>
    <x v="71"/>
    <s v="Other Metal Ore Mining "/>
    <x v="71"/>
    <x v="71"/>
  </r>
  <r>
    <x v="72"/>
    <s v="Dimension Stone Mining and Quarrying "/>
    <x v="72"/>
    <x v="72"/>
  </r>
  <r>
    <x v="73"/>
    <s v="Crushed and Broken Limestone Mining and Quarrying "/>
    <x v="73"/>
    <x v="73"/>
  </r>
  <r>
    <x v="74"/>
    <s v="Crushed and Broken Granite Mining and Quarrying "/>
    <x v="74"/>
    <x v="74"/>
  </r>
  <r>
    <x v="75"/>
    <s v="Other Crushed and Broken Stone Mining and Quarrying "/>
    <x v="75"/>
    <x v="75"/>
  </r>
  <r>
    <x v="76"/>
    <s v="Construction Sand and Gravel Mining "/>
    <x v="76"/>
    <x v="76"/>
  </r>
  <r>
    <x v="77"/>
    <s v="Industrial Sand Mining "/>
    <x v="77"/>
    <x v="77"/>
  </r>
  <r>
    <x v="78"/>
    <s v="Kaolin, Clay, and Ceramic and Refractory Minerals Mining "/>
    <x v="78"/>
    <x v="78"/>
  </r>
  <r>
    <x v="79"/>
    <s v="Other Nonmetallic Mineral Mining and Quarrying "/>
    <x v="79"/>
    <x v="79"/>
  </r>
  <r>
    <x v="80"/>
    <s v="Drilling Oil and Gas Wells"/>
    <x v="80"/>
    <x v="80"/>
  </r>
  <r>
    <x v="81"/>
    <s v="Support Activities for Oil and Gas Operations "/>
    <x v="81"/>
    <x v="81"/>
  </r>
  <r>
    <x v="82"/>
    <s v="Support Activities for Coal Mining "/>
    <x v="82"/>
    <x v="82"/>
  </r>
  <r>
    <x v="83"/>
    <s v="Support Activities for Metal Mining "/>
    <x v="83"/>
    <x v="83"/>
  </r>
  <r>
    <x v="84"/>
    <s v="Support Activities for Nonmetallic Minerals (except Fuels) Mining "/>
    <x v="84"/>
    <x v="84"/>
  </r>
  <r>
    <x v="85"/>
    <s v="Hydroelectric Power Generation "/>
    <x v="85"/>
    <x v="85"/>
  </r>
  <r>
    <x v="86"/>
    <s v="Fossil Fuel Electric Power Generation "/>
    <x v="86"/>
    <x v="86"/>
  </r>
  <r>
    <x v="87"/>
    <s v="Nuclear Electric Power Generation "/>
    <x v="87"/>
    <x v="87"/>
  </r>
  <r>
    <x v="88"/>
    <s v="Solar Electric Power Generation "/>
    <x v="88"/>
    <x v="88"/>
  </r>
  <r>
    <x v="89"/>
    <s v="Wind Electric Power Generation "/>
    <x v="89"/>
    <x v="89"/>
  </r>
  <r>
    <x v="90"/>
    <s v="Geothermal Electric Power Generation "/>
    <x v="90"/>
    <x v="90"/>
  </r>
  <r>
    <x v="91"/>
    <s v="Biomass Electric Power Generation "/>
    <x v="91"/>
    <x v="91"/>
  </r>
  <r>
    <x v="92"/>
    <s v="Other Electric Power Generation "/>
    <x v="92"/>
    <x v="92"/>
  </r>
  <r>
    <x v="93"/>
    <s v="Electric Bulk Power Transmission and Control "/>
    <x v="93"/>
    <x v="93"/>
  </r>
  <r>
    <x v="94"/>
    <s v="Electric Power Distribution "/>
    <x v="94"/>
    <x v="94"/>
  </r>
  <r>
    <x v="95"/>
    <s v="Natural Gas Distribution "/>
    <x v="95"/>
    <x v="95"/>
  </r>
  <r>
    <x v="96"/>
    <s v="Water Supply and Irrigation Systems "/>
    <x v="96"/>
    <x v="96"/>
  </r>
  <r>
    <x v="97"/>
    <s v="Sewage Treatment Facilities "/>
    <x v="97"/>
    <x v="97"/>
  </r>
  <r>
    <x v="98"/>
    <s v="Steam and Air-Conditioning Supply "/>
    <x v="98"/>
    <x v="98"/>
  </r>
  <r>
    <x v="99"/>
    <s v="New Single-Family Housing Construction (except For-Sale Builders) "/>
    <x v="99"/>
    <x v="99"/>
  </r>
  <r>
    <x v="100"/>
    <s v="New Multifamily Housing Construction (except For-Sale Builders) "/>
    <x v="100"/>
    <x v="100"/>
  </r>
  <r>
    <x v="101"/>
    <s v="New Housing For-Sale Builders "/>
    <x v="101"/>
    <x v="101"/>
  </r>
  <r>
    <x v="102"/>
    <s v="Residential Remodelers "/>
    <x v="102"/>
    <x v="102"/>
  </r>
  <r>
    <x v="103"/>
    <s v="Industrial Building Construction "/>
    <x v="103"/>
    <x v="103"/>
  </r>
  <r>
    <x v="104"/>
    <s v="Commercial and Institutional Building Construction "/>
    <x v="104"/>
    <x v="104"/>
  </r>
  <r>
    <x v="105"/>
    <s v="Water and Sewer Line and Related Structures Construction "/>
    <x v="105"/>
    <x v="105"/>
  </r>
  <r>
    <x v="106"/>
    <s v="Oil and Gas Pipeline and Related Structures Construction "/>
    <x v="106"/>
    <x v="106"/>
  </r>
  <r>
    <x v="107"/>
    <s v="Power and Communication Line and Related Structures Construction "/>
    <x v="107"/>
    <x v="107"/>
  </r>
  <r>
    <x v="108"/>
    <s v="Land Subdivision "/>
    <x v="108"/>
    <x v="108"/>
  </r>
  <r>
    <x v="109"/>
    <s v="Highway, Street, and Bridge Construction "/>
    <x v="109"/>
    <x v="109"/>
  </r>
  <r>
    <x v="110"/>
    <s v="Other Heavy and Civil Engineering Construction "/>
    <x v="110"/>
    <x v="110"/>
  </r>
  <r>
    <x v="111"/>
    <s v="Poured Concrete Foundation and Structure Contractors "/>
    <x v="111"/>
    <x v="111"/>
  </r>
  <r>
    <x v="112"/>
    <s v="Structural Steel and Precast Concrete Contractors "/>
    <x v="112"/>
    <x v="112"/>
  </r>
  <r>
    <x v="113"/>
    <s v="Framing Contractors "/>
    <x v="113"/>
    <x v="113"/>
  </r>
  <r>
    <x v="114"/>
    <s v="Masonry Contractors "/>
    <x v="114"/>
    <x v="114"/>
  </r>
  <r>
    <x v="115"/>
    <s v="Glass and Glazing Contractors "/>
    <x v="115"/>
    <x v="115"/>
  </r>
  <r>
    <x v="116"/>
    <s v="Roofing Contractors "/>
    <x v="116"/>
    <x v="116"/>
  </r>
  <r>
    <x v="117"/>
    <s v="Siding Contractors "/>
    <x v="117"/>
    <x v="117"/>
  </r>
  <r>
    <x v="118"/>
    <s v="Other Foundation, Structure, and Building Exterior Contractors "/>
    <x v="118"/>
    <x v="118"/>
  </r>
  <r>
    <x v="119"/>
    <s v="Electrical Contractors and Other Wiring Installation Contractors"/>
    <x v="119"/>
    <x v="119"/>
  </r>
  <r>
    <x v="120"/>
    <s v="Plumbing, Heating, and Air-Conditioning Contractors "/>
    <x v="120"/>
    <x v="120"/>
  </r>
  <r>
    <x v="121"/>
    <s v="Other Building Equipment Contractors "/>
    <x v="121"/>
    <x v="121"/>
  </r>
  <r>
    <x v="122"/>
    <s v="Drywall and Insulation Contractors "/>
    <x v="122"/>
    <x v="122"/>
  </r>
  <r>
    <x v="123"/>
    <s v="Painting and Wall Covering Contractors"/>
    <x v="123"/>
    <x v="123"/>
  </r>
  <r>
    <x v="124"/>
    <s v="Flooring Contractors"/>
    <x v="124"/>
    <x v="124"/>
  </r>
  <r>
    <x v="125"/>
    <s v="Tile and Terrazzo Contractors"/>
    <x v="125"/>
    <x v="125"/>
  </r>
  <r>
    <x v="126"/>
    <s v="Finish Carpentry Contractors"/>
    <x v="126"/>
    <x v="126"/>
  </r>
  <r>
    <x v="127"/>
    <s v="Other Building Finishing Contractors"/>
    <x v="127"/>
    <x v="127"/>
  </r>
  <r>
    <x v="128"/>
    <s v="Site Preparation Contractors"/>
    <x v="128"/>
    <x v="128"/>
  </r>
  <r>
    <x v="129"/>
    <s v="All Other Specialty Trade Contractors"/>
    <x v="129"/>
    <x v="129"/>
  </r>
  <r>
    <x v="130"/>
    <s v="Dog and Cat Food Manufacturing "/>
    <x v="130"/>
    <x v="130"/>
  </r>
  <r>
    <x v="131"/>
    <s v="Other Animal Food Manufacturing "/>
    <x v="131"/>
    <x v="131"/>
  </r>
  <r>
    <x v="132"/>
    <s v="Flour Milling "/>
    <x v="132"/>
    <x v="132"/>
  </r>
  <r>
    <x v="133"/>
    <s v="Rice Milling "/>
    <x v="133"/>
    <x v="133"/>
  </r>
  <r>
    <x v="134"/>
    <s v="Malt Manufacturing "/>
    <x v="134"/>
    <x v="134"/>
  </r>
  <r>
    <x v="135"/>
    <s v="Wet Corn Milling and Starch Manufacturing "/>
    <x v="135"/>
    <x v="135"/>
  </r>
  <r>
    <x v="136"/>
    <s v="Soybean and Other Oilseed Processing "/>
    <x v="136"/>
    <x v="136"/>
  </r>
  <r>
    <x v="137"/>
    <s v="Fats and Oils Refining and Blending "/>
    <x v="137"/>
    <x v="137"/>
  </r>
  <r>
    <x v="138"/>
    <s v="Breakfast Cereal Manufacturing"/>
    <x v="138"/>
    <x v="138"/>
  </r>
  <r>
    <x v="139"/>
    <s v="Beet Sugar Manufacturing "/>
    <x v="139"/>
    <x v="139"/>
  </r>
  <r>
    <x v="140"/>
    <s v="Cane Sugar Manufacturing "/>
    <x v="140"/>
    <x v="140"/>
  </r>
  <r>
    <x v="141"/>
    <s v="Nonchocolate Confectionery Manufacturing"/>
    <x v="141"/>
    <x v="141"/>
  </r>
  <r>
    <x v="142"/>
    <s v="Chocolate and Confectionery Manufacturing from Cacao Beans "/>
    <x v="142"/>
    <x v="142"/>
  </r>
  <r>
    <x v="143"/>
    <s v="Confectionery Manufacturing from Purchased Chocolate "/>
    <x v="143"/>
    <x v="143"/>
  </r>
  <r>
    <x v="144"/>
    <s v="Frozen Fruit, Juice, and Vegetable Manufacturing "/>
    <x v="144"/>
    <x v="144"/>
  </r>
  <r>
    <x v="145"/>
    <s v="Frozen Specialty Food Manufacturing "/>
    <x v="145"/>
    <x v="145"/>
  </r>
  <r>
    <x v="146"/>
    <s v="Fruit and Vegetable Canning "/>
    <x v="146"/>
    <x v="146"/>
  </r>
  <r>
    <x v="147"/>
    <s v="Specialty Canning "/>
    <x v="147"/>
    <x v="147"/>
  </r>
  <r>
    <x v="148"/>
    <s v="Dried and Dehydrated Food Manufacturing "/>
    <x v="148"/>
    <x v="148"/>
  </r>
  <r>
    <x v="149"/>
    <s v="Fluid Milk Manufacturing "/>
    <x v="149"/>
    <x v="149"/>
  </r>
  <r>
    <x v="150"/>
    <s v="Creamery Butter Manufacturing "/>
    <x v="150"/>
    <x v="150"/>
  </r>
  <r>
    <x v="151"/>
    <s v="Cheese Manufacturing "/>
    <x v="151"/>
    <x v="151"/>
  </r>
  <r>
    <x v="152"/>
    <s v="Dry, Condensed, and Evaporated Dairy Product Manufacturing "/>
    <x v="152"/>
    <x v="152"/>
  </r>
  <r>
    <x v="153"/>
    <s v="Ice Cream and Frozen Dessert Manufacturing"/>
    <x v="153"/>
    <x v="153"/>
  </r>
  <r>
    <x v="154"/>
    <s v="Animal (except Poultry) Slaughtering "/>
    <x v="154"/>
    <x v="154"/>
  </r>
  <r>
    <x v="155"/>
    <s v="Meat Processed from Carcasses "/>
    <x v="155"/>
    <x v="155"/>
  </r>
  <r>
    <x v="156"/>
    <s v="Rendering and Meat Byproduct Processing "/>
    <x v="156"/>
    <x v="156"/>
  </r>
  <r>
    <x v="157"/>
    <s v="Poultry Processing "/>
    <x v="157"/>
    <x v="157"/>
  </r>
  <r>
    <x v="158"/>
    <s v="Seafood Product Preparation and Packaging"/>
    <x v="158"/>
    <x v="158"/>
  </r>
  <r>
    <x v="159"/>
    <s v="Retail Bakeries "/>
    <x v="159"/>
    <x v="159"/>
  </r>
  <r>
    <x v="160"/>
    <s v="Commercial Bakeries "/>
    <x v="160"/>
    <x v="160"/>
  </r>
  <r>
    <x v="161"/>
    <s v="Frozen Cakes, Pies, and Other Pastries Manufacturing "/>
    <x v="161"/>
    <x v="161"/>
  </r>
  <r>
    <x v="162"/>
    <s v="Cookie and Cracker Manufacturing "/>
    <x v="162"/>
    <x v="162"/>
  </r>
  <r>
    <x v="163"/>
    <s v="Dry Pasta, Dough, and Flour Mixes Manufacturing from Purchased Flour "/>
    <x v="163"/>
    <x v="163"/>
  </r>
  <r>
    <x v="164"/>
    <s v="Tortilla Manufacturing"/>
    <x v="164"/>
    <x v="164"/>
  </r>
  <r>
    <x v="165"/>
    <s v="Roasted Nuts and Peanut Butter Manufacturing "/>
    <x v="165"/>
    <x v="165"/>
  </r>
  <r>
    <x v="166"/>
    <s v="Other Snack Food Manufacturing "/>
    <x v="166"/>
    <x v="166"/>
  </r>
  <r>
    <x v="167"/>
    <s v="Coffee and Tea Manufacturing "/>
    <x v="167"/>
    <x v="167"/>
  </r>
  <r>
    <x v="168"/>
    <s v="Flavoring Syrup and Concentrate Manufacturing"/>
    <x v="168"/>
    <x v="168"/>
  </r>
  <r>
    <x v="169"/>
    <s v="Mayonnaise, Dressing, and Other Prepared Sauce Manufacturing "/>
    <x v="169"/>
    <x v="169"/>
  </r>
  <r>
    <x v="170"/>
    <s v="Spice and Extract Manufacturing "/>
    <x v="170"/>
    <x v="170"/>
  </r>
  <r>
    <x v="171"/>
    <s v="Perishable Prepared Food Manufacturing "/>
    <x v="171"/>
    <x v="171"/>
  </r>
  <r>
    <x v="172"/>
    <s v="All Other Miscellaneous Food Manufacturing "/>
    <x v="172"/>
    <x v="172"/>
  </r>
  <r>
    <x v="173"/>
    <s v="Soft Drink Manufacturing "/>
    <x v="173"/>
    <x v="173"/>
  </r>
  <r>
    <x v="174"/>
    <s v="Bottled Water Manufacturing "/>
    <x v="174"/>
    <x v="174"/>
  </r>
  <r>
    <x v="175"/>
    <s v="Ice Manufacturing "/>
    <x v="175"/>
    <x v="175"/>
  </r>
  <r>
    <x v="176"/>
    <s v="Breweries"/>
    <x v="176"/>
    <x v="176"/>
  </r>
  <r>
    <x v="177"/>
    <s v="Wineries "/>
    <x v="177"/>
    <x v="177"/>
  </r>
  <r>
    <x v="178"/>
    <s v="Distilleries "/>
    <x v="178"/>
    <x v="178"/>
  </r>
  <r>
    <x v="179"/>
    <s v="Tobacco Manufacturing "/>
    <x v="179"/>
    <x v="179"/>
  </r>
  <r>
    <x v="180"/>
    <s v="Fiber, Yarn, and Thread Mills "/>
    <x v="180"/>
    <x v="180"/>
  </r>
  <r>
    <x v="181"/>
    <s v="Broadwoven Fabric Mills"/>
    <x v="181"/>
    <x v="181"/>
  </r>
  <r>
    <x v="182"/>
    <s v="Narrow Fabric Mills and Schiffli Machine Embroidery"/>
    <x v="182"/>
    <x v="182"/>
  </r>
  <r>
    <x v="183"/>
    <s v="Nonwoven Fabric Mills"/>
    <x v="183"/>
    <x v="183"/>
  </r>
  <r>
    <x v="184"/>
    <s v="Knit Fabric Mills"/>
    <x v="184"/>
    <x v="184"/>
  </r>
  <r>
    <x v="185"/>
    <s v="Textile and Fabric Finishing Mills "/>
    <x v="185"/>
    <x v="185"/>
  </r>
  <r>
    <x v="186"/>
    <s v="Fabric Coating Mills"/>
    <x v="186"/>
    <x v="186"/>
  </r>
  <r>
    <x v="187"/>
    <s v="Carpet and Rug Mills"/>
    <x v="187"/>
    <x v="187"/>
  </r>
  <r>
    <x v="188"/>
    <s v="Curtain and Linen Mills"/>
    <x v="188"/>
    <x v="188"/>
  </r>
  <r>
    <x v="189"/>
    <s v="Textile Bag and Canvas Mills "/>
    <x v="189"/>
    <x v="189"/>
  </r>
  <r>
    <x v="190"/>
    <s v="Rope, Cordage, Twine, Tire Cord, and Tire Fabric Mills "/>
    <x v="190"/>
    <x v="190"/>
  </r>
  <r>
    <x v="191"/>
    <s v="All Other Miscellaneous Textile Product Mills "/>
    <x v="191"/>
    <x v="191"/>
  </r>
  <r>
    <x v="192"/>
    <s v="Apparel Knitting Mills"/>
    <x v="192"/>
    <x v="192"/>
  </r>
  <r>
    <x v="193"/>
    <s v="Cut and Sew Apparel Contractors "/>
    <x v="193"/>
    <x v="193"/>
  </r>
  <r>
    <x v="194"/>
    <s v="Cut and Sew Apparel Manufacturing (except Contractors) "/>
    <x v="194"/>
    <x v="194"/>
  </r>
  <r>
    <x v="195"/>
    <s v="Apparel Accessories and Other Apparel Manufacturing "/>
    <x v="195"/>
    <x v="195"/>
  </r>
  <r>
    <x v="196"/>
    <s v="Leather and Hide Tanning and Finishing"/>
    <x v="196"/>
    <x v="196"/>
  </r>
  <r>
    <x v="197"/>
    <s v="Footwear Manufacturing "/>
    <x v="197"/>
    <x v="197"/>
  </r>
  <r>
    <x v="198"/>
    <s v="Other Leather and Allied Product Manufacturing "/>
    <x v="198"/>
    <x v="198"/>
  </r>
  <r>
    <x v="199"/>
    <s v="Sawmills "/>
    <x v="199"/>
    <x v="199"/>
  </r>
  <r>
    <x v="200"/>
    <s v="Wood Preservation "/>
    <x v="200"/>
    <x v="200"/>
  </r>
  <r>
    <x v="201"/>
    <s v="Hardwood Veneer and Plywood Manufacturing "/>
    <x v="201"/>
    <x v="201"/>
  </r>
  <r>
    <x v="202"/>
    <s v="Softwood Veneer and Plywood Manufacturing "/>
    <x v="202"/>
    <x v="202"/>
  </r>
  <r>
    <x v="203"/>
    <s v="Engineered Wood Member Manufacturing "/>
    <x v="203"/>
    <x v="203"/>
  </r>
  <r>
    <x v="204"/>
    <s v="Reconstituted Wood Product Manufacturing "/>
    <x v="204"/>
    <x v="204"/>
  </r>
  <r>
    <x v="205"/>
    <s v="Wood Window and Door Manufacturing "/>
    <x v="205"/>
    <x v="205"/>
  </r>
  <r>
    <x v="206"/>
    <s v="Cut Stock, Resawing Lumber, and Planing "/>
    <x v="206"/>
    <x v="206"/>
  </r>
  <r>
    <x v="207"/>
    <s v="Other Millwork (including Flooring) "/>
    <x v="207"/>
    <x v="207"/>
  </r>
  <r>
    <x v="208"/>
    <s v="Wood Container and Pallet Manufacturing"/>
    <x v="208"/>
    <x v="208"/>
  </r>
  <r>
    <x v="209"/>
    <s v="Manufactured Home (Mobile Home) Manufacturing "/>
    <x v="209"/>
    <x v="209"/>
  </r>
  <r>
    <x v="210"/>
    <s v="Prefabricated Wood Building Manufacturing "/>
    <x v="210"/>
    <x v="210"/>
  </r>
  <r>
    <x v="211"/>
    <s v="All Other Miscellaneous Wood Product Manufacturing "/>
    <x v="211"/>
    <x v="211"/>
  </r>
  <r>
    <x v="212"/>
    <s v="Pulp Mills "/>
    <x v="212"/>
    <x v="212"/>
  </r>
  <r>
    <x v="213"/>
    <s v="Paper Mills "/>
    <x v="213"/>
    <x v="213"/>
  </r>
  <r>
    <x v="214"/>
    <s v="Paperboard Mills "/>
    <x v="214"/>
    <x v="214"/>
  </r>
  <r>
    <x v="215"/>
    <s v="Corrugated and Solid Fiber Box Manufacturing "/>
    <x v="215"/>
    <x v="215"/>
  </r>
  <r>
    <x v="216"/>
    <s v="Folding Paperboard Box Manufacturing "/>
    <x v="216"/>
    <x v="216"/>
  </r>
  <r>
    <x v="217"/>
    <s v="Other Paperboard Container Manufacturing "/>
    <x v="217"/>
    <x v="217"/>
  </r>
  <r>
    <x v="218"/>
    <s v="Paper Bag and Coated and Treated Paper Manufacturing"/>
    <x v="218"/>
    <x v="218"/>
  </r>
  <r>
    <x v="219"/>
    <s v="Stationery Product Manufacturing"/>
    <x v="219"/>
    <x v="219"/>
  </r>
  <r>
    <x v="220"/>
    <s v="Sanitary Paper Product Manufacturing "/>
    <x v="220"/>
    <x v="220"/>
  </r>
  <r>
    <x v="221"/>
    <s v="All Other Converted Paper Product Manufacturing "/>
    <x v="221"/>
    <x v="221"/>
  </r>
  <r>
    <x v="222"/>
    <s v="Commercial Printing (except Screen and Books) "/>
    <x v="222"/>
    <x v="222"/>
  </r>
  <r>
    <x v="223"/>
    <s v="Commercial Screen Printing "/>
    <x v="223"/>
    <x v="223"/>
  </r>
  <r>
    <x v="224"/>
    <s v="Books Printing "/>
    <x v="224"/>
    <x v="224"/>
  </r>
  <r>
    <x v="225"/>
    <s v="Support Activities for Printing"/>
    <x v="225"/>
    <x v="225"/>
  </r>
  <r>
    <x v="226"/>
    <s v="Petroleum Refineries"/>
    <x v="226"/>
    <x v="226"/>
  </r>
  <r>
    <x v="227"/>
    <s v="Asphalt Paving Mixture and Block Manufacturing "/>
    <x v="227"/>
    <x v="227"/>
  </r>
  <r>
    <x v="228"/>
    <s v="Asphalt Shingle and Coating Materials Manufacturing "/>
    <x v="228"/>
    <x v="228"/>
  </r>
  <r>
    <x v="229"/>
    <s v="Petroleum Lubricating Oil and Grease Manufacturing "/>
    <x v="229"/>
    <x v="229"/>
  </r>
  <r>
    <x v="230"/>
    <s v="All Other Petroleum and Coal Products Manufacturing "/>
    <x v="230"/>
    <x v="230"/>
  </r>
  <r>
    <x v="231"/>
    <s v="Petrochemical Manufacturing"/>
    <x v="231"/>
    <x v="231"/>
  </r>
  <r>
    <x v="232"/>
    <s v="Industrial Gas Manufacturing"/>
    <x v="232"/>
    <x v="232"/>
  </r>
  <r>
    <x v="233"/>
    <s v="Synthetic Dye and Pigment Manufacturing"/>
    <x v="233"/>
    <x v="233"/>
  </r>
  <r>
    <x v="234"/>
    <s v="Other Basic Inorganic Chemical Manufacturing "/>
    <x v="234"/>
    <x v="234"/>
  </r>
  <r>
    <x v="235"/>
    <s v="Ethyl Alcohol Manufacturing "/>
    <x v="235"/>
    <x v="235"/>
  </r>
  <r>
    <x v="236"/>
    <s v="Cyclic Crude, Intermediate, and Gum and Wood Chemical Manufacturing "/>
    <x v="236"/>
    <x v="236"/>
  </r>
  <r>
    <x v="237"/>
    <s v="All Other Basic Organic Chemical Manufacturing "/>
    <x v="237"/>
    <x v="237"/>
  </r>
  <r>
    <x v="238"/>
    <s v="Plastics Material and Resin Manufacturing "/>
    <x v="238"/>
    <x v="238"/>
  </r>
  <r>
    <x v="239"/>
    <s v="Synthetic Rubber Manufacturing "/>
    <x v="239"/>
    <x v="239"/>
  </r>
  <r>
    <x v="240"/>
    <s v="Artificial and Synthetic Fibers and Filaments Manufacturing"/>
    <x v="240"/>
    <x v="240"/>
  </r>
  <r>
    <x v="241"/>
    <s v="Nitrogenous Fertilizer Manufacturing "/>
    <x v="241"/>
    <x v="241"/>
  </r>
  <r>
    <x v="242"/>
    <s v="Phosphatic Fertilizer Manufacturing "/>
    <x v="242"/>
    <x v="242"/>
  </r>
  <r>
    <x v="243"/>
    <s v="Fertilizer (Mixing Only) Manufacturing "/>
    <x v="243"/>
    <x v="243"/>
  </r>
  <r>
    <x v="244"/>
    <s v="Compost Manufacturing"/>
    <x v="244"/>
    <x v="244"/>
  </r>
  <r>
    <x v="245"/>
    <s v="Pesticide and Other Agricultural Chemical Manufacturing"/>
    <x v="245"/>
    <x v="245"/>
  </r>
  <r>
    <x v="246"/>
    <s v="Medicinal and Botanical Manufacturing "/>
    <x v="246"/>
    <x v="246"/>
  </r>
  <r>
    <x v="247"/>
    <s v="Pharmaceutical Preparation Manufacturing "/>
    <x v="247"/>
    <x v="247"/>
  </r>
  <r>
    <x v="248"/>
    <s v="In-Vitro Diagnostic Substance Manufacturing "/>
    <x v="248"/>
    <x v="248"/>
  </r>
  <r>
    <x v="249"/>
    <s v="Biological Product (except Diagnostic) Manufacturing "/>
    <x v="249"/>
    <x v="249"/>
  </r>
  <r>
    <x v="250"/>
    <s v="Paint and Coating Manufacturing"/>
    <x v="250"/>
    <x v="250"/>
  </r>
  <r>
    <x v="251"/>
    <s v="Adhesive Manufacturing"/>
    <x v="251"/>
    <x v="251"/>
  </r>
  <r>
    <x v="252"/>
    <s v="Soap and Other Detergent Manufacturing "/>
    <x v="252"/>
    <x v="252"/>
  </r>
  <r>
    <x v="253"/>
    <s v="Polish and Other Sanitation Good Manufacturing "/>
    <x v="253"/>
    <x v="253"/>
  </r>
  <r>
    <x v="254"/>
    <s v="Surface Active Agent Manufacturing "/>
    <x v="254"/>
    <x v="254"/>
  </r>
  <r>
    <x v="255"/>
    <s v="Toilet Preparation Manufacturing"/>
    <x v="255"/>
    <x v="255"/>
  </r>
  <r>
    <x v="256"/>
    <s v="Printing Ink Manufacturing"/>
    <x v="256"/>
    <x v="256"/>
  </r>
  <r>
    <x v="257"/>
    <s v="Explosives Manufacturing"/>
    <x v="257"/>
    <x v="257"/>
  </r>
  <r>
    <x v="258"/>
    <s v="Custom Compounding of Purchased Resins "/>
    <x v="258"/>
    <x v="258"/>
  </r>
  <r>
    <x v="259"/>
    <s v="Photographic Film, Paper, Plate, Chemical, and Copy Toner Manufacturing "/>
    <x v="259"/>
    <x v="259"/>
  </r>
  <r>
    <x v="260"/>
    <s v="All Other Miscellaneous Chemical Product and Preparation Manufacturing "/>
    <x v="260"/>
    <x v="260"/>
  </r>
  <r>
    <x v="261"/>
    <s v="Plastics Bag and Pouch Manufacturing "/>
    <x v="261"/>
    <x v="261"/>
  </r>
  <r>
    <x v="262"/>
    <s v="Plastics Packaging Film and Sheet (including Laminated) Manufacturing "/>
    <x v="262"/>
    <x v="262"/>
  </r>
  <r>
    <x v="263"/>
    <s v="Unlaminated Plastics Film and Sheet (except Packaging) Manufacturing "/>
    <x v="263"/>
    <x v="263"/>
  </r>
  <r>
    <x v="264"/>
    <s v="Unlaminated Plastics Profile Shape Manufacturing "/>
    <x v="264"/>
    <x v="264"/>
  </r>
  <r>
    <x v="265"/>
    <s v="Plastics Pipe and Pipe Fitting Manufacturing "/>
    <x v="265"/>
    <x v="265"/>
  </r>
  <r>
    <x v="266"/>
    <s v="Laminated Plastics Plate, Sheet (except Packaging), and Shape Manufacturing"/>
    <x v="266"/>
    <x v="266"/>
  </r>
  <r>
    <x v="267"/>
    <s v="Polystyrene Foam Product Manufacturing"/>
    <x v="267"/>
    <x v="267"/>
  </r>
  <r>
    <x v="268"/>
    <s v="Urethane and Other Foam Product (except Polystyrene) Manufacturing"/>
    <x v="268"/>
    <x v="268"/>
  </r>
  <r>
    <x v="269"/>
    <s v="Plastics Bottle Manufacturing"/>
    <x v="269"/>
    <x v="269"/>
  </r>
  <r>
    <x v="270"/>
    <s v="Plastics Plumbing Fixture Manufacturing "/>
    <x v="270"/>
    <x v="270"/>
  </r>
  <r>
    <x v="271"/>
    <s v="All Other Plastics Product Manufacturing "/>
    <x v="271"/>
    <x v="271"/>
  </r>
  <r>
    <x v="272"/>
    <s v="Tire Manufacturing (except Retreading) "/>
    <x v="272"/>
    <x v="272"/>
  </r>
  <r>
    <x v="273"/>
    <s v="Tire Retreading "/>
    <x v="273"/>
    <x v="273"/>
  </r>
  <r>
    <x v="274"/>
    <s v="Rubber and Plastics Hoses and Belting Manufacturing"/>
    <x v="274"/>
    <x v="274"/>
  </r>
  <r>
    <x v="275"/>
    <s v="Rubber Product Manufacturing for Mechanical Use "/>
    <x v="275"/>
    <x v="275"/>
  </r>
  <r>
    <x v="276"/>
    <s v="All Other Rubber Product Manufacturing "/>
    <x v="276"/>
    <x v="276"/>
  </r>
  <r>
    <x v="277"/>
    <s v="Pottery, Ceramics, and Plumbing Fixture Manufacturing "/>
    <x v="277"/>
    <x v="277"/>
  </r>
  <r>
    <x v="278"/>
    <s v="Clay Building Material and Refractories Manufacturing "/>
    <x v="278"/>
    <x v="278"/>
  </r>
  <r>
    <x v="279"/>
    <s v="Flat Glass Manufacturing "/>
    <x v="279"/>
    <x v="279"/>
  </r>
  <r>
    <x v="280"/>
    <s v="Other Pressed and Blown Glass and Glassware Manufacturing "/>
    <x v="280"/>
    <x v="280"/>
  </r>
  <r>
    <x v="281"/>
    <s v="Glass Container Manufacturing "/>
    <x v="281"/>
    <x v="281"/>
  </r>
  <r>
    <x v="282"/>
    <s v="Glass Product Manufacturing Made of Purchased Glass "/>
    <x v="282"/>
    <x v="282"/>
  </r>
  <r>
    <x v="283"/>
    <s v="Cement Manufacturing"/>
    <x v="283"/>
    <x v="283"/>
  </r>
  <r>
    <x v="284"/>
    <s v="Ready-Mix Concrete Manufacturing"/>
    <x v="284"/>
    <x v="284"/>
  </r>
  <r>
    <x v="285"/>
    <s v="Concrete Block and Brick Manufacturing "/>
    <x v="285"/>
    <x v="285"/>
  </r>
  <r>
    <x v="286"/>
    <s v="Concrete Pipe Manufacturing "/>
    <x v="286"/>
    <x v="286"/>
  </r>
  <r>
    <x v="287"/>
    <s v="Other Concrete Product Manufacturing "/>
    <x v="287"/>
    <x v="287"/>
  </r>
  <r>
    <x v="288"/>
    <s v="Lime Manufacturing"/>
    <x v="288"/>
    <x v="288"/>
  </r>
  <r>
    <x v="289"/>
    <s v="Gypsum Product Manufacturing"/>
    <x v="289"/>
    <x v="289"/>
  </r>
  <r>
    <x v="290"/>
    <s v="Abrasive Product Manufacturing"/>
    <x v="290"/>
    <x v="290"/>
  </r>
  <r>
    <x v="291"/>
    <s v="Cut Stone and Stone Product Manufacturing "/>
    <x v="291"/>
    <x v="291"/>
  </r>
  <r>
    <x v="292"/>
    <s v="Ground or Treated Mineral and Earth Manufacturing "/>
    <x v="292"/>
    <x v="292"/>
  </r>
  <r>
    <x v="293"/>
    <s v="Mineral Wool Manufacturing "/>
    <x v="293"/>
    <x v="293"/>
  </r>
  <r>
    <x v="294"/>
    <s v="All Other Miscellaneous Nonmetallic Mineral Product Manufacturing "/>
    <x v="294"/>
    <x v="294"/>
  </r>
  <r>
    <x v="295"/>
    <s v="Iron and Steel Mills and Ferroalloy Manufacturing "/>
    <x v="295"/>
    <x v="295"/>
  </r>
  <r>
    <x v="296"/>
    <s v="Iron and Steel Pipe and Tube Manufacturing from Purchased Steel"/>
    <x v="296"/>
    <x v="296"/>
  </r>
  <r>
    <x v="297"/>
    <s v="Rolled Steel Shape Manufacturing "/>
    <x v="297"/>
    <x v="297"/>
  </r>
  <r>
    <x v="298"/>
    <s v="Steel Wire Drawing "/>
    <x v="298"/>
    <x v="298"/>
  </r>
  <r>
    <x v="299"/>
    <s v="Alumina Refining and Primary Aluminum Production "/>
    <x v="299"/>
    <x v="299"/>
  </r>
  <r>
    <x v="300"/>
    <s v="Secondary Smelting and Alloying of Aluminum "/>
    <x v="300"/>
    <x v="300"/>
  </r>
  <r>
    <x v="301"/>
    <s v="Aluminum Sheet, Plate, and Foil Manufacturing "/>
    <x v="301"/>
    <x v="301"/>
  </r>
  <r>
    <x v="302"/>
    <s v="Other Aluminum Rolling, Drawing, and Extruding "/>
    <x v="302"/>
    <x v="302"/>
  </r>
  <r>
    <x v="303"/>
    <s v="Nonferrous Metal (except Aluminum) Smelting and Refining "/>
    <x v="303"/>
    <x v="303"/>
  </r>
  <r>
    <x v="304"/>
    <s v="Copper Rolling, Drawing, Extruding, and Alloying"/>
    <x v="304"/>
    <x v="304"/>
  </r>
  <r>
    <x v="305"/>
    <s v="Nonferrous Metal (except Copper and Aluminum) Rolling, Drawing, and Extruding "/>
    <x v="305"/>
    <x v="305"/>
  </r>
  <r>
    <x v="306"/>
    <s v="Secondary Smelting, Refining, and Alloying of Nonferrous Metal (except Copper and Aluminum) "/>
    <x v="306"/>
    <x v="306"/>
  </r>
  <r>
    <x v="307"/>
    <s v="Iron Foundries "/>
    <x v="307"/>
    <x v="307"/>
  </r>
  <r>
    <x v="308"/>
    <s v="Steel Investment Foundries "/>
    <x v="308"/>
    <x v="308"/>
  </r>
  <r>
    <x v="309"/>
    <s v="Steel Foundries (except Investment) "/>
    <x v="309"/>
    <x v="309"/>
  </r>
  <r>
    <x v="310"/>
    <s v="Nonferrous Metal Die-Casting Foundries "/>
    <x v="310"/>
    <x v="310"/>
  </r>
  <r>
    <x v="311"/>
    <s v="Aluminum Foundries (except Die-Casting) "/>
    <x v="311"/>
    <x v="311"/>
  </r>
  <r>
    <x v="312"/>
    <s v="Other Nonferrous Metal Foundries (except Die-Casting) "/>
    <x v="312"/>
    <x v="312"/>
  </r>
  <r>
    <x v="313"/>
    <s v="Iron and Steel Forging "/>
    <x v="313"/>
    <x v="313"/>
  </r>
  <r>
    <x v="314"/>
    <s v="Nonferrous Forging "/>
    <x v="314"/>
    <x v="314"/>
  </r>
  <r>
    <x v="315"/>
    <s v="Custom Roll Forming "/>
    <x v="315"/>
    <x v="315"/>
  </r>
  <r>
    <x v="316"/>
    <s v="Powder Metallurgy Part Manufacturing "/>
    <x v="316"/>
    <x v="316"/>
  </r>
  <r>
    <x v="317"/>
    <s v="Metal Crown, Closure, and Other Metal Stamping (except Automotive) "/>
    <x v="317"/>
    <x v="317"/>
  </r>
  <r>
    <x v="318"/>
    <s v="Metal Kitchen Cookware, Utensil, Cutlery, and Flatware (except Precious) Manufacturing "/>
    <x v="318"/>
    <x v="318"/>
  </r>
  <r>
    <x v="319"/>
    <s v="Saw Blade and Handtool Manufacturing "/>
    <x v="319"/>
    <x v="319"/>
  </r>
  <r>
    <x v="320"/>
    <s v="Prefabricated Metal Building and Component Manufacturing "/>
    <x v="320"/>
    <x v="320"/>
  </r>
  <r>
    <x v="321"/>
    <s v="Fabricated Structural Metal Manufacturing "/>
    <x v="321"/>
    <x v="321"/>
  </r>
  <r>
    <x v="322"/>
    <s v="Plate Work Manufacturing "/>
    <x v="322"/>
    <x v="322"/>
  </r>
  <r>
    <x v="323"/>
    <s v="Metal Window and Door Manufacturing "/>
    <x v="323"/>
    <x v="323"/>
  </r>
  <r>
    <x v="324"/>
    <s v="Sheet Metal Work Manufacturing "/>
    <x v="324"/>
    <x v="324"/>
  </r>
  <r>
    <x v="325"/>
    <s v="Ornamental and Architectural Metal Work Manufacturing "/>
    <x v="325"/>
    <x v="325"/>
  </r>
  <r>
    <x v="326"/>
    <s v="Power Boiler and Heat Exchanger Manufacturing"/>
    <x v="326"/>
    <x v="326"/>
  </r>
  <r>
    <x v="327"/>
    <s v="Metal Tank (Heavy Gauge) Manufacturing"/>
    <x v="327"/>
    <x v="327"/>
  </r>
  <r>
    <x v="328"/>
    <s v="Metal Can Manufacturing "/>
    <x v="328"/>
    <x v="328"/>
  </r>
  <r>
    <x v="329"/>
    <s v="Other Metal Container Manufacturing "/>
    <x v="329"/>
    <x v="329"/>
  </r>
  <r>
    <x v="330"/>
    <s v="Hardware Manufacturing"/>
    <x v="330"/>
    <x v="330"/>
  </r>
  <r>
    <x v="331"/>
    <s v="Spring Manufacturing "/>
    <x v="331"/>
    <x v="331"/>
  </r>
  <r>
    <x v="332"/>
    <s v="Other Fabricated Wire Product Manufacturing "/>
    <x v="332"/>
    <x v="332"/>
  </r>
  <r>
    <x v="333"/>
    <s v="Machine Shops"/>
    <x v="333"/>
    <x v="333"/>
  </r>
  <r>
    <x v="334"/>
    <s v="Precision Turned Product Manufacturing "/>
    <x v="334"/>
    <x v="334"/>
  </r>
  <r>
    <x v="335"/>
    <s v="Bolt, Nut, Screw, Rivet, and Washer Manufacturing "/>
    <x v="335"/>
    <x v="335"/>
  </r>
  <r>
    <x v="336"/>
    <s v="Metal Heat Treating "/>
    <x v="336"/>
    <x v="336"/>
  </r>
  <r>
    <x v="337"/>
    <s v="Metal Coating, Engraving (except Jewelry and Silverware), and Allied Services to Manufacturers "/>
    <x v="337"/>
    <x v="337"/>
  </r>
  <r>
    <x v="338"/>
    <s v="Electroplating, Plating, Polishing, Anodizing, and Coloring "/>
    <x v="338"/>
    <x v="338"/>
  </r>
  <r>
    <x v="339"/>
    <s v="Industrial Valve Manufacturing "/>
    <x v="339"/>
    <x v="339"/>
  </r>
  <r>
    <x v="340"/>
    <s v="Fluid Power Valve and Hose Fitting Manufacturing "/>
    <x v="340"/>
    <x v="340"/>
  </r>
  <r>
    <x v="341"/>
    <s v="Plumbing Fixture Fitting and Trim Manufacturing "/>
    <x v="341"/>
    <x v="341"/>
  </r>
  <r>
    <x v="342"/>
    <s v="Other Metal Valve and Pipe Fitting Manufacturing "/>
    <x v="342"/>
    <x v="342"/>
  </r>
  <r>
    <x v="343"/>
    <s v="Ball and Roller Bearing Manufacturing"/>
    <x v="343"/>
    <x v="343"/>
  </r>
  <r>
    <x v="344"/>
    <s v="Small Arms Ammunition Manufacturing "/>
    <x v="344"/>
    <x v="344"/>
  </r>
  <r>
    <x v="345"/>
    <s v="Ammunition (except Small Arms) Manufacturing "/>
    <x v="345"/>
    <x v="345"/>
  </r>
  <r>
    <x v="346"/>
    <s v="Small Arms, Ordnance, and Ordnance Accessories Manufacturing "/>
    <x v="346"/>
    <x v="346"/>
  </r>
  <r>
    <x v="347"/>
    <s v="Fabricated Pipe and Pipe Fitting Manufacturing "/>
    <x v="347"/>
    <x v="347"/>
  </r>
  <r>
    <x v="348"/>
    <s v="All Other Miscellaneous Fabricated Metal Product Manufacturing "/>
    <x v="348"/>
    <x v="348"/>
  </r>
  <r>
    <x v="349"/>
    <s v="Farm Machinery and Equipment Manufacturing "/>
    <x v="349"/>
    <x v="349"/>
  </r>
  <r>
    <x v="350"/>
    <s v="Lawn and Garden Tractor and Home Lawn and Garden Equipment Manufacturing "/>
    <x v="350"/>
    <x v="350"/>
  </r>
  <r>
    <x v="351"/>
    <s v="Construction Machinery Manufacturing"/>
    <x v="351"/>
    <x v="351"/>
  </r>
  <r>
    <x v="352"/>
    <s v="Mining Machinery and Equipment Manufacturing "/>
    <x v="352"/>
    <x v="352"/>
  </r>
  <r>
    <x v="353"/>
    <s v="Oil and Gas Field Machinery and Equipment Manufacturing "/>
    <x v="353"/>
    <x v="353"/>
  </r>
  <r>
    <x v="354"/>
    <s v="Food Product Machinery Manufacturing "/>
    <x v="354"/>
    <x v="354"/>
  </r>
  <r>
    <x v="355"/>
    <s v="Semiconductor Machinery Manufacturing "/>
    <x v="355"/>
    <x v="355"/>
  </r>
  <r>
    <x v="356"/>
    <s v="Sawmill, Woodworking, and Paper Machinery Manufacturing "/>
    <x v="356"/>
    <x v="356"/>
  </r>
  <r>
    <x v="357"/>
    <s v="All Other Industrial Machinery Manufacturing "/>
    <x v="357"/>
    <x v="357"/>
  </r>
  <r>
    <x v="358"/>
    <s v="Commercial and Service Industry Machinery Manufacturing "/>
    <x v="358"/>
    <x v="358"/>
  </r>
  <r>
    <x v="359"/>
    <s v="Industrial and Commercial Fan and Blower and Air Purification Equipment Manufacturing "/>
    <x v="359"/>
    <x v="359"/>
  </r>
  <r>
    <x v="360"/>
    <s v="Heating Equipment (except Warm Air Furnaces) Manufacturing "/>
    <x v="360"/>
    <x v="360"/>
  </r>
  <r>
    <x v="361"/>
    <s v="Air-Conditioning and Warm Air Heating Equipment and Commercial and Industrial Refrigeration Equipment Manufacturing "/>
    <x v="361"/>
    <x v="361"/>
  </r>
  <r>
    <x v="362"/>
    <s v="Industrial Mold Manufacturing "/>
    <x v="362"/>
    <x v="362"/>
  </r>
  <r>
    <x v="363"/>
    <s v="Special Die and Tool, Die Set, Jig, and Fixture Manufacturing "/>
    <x v="363"/>
    <x v="363"/>
  </r>
  <r>
    <x v="364"/>
    <s v="Cutting Tool and Machine Tool Accessory Manufacturing "/>
    <x v="364"/>
    <x v="364"/>
  </r>
  <r>
    <x v="365"/>
    <s v="Machine Tool Manufacturing "/>
    <x v="365"/>
    <x v="365"/>
  </r>
  <r>
    <x v="366"/>
    <s v="Rolling Mill and Other Metalworking Machinery Manufacturing "/>
    <x v="366"/>
    <x v="366"/>
  </r>
  <r>
    <x v="367"/>
    <s v="Turbine and Turbine Generator Set Units Manufacturing "/>
    <x v="367"/>
    <x v="367"/>
  </r>
  <r>
    <x v="368"/>
    <s v="Speed Changer, Industrial High-Speed Drive, and Gear Manufacturing "/>
    <x v="368"/>
    <x v="368"/>
  </r>
  <r>
    <x v="369"/>
    <s v="Mechanical Power Transmission Equipment Manufacturing "/>
    <x v="369"/>
    <x v="369"/>
  </r>
  <r>
    <x v="370"/>
    <s v="Other Engine Equipment Manufacturing "/>
    <x v="370"/>
    <x v="370"/>
  </r>
  <r>
    <x v="371"/>
    <s v="Air and Gas Compressor Manufacturing "/>
    <x v="371"/>
    <x v="371"/>
  </r>
  <r>
    <x v="372"/>
    <s v="Measuring, Dispensing, and Other Pumping Equipment Manufacturing "/>
    <x v="372"/>
    <x v="372"/>
  </r>
  <r>
    <x v="373"/>
    <s v="Elevator and Moving Stairway Manufacturing "/>
    <x v="373"/>
    <x v="373"/>
  </r>
  <r>
    <x v="374"/>
    <s v="Conveyor and Conveying Equipment Manufacturing "/>
    <x v="374"/>
    <x v="374"/>
  </r>
  <r>
    <x v="375"/>
    <s v="Overhead Traveling Crane, Hoist, and Monorail System Manufacturing "/>
    <x v="375"/>
    <x v="375"/>
  </r>
  <r>
    <x v="376"/>
    <s v="Industrial Truck, Tractor, Trailer, and Stacker Machinery Manufacturing "/>
    <x v="376"/>
    <x v="376"/>
  </r>
  <r>
    <x v="377"/>
    <s v="Power-Driven Handtool Manufacturing "/>
    <x v="377"/>
    <x v="377"/>
  </r>
  <r>
    <x v="378"/>
    <s v="Welding and Soldering Equipment Manufacturing "/>
    <x v="378"/>
    <x v="378"/>
  </r>
  <r>
    <x v="379"/>
    <s v="Packaging Machinery Manufacturing "/>
    <x v="379"/>
    <x v="379"/>
  </r>
  <r>
    <x v="380"/>
    <s v="Industrial Process Furnace and Oven Manufacturing "/>
    <x v="380"/>
    <x v="380"/>
  </r>
  <r>
    <x v="381"/>
    <s v="Fluid Power Cylinder and Actuator Manufacturing "/>
    <x v="381"/>
    <x v="381"/>
  </r>
  <r>
    <x v="382"/>
    <s v="Fluid Power Pump and Motor Manufacturing "/>
    <x v="382"/>
    <x v="382"/>
  </r>
  <r>
    <x v="383"/>
    <s v="All Other Miscellaneous General Purpose Machinery Manufacturing "/>
    <x v="383"/>
    <x v="383"/>
  </r>
  <r>
    <x v="384"/>
    <s v="Electronic Computer Manufacturing "/>
    <x v="384"/>
    <x v="384"/>
  </r>
  <r>
    <x v="385"/>
    <s v="Computer Storage Device Manufacturing "/>
    <x v="385"/>
    <x v="385"/>
  </r>
  <r>
    <x v="386"/>
    <s v="Computer Terminal and Other Computer Peripheral Equipment Manufacturing "/>
    <x v="386"/>
    <x v="386"/>
  </r>
  <r>
    <x v="387"/>
    <s v="Telephone Apparatus Manufacturing"/>
    <x v="387"/>
    <x v="387"/>
  </r>
  <r>
    <x v="388"/>
    <s v="Radio and Television Broadcasting and Wireless Communications Equipment Manufacturing"/>
    <x v="388"/>
    <x v="388"/>
  </r>
  <r>
    <x v="389"/>
    <s v="Other Communications Equipment Manufacturing"/>
    <x v="389"/>
    <x v="389"/>
  </r>
  <r>
    <x v="390"/>
    <s v="Audio and Video Equipment Manufacturing"/>
    <x v="390"/>
    <x v="390"/>
  </r>
  <r>
    <x v="391"/>
    <s v="Bare Printed Circuit Board Manufacturing  "/>
    <x v="391"/>
    <x v="391"/>
  </r>
  <r>
    <x v="392"/>
    <s v="Semiconductor and Related Device Manufacturing "/>
    <x v="392"/>
    <x v="392"/>
  </r>
  <r>
    <x v="393"/>
    <s v="Capacitor, Resistor, Coil, Transformer, and Other Inductor Manufacturing "/>
    <x v="393"/>
    <x v="393"/>
  </r>
  <r>
    <x v="394"/>
    <s v="Electronic Connector Manufacturing "/>
    <x v="394"/>
    <x v="394"/>
  </r>
  <r>
    <x v="395"/>
    <s v="Printed Circuit Assembly (Electronic Assembly) Manufacturing "/>
    <x v="395"/>
    <x v="395"/>
  </r>
  <r>
    <x v="396"/>
    <s v="Other Electronic Component Manufacturing "/>
    <x v="396"/>
    <x v="396"/>
  </r>
  <r>
    <x v="397"/>
    <s v="Electromedical and Electrotherapeutic Apparatus Manufacturing "/>
    <x v="397"/>
    <x v="397"/>
  </r>
  <r>
    <x v="398"/>
    <s v="Search, Detection, Navigation, Guidance, Aeronautical, and Nautical System and Instrument Manufacturing "/>
    <x v="398"/>
    <x v="398"/>
  </r>
  <r>
    <x v="399"/>
    <s v="Automatic Environmental Control Manufacturing for Residential, Commercial, and Appliance Use "/>
    <x v="399"/>
    <x v="399"/>
  </r>
  <r>
    <x v="400"/>
    <s v="Instruments and Related Products Manufacturing for Measuring, Displaying, and Controlling Industrial Process Variables "/>
    <x v="400"/>
    <x v="400"/>
  </r>
  <r>
    <x v="401"/>
    <s v="Totalizing Fluid Meter and Counting Device Manufacturing "/>
    <x v="401"/>
    <x v="401"/>
  </r>
  <r>
    <x v="402"/>
    <s v="Instrument Manufacturing for Measuring and Testing Electricity and Electrical Signals "/>
    <x v="402"/>
    <x v="402"/>
  </r>
  <r>
    <x v="403"/>
    <s v="Analytical Laboratory Instrument Manufacturing "/>
    <x v="403"/>
    <x v="403"/>
  </r>
  <r>
    <x v="404"/>
    <s v="Irradiation Apparatus Manufacturing "/>
    <x v="404"/>
    <x v="404"/>
  </r>
  <r>
    <x v="405"/>
    <s v="Other Measuring and Controlling Device Manufacturing "/>
    <x v="405"/>
    <x v="405"/>
  </r>
  <r>
    <x v="406"/>
    <s v="Manufacturing and Reproducing Magnetic and Optical Media "/>
    <x v="406"/>
    <x v="406"/>
  </r>
  <r>
    <x v="407"/>
    <s v="Residential Electric Lighting Fixture Manufacturing "/>
    <x v="407"/>
    <x v="407"/>
  </r>
  <r>
    <x v="408"/>
    <s v="Commercial, Industrial, and Institutional Electric Lighting Fixture Manufacturing "/>
    <x v="408"/>
    <x v="408"/>
  </r>
  <r>
    <x v="409"/>
    <s v="Electric Lamp Bulb and Other Lighting Equipment Manufacturing "/>
    <x v="409"/>
    <x v="409"/>
  </r>
  <r>
    <x v="410"/>
    <s v="Small Electrical Appliance Manufacturing"/>
    <x v="410"/>
    <x v="410"/>
  </r>
  <r>
    <x v="411"/>
    <s v="Major Household Appliance Manufacturing "/>
    <x v="411"/>
    <x v="411"/>
  </r>
  <r>
    <x v="412"/>
    <s v="Power, Distribution, and Specialty Transformer Manufacturing "/>
    <x v="412"/>
    <x v="412"/>
  </r>
  <r>
    <x v="413"/>
    <s v="Motor and Generator Manufacturing "/>
    <x v="413"/>
    <x v="413"/>
  </r>
  <r>
    <x v="414"/>
    <s v="Switchgear and Switchboard Apparatus Manufacturing "/>
    <x v="414"/>
    <x v="414"/>
  </r>
  <r>
    <x v="415"/>
    <s v="Relay and Industrial Control Manufacturing "/>
    <x v="415"/>
    <x v="415"/>
  </r>
  <r>
    <x v="416"/>
    <s v="Battery Manufacturing "/>
    <x v="416"/>
    <x v="416"/>
  </r>
  <r>
    <x v="417"/>
    <s v="Fiber Optic Cable Manufacturing "/>
    <x v="417"/>
    <x v="417"/>
  </r>
  <r>
    <x v="418"/>
    <s v="Other Communication and Energy Wire Manufacturing "/>
    <x v="418"/>
    <x v="418"/>
  </r>
  <r>
    <x v="419"/>
    <s v="Current-Carrying Wiring Device Manufacturing "/>
    <x v="419"/>
    <x v="419"/>
  </r>
  <r>
    <x v="420"/>
    <s v="Noncurrent-Carrying Wiring Device Manufacturing "/>
    <x v="420"/>
    <x v="420"/>
  </r>
  <r>
    <x v="421"/>
    <s v="Carbon and Graphite Product Manufacturing "/>
    <x v="421"/>
    <x v="421"/>
  </r>
  <r>
    <x v="422"/>
    <s v="All Other Miscellaneous Electrical Equipment and Component Manufacturing "/>
    <x v="422"/>
    <x v="422"/>
  </r>
  <r>
    <x v="423"/>
    <s v="Automobile and Light Duty Motor Vehicle Manufacturing "/>
    <x v="423"/>
    <x v="423"/>
  </r>
  <r>
    <x v="424"/>
    <s v="Heavy Duty Truck Manufacturing"/>
    <x v="424"/>
    <x v="424"/>
  </r>
  <r>
    <x v="425"/>
    <s v="Motor Vehicle Body Manufacturing "/>
    <x v="425"/>
    <x v="425"/>
  </r>
  <r>
    <x v="426"/>
    <s v="Truck Trailer Manufacturing "/>
    <x v="426"/>
    <x v="426"/>
  </r>
  <r>
    <x v="427"/>
    <s v="Motor Home Manufacturing "/>
    <x v="427"/>
    <x v="427"/>
  </r>
  <r>
    <x v="428"/>
    <s v="Travel Trailer and Camper Manufacturing "/>
    <x v="428"/>
    <x v="428"/>
  </r>
  <r>
    <x v="429"/>
    <s v="Motor Vehicle Gasoline Engine and Engine Parts Manufacturing"/>
    <x v="429"/>
    <x v="429"/>
  </r>
  <r>
    <x v="430"/>
    <s v="Motor Vehicle Electrical and Electronic Equipment Manufacturing"/>
    <x v="430"/>
    <x v="430"/>
  </r>
  <r>
    <x v="431"/>
    <s v="Motor Vehicle Steering and Suspension Components (except Spring) Manufacturing"/>
    <x v="431"/>
    <x v="431"/>
  </r>
  <r>
    <x v="432"/>
    <s v="Motor Vehicle Brake System Manufacturing"/>
    <x v="432"/>
    <x v="432"/>
  </r>
  <r>
    <x v="433"/>
    <s v="Motor Vehicle Transmission and Power Train Parts Manufacturing"/>
    <x v="433"/>
    <x v="433"/>
  </r>
  <r>
    <x v="434"/>
    <s v="Motor Vehicle Seating and Interior Trim Manufacturing"/>
    <x v="434"/>
    <x v="434"/>
  </r>
  <r>
    <x v="435"/>
    <s v="Motor Vehicle Metal Stamping"/>
    <x v="435"/>
    <x v="435"/>
  </r>
  <r>
    <x v="436"/>
    <s v="Other Motor Vehicle Parts Manufacturing"/>
    <x v="436"/>
    <x v="436"/>
  </r>
  <r>
    <x v="437"/>
    <s v="Aircraft Manufacturing "/>
    <x v="437"/>
    <x v="437"/>
  </r>
  <r>
    <x v="438"/>
    <s v="Aircraft Engine and Engine Parts Manufacturing "/>
    <x v="438"/>
    <x v="438"/>
  </r>
  <r>
    <x v="439"/>
    <s v="Other Aircraft Parts and Auxiliary Equipment Manufacturing "/>
    <x v="439"/>
    <x v="439"/>
  </r>
  <r>
    <x v="440"/>
    <s v="Guided Missile and Space Vehicle Manufacturing "/>
    <x v="440"/>
    <x v="440"/>
  </r>
  <r>
    <x v="441"/>
    <s v="Guided Missile and Space Vehicle Propulsion Unit and Propulsion Unit Parts Manufacturing "/>
    <x v="441"/>
    <x v="441"/>
  </r>
  <r>
    <x v="442"/>
    <s v="Other Guided Missile and Space Vehicle Parts and Auxiliary Equipment Manufacturing "/>
    <x v="442"/>
    <x v="442"/>
  </r>
  <r>
    <x v="443"/>
    <s v="Railroad Rolling Stock Manufacturing"/>
    <x v="443"/>
    <x v="443"/>
  </r>
  <r>
    <x v="444"/>
    <s v="Ship Building and Repairing "/>
    <x v="444"/>
    <x v="444"/>
  </r>
  <r>
    <x v="445"/>
    <s v="Boat Building "/>
    <x v="445"/>
    <x v="445"/>
  </r>
  <r>
    <x v="446"/>
    <s v="Motorcycle, Bicycle, and Parts Manufacturing "/>
    <x v="446"/>
    <x v="446"/>
  </r>
  <r>
    <x v="447"/>
    <s v="Military Armored Vehicle, Tank, and Tank Component Manufacturing "/>
    <x v="447"/>
    <x v="447"/>
  </r>
  <r>
    <x v="448"/>
    <s v="All Other Transportation Equipment Manufacturing "/>
    <x v="448"/>
    <x v="448"/>
  </r>
  <r>
    <x v="449"/>
    <s v="Wood Kitchen Cabinet and Countertop Manufacturing"/>
    <x v="449"/>
    <x v="449"/>
  </r>
  <r>
    <x v="450"/>
    <s v="Upholstered Household Furniture Manufacturing "/>
    <x v="450"/>
    <x v="450"/>
  </r>
  <r>
    <x v="451"/>
    <s v="Nonupholstered Wood Household Furniture Manufacturing "/>
    <x v="451"/>
    <x v="451"/>
  </r>
  <r>
    <x v="452"/>
    <s v="Household Furniture (except Wood and Upholstered) Manufacturing "/>
    <x v="452"/>
    <x v="452"/>
  </r>
  <r>
    <x v="453"/>
    <s v="Institutional Furniture Manufacturing "/>
    <x v="453"/>
    <x v="453"/>
  </r>
  <r>
    <x v="454"/>
    <s v="Wood Office Furniture Manufacturing "/>
    <x v="454"/>
    <x v="454"/>
  </r>
  <r>
    <x v="455"/>
    <s v="Custom Architectural Woodwork and Millwork Manufacturing "/>
    <x v="455"/>
    <x v="455"/>
  </r>
  <r>
    <x v="456"/>
    <s v="Office Furniture (except Wood) Manufacturing "/>
    <x v="456"/>
    <x v="456"/>
  </r>
  <r>
    <x v="457"/>
    <s v="Showcase, Partition, Shelving, and Locker Manufacturing "/>
    <x v="457"/>
    <x v="457"/>
  </r>
  <r>
    <x v="458"/>
    <s v="Mattress Manufacturing"/>
    <x v="458"/>
    <x v="458"/>
  </r>
  <r>
    <x v="459"/>
    <s v="Blind and Shade Manufacturing"/>
    <x v="459"/>
    <x v="459"/>
  </r>
  <r>
    <x v="460"/>
    <s v="Surgical and Medical Instrument Manufacturing "/>
    <x v="460"/>
    <x v="460"/>
  </r>
  <r>
    <x v="461"/>
    <s v="Surgical Appliance and Supplies Manufacturing "/>
    <x v="461"/>
    <x v="461"/>
  </r>
  <r>
    <x v="462"/>
    <s v="Dental Equipment and Supplies Manufacturing "/>
    <x v="462"/>
    <x v="462"/>
  </r>
  <r>
    <x v="463"/>
    <s v="Ophthalmic Goods Manufacturing "/>
    <x v="463"/>
    <x v="463"/>
  </r>
  <r>
    <x v="464"/>
    <s v="Dental Laboratories "/>
    <x v="464"/>
    <x v="464"/>
  </r>
  <r>
    <x v="465"/>
    <s v="Jewelry and Silverware Manufacturing "/>
    <x v="465"/>
    <x v="465"/>
  </r>
  <r>
    <x v="466"/>
    <s v="Sporting and Athletic Goods Manufacturing"/>
    <x v="466"/>
    <x v="466"/>
  </r>
  <r>
    <x v="467"/>
    <s v="Doll, Toy, and Game Manufacturing"/>
    <x v="467"/>
    <x v="467"/>
  </r>
  <r>
    <x v="468"/>
    <s v="Office Supplies (except Paper) Manufacturing"/>
    <x v="468"/>
    <x v="468"/>
  </r>
  <r>
    <x v="469"/>
    <s v="Sign Manufacturing"/>
    <x v="469"/>
    <x v="469"/>
  </r>
  <r>
    <x v="470"/>
    <s v="Gasket, Packing, and Sealing Device Manufacturing "/>
    <x v="470"/>
    <x v="470"/>
  </r>
  <r>
    <x v="471"/>
    <s v="Musical Instrument Manufacturing "/>
    <x v="471"/>
    <x v="471"/>
  </r>
  <r>
    <x v="472"/>
    <s v="Fastener, Button, Needle, and Pin Manufacturing "/>
    <x v="472"/>
    <x v="472"/>
  </r>
  <r>
    <x v="473"/>
    <s v="Broom, Brush, and Mop Manufacturing "/>
    <x v="473"/>
    <x v="473"/>
  </r>
  <r>
    <x v="474"/>
    <s v="Burial Casket Manufacturing "/>
    <x v="474"/>
    <x v="474"/>
  </r>
  <r>
    <x v="475"/>
    <s v="All Other Miscellaneous Manufacturing "/>
    <x v="475"/>
    <x v="475"/>
  </r>
  <r>
    <x v="476"/>
    <s v="Automobile and Other Motor Vehicle Merchant Wholesalers "/>
    <x v="476"/>
    <x v="476"/>
  </r>
  <r>
    <x v="477"/>
    <s v="Motor Vehicle Supplies and New Parts Merchant Wholesalers "/>
    <x v="477"/>
    <x v="477"/>
  </r>
  <r>
    <x v="478"/>
    <s v="Tire and Tube Merchant Wholesalers "/>
    <x v="478"/>
    <x v="478"/>
  </r>
  <r>
    <x v="479"/>
    <s v="Motor Vehicle Parts (Used) Merchant Wholesalers "/>
    <x v="479"/>
    <x v="479"/>
  </r>
  <r>
    <x v="480"/>
    <s v="Furniture Merchant Wholesalers "/>
    <x v="480"/>
    <x v="480"/>
  </r>
  <r>
    <x v="481"/>
    <s v="Home Furnishing Merchant Wholesalers "/>
    <x v="481"/>
    <x v="481"/>
  </r>
  <r>
    <x v="482"/>
    <s v="Lumber, Plywood, Millwork, and Wood Panel Merchant Wholesalers "/>
    <x v="482"/>
    <x v="482"/>
  </r>
  <r>
    <x v="483"/>
    <s v="Brick, Stone, and Related Construction Material Merchant Wholesalers "/>
    <x v="483"/>
    <x v="483"/>
  </r>
  <r>
    <x v="484"/>
    <s v="Roofing, Siding, and Insulation Material Merchant Wholesalers "/>
    <x v="484"/>
    <x v="484"/>
  </r>
  <r>
    <x v="485"/>
    <s v="Other Construction Material Merchant Wholesalers "/>
    <x v="485"/>
    <x v="485"/>
  </r>
  <r>
    <x v="486"/>
    <s v="Photographic Equipment and Supplies Merchant Wholesalers "/>
    <x v="486"/>
    <x v="486"/>
  </r>
  <r>
    <x v="487"/>
    <s v="Office Equipment Merchant Wholesalers "/>
    <x v="487"/>
    <x v="487"/>
  </r>
  <r>
    <x v="488"/>
    <s v="Computer and Computer Peripheral Equipment and Software Merchant Wholesalers "/>
    <x v="488"/>
    <x v="488"/>
  </r>
  <r>
    <x v="489"/>
    <s v="Other Commercial Equipment Merchant Wholesalers "/>
    <x v="489"/>
    <x v="489"/>
  </r>
  <r>
    <x v="490"/>
    <s v="Medical, Dental, and Hospital Equipment and Supplies Merchant Wholesalers "/>
    <x v="490"/>
    <x v="490"/>
  </r>
  <r>
    <x v="491"/>
    <s v="Ophthalmic Goods Merchant Wholesalers "/>
    <x v="491"/>
    <x v="491"/>
  </r>
  <r>
    <x v="492"/>
    <s v="Other Professional Equipment and Supplies Merchant Wholesalers "/>
    <x v="492"/>
    <x v="492"/>
  </r>
  <r>
    <x v="493"/>
    <s v="Metal Service Centers and Other Metal Merchant Wholesalers "/>
    <x v="493"/>
    <x v="493"/>
  </r>
  <r>
    <x v="494"/>
    <s v="Coal and Other Mineral and Ore Merchant Wholesalers "/>
    <x v="494"/>
    <x v="494"/>
  </r>
  <r>
    <x v="495"/>
    <s v="Electrical Apparatus and Equipment, Wiring Supplies, and Related Equipment Merchant Wholesalers "/>
    <x v="495"/>
    <x v="495"/>
  </r>
  <r>
    <x v="496"/>
    <s v="Household Appliances, Electric Housewares, and Consumer Electronics Merchant Wholesalers "/>
    <x v="496"/>
    <x v="496"/>
  </r>
  <r>
    <x v="497"/>
    <s v="Other Electronic Parts and Equipment Merchant Wholesalers "/>
    <x v="497"/>
    <x v="497"/>
  </r>
  <r>
    <x v="498"/>
    <s v="Hardware Merchant Wholesalers "/>
    <x v="498"/>
    <x v="498"/>
  </r>
  <r>
    <x v="499"/>
    <s v="Plumbing and Heating Equipment and Supplies (Hydronics) Merchant Wholesalers "/>
    <x v="499"/>
    <x v="499"/>
  </r>
  <r>
    <x v="500"/>
    <s v="Warm Air Heating and Air-Conditioning Equipment and Supplies Merchant Wholesalers "/>
    <x v="500"/>
    <x v="500"/>
  </r>
  <r>
    <x v="501"/>
    <s v="Refrigeration Equipment and Supplies Merchant Wholesalers "/>
    <x v="501"/>
    <x v="501"/>
  </r>
  <r>
    <x v="502"/>
    <s v="Construction and Mining (except Oil Well) Machinery and Equipment Merchant Wholesalers "/>
    <x v="502"/>
    <x v="502"/>
  </r>
  <r>
    <x v="503"/>
    <s v="Farm and Garden Machinery and Equipment Merchant Wholesalers "/>
    <x v="503"/>
    <x v="503"/>
  </r>
  <r>
    <x v="504"/>
    <s v="Industrial Machinery and Equipment Merchant Wholesalers "/>
    <x v="504"/>
    <x v="504"/>
  </r>
  <r>
    <x v="505"/>
    <s v="Industrial Supplies Merchant Wholesalers"/>
    <x v="505"/>
    <x v="505"/>
  </r>
  <r>
    <x v="506"/>
    <s v="Service Establishment Equipment and Supplies Merchant Wholesalers "/>
    <x v="506"/>
    <x v="506"/>
  </r>
  <r>
    <x v="507"/>
    <s v="Transportation Equipment and Supplies (except Motor Vehicle) Merchant Wholesalers "/>
    <x v="507"/>
    <x v="507"/>
  </r>
  <r>
    <x v="508"/>
    <s v="Sporting and Recreational Goods and Supplies Merchant Wholesalers "/>
    <x v="508"/>
    <x v="508"/>
  </r>
  <r>
    <x v="509"/>
    <s v="Toy and Hobby Goods and Supplies Merchant Wholesalers "/>
    <x v="509"/>
    <x v="509"/>
  </r>
  <r>
    <x v="510"/>
    <s v="Recyclable Material Merchant Wholesalers "/>
    <x v="510"/>
    <x v="510"/>
  </r>
  <r>
    <x v="511"/>
    <s v="Jewelry, Watch, Precious Stone, and Precious Metal Merchant Wholesalers "/>
    <x v="511"/>
    <x v="511"/>
  </r>
  <r>
    <x v="512"/>
    <s v="Other Miscellaneous Durable Goods Merchant Wholesalers "/>
    <x v="512"/>
    <x v="512"/>
  </r>
  <r>
    <x v="513"/>
    <s v="Printing and Writing Paper Merchant Wholesalers "/>
    <x v="513"/>
    <x v="513"/>
  </r>
  <r>
    <x v="514"/>
    <s v="Stationery and Office Supplies Merchant Wholesalers "/>
    <x v="514"/>
    <x v="514"/>
  </r>
  <r>
    <x v="515"/>
    <s v="Industrial and Personal Service Paper Merchant Wholesalers "/>
    <x v="515"/>
    <x v="515"/>
  </r>
  <r>
    <x v="516"/>
    <s v="Drugs and Druggists' Sundries Merchant Wholesalers "/>
    <x v="516"/>
    <x v="516"/>
  </r>
  <r>
    <x v="517"/>
    <s v="Piece Goods, Notions, and Other Dry Goods Merchant Wholesalers "/>
    <x v="517"/>
    <x v="517"/>
  </r>
  <r>
    <x v="518"/>
    <s v="Footwear Merchant Wholesalers "/>
    <x v="518"/>
    <x v="518"/>
  </r>
  <r>
    <x v="519"/>
    <s v="Clothing and Clothing Accessories Merchant Wholesalers"/>
    <x v="519"/>
    <x v="519"/>
  </r>
  <r>
    <x v="520"/>
    <s v="General Line Grocery Merchant Wholesalers "/>
    <x v="520"/>
    <x v="520"/>
  </r>
  <r>
    <x v="521"/>
    <s v="Packaged Frozen Food Merchant Wholesalers "/>
    <x v="521"/>
    <x v="521"/>
  </r>
  <r>
    <x v="522"/>
    <s v="Dairy Product (except Dried or Canned) Merchant Wholesalers "/>
    <x v="522"/>
    <x v="522"/>
  </r>
  <r>
    <x v="523"/>
    <s v="Poultry and Poultry Product Merchant Wholesalers "/>
    <x v="523"/>
    <x v="523"/>
  </r>
  <r>
    <x v="524"/>
    <s v="Confectionery Merchant Wholesalers "/>
    <x v="524"/>
    <x v="524"/>
  </r>
  <r>
    <x v="525"/>
    <s v="Fish and Seafood Merchant Wholesalers "/>
    <x v="525"/>
    <x v="525"/>
  </r>
  <r>
    <x v="526"/>
    <s v="Meat and Meat Product Merchant Wholesalers "/>
    <x v="526"/>
    <x v="526"/>
  </r>
  <r>
    <x v="527"/>
    <s v="Fresh Fruit and Vegetable Merchant Wholesalers "/>
    <x v="527"/>
    <x v="527"/>
  </r>
  <r>
    <x v="528"/>
    <s v="Other Grocery and Related Products Merchant Wholesalers "/>
    <x v="528"/>
    <x v="528"/>
  </r>
  <r>
    <x v="529"/>
    <s v="Grain and Field Bean Merchant Wholesalers "/>
    <x v="529"/>
    <x v="529"/>
  </r>
  <r>
    <x v="530"/>
    <s v="Livestock Merchant Wholesalers "/>
    <x v="530"/>
    <x v="530"/>
  </r>
  <r>
    <x v="531"/>
    <s v="Other Farm Product Raw Material Merchant Wholesalers "/>
    <x v="531"/>
    <x v="531"/>
  </r>
  <r>
    <x v="532"/>
    <s v="Plastics Materials and Basic Forms and Shapes Merchant Wholesalers "/>
    <x v="532"/>
    <x v="532"/>
  </r>
  <r>
    <x v="533"/>
    <s v="Other Chemical and Allied Products Merchant Wholesalers "/>
    <x v="533"/>
    <x v="533"/>
  </r>
  <r>
    <x v="534"/>
    <s v="Petroleum Bulk Stations and Terminals "/>
    <x v="534"/>
    <x v="534"/>
  </r>
  <r>
    <x v="535"/>
    <s v="Petroleum and Petroleum Products Merchant Wholesalers (except Bulk Stations and Terminals) "/>
    <x v="535"/>
    <x v="535"/>
  </r>
  <r>
    <x v="536"/>
    <s v="Beer and Ale Merchant Wholesalers "/>
    <x v="536"/>
    <x v="536"/>
  </r>
  <r>
    <x v="537"/>
    <s v="Wine and Distilled Alcoholic Beverage Merchant Wholesalers "/>
    <x v="537"/>
    <x v="537"/>
  </r>
  <r>
    <x v="538"/>
    <s v="Farm Supplies Merchant Wholesalers "/>
    <x v="538"/>
    <x v="538"/>
  </r>
  <r>
    <x v="539"/>
    <s v="Book, Periodical, and Newspaper Merchant Wholesalers "/>
    <x v="539"/>
    <x v="539"/>
  </r>
  <r>
    <x v="540"/>
    <s v="Flower, Nursery Stock, and Florists' Supplies Merchant Wholesalers "/>
    <x v="540"/>
    <x v="540"/>
  </r>
  <r>
    <x v="541"/>
    <s v="Tobacco Product and Electronic Cigarette Merchant Wholesalers "/>
    <x v="541"/>
    <x v="541"/>
  </r>
  <r>
    <x v="542"/>
    <s v="Paint, Varnish, and Supplies Merchant Wholesalers "/>
    <x v="542"/>
    <x v="542"/>
  </r>
  <r>
    <x v="543"/>
    <s v="Other Miscellaneous Nondurable Goods Merchant Wholesalers "/>
    <x v="543"/>
    <x v="543"/>
  </r>
  <r>
    <x v="544"/>
    <s v="Wholesale Trade Agents and Brokers "/>
    <x v="544"/>
    <x v="544"/>
  </r>
  <r>
    <x v="545"/>
    <s v="New Car Dealers "/>
    <x v="545"/>
    <x v="545"/>
  </r>
  <r>
    <x v="546"/>
    <s v="Used Car Dealers "/>
    <x v="546"/>
    <x v="546"/>
  </r>
  <r>
    <x v="547"/>
    <s v="Recreational Vehicle Dealers "/>
    <x v="547"/>
    <x v="547"/>
  </r>
  <r>
    <x v="548"/>
    <s v="Boat Dealers "/>
    <x v="548"/>
    <x v="548"/>
  </r>
  <r>
    <x v="549"/>
    <s v="Motorcycle, ATV, and All Other Motor Vehicle Dealers "/>
    <x v="549"/>
    <x v="549"/>
  </r>
  <r>
    <x v="550"/>
    <s v="Automotive Parts and Accessories Retailers "/>
    <x v="550"/>
    <x v="550"/>
  </r>
  <r>
    <x v="551"/>
    <s v="Tire Dealers "/>
    <x v="551"/>
    <x v="551"/>
  </r>
  <r>
    <x v="552"/>
    <s v="Home Centers "/>
    <x v="552"/>
    <x v="552"/>
  </r>
  <r>
    <x v="553"/>
    <s v="Paint and Wallpaper Retailers "/>
    <x v="553"/>
    <x v="553"/>
  </r>
  <r>
    <x v="554"/>
    <s v="Hardware Retailers "/>
    <x v="554"/>
    <x v="554"/>
  </r>
  <r>
    <x v="555"/>
    <s v="Other Building Material Dealers "/>
    <x v="555"/>
    <x v="555"/>
  </r>
  <r>
    <x v="556"/>
    <s v="Outdoor Power Equipment Retailers "/>
    <x v="556"/>
    <x v="556"/>
  </r>
  <r>
    <x v="557"/>
    <s v="Nursery, Garden Center, and Farm Supply Retailers "/>
    <x v="557"/>
    <x v="557"/>
  </r>
  <r>
    <x v="558"/>
    <s v="Supermarkets and Other Grocery Retailers (except Convenience Retailers) "/>
    <x v="558"/>
    <x v="558"/>
  </r>
  <r>
    <x v="559"/>
    <s v="Convenience Retailers "/>
    <x v="559"/>
    <x v="559"/>
  </r>
  <r>
    <x v="560"/>
    <s v="Vending Machine Operators "/>
    <x v="560"/>
    <x v="560"/>
  </r>
  <r>
    <x v="561"/>
    <s v="Fruit and Vegetable Retailers "/>
    <x v="561"/>
    <x v="561"/>
  </r>
  <r>
    <x v="562"/>
    <s v="Meat Retailers "/>
    <x v="562"/>
    <x v="562"/>
  </r>
  <r>
    <x v="563"/>
    <s v="Fish and Seafood Retailers "/>
    <x v="563"/>
    <x v="563"/>
  </r>
  <r>
    <x v="564"/>
    <s v="Baked Goods Retailers "/>
    <x v="564"/>
    <x v="564"/>
  </r>
  <r>
    <x v="565"/>
    <s v="Confectionery and Nut Retailers "/>
    <x v="565"/>
    <x v="565"/>
  </r>
  <r>
    <x v="566"/>
    <s v="All Other Specialty Food Retailers "/>
    <x v="566"/>
    <x v="566"/>
  </r>
  <r>
    <x v="567"/>
    <s v="Beer, Wine, and Liquor Retailers "/>
    <x v="567"/>
    <x v="567"/>
  </r>
  <r>
    <x v="568"/>
    <s v="Furniture Retailers "/>
    <x v="568"/>
    <x v="568"/>
  </r>
  <r>
    <x v="569"/>
    <s v="Floor Covering Retailers "/>
    <x v="569"/>
    <x v="569"/>
  </r>
  <r>
    <x v="570"/>
    <s v="Window Treatment Retailers "/>
    <x v="570"/>
    <x v="570"/>
  </r>
  <r>
    <x v="571"/>
    <s v="All Other Home Furnishings Retailers "/>
    <x v="571"/>
    <x v="571"/>
  </r>
  <r>
    <x v="572"/>
    <s v="Electronics and Appliance Retailers"/>
    <x v="572"/>
    <x v="572"/>
  </r>
  <r>
    <x v="573"/>
    <s v="Department Stores "/>
    <x v="573"/>
    <x v="573"/>
  </r>
  <r>
    <x v="574"/>
    <s v="Warehouse Clubs and Supercenters "/>
    <x v="574"/>
    <x v="574"/>
  </r>
  <r>
    <x v="575"/>
    <s v="All Other General Merchandise Retailers "/>
    <x v="575"/>
    <x v="575"/>
  </r>
  <r>
    <x v="576"/>
    <s v="Pharmacies and Drug Retailers "/>
    <x v="576"/>
    <x v="576"/>
  </r>
  <r>
    <x v="577"/>
    <s v="Cosmetics, Beauty Supplies, and Perfume Retailers "/>
    <x v="577"/>
    <x v="577"/>
  </r>
  <r>
    <x v="578"/>
    <s v="Optical Goods Retailers "/>
    <x v="578"/>
    <x v="578"/>
  </r>
  <r>
    <x v="579"/>
    <s v="Food (Health) Supplement Retailers "/>
    <x v="579"/>
    <x v="579"/>
  </r>
  <r>
    <x v="580"/>
    <s v="All Other Health and Personal Care Retailers "/>
    <x v="580"/>
    <x v="580"/>
  </r>
  <r>
    <x v="581"/>
    <s v="Gasoline Stations with Convenience Stores "/>
    <x v="581"/>
    <x v="581"/>
  </r>
  <r>
    <x v="582"/>
    <s v="Other Gasoline Stations "/>
    <x v="582"/>
    <x v="582"/>
  </r>
  <r>
    <x v="583"/>
    <s v="Fuel Dealers "/>
    <x v="583"/>
    <x v="583"/>
  </r>
  <r>
    <x v="584"/>
    <s v="Clothing and Clothing Accessories Retailers "/>
    <x v="584"/>
    <x v="584"/>
  </r>
  <r>
    <x v="585"/>
    <s v="Shoe Retailers "/>
    <x v="585"/>
    <x v="585"/>
  </r>
  <r>
    <x v="586"/>
    <s v="Jewelry Retailers "/>
    <x v="586"/>
    <x v="586"/>
  </r>
  <r>
    <x v="587"/>
    <s v="Luggage and Leather Goods Retailers "/>
    <x v="587"/>
    <x v="587"/>
  </r>
  <r>
    <x v="588"/>
    <s v="Sporting Goods Retailers "/>
    <x v="588"/>
    <x v="588"/>
  </r>
  <r>
    <x v="589"/>
    <s v="Hobby, Toy, and Game Retailers "/>
    <x v="589"/>
    <x v="589"/>
  </r>
  <r>
    <x v="590"/>
    <s v="Sewing, Needlework, and Piece Goods Retailers "/>
    <x v="590"/>
    <x v="590"/>
  </r>
  <r>
    <x v="591"/>
    <s v="Musical Instrument and Supplies Retailers "/>
    <x v="591"/>
    <x v="591"/>
  </r>
  <r>
    <x v="592"/>
    <s v="Book Retailers and News Dealers "/>
    <x v="592"/>
    <x v="592"/>
  </r>
  <r>
    <x v="593"/>
    <s v="Florists "/>
    <x v="593"/>
    <x v="593"/>
  </r>
  <r>
    <x v="594"/>
    <s v="Office Supplies and Stationery Retailers "/>
    <x v="594"/>
    <x v="594"/>
  </r>
  <r>
    <x v="595"/>
    <s v="Gift, Novelty, and Souvenir Retailers "/>
    <x v="595"/>
    <x v="595"/>
  </r>
  <r>
    <x v="596"/>
    <s v="Used Merchandise Retailers "/>
    <x v="596"/>
    <x v="596"/>
  </r>
  <r>
    <x v="597"/>
    <s v="Pet and Pet Supplies Retailers "/>
    <x v="597"/>
    <x v="597"/>
  </r>
  <r>
    <x v="598"/>
    <s v="Art Dealers "/>
    <x v="598"/>
    <x v="598"/>
  </r>
  <r>
    <x v="599"/>
    <s v="Manufactured (Mobile) Home Dealers "/>
    <x v="599"/>
    <x v="599"/>
  </r>
  <r>
    <x v="600"/>
    <s v="Tobacco, Electronic Cigarette, and Other Smoking Supplies Retailers "/>
    <x v="600"/>
    <x v="600"/>
  </r>
  <r>
    <x v="601"/>
    <s v="All Other Miscellaneous Retailers "/>
    <x v="601"/>
    <x v="601"/>
  </r>
  <r>
    <x v="602"/>
    <s v="Scheduled Passenger Air Transportation "/>
    <x v="602"/>
    <x v="602"/>
  </r>
  <r>
    <x v="603"/>
    <s v="Scheduled Freight Air Transportation "/>
    <x v="603"/>
    <x v="603"/>
  </r>
  <r>
    <x v="604"/>
    <s v="Nonscheduled Chartered Passenger Air Transportation "/>
    <x v="604"/>
    <x v="604"/>
  </r>
  <r>
    <x v="605"/>
    <s v="Nonscheduled Chartered Freight Air Transportation "/>
    <x v="605"/>
    <x v="605"/>
  </r>
  <r>
    <x v="606"/>
    <s v="Other Nonscheduled Air Transportation "/>
    <x v="606"/>
    <x v="606"/>
  </r>
  <r>
    <x v="607"/>
    <s v="Line-Haul Railroads "/>
    <x v="607"/>
    <x v="607"/>
  </r>
  <r>
    <x v="608"/>
    <s v="Short Line Railroads "/>
    <x v="608"/>
    <x v="608"/>
  </r>
  <r>
    <x v="609"/>
    <s v="Deep Sea Freight Transportation "/>
    <x v="609"/>
    <x v="609"/>
  </r>
  <r>
    <x v="610"/>
    <s v="Deep Sea Passenger Transportation "/>
    <x v="610"/>
    <x v="610"/>
  </r>
  <r>
    <x v="611"/>
    <s v="Coastal and Great Lakes Freight Transportation "/>
    <x v="611"/>
    <x v="611"/>
  </r>
  <r>
    <x v="612"/>
    <s v="Coastal and Great Lakes Passenger Transportation "/>
    <x v="612"/>
    <x v="612"/>
  </r>
  <r>
    <x v="613"/>
    <s v="Inland Water Freight Transportation "/>
    <x v="613"/>
    <x v="613"/>
  </r>
  <r>
    <x v="614"/>
    <s v="Inland Water Passenger Transportation "/>
    <x v="614"/>
    <x v="614"/>
  </r>
  <r>
    <x v="615"/>
    <s v="General Freight Trucking, Local "/>
    <x v="615"/>
    <x v="615"/>
  </r>
  <r>
    <x v="616"/>
    <s v="General Freight Trucking, Long-Distance, Truckload "/>
    <x v="616"/>
    <x v="616"/>
  </r>
  <r>
    <x v="617"/>
    <s v="General Freight Trucking, Long-Distance, Less Than Truckload "/>
    <x v="617"/>
    <x v="617"/>
  </r>
  <r>
    <x v="618"/>
    <s v="Used Household and Office Goods Moving"/>
    <x v="618"/>
    <x v="618"/>
  </r>
  <r>
    <x v="619"/>
    <s v="Specialized Freight (except Used Goods) Trucking, Local "/>
    <x v="619"/>
    <x v="619"/>
  </r>
  <r>
    <x v="620"/>
    <s v="Specialized Freight (except Used Goods) Trucking, Long-Distance "/>
    <x v="620"/>
    <x v="620"/>
  </r>
  <r>
    <x v="621"/>
    <s v="Mixed Mode Transit Systems "/>
    <x v="621"/>
    <x v="621"/>
  </r>
  <r>
    <x v="622"/>
    <s v="Commuter Rail Systems "/>
    <x v="622"/>
    <x v="622"/>
  </r>
  <r>
    <x v="623"/>
    <s v="Bus and Other Motor Vehicle Transit Systems "/>
    <x v="623"/>
    <x v="623"/>
  </r>
  <r>
    <x v="624"/>
    <s v="Other Urban Transit Systems "/>
    <x v="624"/>
    <x v="624"/>
  </r>
  <r>
    <x v="625"/>
    <s v="Interurban and Rural Bus Transportation"/>
    <x v="625"/>
    <x v="625"/>
  </r>
  <r>
    <x v="626"/>
    <s v="Taxi and Ridesharing Services "/>
    <x v="626"/>
    <x v="626"/>
  </r>
  <r>
    <x v="627"/>
    <s v="Limousine Service"/>
    <x v="627"/>
    <x v="627"/>
  </r>
  <r>
    <x v="628"/>
    <s v="School and Employee Bus Transportation"/>
    <x v="628"/>
    <x v="628"/>
  </r>
  <r>
    <x v="629"/>
    <s v="Charter Bus Industry"/>
    <x v="629"/>
    <x v="629"/>
  </r>
  <r>
    <x v="630"/>
    <s v="Special Needs Transportation "/>
    <x v="630"/>
    <x v="630"/>
  </r>
  <r>
    <x v="631"/>
    <s v="All Other Transit and Ground Passenger Transportation "/>
    <x v="631"/>
    <x v="631"/>
  </r>
  <r>
    <x v="632"/>
    <s v="Pipeline Transportation of Crude Oil"/>
    <x v="632"/>
    <x v="632"/>
  </r>
  <r>
    <x v="633"/>
    <s v="Pipeline Transportation of Natural Gas"/>
    <x v="633"/>
    <x v="633"/>
  </r>
  <r>
    <x v="634"/>
    <s v="Pipeline Transportation of Refined Petroleum Products"/>
    <x v="634"/>
    <x v="634"/>
  </r>
  <r>
    <x v="635"/>
    <s v="All Other Pipeline Transportation"/>
    <x v="635"/>
    <x v="635"/>
  </r>
  <r>
    <x v="636"/>
    <s v="Scenic and Sightseeing Transportation, Land"/>
    <x v="636"/>
    <x v="636"/>
  </r>
  <r>
    <x v="637"/>
    <s v="Scenic and Sightseeing Transportation, Water"/>
    <x v="637"/>
    <x v="637"/>
  </r>
  <r>
    <x v="638"/>
    <s v="Scenic and Sightseeing Transportation, Other"/>
    <x v="638"/>
    <x v="638"/>
  </r>
  <r>
    <x v="639"/>
    <s v="Air Traffic Control"/>
    <x v="639"/>
    <x v="639"/>
  </r>
  <r>
    <x v="640"/>
    <s v="Other Airport Operations "/>
    <x v="640"/>
    <x v="640"/>
  </r>
  <r>
    <x v="641"/>
    <s v="Other Support Activities for Air Transportation"/>
    <x v="641"/>
    <x v="641"/>
  </r>
  <r>
    <x v="642"/>
    <s v="Support Activities for Rail Transportation"/>
    <x v="642"/>
    <x v="642"/>
  </r>
  <r>
    <x v="643"/>
    <s v="Port and Harbor Operations"/>
    <x v="643"/>
    <x v="643"/>
  </r>
  <r>
    <x v="644"/>
    <s v="Marine Cargo Handling"/>
    <x v="644"/>
    <x v="644"/>
  </r>
  <r>
    <x v="645"/>
    <s v="Navigational Services to Shipping "/>
    <x v="645"/>
    <x v="645"/>
  </r>
  <r>
    <x v="646"/>
    <s v="Other Support Activities for Water Transportation"/>
    <x v="646"/>
    <x v="646"/>
  </r>
  <r>
    <x v="647"/>
    <s v="Motor Vehicle Towing"/>
    <x v="647"/>
    <x v="647"/>
  </r>
  <r>
    <x v="648"/>
    <s v="Other Support Activities for Road Transportation "/>
    <x v="648"/>
    <x v="648"/>
  </r>
  <r>
    <x v="649"/>
    <s v="Freight Transportation Arrangement "/>
    <x v="649"/>
    <x v="649"/>
  </r>
  <r>
    <x v="650"/>
    <s v="Packing and Crating "/>
    <x v="650"/>
    <x v="650"/>
  </r>
  <r>
    <x v="651"/>
    <s v="All Other Support Activities for Transportation "/>
    <x v="651"/>
    <x v="651"/>
  </r>
  <r>
    <x v="652"/>
    <s v="Postal Service"/>
    <x v="652"/>
    <x v="652"/>
  </r>
  <r>
    <x v="653"/>
    <s v="Couriers and Express Delivery Services"/>
    <x v="653"/>
    <x v="653"/>
  </r>
  <r>
    <x v="654"/>
    <s v="Local Messengers and Local Delivery"/>
    <x v="654"/>
    <x v="654"/>
  </r>
  <r>
    <x v="655"/>
    <s v="General Warehousing and Storage "/>
    <x v="655"/>
    <x v="655"/>
  </r>
  <r>
    <x v="656"/>
    <s v="Refrigerated Warehousing and Storage"/>
    <x v="656"/>
    <x v="656"/>
  </r>
  <r>
    <x v="657"/>
    <s v="Farm Product Warehousing and Storage"/>
    <x v="657"/>
    <x v="657"/>
  </r>
  <r>
    <x v="658"/>
    <s v="Other Warehousing and Storage"/>
    <x v="658"/>
    <x v="658"/>
  </r>
  <r>
    <x v="659"/>
    <s v="Motion Picture and Video Production "/>
    <x v="659"/>
    <x v="659"/>
  </r>
  <r>
    <x v="660"/>
    <s v="Motion Picture and Video Distribution"/>
    <x v="660"/>
    <x v="660"/>
  </r>
  <r>
    <x v="661"/>
    <s v="Motion Picture Theaters (except Drive-Ins) "/>
    <x v="661"/>
    <x v="661"/>
  </r>
  <r>
    <x v="662"/>
    <s v="Drive-In Motion Picture Theaters "/>
    <x v="662"/>
    <x v="662"/>
  </r>
  <r>
    <x v="663"/>
    <s v="Teleproduction and Other Postproduction Services "/>
    <x v="663"/>
    <x v="663"/>
  </r>
  <r>
    <x v="664"/>
    <s v="Other Motion Picture and Video Industries "/>
    <x v="664"/>
    <x v="664"/>
  </r>
  <r>
    <x v="665"/>
    <s v="Music Publishers"/>
    <x v="665"/>
    <x v="665"/>
  </r>
  <r>
    <x v="666"/>
    <s v="Sound Recording Studios"/>
    <x v="666"/>
    <x v="666"/>
  </r>
  <r>
    <x v="667"/>
    <s v="Record Production and Distribution"/>
    <x v="667"/>
    <x v="667"/>
  </r>
  <r>
    <x v="668"/>
    <s v="Other Sound Recording Industries"/>
    <x v="668"/>
    <x v="668"/>
  </r>
  <r>
    <x v="669"/>
    <s v="Newspaper Publishers "/>
    <x v="669"/>
    <x v="669"/>
  </r>
  <r>
    <x v="670"/>
    <s v="Periodical Publishers "/>
    <x v="670"/>
    <x v="670"/>
  </r>
  <r>
    <x v="671"/>
    <s v="Book Publishers "/>
    <x v="671"/>
    <x v="671"/>
  </r>
  <r>
    <x v="672"/>
    <s v="Directory and Mailing List Publishers "/>
    <x v="672"/>
    <x v="672"/>
  </r>
  <r>
    <x v="673"/>
    <s v="Greeting Card Publishers "/>
    <x v="673"/>
    <x v="673"/>
  </r>
  <r>
    <x v="674"/>
    <s v="All Other Publishers "/>
    <x v="674"/>
    <x v="674"/>
  </r>
  <r>
    <x v="675"/>
    <s v="Software Publishers"/>
    <x v="675"/>
    <x v="675"/>
  </r>
  <r>
    <x v="676"/>
    <s v="Radio Broadcasting Stations "/>
    <x v="676"/>
    <x v="676"/>
  </r>
  <r>
    <x v="677"/>
    <s v="Television Broadcasting Stations "/>
    <x v="677"/>
    <x v="677"/>
  </r>
  <r>
    <x v="678"/>
    <s v="Media Streaming Distribution Services, Social Networks, and Other Media Networks and Content Providers"/>
    <x v="678"/>
    <x v="678"/>
  </r>
  <r>
    <x v="679"/>
    <s v="Wired Telecommunications Carriers "/>
    <x v="679"/>
    <x v="679"/>
  </r>
  <r>
    <x v="680"/>
    <s v="Wireless Telecommunications Carriers (except Satellite)"/>
    <x v="680"/>
    <x v="680"/>
  </r>
  <r>
    <x v="681"/>
    <s v="Telecommunications Resellers"/>
    <x v="681"/>
    <x v="681"/>
  </r>
  <r>
    <x v="682"/>
    <s v="Agents for Wireless Telecommunications Services"/>
    <x v="682"/>
    <x v="682"/>
  </r>
  <r>
    <x v="683"/>
    <s v="Satellite Telecommunications"/>
    <x v="683"/>
    <x v="683"/>
  </r>
  <r>
    <x v="684"/>
    <s v="All Other Telecommunications "/>
    <x v="684"/>
    <x v="684"/>
  </r>
  <r>
    <x v="685"/>
    <s v="Computing Infrastructure Providers, Data Processing, Web Hosting, and Related Services"/>
    <x v="685"/>
    <x v="685"/>
  </r>
  <r>
    <x v="686"/>
    <s v="Libraries and Archives "/>
    <x v="686"/>
    <x v="686"/>
  </r>
  <r>
    <x v="687"/>
    <s v="Web Search Portals and All Other Information Services"/>
    <x v="687"/>
    <x v="687"/>
  </r>
  <r>
    <x v="688"/>
    <s v="Monetary Authorities-Central Bank"/>
    <x v="688"/>
    <x v="688"/>
  </r>
  <r>
    <x v="689"/>
    <s v="Commercial Banking "/>
    <x v="689"/>
    <x v="689"/>
  </r>
  <r>
    <x v="690"/>
    <s v="Credit Unions "/>
    <x v="690"/>
    <x v="690"/>
  </r>
  <r>
    <x v="691"/>
    <s v="Savings Institutions and Other Depository Credit Intermediation "/>
    <x v="691"/>
    <x v="691"/>
  </r>
  <r>
    <x v="692"/>
    <s v="Credit Card Issuing "/>
    <x v="692"/>
    <x v="692"/>
  </r>
  <r>
    <x v="693"/>
    <s v="Sales Financing "/>
    <x v="693"/>
    <x v="693"/>
  </r>
  <r>
    <x v="694"/>
    <s v="Consumer Lending "/>
    <x v="694"/>
    <x v="694"/>
  </r>
  <r>
    <x v="695"/>
    <s v="Real Estate Credit "/>
    <x v="695"/>
    <x v="695"/>
  </r>
  <r>
    <x v="696"/>
    <s v="International, Secondary Market, and All Other Nondepository Credit Intermediation "/>
    <x v="696"/>
    <x v="696"/>
  </r>
  <r>
    <x v="697"/>
    <s v="Mortgage and Nonmortgage Loan Brokers "/>
    <x v="697"/>
    <x v="697"/>
  </r>
  <r>
    <x v="698"/>
    <s v="Financial Transactions Processing, Reserve, and Clearinghouse Activities "/>
    <x v="698"/>
    <x v="698"/>
  </r>
  <r>
    <x v="699"/>
    <s v="Other Activities Related to Credit Intermediation "/>
    <x v="699"/>
    <x v="699"/>
  </r>
  <r>
    <x v="700"/>
    <s v="Investment Banking and Securities Intermediation "/>
    <x v="700"/>
    <x v="700"/>
  </r>
  <r>
    <x v="701"/>
    <s v="Commodity Contracts Intermediation "/>
    <x v="701"/>
    <x v="701"/>
  </r>
  <r>
    <x v="702"/>
    <s v="Securities and Commodity Exchanges"/>
    <x v="702"/>
    <x v="702"/>
  </r>
  <r>
    <x v="703"/>
    <s v="Miscellaneous Intermediation "/>
    <x v="703"/>
    <x v="703"/>
  </r>
  <r>
    <x v="704"/>
    <s v="Portfolio Management and Investment Advice "/>
    <x v="704"/>
    <x v="704"/>
  </r>
  <r>
    <x v="705"/>
    <s v="Trust, Fiduciary, and Custody Activities "/>
    <x v="705"/>
    <x v="705"/>
  </r>
  <r>
    <x v="706"/>
    <s v="Miscellaneous Financial Investment Activities "/>
    <x v="706"/>
    <x v="706"/>
  </r>
  <r>
    <x v="707"/>
    <s v="Direct Life Insurance Carriers "/>
    <x v="707"/>
    <x v="707"/>
  </r>
  <r>
    <x v="708"/>
    <s v="Direct Health and Medical Insurance Carriers "/>
    <x v="708"/>
    <x v="708"/>
  </r>
  <r>
    <x v="709"/>
    <s v="Direct Property and Casualty Insurance Carriers "/>
    <x v="709"/>
    <x v="709"/>
  </r>
  <r>
    <x v="710"/>
    <s v="Direct Title Insurance Carriers "/>
    <x v="710"/>
    <x v="710"/>
  </r>
  <r>
    <x v="711"/>
    <s v="Other Direct Insurance (except Life, Health, and Medical) Carriers "/>
    <x v="711"/>
    <x v="711"/>
  </r>
  <r>
    <x v="712"/>
    <s v="Reinsurance Carriers "/>
    <x v="712"/>
    <x v="712"/>
  </r>
  <r>
    <x v="713"/>
    <s v="Insurance Agencies and Brokerages "/>
    <x v="713"/>
    <x v="713"/>
  </r>
  <r>
    <x v="714"/>
    <s v="Claims Adjusting "/>
    <x v="714"/>
    <x v="714"/>
  </r>
  <r>
    <x v="715"/>
    <s v="Pharmacy Benefit Management and Other Third Party Administration of Insurance and Pension Funds "/>
    <x v="715"/>
    <x v="715"/>
  </r>
  <r>
    <x v="716"/>
    <s v="All Other Insurance Related Activities "/>
    <x v="716"/>
    <x v="716"/>
  </r>
  <r>
    <x v="717"/>
    <s v="Pension Funds "/>
    <x v="717"/>
    <x v="717"/>
  </r>
  <r>
    <x v="718"/>
    <s v="Health and Welfare Funds "/>
    <x v="718"/>
    <x v="718"/>
  </r>
  <r>
    <x v="719"/>
    <s v="Other Insurance Funds "/>
    <x v="719"/>
    <x v="719"/>
  </r>
  <r>
    <x v="720"/>
    <s v="Open-End Investment Funds "/>
    <x v="720"/>
    <x v="720"/>
  </r>
  <r>
    <x v="721"/>
    <s v="Trusts, Estates, and Agency Accounts "/>
    <x v="721"/>
    <x v="721"/>
  </r>
  <r>
    <x v="722"/>
    <s v="Other Financial Vehicles "/>
    <x v="722"/>
    <x v="722"/>
  </r>
  <r>
    <x v="723"/>
    <s v="Lessors of Residential Buildings and Dwellings "/>
    <x v="723"/>
    <x v="723"/>
  </r>
  <r>
    <x v="724"/>
    <s v="Lessors of Nonresidential Buildings (except Miniwarehouses) "/>
    <x v="724"/>
    <x v="724"/>
  </r>
  <r>
    <x v="725"/>
    <s v="Lessors of Miniwarehouses and Self-Storage Units "/>
    <x v="725"/>
    <x v="725"/>
  </r>
  <r>
    <x v="726"/>
    <s v="Lessors of Other Real Estate Property "/>
    <x v="726"/>
    <x v="726"/>
  </r>
  <r>
    <x v="727"/>
    <s v="Offices of Real Estate Agents and Brokers"/>
    <x v="727"/>
    <x v="727"/>
  </r>
  <r>
    <x v="728"/>
    <s v="Residential Property Managers "/>
    <x v="728"/>
    <x v="728"/>
  </r>
  <r>
    <x v="729"/>
    <s v="Nonresidential Property Managers "/>
    <x v="729"/>
    <x v="729"/>
  </r>
  <r>
    <x v="730"/>
    <s v="Offices of Real Estate Appraisers "/>
    <x v="730"/>
    <x v="730"/>
  </r>
  <r>
    <x v="731"/>
    <s v="Other Activities Related to Real Estate "/>
    <x v="731"/>
    <x v="731"/>
  </r>
  <r>
    <x v="732"/>
    <s v="Passenger Car Rental "/>
    <x v="732"/>
    <x v="732"/>
  </r>
  <r>
    <x v="733"/>
    <s v="Passenger Car Leasing "/>
    <x v="733"/>
    <x v="733"/>
  </r>
  <r>
    <x v="734"/>
    <s v="Truck, Utility Trailer, and RV (Recreational Vehicle) Rental and Leasing "/>
    <x v="734"/>
    <x v="734"/>
  </r>
  <r>
    <x v="735"/>
    <s v="Consumer Electronics and Appliances Rental"/>
    <x v="735"/>
    <x v="735"/>
  </r>
  <r>
    <x v="736"/>
    <s v="Formal Wear and Costume Rental"/>
    <x v="736"/>
    <x v="736"/>
  </r>
  <r>
    <x v="737"/>
    <s v="Video Tape and Disc Rental"/>
    <x v="737"/>
    <x v="737"/>
  </r>
  <r>
    <x v="738"/>
    <s v="Home Health Equipment Rental "/>
    <x v="738"/>
    <x v="738"/>
  </r>
  <r>
    <x v="739"/>
    <s v="Recreational Goods Rental "/>
    <x v="739"/>
    <x v="739"/>
  </r>
  <r>
    <x v="740"/>
    <s v="All Other Consumer Goods Rental "/>
    <x v="740"/>
    <x v="740"/>
  </r>
  <r>
    <x v="741"/>
    <s v="General Rental Centers"/>
    <x v="741"/>
    <x v="741"/>
  </r>
  <r>
    <x v="742"/>
    <s v="Commercial Air, Rail, and Water Transportation Equipment Rental and Leasing "/>
    <x v="742"/>
    <x v="742"/>
  </r>
  <r>
    <x v="743"/>
    <s v="Construction, Mining, and Forestry Machinery and Equipment Rental and Leasing "/>
    <x v="743"/>
    <x v="743"/>
  </r>
  <r>
    <x v="744"/>
    <s v="Office Machinery and Equipment Rental and Leasing"/>
    <x v="744"/>
    <x v="744"/>
  </r>
  <r>
    <x v="745"/>
    <s v="Other Commercial and Industrial Machinery and Equipment Rental and Leasing "/>
    <x v="745"/>
    <x v="745"/>
  </r>
  <r>
    <x v="746"/>
    <s v="Lessors of Nonfinancial Intangible Assets (except Copyrighted Works)"/>
    <x v="746"/>
    <x v="746"/>
  </r>
  <r>
    <x v="747"/>
    <s v="Offices of Lawyers"/>
    <x v="747"/>
    <x v="747"/>
  </r>
  <r>
    <x v="748"/>
    <s v="Offices of Notaries"/>
    <x v="748"/>
    <x v="748"/>
  </r>
  <r>
    <x v="749"/>
    <s v="Title Abstract and Settlement Offices "/>
    <x v="749"/>
    <x v="749"/>
  </r>
  <r>
    <x v="750"/>
    <s v="All Other Legal Services "/>
    <x v="750"/>
    <x v="750"/>
  </r>
  <r>
    <x v="751"/>
    <s v="Offices of Certified Public Accountants "/>
    <x v="751"/>
    <x v="751"/>
  </r>
  <r>
    <x v="752"/>
    <s v="Tax Preparation Services "/>
    <x v="752"/>
    <x v="752"/>
  </r>
  <r>
    <x v="753"/>
    <s v="Payroll Services "/>
    <x v="753"/>
    <x v="753"/>
  </r>
  <r>
    <x v="754"/>
    <s v="Other Accounting Services "/>
    <x v="754"/>
    <x v="754"/>
  </r>
  <r>
    <x v="755"/>
    <s v="Architectural Services"/>
    <x v="755"/>
    <x v="755"/>
  </r>
  <r>
    <x v="756"/>
    <s v="Landscape Architectural Services"/>
    <x v="756"/>
    <x v="756"/>
  </r>
  <r>
    <x v="757"/>
    <s v="Engineering Services"/>
    <x v="757"/>
    <x v="757"/>
  </r>
  <r>
    <x v="758"/>
    <s v="Drafting Services"/>
    <x v="758"/>
    <x v="758"/>
  </r>
  <r>
    <x v="759"/>
    <s v="Building Inspection Services"/>
    <x v="759"/>
    <x v="759"/>
  </r>
  <r>
    <x v="760"/>
    <s v="Geophysical Surveying and Mapping Services"/>
    <x v="760"/>
    <x v="760"/>
  </r>
  <r>
    <x v="761"/>
    <s v="Surveying and Mapping (except Geophysical) Services"/>
    <x v="761"/>
    <x v="761"/>
  </r>
  <r>
    <x v="762"/>
    <s v="Testing Laboratories and Services"/>
    <x v="762"/>
    <x v="762"/>
  </r>
  <r>
    <x v="763"/>
    <s v="Interior Design Services"/>
    <x v="763"/>
    <x v="763"/>
  </r>
  <r>
    <x v="764"/>
    <s v="Industrial Design Services"/>
    <x v="764"/>
    <x v="764"/>
  </r>
  <r>
    <x v="765"/>
    <s v="Graphic Design Services"/>
    <x v="765"/>
    <x v="765"/>
  </r>
  <r>
    <x v="766"/>
    <s v="Other Specialized Design Services"/>
    <x v="766"/>
    <x v="766"/>
  </r>
  <r>
    <x v="767"/>
    <s v="Custom Computer Programming Services "/>
    <x v="767"/>
    <x v="767"/>
  </r>
  <r>
    <x v="768"/>
    <s v="Computer Systems Design Services "/>
    <x v="768"/>
    <x v="768"/>
  </r>
  <r>
    <x v="769"/>
    <s v="Computer Facilities Management Services "/>
    <x v="769"/>
    <x v="769"/>
  </r>
  <r>
    <x v="770"/>
    <s v="Other Computer Related Services"/>
    <x v="770"/>
    <x v="770"/>
  </r>
  <r>
    <x v="771"/>
    <s v="Administrative Management and General Management Consulting Services "/>
    <x v="771"/>
    <x v="771"/>
  </r>
  <r>
    <x v="772"/>
    <s v="Human Resources Consulting Services "/>
    <x v="772"/>
    <x v="772"/>
  </r>
  <r>
    <x v="773"/>
    <s v="Marketing Consulting Services "/>
    <x v="773"/>
    <x v="773"/>
  </r>
  <r>
    <x v="774"/>
    <s v="Process, Physical Distribution, and Logistics Consulting Services "/>
    <x v="774"/>
    <x v="774"/>
  </r>
  <r>
    <x v="775"/>
    <s v="Other Management Consulting Services "/>
    <x v="775"/>
    <x v="775"/>
  </r>
  <r>
    <x v="776"/>
    <s v="Environmental Consulting Services"/>
    <x v="776"/>
    <x v="776"/>
  </r>
  <r>
    <x v="777"/>
    <s v="Other Scientific and Technical Consulting Services"/>
    <x v="777"/>
    <x v="777"/>
  </r>
  <r>
    <x v="778"/>
    <s v="Research and Development in Nanotechnology "/>
    <x v="778"/>
    <x v="778"/>
  </r>
  <r>
    <x v="779"/>
    <s v="Research and Development in Biotechnology (except Nanobiotechnology)"/>
    <x v="779"/>
    <x v="779"/>
  </r>
  <r>
    <x v="780"/>
    <s v="Research and Development in the Physical, Engineering, and Life Sciences (except Nanotechnology and Biotechnology) "/>
    <x v="780"/>
    <x v="780"/>
  </r>
  <r>
    <x v="781"/>
    <s v="Research and Development in the Social Sciences and Humanities "/>
    <x v="781"/>
    <x v="781"/>
  </r>
  <r>
    <x v="782"/>
    <s v="Advertising Agencies"/>
    <x v="782"/>
    <x v="782"/>
  </r>
  <r>
    <x v="783"/>
    <s v="Public Relations Agencies"/>
    <x v="783"/>
    <x v="783"/>
  </r>
  <r>
    <x v="784"/>
    <s v="Media Buying Agencies"/>
    <x v="784"/>
    <x v="784"/>
  </r>
  <r>
    <x v="785"/>
    <s v="Media Representatives"/>
    <x v="785"/>
    <x v="785"/>
  </r>
  <r>
    <x v="786"/>
    <s v="Indoor and Outdoor Display Advertising"/>
    <x v="786"/>
    <x v="786"/>
  </r>
  <r>
    <x v="787"/>
    <s v="Direct Mail Advertising"/>
    <x v="787"/>
    <x v="787"/>
  </r>
  <r>
    <x v="788"/>
    <s v="Advertising Material Distribution Services"/>
    <x v="788"/>
    <x v="788"/>
  </r>
  <r>
    <x v="789"/>
    <s v="Other Services Related to Advertising "/>
    <x v="789"/>
    <x v="789"/>
  </r>
  <r>
    <x v="790"/>
    <s v="Marketing Research and Public Opinion Polling"/>
    <x v="790"/>
    <x v="790"/>
  </r>
  <r>
    <x v="791"/>
    <s v="Photography Studios, Portrait "/>
    <x v="791"/>
    <x v="791"/>
  </r>
  <r>
    <x v="792"/>
    <s v="Commercial Photography "/>
    <x v="792"/>
    <x v="792"/>
  </r>
  <r>
    <x v="793"/>
    <s v="Translation and Interpretation Services"/>
    <x v="793"/>
    <x v="793"/>
  </r>
  <r>
    <x v="794"/>
    <s v="Veterinary Services "/>
    <x v="794"/>
    <x v="794"/>
  </r>
  <r>
    <x v="795"/>
    <s v="All Other Professional, Scientific, and Technical Services"/>
    <x v="795"/>
    <x v="795"/>
  </r>
  <r>
    <x v="796"/>
    <s v="Offices of Bank Holding Companies "/>
    <x v="796"/>
    <x v="796"/>
  </r>
  <r>
    <x v="797"/>
    <s v="Offices of Other Holding Companies "/>
    <x v="797"/>
    <x v="797"/>
  </r>
  <r>
    <x v="798"/>
    <s v="Corporate, Subsidiary, and Regional Managing Offices "/>
    <x v="798"/>
    <x v="798"/>
  </r>
  <r>
    <x v="799"/>
    <s v="Office Administrative Services"/>
    <x v="799"/>
    <x v="799"/>
  </r>
  <r>
    <x v="800"/>
    <s v="Facilities Support Services"/>
    <x v="800"/>
    <x v="800"/>
  </r>
  <r>
    <x v="801"/>
    <s v="Employment Placement Agencies "/>
    <x v="801"/>
    <x v="801"/>
  </r>
  <r>
    <x v="802"/>
    <s v="Executive Search Services "/>
    <x v="802"/>
    <x v="802"/>
  </r>
  <r>
    <x v="803"/>
    <s v="Temporary Help Services"/>
    <x v="803"/>
    <x v="803"/>
  </r>
  <r>
    <x v="804"/>
    <s v="Professional Employer Organizations"/>
    <x v="804"/>
    <x v="804"/>
  </r>
  <r>
    <x v="805"/>
    <s v="Document Preparation Services"/>
    <x v="805"/>
    <x v="805"/>
  </r>
  <r>
    <x v="806"/>
    <s v="Telephone Answering Services "/>
    <x v="806"/>
    <x v="806"/>
  </r>
  <r>
    <x v="807"/>
    <s v="Telemarketing Bureaus and Other Contact Centers "/>
    <x v="807"/>
    <x v="807"/>
  </r>
  <r>
    <x v="808"/>
    <s v="Private Mail Centers "/>
    <x v="808"/>
    <x v="808"/>
  </r>
  <r>
    <x v="809"/>
    <s v="Other Business Service Centers (including Copy Shops) "/>
    <x v="809"/>
    <x v="809"/>
  </r>
  <r>
    <x v="810"/>
    <s v="Collection Agencies"/>
    <x v="810"/>
    <x v="810"/>
  </r>
  <r>
    <x v="811"/>
    <s v="Credit Bureaus"/>
    <x v="811"/>
    <x v="811"/>
  </r>
  <r>
    <x v="812"/>
    <s v="Repossession Services "/>
    <x v="812"/>
    <x v="812"/>
  </r>
  <r>
    <x v="813"/>
    <s v="Court Reporting and Stenotype Services "/>
    <x v="813"/>
    <x v="813"/>
  </r>
  <r>
    <x v="814"/>
    <s v="All Other Business Support Services "/>
    <x v="814"/>
    <x v="814"/>
  </r>
  <r>
    <x v="815"/>
    <s v="Travel Agencies"/>
    <x v="815"/>
    <x v="815"/>
  </r>
  <r>
    <x v="816"/>
    <s v="Tour Operators"/>
    <x v="816"/>
    <x v="816"/>
  </r>
  <r>
    <x v="817"/>
    <s v="Convention and Visitors Bureaus "/>
    <x v="817"/>
    <x v="817"/>
  </r>
  <r>
    <x v="818"/>
    <s v="All Other Travel Arrangement and Reservation Services "/>
    <x v="818"/>
    <x v="818"/>
  </r>
  <r>
    <x v="819"/>
    <s v="Investigation and Personal Background Check Services "/>
    <x v="819"/>
    <x v="819"/>
  </r>
  <r>
    <x v="820"/>
    <s v="Security Guards and Patrol Services "/>
    <x v="820"/>
    <x v="820"/>
  </r>
  <r>
    <x v="821"/>
    <s v="Armored Car Services "/>
    <x v="821"/>
    <x v="821"/>
  </r>
  <r>
    <x v="822"/>
    <s v="Security Systems Services (except Locksmiths) "/>
    <x v="822"/>
    <x v="822"/>
  </r>
  <r>
    <x v="823"/>
    <s v="Locksmiths "/>
    <x v="823"/>
    <x v="823"/>
  </r>
  <r>
    <x v="824"/>
    <s v="Exterminating and Pest Control Services"/>
    <x v="824"/>
    <x v="824"/>
  </r>
  <r>
    <x v="825"/>
    <s v="Janitorial Services "/>
    <x v="825"/>
    <x v="825"/>
  </r>
  <r>
    <x v="826"/>
    <s v="Landscaping Services"/>
    <x v="826"/>
    <x v="826"/>
  </r>
  <r>
    <x v="827"/>
    <s v="Carpet and Upholstery Cleaning Services"/>
    <x v="827"/>
    <x v="827"/>
  </r>
  <r>
    <x v="828"/>
    <s v="Other Services to Buildings and Dwellings "/>
    <x v="828"/>
    <x v="828"/>
  </r>
  <r>
    <x v="829"/>
    <s v="Packaging and Labeling Services"/>
    <x v="829"/>
    <x v="829"/>
  </r>
  <r>
    <x v="830"/>
    <s v="Convention and Trade Show Organizers"/>
    <x v="830"/>
    <x v="830"/>
  </r>
  <r>
    <x v="831"/>
    <s v="All Other Support Services"/>
    <x v="831"/>
    <x v="831"/>
  </r>
  <r>
    <x v="832"/>
    <s v="Solid Waste Collection "/>
    <x v="832"/>
    <x v="832"/>
  </r>
  <r>
    <x v="833"/>
    <s v="Hazardous Waste Collection "/>
    <x v="833"/>
    <x v="833"/>
  </r>
  <r>
    <x v="834"/>
    <s v="Other Waste Collection "/>
    <x v="834"/>
    <x v="834"/>
  </r>
  <r>
    <x v="835"/>
    <s v="Hazardous Waste Treatment and Disposal "/>
    <x v="835"/>
    <x v="835"/>
  </r>
  <r>
    <x v="836"/>
    <s v="Solid Waste Landfill "/>
    <x v="836"/>
    <x v="836"/>
  </r>
  <r>
    <x v="837"/>
    <s v="Solid Waste Combustors and Incinerators "/>
    <x v="837"/>
    <x v="837"/>
  </r>
  <r>
    <x v="838"/>
    <s v="Other Nonhazardous Waste Treatment and Disposal "/>
    <x v="838"/>
    <x v="838"/>
  </r>
  <r>
    <x v="839"/>
    <s v="Remediation Services "/>
    <x v="839"/>
    <x v="839"/>
  </r>
  <r>
    <x v="840"/>
    <s v="Materials Recovery Facilities "/>
    <x v="840"/>
    <x v="840"/>
  </r>
  <r>
    <x v="841"/>
    <s v="Septic Tank and Related Services "/>
    <x v="841"/>
    <x v="841"/>
  </r>
  <r>
    <x v="842"/>
    <s v="All Other Miscellaneous Waste Management Services "/>
    <x v="842"/>
    <x v="842"/>
  </r>
  <r>
    <x v="843"/>
    <s v="Elementary and Secondary Schools "/>
    <x v="843"/>
    <x v="843"/>
  </r>
  <r>
    <x v="844"/>
    <s v="Junior Colleges "/>
    <x v="844"/>
    <x v="844"/>
  </r>
  <r>
    <x v="845"/>
    <s v="Colleges, Universities, and Professional Schools "/>
    <x v="845"/>
    <x v="845"/>
  </r>
  <r>
    <x v="846"/>
    <s v="Business and Secretarial Schools "/>
    <x v="846"/>
    <x v="846"/>
  </r>
  <r>
    <x v="847"/>
    <s v="Computer Training "/>
    <x v="847"/>
    <x v="847"/>
  </r>
  <r>
    <x v="848"/>
    <s v="Professional and Management Development Training "/>
    <x v="848"/>
    <x v="848"/>
  </r>
  <r>
    <x v="849"/>
    <s v="Cosmetology and Barber Schools "/>
    <x v="849"/>
    <x v="849"/>
  </r>
  <r>
    <x v="850"/>
    <s v="Flight Training "/>
    <x v="850"/>
    <x v="850"/>
  </r>
  <r>
    <x v="851"/>
    <s v="Apprenticeship Training "/>
    <x v="851"/>
    <x v="851"/>
  </r>
  <r>
    <x v="852"/>
    <s v="Other Technical and Trade Schools "/>
    <x v="852"/>
    <x v="852"/>
  </r>
  <r>
    <x v="853"/>
    <s v="Fine Arts Schools "/>
    <x v="853"/>
    <x v="853"/>
  </r>
  <r>
    <x v="854"/>
    <s v="Sports and Recreation Instruction "/>
    <x v="854"/>
    <x v="854"/>
  </r>
  <r>
    <x v="855"/>
    <s v="Language Schools "/>
    <x v="855"/>
    <x v="855"/>
  </r>
  <r>
    <x v="856"/>
    <s v="Exam Preparation and Tutoring "/>
    <x v="856"/>
    <x v="856"/>
  </r>
  <r>
    <x v="857"/>
    <s v="Automobile Driving Schools "/>
    <x v="857"/>
    <x v="857"/>
  </r>
  <r>
    <x v="858"/>
    <s v="All Other Miscellaneous Schools and Instruction "/>
    <x v="858"/>
    <x v="858"/>
  </r>
  <r>
    <x v="859"/>
    <s v="Educational Support Services"/>
    <x v="859"/>
    <x v="859"/>
  </r>
  <r>
    <x v="860"/>
    <s v="Offices of Physicians (except Mental Health Specialists) "/>
    <x v="860"/>
    <x v="860"/>
  </r>
  <r>
    <x v="861"/>
    <s v="Offices of Physicians, Mental Health Specialists "/>
    <x v="861"/>
    <x v="861"/>
  </r>
  <r>
    <x v="862"/>
    <s v="Offices of Dentists "/>
    <x v="862"/>
    <x v="862"/>
  </r>
  <r>
    <x v="863"/>
    <s v="Offices of Chiropractors "/>
    <x v="863"/>
    <x v="863"/>
  </r>
  <r>
    <x v="864"/>
    <s v="Offices of Optometrists"/>
    <x v="864"/>
    <x v="864"/>
  </r>
  <r>
    <x v="865"/>
    <s v="Offices of Mental Health Practitioners (except Physicians) "/>
    <x v="865"/>
    <x v="865"/>
  </r>
  <r>
    <x v="866"/>
    <s v="Offices of Physical, Occupational and Speech Therapists, and Audiologists "/>
    <x v="866"/>
    <x v="866"/>
  </r>
  <r>
    <x v="867"/>
    <s v="Offices of Podiatrists "/>
    <x v="867"/>
    <x v="867"/>
  </r>
  <r>
    <x v="868"/>
    <s v="Offices of All Other Miscellaneous Health Practitioners "/>
    <x v="868"/>
    <x v="868"/>
  </r>
  <r>
    <x v="869"/>
    <s v="Family Planning Centers "/>
    <x v="869"/>
    <x v="869"/>
  </r>
  <r>
    <x v="870"/>
    <s v="Outpatient Mental Health and Substance Abuse Centers "/>
    <x v="870"/>
    <x v="870"/>
  </r>
  <r>
    <x v="871"/>
    <s v="HMO Medical Centers "/>
    <x v="871"/>
    <x v="871"/>
  </r>
  <r>
    <x v="872"/>
    <s v="Kidney Dialysis Centers "/>
    <x v="872"/>
    <x v="872"/>
  </r>
  <r>
    <x v="873"/>
    <s v="Freestanding Ambulatory Surgical and Emergency Centers "/>
    <x v="873"/>
    <x v="873"/>
  </r>
  <r>
    <x v="874"/>
    <s v="All Other Outpatient Care Centers "/>
    <x v="874"/>
    <x v="874"/>
  </r>
  <r>
    <x v="875"/>
    <s v="Medical Laboratories "/>
    <x v="875"/>
    <x v="875"/>
  </r>
  <r>
    <x v="876"/>
    <s v="Diagnostic Imaging Centers "/>
    <x v="876"/>
    <x v="876"/>
  </r>
  <r>
    <x v="877"/>
    <s v="Home Health Care Services"/>
    <x v="877"/>
    <x v="877"/>
  </r>
  <r>
    <x v="878"/>
    <s v="Ambulance Services "/>
    <x v="878"/>
    <x v="878"/>
  </r>
  <r>
    <x v="879"/>
    <s v="Blood and Organ Banks "/>
    <x v="879"/>
    <x v="879"/>
  </r>
  <r>
    <x v="880"/>
    <s v="All Other Miscellaneous Ambulatory Health Care Services "/>
    <x v="880"/>
    <x v="880"/>
  </r>
  <r>
    <x v="881"/>
    <s v="General Medical and Surgical Hospitals "/>
    <x v="881"/>
    <x v="881"/>
  </r>
  <r>
    <x v="882"/>
    <s v="Psychiatric and Substance Abuse Hospitals "/>
    <x v="882"/>
    <x v="882"/>
  </r>
  <r>
    <x v="883"/>
    <s v="Specialty (except Psychiatric and Substance Abuse) Hospitals "/>
    <x v="883"/>
    <x v="883"/>
  </r>
  <r>
    <x v="884"/>
    <s v="Nursing Care Facilities (Skilled Nursing Facilities) "/>
    <x v="884"/>
    <x v="884"/>
  </r>
  <r>
    <x v="885"/>
    <s v="Residential Intellectual and Developmental Disability Facilities "/>
    <x v="885"/>
    <x v="885"/>
  </r>
  <r>
    <x v="886"/>
    <s v="Residential Mental Health and Substance Abuse Facilities "/>
    <x v="886"/>
    <x v="886"/>
  </r>
  <r>
    <x v="887"/>
    <s v="Continuing Care Retirement Communities "/>
    <x v="887"/>
    <x v="887"/>
  </r>
  <r>
    <x v="888"/>
    <s v="Assisted Living Facilities for the Elderly "/>
    <x v="888"/>
    <x v="888"/>
  </r>
  <r>
    <x v="889"/>
    <s v="Other Residential Care Facilities "/>
    <x v="889"/>
    <x v="889"/>
  </r>
  <r>
    <x v="890"/>
    <s v="Child and Youth Services "/>
    <x v="890"/>
    <x v="890"/>
  </r>
  <r>
    <x v="891"/>
    <s v="Services for the Elderly and Persons with Disabilities "/>
    <x v="891"/>
    <x v="891"/>
  </r>
  <r>
    <x v="892"/>
    <s v="Other Individual and Family Services "/>
    <x v="892"/>
    <x v="892"/>
  </r>
  <r>
    <x v="893"/>
    <s v="Community Food Services "/>
    <x v="893"/>
    <x v="893"/>
  </r>
  <r>
    <x v="894"/>
    <s v="Temporary Shelters "/>
    <x v="894"/>
    <x v="894"/>
  </r>
  <r>
    <x v="895"/>
    <s v="Other Community Housing Services "/>
    <x v="895"/>
    <x v="895"/>
  </r>
  <r>
    <x v="896"/>
    <s v="Emergency and Other Relief Services "/>
    <x v="896"/>
    <x v="896"/>
  </r>
  <r>
    <x v="897"/>
    <s v="Vocational Rehabilitation Services "/>
    <x v="897"/>
    <x v="897"/>
  </r>
  <r>
    <x v="898"/>
    <s v="Child Care Services "/>
    <x v="898"/>
    <x v="898"/>
  </r>
  <r>
    <x v="899"/>
    <s v="Theater Companies and Dinner Theaters "/>
    <x v="899"/>
    <x v="899"/>
  </r>
  <r>
    <x v="900"/>
    <s v="Dance Companies "/>
    <x v="900"/>
    <x v="900"/>
  </r>
  <r>
    <x v="901"/>
    <s v="Musical Groups and Artists "/>
    <x v="901"/>
    <x v="901"/>
  </r>
  <r>
    <x v="902"/>
    <s v="Other Performing Arts Companies "/>
    <x v="902"/>
    <x v="902"/>
  </r>
  <r>
    <x v="903"/>
    <s v="Sports Teams and Clubs "/>
    <x v="903"/>
    <x v="903"/>
  </r>
  <r>
    <x v="904"/>
    <s v="Racetracks "/>
    <x v="904"/>
    <x v="904"/>
  </r>
  <r>
    <x v="905"/>
    <s v="Other Spectator Sports "/>
    <x v="905"/>
    <x v="905"/>
  </r>
  <r>
    <x v="906"/>
    <s v="Promoters of Performing Arts, Sports, and Similar Events with Facilities "/>
    <x v="906"/>
    <x v="906"/>
  </r>
  <r>
    <x v="907"/>
    <s v="Promoters of Performing Arts, Sports, and Similar Events without Facilities "/>
    <x v="907"/>
    <x v="907"/>
  </r>
  <r>
    <x v="908"/>
    <s v="Agents and Managers for Artists, Athletes, Entertainers, and Other Public Figures"/>
    <x v="908"/>
    <x v="908"/>
  </r>
  <r>
    <x v="909"/>
    <s v="Independent Artists, Writers, and Performers "/>
    <x v="909"/>
    <x v="909"/>
  </r>
  <r>
    <x v="910"/>
    <s v="Museums "/>
    <x v="910"/>
    <x v="910"/>
  </r>
  <r>
    <x v="911"/>
    <s v="Historical Sites"/>
    <x v="911"/>
    <x v="911"/>
  </r>
  <r>
    <x v="912"/>
    <s v="Zoos and Botanical Gardens "/>
    <x v="912"/>
    <x v="912"/>
  </r>
  <r>
    <x v="913"/>
    <s v="Nature Parks and Other Similar Institutions"/>
    <x v="913"/>
    <x v="913"/>
  </r>
  <r>
    <x v="914"/>
    <s v="Amusement and Theme Parks "/>
    <x v="914"/>
    <x v="914"/>
  </r>
  <r>
    <x v="915"/>
    <s v="Amusement Arcades"/>
    <x v="915"/>
    <x v="915"/>
  </r>
  <r>
    <x v="916"/>
    <s v="Casinos (except Casino Hotels)"/>
    <x v="916"/>
    <x v="916"/>
  </r>
  <r>
    <x v="917"/>
    <s v="Other Gambling Industries "/>
    <x v="917"/>
    <x v="917"/>
  </r>
  <r>
    <x v="918"/>
    <s v="Golf Courses and Country Clubs"/>
    <x v="918"/>
    <x v="918"/>
  </r>
  <r>
    <x v="919"/>
    <s v="Skiing Facilities"/>
    <x v="919"/>
    <x v="919"/>
  </r>
  <r>
    <x v="920"/>
    <s v="Marinas"/>
    <x v="920"/>
    <x v="920"/>
  </r>
  <r>
    <x v="921"/>
    <s v="Fitness and Recreational Sports Centers "/>
    <x v="921"/>
    <x v="921"/>
  </r>
  <r>
    <x v="922"/>
    <s v="Bowling Centers"/>
    <x v="922"/>
    <x v="922"/>
  </r>
  <r>
    <x v="923"/>
    <s v="All Other Amusement and Recreation Industries "/>
    <x v="923"/>
    <x v="923"/>
  </r>
  <r>
    <x v="924"/>
    <s v="Hotels (except Casino Hotels) and Motels "/>
    <x v="924"/>
    <x v="924"/>
  </r>
  <r>
    <x v="925"/>
    <s v="Casino Hotels"/>
    <x v="925"/>
    <x v="925"/>
  </r>
  <r>
    <x v="926"/>
    <s v="Bed-and-Breakfast Inns "/>
    <x v="926"/>
    <x v="926"/>
  </r>
  <r>
    <x v="927"/>
    <s v="All Other Traveler Accommodation "/>
    <x v="927"/>
    <x v="927"/>
  </r>
  <r>
    <x v="928"/>
    <s v="RV (Recreational Vehicle) Parks and Campgrounds "/>
    <x v="928"/>
    <x v="928"/>
  </r>
  <r>
    <x v="929"/>
    <s v="Recreational and Vacation Camps (except Campgrounds) "/>
    <x v="929"/>
    <x v="929"/>
  </r>
  <r>
    <x v="930"/>
    <s v="Rooming and Boarding Houses, Dormitories, and Workers' Camps "/>
    <x v="930"/>
    <x v="930"/>
  </r>
  <r>
    <x v="931"/>
    <s v="Food Service Contractors"/>
    <x v="931"/>
    <x v="931"/>
  </r>
  <r>
    <x v="932"/>
    <s v="Caterers"/>
    <x v="932"/>
    <x v="932"/>
  </r>
  <r>
    <x v="933"/>
    <s v="Mobile Food Services"/>
    <x v="933"/>
    <x v="933"/>
  </r>
  <r>
    <x v="934"/>
    <s v="Drinking Places (Alcoholic Beverages) "/>
    <x v="934"/>
    <x v="934"/>
  </r>
  <r>
    <x v="935"/>
    <s v="Full-Service Restaurants "/>
    <x v="935"/>
    <x v="935"/>
  </r>
  <r>
    <x v="936"/>
    <s v="Limited-Service Restaurants "/>
    <x v="936"/>
    <x v="936"/>
  </r>
  <r>
    <x v="937"/>
    <s v="Cafeterias, Grill Buffets, and Buffets "/>
    <x v="937"/>
    <x v="937"/>
  </r>
  <r>
    <x v="938"/>
    <s v="Snack and Nonalcoholic Beverage Bars "/>
    <x v="938"/>
    <x v="938"/>
  </r>
  <r>
    <x v="939"/>
    <s v="General Automotive Repair "/>
    <x v="939"/>
    <x v="939"/>
  </r>
  <r>
    <x v="940"/>
    <s v="Specialized Automotive Repair "/>
    <x v="940"/>
    <x v="940"/>
  </r>
  <r>
    <x v="941"/>
    <s v="Automotive Body, Paint, and Interior Repair and Maintenance "/>
    <x v="941"/>
    <x v="941"/>
  </r>
  <r>
    <x v="942"/>
    <s v="Automotive Glass Replacement Shops "/>
    <x v="942"/>
    <x v="942"/>
  </r>
  <r>
    <x v="943"/>
    <s v="Automotive Oil Change and Lubrication Shops "/>
    <x v="943"/>
    <x v="943"/>
  </r>
  <r>
    <x v="944"/>
    <s v="Car Washes "/>
    <x v="944"/>
    <x v="944"/>
  </r>
  <r>
    <x v="945"/>
    <s v="All Other Automotive Repair and Maintenance "/>
    <x v="945"/>
    <x v="945"/>
  </r>
  <r>
    <x v="946"/>
    <s v="Electronic and Precision Equipment Repair and Maintenance "/>
    <x v="946"/>
    <x v="946"/>
  </r>
  <r>
    <x v="947"/>
    <s v="Commercial and Industrial Machinery and Equipment (except Automotive and Electronic) Repair and Maintenance "/>
    <x v="947"/>
    <x v="947"/>
  </r>
  <r>
    <x v="948"/>
    <s v="Home and Garden Equipment Repair and Maintenance "/>
    <x v="948"/>
    <x v="948"/>
  </r>
  <r>
    <x v="949"/>
    <s v="Appliance Repair and Maintenance "/>
    <x v="949"/>
    <x v="949"/>
  </r>
  <r>
    <x v="950"/>
    <s v="Reupholstery and Furniture Repair"/>
    <x v="950"/>
    <x v="950"/>
  </r>
  <r>
    <x v="951"/>
    <s v="Footwear and Leather Goods Repair"/>
    <x v="951"/>
    <x v="951"/>
  </r>
  <r>
    <x v="952"/>
    <s v="Other Personal and Household Goods Repair and Maintenance "/>
    <x v="952"/>
    <x v="952"/>
  </r>
  <r>
    <x v="953"/>
    <s v="Barber Shops "/>
    <x v="953"/>
    <x v="953"/>
  </r>
  <r>
    <x v="954"/>
    <s v="Beauty Salons "/>
    <x v="954"/>
    <x v="954"/>
  </r>
  <r>
    <x v="955"/>
    <s v="Nail Salons "/>
    <x v="955"/>
    <x v="955"/>
  </r>
  <r>
    <x v="956"/>
    <s v="Diet and Weight Reducing Centers "/>
    <x v="956"/>
    <x v="956"/>
  </r>
  <r>
    <x v="957"/>
    <s v="Other Personal Care Services "/>
    <x v="957"/>
    <x v="957"/>
  </r>
  <r>
    <x v="958"/>
    <s v="Funeral Homes and Funeral Services "/>
    <x v="958"/>
    <x v="958"/>
  </r>
  <r>
    <x v="959"/>
    <s v="Cemeteries and Crematories "/>
    <x v="959"/>
    <x v="959"/>
  </r>
  <r>
    <x v="960"/>
    <s v="Coin-Operated Laundries and Drycleaners "/>
    <x v="960"/>
    <x v="960"/>
  </r>
  <r>
    <x v="961"/>
    <s v="Drycleaning and Laundry Services (except Coin-Operated) "/>
    <x v="961"/>
    <x v="961"/>
  </r>
  <r>
    <x v="962"/>
    <s v="Linen Supply "/>
    <x v="962"/>
    <x v="962"/>
  </r>
  <r>
    <x v="963"/>
    <s v="Industrial Launderers "/>
    <x v="963"/>
    <x v="963"/>
  </r>
  <r>
    <x v="964"/>
    <s v="Pet Care (except Veterinary) Services "/>
    <x v="964"/>
    <x v="964"/>
  </r>
  <r>
    <x v="965"/>
    <s v="Photofinishing Laboratories (except One-Hour) "/>
    <x v="965"/>
    <x v="965"/>
  </r>
  <r>
    <x v="966"/>
    <s v="One-Hour Photofinishing "/>
    <x v="966"/>
    <x v="966"/>
  </r>
  <r>
    <x v="967"/>
    <s v="Parking Lots and Garages "/>
    <x v="967"/>
    <x v="967"/>
  </r>
  <r>
    <x v="968"/>
    <s v="All Other Personal Services "/>
    <x v="968"/>
    <x v="968"/>
  </r>
  <r>
    <x v="969"/>
    <s v="Religious Organizations "/>
    <x v="969"/>
    <x v="969"/>
  </r>
  <r>
    <x v="970"/>
    <s v="Grantmaking Foundations "/>
    <x v="970"/>
    <x v="970"/>
  </r>
  <r>
    <x v="971"/>
    <s v="Voluntary Health Organizations "/>
    <x v="971"/>
    <x v="971"/>
  </r>
  <r>
    <x v="972"/>
    <s v="Other Grantmaking and Giving Services "/>
    <x v="972"/>
    <x v="972"/>
  </r>
  <r>
    <x v="973"/>
    <s v="Human Rights Organizations "/>
    <x v="973"/>
    <x v="973"/>
  </r>
  <r>
    <x v="974"/>
    <s v="Environment, Conservation and Wildlife Organizations "/>
    <x v="974"/>
    <x v="974"/>
  </r>
  <r>
    <x v="975"/>
    <s v="Other Social Advocacy Organizations "/>
    <x v="975"/>
    <x v="975"/>
  </r>
  <r>
    <x v="976"/>
    <s v="Civic and Social Organizations "/>
    <x v="976"/>
    <x v="976"/>
  </r>
  <r>
    <x v="977"/>
    <s v="Business Associations "/>
    <x v="977"/>
    <x v="977"/>
  </r>
  <r>
    <x v="978"/>
    <s v="Professional Organizations "/>
    <x v="978"/>
    <x v="978"/>
  </r>
  <r>
    <x v="979"/>
    <s v="Labor Unions and Similar Labor Organizations "/>
    <x v="979"/>
    <x v="979"/>
  </r>
  <r>
    <x v="980"/>
    <s v="Political Organizations "/>
    <x v="980"/>
    <x v="980"/>
  </r>
  <r>
    <x v="981"/>
    <s v="Other Similar Organizations (except Business, Professional, Labor, and Political Organizations) "/>
    <x v="981"/>
    <x v="981"/>
  </r>
  <r>
    <x v="982"/>
    <s v="Private Households"/>
    <x v="982"/>
    <x v="982"/>
  </r>
  <r>
    <x v="983"/>
    <s v="Executive Offices "/>
    <x v="983"/>
    <x v="983"/>
  </r>
  <r>
    <x v="984"/>
    <s v="Legislative Bodies "/>
    <x v="984"/>
    <x v="984"/>
  </r>
  <r>
    <x v="985"/>
    <s v="Public Finance Activities "/>
    <x v="985"/>
    <x v="985"/>
  </r>
  <r>
    <x v="986"/>
    <s v="Executive and Legislative Offices, Combined "/>
    <x v="986"/>
    <x v="986"/>
  </r>
  <r>
    <x v="987"/>
    <s v="American Indian and Alaska Native Tribal Governments "/>
    <x v="987"/>
    <x v="987"/>
  </r>
  <r>
    <x v="988"/>
    <s v="Other General Government Support "/>
    <x v="988"/>
    <x v="988"/>
  </r>
  <r>
    <x v="989"/>
    <s v="Courts "/>
    <x v="989"/>
    <x v="989"/>
  </r>
  <r>
    <x v="990"/>
    <s v="Police Protection "/>
    <x v="990"/>
    <x v="990"/>
  </r>
  <r>
    <x v="991"/>
    <s v="Legal Counsel and Prosecution "/>
    <x v="991"/>
    <x v="991"/>
  </r>
  <r>
    <x v="992"/>
    <s v="Correctional Institutions "/>
    <x v="992"/>
    <x v="992"/>
  </r>
  <r>
    <x v="993"/>
    <s v="Parole Offices and Probation Offices "/>
    <x v="993"/>
    <x v="993"/>
  </r>
  <r>
    <x v="994"/>
    <s v="Fire Protection "/>
    <x v="994"/>
    <x v="994"/>
  </r>
  <r>
    <x v="995"/>
    <s v="Other Justice, Public Order, and Safety Activities "/>
    <x v="995"/>
    <x v="995"/>
  </r>
  <r>
    <x v="996"/>
    <s v="Administration of Education Programs "/>
    <x v="996"/>
    <x v="996"/>
  </r>
  <r>
    <x v="997"/>
    <s v="Administration of Public Health Programs "/>
    <x v="997"/>
    <x v="997"/>
  </r>
  <r>
    <x v="998"/>
    <s v="Administration of Human Resource Programs (except Education, Public Health, and Veterans' Affairs Programs) "/>
    <x v="998"/>
    <x v="998"/>
  </r>
  <r>
    <x v="999"/>
    <s v="Administration of Veterans' Affairs "/>
    <x v="999"/>
    <x v="999"/>
  </r>
  <r>
    <x v="1000"/>
    <s v="Administration of Air and Water Resource and Solid Waste Management Programs "/>
    <x v="1000"/>
    <x v="1000"/>
  </r>
  <r>
    <x v="1001"/>
    <s v="Administration of Conservation Programs "/>
    <x v="1001"/>
    <x v="1001"/>
  </r>
  <r>
    <x v="1002"/>
    <s v="Administration of Housing Programs "/>
    <x v="1002"/>
    <x v="1002"/>
  </r>
  <r>
    <x v="1003"/>
    <s v="Administration of Urban Planning and Community and Rural Development "/>
    <x v="1003"/>
    <x v="1003"/>
  </r>
  <r>
    <x v="1004"/>
    <s v="Administration of General Economic Programs "/>
    <x v="1004"/>
    <x v="1004"/>
  </r>
  <r>
    <x v="1005"/>
    <s v="Regulation and Administration of Transportation Programs "/>
    <x v="1005"/>
    <x v="1005"/>
  </r>
  <r>
    <x v="1006"/>
    <s v="Regulation and Administration of Communications, Electric, Gas, and Other Utilities "/>
    <x v="1006"/>
    <x v="1006"/>
  </r>
  <r>
    <x v="1007"/>
    <s v="Regulation of Agricultural Marketing and Commodities "/>
    <x v="1007"/>
    <x v="1007"/>
  </r>
  <r>
    <x v="1008"/>
    <s v="Regulation, Licensing, and Inspection of Miscellaneous Commercial Sectors "/>
    <x v="1008"/>
    <x v="1008"/>
  </r>
  <r>
    <x v="1009"/>
    <s v="Space Research and Technology "/>
    <x v="1009"/>
    <x v="1009"/>
  </r>
  <r>
    <x v="1010"/>
    <s v="National Security "/>
    <x v="1010"/>
    <x v="1010"/>
  </r>
  <r>
    <x v="1011"/>
    <s v="International Affairs "/>
    <x v="1011"/>
    <x v="10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9723A8B-4588-4B5C-86E8-4D8102FF15F3}" name="PivotTable1" cacheId="0" applyNumberFormats="0" applyBorderFormats="0" applyFontFormats="0" applyPatternFormats="0" applyAlignmentFormats="0" applyWidthHeightFormats="1" dataCaption="Values" updatedVersion="8" minRefreshableVersion="3" rowGrandTotals="0" colGrandTotals="0" itemPrintTitles="1" createdVersion="7" indent="0" outline="1" outlineData="1" multipleFieldFilters="0">
  <location ref="B6:B1018" firstHeaderRow="1" firstDataRow="1" firstDataCol="1" rowPageCount="1" colPageCount="1"/>
  <pivotFields count="4">
    <pivotField outline="0" showAll="0" defaultSubtotal="0">
      <items count="101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s>
    </pivotField>
    <pivotField showAll="0"/>
    <pivotField name="NAICS 2022 Code and Title" axis="axisRow" showAll="0">
      <items count="10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t="default"/>
      </items>
    </pivotField>
    <pivotField axis="axisPage" multipleItemSelectionAllowed="1" showAll="0">
      <items count="1013">
        <item x="290"/>
        <item x="251"/>
        <item x="1000"/>
        <item x="1001"/>
        <item x="996"/>
        <item x="1004"/>
        <item x="1002"/>
        <item x="998"/>
        <item x="997"/>
        <item x="1003"/>
        <item x="999"/>
        <item x="771"/>
        <item x="782"/>
        <item x="788"/>
        <item x="908"/>
        <item x="682"/>
        <item x="371"/>
        <item x="639"/>
        <item x="361"/>
        <item x="438"/>
        <item x="437"/>
        <item x="923"/>
        <item x="48"/>
        <item x="945"/>
        <item x="237"/>
        <item x="814"/>
        <item x="740"/>
        <item x="221"/>
        <item x="575"/>
        <item x="7"/>
        <item x="580"/>
        <item x="571"/>
        <item x="357"/>
        <item x="716"/>
        <item x="750"/>
        <item x="880"/>
        <item x="260"/>
        <item x="29"/>
        <item x="422"/>
        <item x="348"/>
        <item x="172"/>
        <item x="383"/>
        <item x="475"/>
        <item x="294"/>
        <item x="601"/>
        <item x="858"/>
        <item x="191"/>
        <item x="842"/>
        <item x="211"/>
        <item x="874"/>
        <item x="968"/>
        <item x="230"/>
        <item x="635"/>
        <item x="271"/>
        <item x="795"/>
        <item x="674"/>
        <item x="276"/>
        <item x="566"/>
        <item x="129"/>
        <item x="651"/>
        <item x="831"/>
        <item x="684"/>
        <item x="631"/>
        <item x="448"/>
        <item x="818"/>
        <item x="927"/>
        <item x="299"/>
        <item x="311"/>
        <item x="301"/>
        <item x="878"/>
        <item x="987"/>
        <item x="345"/>
        <item x="914"/>
        <item x="915"/>
        <item x="403"/>
        <item x="154"/>
        <item x="45"/>
        <item x="195"/>
        <item x="192"/>
        <item x="12"/>
        <item x="949"/>
        <item x="851"/>
        <item x="755"/>
        <item x="821"/>
        <item x="598"/>
        <item x="240"/>
        <item x="227"/>
        <item x="228"/>
        <item x="888"/>
        <item x="390"/>
        <item x="399"/>
        <item x="423"/>
        <item x="476"/>
        <item x="857"/>
        <item x="941"/>
        <item x="942"/>
        <item x="943"/>
        <item x="550"/>
        <item x="564"/>
        <item x="343"/>
        <item x="953"/>
        <item x="391"/>
        <item x="416"/>
        <item x="954"/>
        <item x="926"/>
        <item x="30"/>
        <item x="536"/>
        <item x="567"/>
        <item x="139"/>
        <item x="15"/>
        <item x="249"/>
        <item x="91"/>
        <item x="459"/>
        <item x="879"/>
        <item x="445"/>
        <item x="548"/>
        <item x="335"/>
        <item x="671"/>
        <item x="592"/>
        <item x="539"/>
        <item x="224"/>
        <item x="174"/>
        <item x="922"/>
        <item x="138"/>
        <item x="176"/>
        <item x="483"/>
        <item x="181"/>
        <item x="36"/>
        <item x="473"/>
        <item x="759"/>
        <item x="474"/>
        <item x="623"/>
        <item x="846"/>
        <item x="977"/>
        <item x="937"/>
        <item x="140"/>
        <item x="393"/>
        <item x="944"/>
        <item x="421"/>
        <item x="187"/>
        <item x="827"/>
        <item x="925"/>
        <item x="916"/>
        <item x="932"/>
        <item x="31"/>
        <item x="283"/>
        <item x="959"/>
        <item x="629"/>
        <item x="151"/>
        <item x="35"/>
        <item x="890"/>
        <item x="898"/>
        <item x="142"/>
        <item x="11"/>
        <item x="976"/>
        <item x="714"/>
        <item x="278"/>
        <item x="519"/>
        <item x="584"/>
        <item x="494"/>
        <item x="611"/>
        <item x="612"/>
        <item x="167"/>
        <item x="960"/>
        <item x="810"/>
        <item x="845"/>
        <item x="742"/>
        <item x="947"/>
        <item x="104"/>
        <item x="358"/>
        <item x="160"/>
        <item x="689"/>
        <item x="792"/>
        <item x="222"/>
        <item x="223"/>
        <item x="408"/>
        <item x="701"/>
        <item x="893"/>
        <item x="622"/>
        <item x="244"/>
        <item x="488"/>
        <item x="769"/>
        <item x="385"/>
        <item x="768"/>
        <item x="386"/>
        <item x="847"/>
        <item x="685"/>
        <item x="285"/>
        <item x="286"/>
        <item x="565"/>
        <item x="143"/>
        <item x="524"/>
        <item x="502"/>
        <item x="351"/>
        <item x="76"/>
        <item x="743"/>
        <item x="735"/>
        <item x="694"/>
        <item x="887"/>
        <item x="559"/>
        <item x="830"/>
        <item x="817"/>
        <item x="374"/>
        <item x="162"/>
        <item x="304"/>
        <item x="70"/>
        <item x="4"/>
        <item x="798"/>
        <item x="992"/>
        <item x="215"/>
        <item x="577"/>
        <item x="849"/>
        <item x="24"/>
        <item x="56"/>
        <item x="653"/>
        <item x="813"/>
        <item x="989"/>
        <item x="150"/>
        <item x="811"/>
        <item x="692"/>
        <item x="690"/>
        <item x="58"/>
        <item x="64"/>
        <item x="74"/>
        <item x="73"/>
        <item x="419"/>
        <item x="188"/>
        <item x="455"/>
        <item x="258"/>
        <item x="767"/>
        <item x="315"/>
        <item x="193"/>
        <item x="194"/>
        <item x="206"/>
        <item x="291"/>
        <item x="364"/>
        <item x="236"/>
        <item x="32"/>
        <item x="522"/>
        <item x="900"/>
        <item x="609"/>
        <item x="610"/>
        <item x="462"/>
        <item x="464"/>
        <item x="573"/>
        <item x="876"/>
        <item x="956"/>
        <item x="72"/>
        <item x="708"/>
        <item x="707"/>
        <item x="787"/>
        <item x="709"/>
        <item x="710"/>
        <item x="672"/>
        <item x="178"/>
        <item x="805"/>
        <item x="130"/>
        <item x="467"/>
        <item x="758"/>
        <item x="148"/>
        <item x="80"/>
        <item x="934"/>
        <item x="662"/>
        <item x="516"/>
        <item x="163"/>
        <item x="2"/>
        <item x="152"/>
        <item x="961"/>
        <item x="122"/>
        <item x="33"/>
        <item x="859"/>
        <item x="93"/>
        <item x="409"/>
        <item x="94"/>
        <item x="495"/>
        <item x="119"/>
        <item x="397"/>
        <item x="946"/>
        <item x="384"/>
        <item x="394"/>
        <item x="572"/>
        <item x="338"/>
        <item x="843"/>
        <item x="373"/>
        <item x="896"/>
        <item x="801"/>
        <item x="203"/>
        <item x="757"/>
        <item x="974"/>
        <item x="776"/>
        <item x="235"/>
        <item x="856"/>
        <item x="986"/>
        <item x="983"/>
        <item x="802"/>
        <item x="257"/>
        <item x="824"/>
        <item x="186"/>
        <item x="347"/>
        <item x="321"/>
        <item x="800"/>
        <item x="869"/>
        <item x="503"/>
        <item x="60"/>
        <item x="349"/>
        <item x="61"/>
        <item x="657"/>
        <item x="538"/>
        <item x="472"/>
        <item x="137"/>
        <item x="243"/>
        <item x="417"/>
        <item x="180"/>
        <item x="698"/>
        <item x="853"/>
        <item x="42"/>
        <item x="52"/>
        <item x="126"/>
        <item x="994"/>
        <item x="525"/>
        <item x="563"/>
        <item x="921"/>
        <item x="279"/>
        <item x="168"/>
        <item x="850"/>
        <item x="569"/>
        <item x="124"/>
        <item x="22"/>
        <item x="593"/>
        <item x="132"/>
        <item x="540"/>
        <item x="149"/>
        <item x="381"/>
        <item x="382"/>
        <item x="340"/>
        <item x="216"/>
        <item x="579"/>
        <item x="354"/>
        <item x="931"/>
        <item x="951"/>
        <item x="197"/>
        <item x="518"/>
        <item x="50"/>
        <item x="736"/>
        <item x="86"/>
        <item x="113"/>
        <item x="873"/>
        <item x="649"/>
        <item x="527"/>
        <item x="161"/>
        <item x="144"/>
        <item x="145"/>
        <item x="17"/>
        <item x="146"/>
        <item x="561"/>
        <item x="583"/>
        <item x="935"/>
        <item x="958"/>
        <item x="47"/>
        <item x="480"/>
        <item x="568"/>
        <item x="470"/>
        <item x="581"/>
        <item x="939"/>
        <item x="615"/>
        <item x="617"/>
        <item x="616"/>
        <item x="520"/>
        <item x="881"/>
        <item x="741"/>
        <item x="655"/>
        <item x="760"/>
        <item x="90"/>
        <item x="595"/>
        <item x="115"/>
        <item x="281"/>
        <item x="282"/>
        <item x="41"/>
        <item x="69"/>
        <item x="918"/>
        <item x="529"/>
        <item x="970"/>
        <item x="13"/>
        <item x="765"/>
        <item x="673"/>
        <item x="292"/>
        <item x="440"/>
        <item x="441"/>
        <item x="289"/>
        <item x="330"/>
        <item x="498"/>
        <item x="554"/>
        <item x="201"/>
        <item x="26"/>
        <item x="833"/>
        <item x="835"/>
        <item x="718"/>
        <item x="360"/>
        <item x="424"/>
        <item x="109"/>
        <item x="911"/>
        <item x="871"/>
        <item x="589"/>
        <item x="34"/>
        <item x="948"/>
        <item x="552"/>
        <item x="481"/>
        <item x="877"/>
        <item x="738"/>
        <item x="46"/>
        <item x="924"/>
        <item x="496"/>
        <item x="452"/>
        <item x="772"/>
        <item x="973"/>
        <item x="55"/>
        <item x="85"/>
        <item x="153"/>
        <item x="175"/>
        <item x="909"/>
        <item x="786"/>
        <item x="359"/>
        <item x="515"/>
        <item x="103"/>
        <item x="764"/>
        <item x="232"/>
        <item x="963"/>
        <item x="504"/>
        <item x="362"/>
        <item x="380"/>
        <item x="77"/>
        <item x="505"/>
        <item x="376"/>
        <item x="339"/>
        <item x="613"/>
        <item x="614"/>
        <item x="453"/>
        <item x="402"/>
        <item x="400"/>
        <item x="713"/>
        <item x="763"/>
        <item x="1011"/>
        <item x="696"/>
        <item x="625"/>
        <item x="819"/>
        <item x="700"/>
        <item x="248"/>
        <item x="313"/>
        <item x="295"/>
        <item x="296"/>
        <item x="307"/>
        <item x="68"/>
        <item x="404"/>
        <item x="825"/>
        <item x="465"/>
        <item x="586"/>
        <item x="511"/>
        <item x="844"/>
        <item x="78"/>
        <item x="872"/>
        <item x="184"/>
        <item x="979"/>
        <item x="266"/>
        <item x="108"/>
        <item x="756"/>
        <item x="826"/>
        <item x="855"/>
        <item x="350"/>
        <item x="196"/>
        <item x="991"/>
        <item x="984"/>
        <item x="725"/>
        <item x="746"/>
        <item x="724"/>
        <item x="726"/>
        <item x="723"/>
        <item x="686"/>
        <item x="288"/>
        <item x="936"/>
        <item x="627"/>
        <item x="607"/>
        <item x="962"/>
        <item x="530"/>
        <item x="654"/>
        <item x="823"/>
        <item x="51"/>
        <item x="587"/>
        <item x="482"/>
        <item x="333"/>
        <item x="365"/>
        <item x="411"/>
        <item x="134"/>
        <item x="599"/>
        <item x="209"/>
        <item x="406"/>
        <item x="920"/>
        <item x="644"/>
        <item x="773"/>
        <item x="790"/>
        <item x="114"/>
        <item x="840"/>
        <item x="458"/>
        <item x="169"/>
        <item x="372"/>
        <item x="526"/>
        <item x="155"/>
        <item x="562"/>
        <item x="369"/>
        <item x="784"/>
        <item x="785"/>
        <item x="678"/>
        <item x="875"/>
        <item x="490"/>
        <item x="246"/>
        <item x="328"/>
        <item x="337"/>
        <item x="317"/>
        <item x="336"/>
        <item x="318"/>
        <item x="493"/>
        <item x="327"/>
        <item x="323"/>
        <item x="447"/>
        <item x="293"/>
        <item x="352"/>
        <item x="706"/>
        <item x="703"/>
        <item x="621"/>
        <item x="933"/>
        <item x="688"/>
        <item x="697"/>
        <item x="660"/>
        <item x="659"/>
        <item x="661"/>
        <item x="413"/>
        <item x="427"/>
        <item x="425"/>
        <item x="432"/>
        <item x="430"/>
        <item x="429"/>
        <item x="435"/>
        <item x="479"/>
        <item x="434"/>
        <item x="431"/>
        <item x="477"/>
        <item x="647"/>
        <item x="433"/>
        <item x="549"/>
        <item x="446"/>
        <item x="910"/>
        <item x="19"/>
        <item x="665"/>
        <item x="901"/>
        <item x="591"/>
        <item x="471"/>
        <item x="955"/>
        <item x="182"/>
        <item x="1010"/>
        <item x="95"/>
        <item x="65"/>
        <item x="913"/>
        <item x="645"/>
        <item x="545"/>
        <item x="101"/>
        <item x="100"/>
        <item x="99"/>
        <item x="669"/>
        <item x="241"/>
        <item x="141"/>
        <item x="420"/>
        <item x="314"/>
        <item x="303"/>
        <item x="305"/>
        <item x="310"/>
        <item x="729"/>
        <item x="605"/>
        <item x="604"/>
        <item x="451"/>
        <item x="183"/>
        <item x="87"/>
        <item x="21"/>
        <item x="557"/>
        <item x="884"/>
        <item x="799"/>
        <item x="487"/>
        <item x="456"/>
        <item x="744"/>
        <item x="468"/>
        <item x="594"/>
        <item x="868"/>
        <item x="796"/>
        <item x="751"/>
        <item x="863"/>
        <item x="862"/>
        <item x="747"/>
        <item x="865"/>
        <item x="748"/>
        <item x="864"/>
        <item x="797"/>
        <item x="866"/>
        <item x="860"/>
        <item x="861"/>
        <item x="867"/>
        <item x="727"/>
        <item x="730"/>
        <item x="353"/>
        <item x="106"/>
        <item x="1"/>
        <item x="6"/>
        <item x="966"/>
        <item x="720"/>
        <item x="463"/>
        <item x="491"/>
        <item x="578"/>
        <item x="10"/>
        <item x="325"/>
        <item x="754"/>
        <item x="699"/>
        <item x="731"/>
        <item x="439"/>
        <item x="640"/>
        <item x="302"/>
        <item x="131"/>
        <item x="44"/>
        <item x="234"/>
        <item x="121"/>
        <item x="127"/>
        <item x="555"/>
        <item x="809"/>
        <item x="533"/>
        <item x="745"/>
        <item x="489"/>
        <item x="418"/>
        <item x="389"/>
        <item x="895"/>
        <item x="770"/>
        <item x="287"/>
        <item x="485"/>
        <item x="75"/>
        <item x="711"/>
        <item x="92"/>
        <item x="396"/>
        <item x="497"/>
        <item x="370"/>
        <item x="332"/>
        <item x="531"/>
        <item x="722"/>
        <item x="20"/>
        <item x="118"/>
        <item x="917"/>
        <item x="582"/>
        <item x="988"/>
        <item x="972"/>
        <item x="528"/>
        <item x="442"/>
        <item x="110"/>
        <item x="892"/>
        <item x="719"/>
        <item x="995"/>
        <item x="198"/>
        <item x="775"/>
        <item x="54"/>
        <item x="405"/>
        <item x="329"/>
        <item x="71"/>
        <item x="342"/>
        <item x="207"/>
        <item x="512"/>
        <item x="543"/>
        <item x="664"/>
        <item x="436"/>
        <item x="18"/>
        <item x="312"/>
        <item x="838"/>
        <item x="79"/>
        <item x="606"/>
        <item x="217"/>
        <item x="902"/>
        <item x="952"/>
        <item x="957"/>
        <item x="39"/>
        <item x="280"/>
        <item x="492"/>
        <item x="889"/>
        <item x="777"/>
        <item x="789"/>
        <item x="828"/>
        <item x="981"/>
        <item x="166"/>
        <item x="975"/>
        <item x="668"/>
        <item x="766"/>
        <item x="905"/>
        <item x="641"/>
        <item x="648"/>
        <item x="646"/>
        <item x="852"/>
        <item x="624"/>
        <item x="9"/>
        <item x="658"/>
        <item x="834"/>
        <item x="556"/>
        <item x="870"/>
        <item x="375"/>
        <item x="521"/>
        <item x="829"/>
        <item x="379"/>
        <item x="650"/>
        <item x="250"/>
        <item x="553"/>
        <item x="542"/>
        <item x="123"/>
        <item x="218"/>
        <item x="213"/>
        <item x="214"/>
        <item x="967"/>
        <item x="993"/>
        <item x="733"/>
        <item x="732"/>
        <item x="753"/>
        <item x="28"/>
        <item x="717"/>
        <item x="670"/>
        <item x="171"/>
        <item x="245"/>
        <item x="597"/>
        <item x="964"/>
        <item x="231"/>
        <item x="535"/>
        <item x="534"/>
        <item x="229"/>
        <item x="226"/>
        <item x="247"/>
        <item x="576"/>
        <item x="715"/>
        <item x="242"/>
        <item x="965"/>
        <item x="486"/>
        <item x="259"/>
        <item x="791"/>
        <item x="517"/>
        <item x="632"/>
        <item x="633"/>
        <item x="634"/>
        <item x="261"/>
        <item x="269"/>
        <item x="238"/>
        <item x="532"/>
        <item x="262"/>
        <item x="265"/>
        <item x="270"/>
        <item x="322"/>
        <item x="499"/>
        <item x="341"/>
        <item x="120"/>
        <item x="990"/>
        <item x="253"/>
        <item x="980"/>
        <item x="267"/>
        <item x="643"/>
        <item x="704"/>
        <item x="652"/>
        <item x="59"/>
        <item x="8"/>
        <item x="277"/>
        <item x="523"/>
        <item x="38"/>
        <item x="157"/>
        <item x="111"/>
        <item x="316"/>
        <item x="107"/>
        <item x="326"/>
        <item x="412"/>
        <item x="377"/>
        <item x="334"/>
        <item x="320"/>
        <item x="210"/>
        <item x="395"/>
        <item x="513"/>
        <item x="256"/>
        <item x="982"/>
        <item x="808"/>
        <item x="774"/>
        <item x="848"/>
        <item x="804"/>
        <item x="978"/>
        <item x="906"/>
        <item x="907"/>
        <item x="882"/>
        <item x="985"/>
        <item x="783"/>
        <item x="212"/>
        <item x="904"/>
        <item x="388"/>
        <item x="676"/>
        <item x="443"/>
        <item x="284"/>
        <item x="695"/>
        <item x="204"/>
        <item x="667"/>
        <item x="929"/>
        <item x="739"/>
        <item x="547"/>
        <item x="510"/>
        <item x="656"/>
        <item x="501"/>
        <item x="1006"/>
        <item x="1005"/>
        <item x="1007"/>
        <item x="1008"/>
        <item x="712"/>
        <item x="415"/>
        <item x="969"/>
        <item x="839"/>
        <item x="156"/>
        <item x="812"/>
        <item x="779"/>
        <item x="778"/>
        <item x="780"/>
        <item x="781"/>
        <item x="407"/>
        <item x="885"/>
        <item x="886"/>
        <item x="728"/>
        <item x="102"/>
        <item x="159"/>
        <item x="950"/>
        <item x="5"/>
        <item x="133"/>
        <item x="165"/>
        <item x="297"/>
        <item x="366"/>
        <item x="116"/>
        <item x="484"/>
        <item x="930"/>
        <item x="190"/>
        <item x="274"/>
        <item x="275"/>
        <item x="928"/>
        <item x="693"/>
        <item x="220"/>
        <item x="683"/>
        <item x="691"/>
        <item x="319"/>
        <item x="356"/>
        <item x="199"/>
        <item x="636"/>
        <item x="638"/>
        <item x="637"/>
        <item x="603"/>
        <item x="602"/>
        <item x="628"/>
        <item x="158"/>
        <item x="398"/>
        <item x="300"/>
        <item x="306"/>
        <item x="702"/>
        <item x="820"/>
        <item x="822"/>
        <item x="392"/>
        <item x="355"/>
        <item x="841"/>
        <item x="506"/>
        <item x="891"/>
        <item x="97"/>
        <item x="590"/>
        <item x="40"/>
        <item x="324"/>
        <item x="43"/>
        <item x="53"/>
        <item x="444"/>
        <item x="585"/>
        <item x="608"/>
        <item x="457"/>
        <item x="117"/>
        <item x="469"/>
        <item x="128"/>
        <item x="919"/>
        <item x="344"/>
        <item x="346"/>
        <item x="410"/>
        <item x="938"/>
        <item x="252"/>
        <item x="173"/>
        <item x="675"/>
        <item x="202"/>
        <item x="57"/>
        <item x="88"/>
        <item x="832"/>
        <item x="837"/>
        <item x="836"/>
        <item x="666"/>
        <item x="136"/>
        <item x="0"/>
        <item x="1009"/>
        <item x="363"/>
        <item x="630"/>
        <item x="940"/>
        <item x="619"/>
        <item x="620"/>
        <item x="883"/>
        <item x="147"/>
        <item x="368"/>
        <item x="170"/>
        <item x="466"/>
        <item x="508"/>
        <item x="588"/>
        <item x="854"/>
        <item x="903"/>
        <item x="331"/>
        <item x="514"/>
        <item x="219"/>
        <item x="98"/>
        <item x="309"/>
        <item x="308"/>
        <item x="298"/>
        <item x="14"/>
        <item x="112"/>
        <item x="27"/>
        <item x="25"/>
        <item x="558"/>
        <item x="62"/>
        <item x="82"/>
        <item x="63"/>
        <item x="83"/>
        <item x="84"/>
        <item x="81"/>
        <item x="225"/>
        <item x="642"/>
        <item x="254"/>
        <item x="66"/>
        <item x="460"/>
        <item x="461"/>
        <item x="761"/>
        <item x="414"/>
        <item x="233"/>
        <item x="239"/>
        <item x="752"/>
        <item x="626"/>
        <item x="681"/>
        <item x="807"/>
        <item x="806"/>
        <item x="387"/>
        <item x="663"/>
        <item x="677"/>
        <item x="803"/>
        <item x="894"/>
        <item x="762"/>
        <item x="185"/>
        <item x="189"/>
        <item x="899"/>
        <item x="125"/>
        <item x="49"/>
        <item x="478"/>
        <item x="551"/>
        <item x="272"/>
        <item x="273"/>
        <item x="749"/>
        <item x="23"/>
        <item x="179"/>
        <item x="541"/>
        <item x="600"/>
        <item x="255"/>
        <item x="164"/>
        <item x="401"/>
        <item x="816"/>
        <item x="509"/>
        <item x="793"/>
        <item x="507"/>
        <item x="815"/>
        <item x="428"/>
        <item x="16"/>
        <item x="426"/>
        <item x="734"/>
        <item x="705"/>
        <item x="721"/>
        <item x="367"/>
        <item x="37"/>
        <item x="67"/>
        <item x="263"/>
        <item x="264"/>
        <item x="450"/>
        <item x="268"/>
        <item x="546"/>
        <item x="618"/>
        <item x="596"/>
        <item x="560"/>
        <item x="794"/>
        <item x="737"/>
        <item x="897"/>
        <item x="971"/>
        <item x="574"/>
        <item x="500"/>
        <item x="105"/>
        <item x="96"/>
        <item x="687"/>
        <item x="378"/>
        <item x="135"/>
        <item x="3"/>
        <item x="544"/>
        <item x="89"/>
        <item x="570"/>
        <item x="537"/>
        <item x="177"/>
        <item x="679"/>
        <item x="680"/>
        <item x="208"/>
        <item x="449"/>
        <item x="454"/>
        <item x="200"/>
        <item x="205"/>
        <item x="912"/>
        <item t="default"/>
      </items>
    </pivotField>
  </pivotFields>
  <rowFields count="1">
    <field x="2"/>
  </rowFields>
  <rowItems count="10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rowItems>
  <colItems count="1">
    <i/>
  </colItems>
  <pageFields count="1">
    <pageField fld="3" hier="-1"/>
  </pageFields>
  <formats count="47">
    <format dxfId="46">
      <pivotArea field="0" type="button" dataOnly="0" labelOnly="1" outline="0"/>
    </format>
    <format dxfId="45">
      <pivotArea type="all" dataOnly="0" outline="0" fieldPosition="0"/>
    </format>
    <format dxfId="44">
      <pivotArea field="2" type="button" dataOnly="0" labelOnly="1" outline="0" axis="axisRow" fieldPosition="0"/>
    </format>
    <format dxfId="43">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42">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41">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0">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9">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8">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7">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6">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5">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34">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33">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32">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31">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30">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29">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28">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27">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26">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25">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24">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23">
      <pivotArea dataOnly="0" labelOnly="1" fieldPosition="0">
        <references count="1">
          <reference field="2" count="12">
            <x v="1000"/>
            <x v="1001"/>
            <x v="1002"/>
            <x v="1003"/>
            <x v="1004"/>
            <x v="1005"/>
            <x v="1006"/>
            <x v="1007"/>
            <x v="1008"/>
            <x v="1009"/>
            <x v="1010"/>
            <x v="1011"/>
          </reference>
        </references>
      </pivotArea>
    </format>
    <format dxfId="22">
      <pivotArea type="all" dataOnly="0" outline="0" fieldPosition="0"/>
    </format>
    <format dxfId="21">
      <pivotArea field="2" type="button" dataOnly="0" labelOnly="1" outline="0" axis="axisRow" fieldPosition="0"/>
    </format>
    <format dxfId="2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8">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7">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5">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4">
      <pivotArea dataOnly="0" labelOnly="1" fieldPosition="0">
        <references count="1">
          <reference field="2"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13">
      <pivotArea dataOnly="0" labelOnly="1" fieldPosition="0">
        <references count="1">
          <reference field="2"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12">
      <pivotArea dataOnly="0" labelOnly="1" fieldPosition="0">
        <references count="1">
          <reference field="2"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11">
      <pivotArea dataOnly="0" labelOnly="1" fieldPosition="0">
        <references count="1">
          <reference field="2"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10">
      <pivotArea dataOnly="0" labelOnly="1" fieldPosition="0">
        <references count="1">
          <reference field="2"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9">
      <pivotArea dataOnly="0" labelOnly="1" fieldPosition="0">
        <references count="1">
          <reference field="2"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8">
      <pivotArea dataOnly="0" labelOnly="1" fieldPosition="0">
        <references count="1">
          <reference field="2"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7">
      <pivotArea dataOnly="0" labelOnly="1" fieldPosition="0">
        <references count="1">
          <reference field="2"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6">
      <pivotArea dataOnly="0" labelOnly="1" fieldPosition="0">
        <references count="1">
          <reference field="2"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5">
      <pivotArea dataOnly="0" labelOnly="1" fieldPosition="0">
        <references count="1">
          <reference field="2"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4">
      <pivotArea dataOnly="0" labelOnly="1" fieldPosition="0">
        <references count="1">
          <reference field="2"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3">
      <pivotArea dataOnly="0" labelOnly="1" fieldPosition="0">
        <references count="1">
          <reference field="2"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2">
      <pivotArea dataOnly="0" labelOnly="1" fieldPosition="0">
        <references count="1">
          <reference field="2"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1">
      <pivotArea dataOnly="0" labelOnly="1" fieldPosition="0">
        <references count="1">
          <reference field="2"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0">
      <pivotArea dataOnly="0" labelOnly="1" fieldPosition="0">
        <references count="1">
          <reference field="2" count="12">
            <x v="1000"/>
            <x v="1001"/>
            <x v="1002"/>
            <x v="1003"/>
            <x v="1004"/>
            <x v="1005"/>
            <x v="1006"/>
            <x v="1007"/>
            <x v="1008"/>
            <x v="1009"/>
            <x v="1010"/>
            <x v="10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CADA1D0-D3EF-441F-9C99-4B251D89D28B}" name="importcover" displayName="importcover" ref="B4:Q5" totalsRowShown="0" headerRowDxfId="436" dataDxfId="435">
  <autoFilter ref="B4:Q5" xr:uid="{BCADA1D0-D3EF-441F-9C99-4B251D89D28B}"/>
  <tableColumns count="16">
    <tableColumn id="16" xr3:uid="{403C1131-188F-45F7-A9EA-129B4C4B9BF4}" name="key" dataDxfId="434">
      <calculatedColumnFormula>rptkey</calculatedColumnFormula>
    </tableColumn>
    <tableColumn id="1" xr3:uid="{AF5790C0-5222-4356-B539-5B7B46EE657E}" name="licenseno" dataDxfId="433">
      <calculatedColumnFormula>TEXT(licenseno,"00000000")</calculatedColumnFormula>
    </tableColumn>
    <tableColumn id="2" xr3:uid="{C8BAF91D-5EB0-4E01-9283-B71488CF3A91}" name="sbicname" dataDxfId="432">
      <calculatedColumnFormula>sbicname</calculatedColumnFormula>
    </tableColumn>
    <tableColumn id="15" xr3:uid="{16A557AD-43EF-436B-BEF0-6AFEC10BA96D}" name="RptPeriodType" dataDxfId="431">
      <calculatedColumnFormula>rptperiodtype</calculatedColumnFormula>
    </tableColumn>
    <tableColumn id="9" xr3:uid="{D609510C-78C5-46EB-9C85-5895AF29F78F}" name="468rptdate" dataDxfId="430">
      <calculatedColumnFormula>rptenddate</calculatedColumnFormula>
    </tableColumn>
    <tableColumn id="10" xr3:uid="{7A2F0C96-E6DE-471F-99C9-6F0F58E12B08}" name="468rptmos" dataDxfId="429">
      <calculatedColumnFormula>Number_of_Months</calculatedColumnFormula>
    </tableColumn>
    <tableColumn id="3" xr3:uid="{B006C882-91CB-4822-9DD7-1171DD5BEEF5}" name="sbicstreet" dataDxfId="428">
      <calculatedColumnFormula>'1-Cover'!C10</calculatedColumnFormula>
    </tableColumn>
    <tableColumn id="4" xr3:uid="{28C13470-E42C-4E3A-9AF7-D2ED4F12FB01}" name="sbiccity" dataDxfId="427">
      <calculatedColumnFormula>'1-Cover'!C13</calculatedColumnFormula>
    </tableColumn>
    <tableColumn id="5" xr3:uid="{BB0A3A4E-BA3F-459B-B792-2FEB379C9A49}" name="sbicstate" dataDxfId="426">
      <calculatedColumnFormula>'1-Cover'!C14</calculatedColumnFormula>
    </tableColumn>
    <tableColumn id="6" xr3:uid="{8E7B0AD4-AD3F-4AE0-9523-E58881F16F7E}" name="sbiczip" dataDxfId="425">
      <calculatedColumnFormula>TEXT('1-Cover'!C15,"00000")</calculatedColumnFormula>
    </tableColumn>
    <tableColumn id="7" xr3:uid="{000BA0D5-FD66-4BCB-A7F6-F6AAC6A9E418}" name="sbiccounty" dataDxfId="424">
      <calculatedColumnFormula>'1-Cover'!C16</calculatedColumnFormula>
    </tableColumn>
    <tableColumn id="8" xr3:uid="{A834B6C7-CEFD-41F8-ACF5-A6B2F5665B90}" name="sbicemployerid" dataDxfId="423">
      <calculatedColumnFormula>TEXT('1-Cover'!C18,"000000000")</calculatedColumnFormula>
    </tableColumn>
    <tableColumn id="11" xr3:uid="{84F64596-4E2B-4DB1-AAF3-A59B240A35A5}" name="sbicownership" dataDxfId="422">
      <calculatedColumnFormula>'1-Cover'!C24</calculatedColumnFormula>
    </tableColumn>
    <tableColumn id="12" xr3:uid="{4B210112-6418-4CDD-9DB6-BCA418C851FE}" name="approvedvaluation" dataDxfId="421">
      <calculatedColumnFormula>ApprovedValuation</calculatedColumnFormula>
    </tableColumn>
    <tableColumn id="13" xr3:uid="{BF821092-6723-4524-8A03-8BF55AEBF170}" name="sbicVY" dataDxfId="420">
      <calculatedColumnFormula>'1-Cover'!C28</calculatedColumnFormula>
    </tableColumn>
    <tableColumn id="14" xr3:uid="{C6E207A1-11D5-4868-B476-0B66861EAE7C}" name="sbicstrategy" dataDxfId="419">
      <calculatedColumnFormula>'1-Cover'!C32</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B234B52-8089-47D0-B6D0-30C553FF317C}" name="select_exittype" displayName="select_exittype" ref="BU16:BV24" totalsRowShown="0" headerRowDxfId="379" dataDxfId="377" headerRowBorderDxfId="378" tableBorderDxfId="376" totalsRowBorderDxfId="375">
  <autoFilter ref="BU16:BV24" xr:uid="{664958FE-4F50-4DF4-A8D4-0C2FE35C9F18}"/>
  <tableColumns count="2">
    <tableColumn id="1" xr3:uid="{95AF2D83-7470-473F-BD5C-04F8768FD8C0}" name="ExitType" dataDxfId="374"/>
    <tableColumn id="2" xr3:uid="{705ABE06-1773-410C-9133-2E19AA99B289}" name="Comments" dataDxfId="37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F840638-E4D2-4BCF-9EE9-193415B89882}" name="Select_naics2022" displayName="Select_naics2022" ref="AR16:AU1028" totalsRowShown="0" headerRowDxfId="372" dataDxfId="371">
  <autoFilter ref="AR16:AU1028" xr:uid="{B6919E7A-EBF5-461A-B0FB-0295DC815B76}"/>
  <tableColumns count="4">
    <tableColumn id="5" xr3:uid="{8A47DDF6-DF98-4723-A411-F3F72361E8DD}" name="NAICS Combined" dataDxfId="370">
      <calculatedColumnFormula>Select_naics2022[[#This Row],[2022 NAICS Code]]&amp;":  "&amp;Select_naics2022[[#This Row],[2022 NAICS Title]]</calculatedColumnFormula>
    </tableColumn>
    <tableColumn id="1" xr3:uid="{63783CE4-E4A2-4E0A-91DC-D431270566D5}" name="2022 NAICS Code" dataDxfId="369"/>
    <tableColumn id="2" xr3:uid="{47D76129-814B-41DC-81F6-25DBC4828671}" name="2022 NAICS Title" dataDxfId="368"/>
    <tableColumn id="3" xr3:uid="{F8715923-FF65-43A4-96B0-4A6DDB88091A}" name="Search" dataDxfId="367">
      <calculatedColumnFormula>Select_naics2022[[#This Row],[2022 NAICS Title]]</calculatedColumnFormula>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58ED039-FB9F-499D-910F-F33619A84AC4}" name="Select_MgrRoles" displayName="Select_MgrRoles" ref="AO16:AP22" totalsRowShown="0" headerRowDxfId="366" dataDxfId="365">
  <autoFilter ref="AO16:AP22" xr:uid="{217C802B-2DE9-45B0-B6DF-3E4D26545752}"/>
  <tableColumns count="2">
    <tableColumn id="1" xr3:uid="{069F101E-1F34-4E0C-9A5C-DE003C58CDBC}" name="Mgr Roles" dataDxfId="364"/>
    <tableColumn id="2" xr3:uid="{38F89AB1-314E-4B11-A9B0-55D8FED5B958}" name="Comments" dataDxfId="36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64DBB1F-5D0F-4413-B9F9-5F5B5D9FAF7C}" name="Select_RptType" displayName="Select_RptType" ref="J16:K18" totalsRowShown="0" headerRowDxfId="362" dataDxfId="361">
  <autoFilter ref="J16:K18" xr:uid="{4E304FB2-B78E-4227-BA33-B9C55361DA96}"/>
  <tableColumns count="2">
    <tableColumn id="1" xr3:uid="{4FA6E024-3705-4291-B5A0-95B17AAFE644}" name="RptPeriodTypeFull" dataDxfId="360"/>
    <tableColumn id="2" xr3:uid="{A11D01CF-C1A7-433E-ACC1-687E4238EA7B}" name="RptPeriodType" dataDxfId="359"/>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87BC5BBB-2148-4BDA-8B3D-19CB062FF79E}" name="Select_LoanDebtStatus" displayName="Select_LoanDebtStatus" ref="BI16:BJ22" totalsRowShown="0" headerRowDxfId="358" dataDxfId="356" headerRowBorderDxfId="357" tableBorderDxfId="355" totalsRowBorderDxfId="354">
  <autoFilter ref="BI16:BJ22" xr:uid="{FB9CDBB3-3465-4DDD-B35B-4F75B4E1356F}"/>
  <tableColumns count="2">
    <tableColumn id="1" xr3:uid="{C4729762-78D1-4A85-90DE-A02D6E1DB3F0}" name="LoanDebtStatus" dataDxfId="353"/>
    <tableColumn id="2" xr3:uid="{219CC25B-6E10-4180-AD77-3B9728EEAF15}" name="Meaning" dataDxfId="35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D02686F-9A59-42DE-9E4E-916CEF7F9494}" name="Select_Race" displayName="Select_Race" ref="AI16:AJ22" totalsRowShown="0" headerRowDxfId="351" dataDxfId="350">
  <autoFilter ref="AI16:AJ22" xr:uid="{95E7928C-09C9-4612-ABE2-8CDCF51ECCFD}"/>
  <tableColumns count="2">
    <tableColumn id="1" xr3:uid="{4C2A29AE-EFD7-4EDB-AA66-2D5B71B03568}" name="Race" dataDxfId="349"/>
    <tableColumn id="2" xr3:uid="{1A12914B-22A0-4E22-A79C-2139446ECDAB}" name="Comments" dataDxfId="34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9F3344F-792B-408D-8E8D-D39EDD68CD79}" name="Select_AddDeduct" displayName="Select_AddDeduct" ref="BR16:BS27" totalsRowShown="0" headerRowDxfId="347" dataDxfId="346" dataCellStyle="Normal_selection_1 2">
  <autoFilter ref="BR16:BS27" xr:uid="{29F3344F-792B-408D-8E8D-D39EDD68CD79}"/>
  <tableColumns count="2">
    <tableColumn id="1" xr3:uid="{94126E1D-15ED-4FDC-95DF-0832E773EB4D}" name="AddDeduct" dataDxfId="345" dataCellStyle="Normal_selection_1 2"/>
    <tableColumn id="2" xr3:uid="{431146F9-0CB4-48FA-B666-9C6BF89A12D5}" name="Comments" dataDxfId="344" dataCellStyle="Normal_selection_1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0DDDE6F-5EA9-4696-84D0-F04895345E93}" name="select_planassessment" displayName="select_planassessment" ref="BL16:BM19" totalsRowShown="0" headerRowDxfId="343" dataDxfId="342">
  <autoFilter ref="BL16:BM19" xr:uid="{B0DDDE6F-5EA9-4696-84D0-F04895345E93}"/>
  <tableColumns count="2">
    <tableColumn id="1" xr3:uid="{F797963E-0BD1-4405-BBA2-774FDA25E6AD}" name="Plan Assessment" dataDxfId="341"/>
    <tableColumn id="2" xr3:uid="{1BCBD3D3-D58E-4605-BFC9-0556A84753F1}" name="Description" dataDxfId="34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DABB446-852C-4FCE-9D1B-E02D5E7CDC87}" name="select_x" displayName="select_x" ref="AC16:AD30" totalsRowShown="0" headerRowDxfId="339" dataDxfId="338">
  <autoFilter ref="AC16:AD30" xr:uid="{4DABB446-852C-4FCE-9D1B-E02D5E7CDC87}"/>
  <tableColumns count="2">
    <tableColumn id="1" xr3:uid="{2F4EFD3C-1910-4791-86F1-63751AF04CCA}" name="select_x" dataDxfId="337"/>
    <tableColumn id="2" xr3:uid="{60ED0A4F-8DE0-4668-9D94-8053B9B3C563}" name="Critical Technology" dataDxfId="33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4613DAD3-4EB8-423D-A30A-35CDD7E99429}" name="Select_RealizationStatus" displayName="Select_RealizationStatus" ref="BX16:BY19" totalsRowShown="0" headerRowDxfId="335" dataDxfId="334">
  <autoFilter ref="BX16:BY19" xr:uid="{4613DAD3-4EB8-423D-A30A-35CDD7E99429}"/>
  <tableColumns count="2">
    <tableColumn id="1" xr3:uid="{2A811C33-55C7-491C-9E5A-2618DD0924B1}" name="Realization Status" dataDxfId="333"/>
    <tableColumn id="2" xr3:uid="{313691E5-ADAE-42AE-8BB5-D8E0BFAD9899}" name="Abbrev" dataDxfId="33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E1053A-E108-4BB4-9EF4-2F6DA44BC6C3}" name="Select_state" displayName="Select_state" ref="S16:T76" totalsRowShown="0" headerRowDxfId="418" dataDxfId="417">
  <autoFilter ref="S16:T76" xr:uid="{F47E9F97-17B2-42BC-B61E-66E83D5605F8}"/>
  <sortState xmlns:xlrd2="http://schemas.microsoft.com/office/spreadsheetml/2017/richdata2" ref="S17:T75">
    <sortCondition ref="S16:S75"/>
  </sortState>
  <tableColumns count="2">
    <tableColumn id="1" xr3:uid="{B756C59E-0F34-49D6-823B-CADD765BA321}" name="StateAbbrev" dataDxfId="416"/>
    <tableColumn id="2" xr3:uid="{05C93A68-D5D5-4973-B248-02E0367A050B}" name="State" dataDxfId="41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98DAC65-5FCF-479D-A9CD-17D4A7FBE119}" name="Select_SecurityType" displayName="Select_SecurityType" ref="BF16:BG33" totalsRowShown="0" headerRowDxfId="331" dataDxfId="330">
  <autoFilter ref="BF16:BG33" xr:uid="{398DAC65-5FCF-479D-A9CD-17D4A7FBE119}"/>
  <tableColumns count="2">
    <tableColumn id="1" xr3:uid="{C849A2C4-83D2-43DB-9455-AF1F54977BB4}" name="Investment Type" dataDxfId="329"/>
    <tableColumn id="2" xr3:uid="{2A4FA6F1-8778-4C78-B23B-1F7B74243CFE}" name="Description" dataDxfId="32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4A9CE16-FF38-4403-A924-EEDD7BA36795}" name="select_Formtype" displayName="select_Formtype" ref="M16:N18" totalsRowShown="0" headerRowDxfId="327" dataDxfId="326">
  <autoFilter ref="M16:N18" xr:uid="{14A9CE16-FF38-4403-A924-EEDD7BA36795}"/>
  <tableColumns count="2">
    <tableColumn id="1" xr3:uid="{55F00DD0-6096-4229-A64C-A1410A7F94B5}" name="FormTypeFull" dataDxfId="325"/>
    <tableColumn id="2" xr3:uid="{4255E0ED-E6E9-4F52-A698-DB15D79FB282}" name="FormType" dataDxfId="32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9" xr:uid="{07271974-EE9A-4948-B026-7A8AA1E812C6}" name="FormTypeLabels" displayName="FormTypeLabels" ref="CB16:CF59" totalsRowShown="0" headerRowDxfId="323" dataDxfId="322">
  <autoFilter ref="CB16:CF59" xr:uid="{07271974-EE9A-4948-B026-7A8AA1E812C6}"/>
  <tableColumns count="5">
    <tableColumn id="1" xr3:uid="{AF426945-EB7E-4421-B926-EB60D578F1BC}" name="Section" dataDxfId="321"/>
    <tableColumn id="4" xr3:uid="{FE2855A5-38D2-41E1-B098-662B2E1CA176}" name="Select" dataDxfId="320">
      <calculatedColumnFormula>TEXT(IF(formtype="P",FormTypeLabels[[#This Row],[P]],FormTypeLabels[[#This Row],[C]]),"")</calculatedColumnFormula>
    </tableColumn>
    <tableColumn id="2" xr3:uid="{B941E626-4B6B-44A5-AC0E-8B6E4345CF1A}" name="P" dataDxfId="319"/>
    <tableColumn id="3" xr3:uid="{58949C49-9C24-4298-AAE0-F3A5D3EB8E10}" name="C" dataDxfId="318"/>
    <tableColumn id="5" xr3:uid="{2A829F9F-A798-42DD-B39C-AF6506C6FF59}" name="Tab" dataDxfId="31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5" xr:uid="{9961CEF4-354F-456D-A420-5D8B6E4F7A50}" name="Key_Data" displayName="Key_Data" ref="C16:H89" totalsRowShown="0" headerRowDxfId="316" dataDxfId="315">
  <autoFilter ref="C16:H89" xr:uid="{9961CEF4-354F-456D-A420-5D8B6E4F7A50}"/>
  <sortState xmlns:xlrd2="http://schemas.microsoft.com/office/spreadsheetml/2017/richdata2" ref="C17:H86">
    <sortCondition ref="F17:F86"/>
    <sortCondition ref="H17:H86"/>
    <sortCondition ref="G17:G86"/>
    <sortCondition ref="C17:C86"/>
  </sortState>
  <tableColumns count="6">
    <tableColumn id="1" xr3:uid="{A73238FC-7AD7-4422-962B-C032EF180965}" name="Named_Field" dataDxfId="314"/>
    <tableColumn id="5" xr3:uid="{78422E8C-CF79-438E-A05A-45ED9BEF24DF}" name="Description" dataDxfId="313"/>
    <tableColumn id="6" xr3:uid="{A6BF4E84-1D96-43D3-80D4-5A8EEE455CC2}" name="KeyValue" dataDxfId="312"/>
    <tableColumn id="4" xr3:uid="{7EDEAA85-630A-4B58-86AC-353C876DD0F2}" name="Tab" dataDxfId="311"/>
    <tableColumn id="3" xr3:uid="{A951110E-1B39-4C18-9D90-5B8DE5CF8ED2}" name="Reference" dataDxfId="310"/>
    <tableColumn id="2" xr3:uid="{CFC3A93F-CC13-46CF-AB89-59FE09949A23}" name="Orderbytab" dataDxfId="30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6" xr:uid="{FD540CE5-F811-4404-85C0-6678BAF342F2}" name="Select_Ethnicity" displayName="Select_Ethnicity" ref="AL16:AM19" totalsRowShown="0" headerRowDxfId="308" dataDxfId="307">
  <autoFilter ref="AL16:AM19" xr:uid="{FD540CE5-F811-4404-85C0-6678BAF342F2}"/>
  <tableColumns count="2">
    <tableColumn id="1" xr3:uid="{3C9E7F24-9C9B-4541-A3BA-021ACFE249F5}" name="Ethnicity" dataDxfId="306"/>
    <tableColumn id="2" xr3:uid="{9CE411CC-A6D1-4BAB-9291-D6C132462D1B}" name="Comments" dataDxfId="30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7" xr:uid="{A828E75F-1F65-48B2-BF2A-02C5756FF6C0}" name="Select_Stage" displayName="Select_Stage" ref="AZ16:BA23" totalsRowShown="0" headerRowDxfId="304" dataDxfId="302" headerRowBorderDxfId="303" tableBorderDxfId="301" totalsRowBorderDxfId="300">
  <autoFilter ref="AZ16:BA23" xr:uid="{A828E75F-1F65-48B2-BF2A-02C5756FF6C0}"/>
  <tableColumns count="2">
    <tableColumn id="1" xr3:uid="{6FCE8929-1E97-4A8E-BE36-597B1FCD537C}" name="Stage" dataDxfId="299"/>
    <tableColumn id="2" xr3:uid="{D4C5E287-D5D9-4DDC-8149-68DEFB93544F}" name="Security Type" dataDxfId="29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674BA17-5D79-4870-BABF-3DF0943FEED3}" name="Table33" displayName="Table33" ref="B3:G31" totalsRowShown="0" headerRowDxfId="297" dataDxfId="296">
  <autoFilter ref="B3:G31" xr:uid="{9674BA17-5D79-4870-BABF-3DF0943FEED3}"/>
  <sortState xmlns:xlrd2="http://schemas.microsoft.com/office/spreadsheetml/2017/richdata2" ref="B4:G31">
    <sortCondition ref="C3:C31"/>
  </sortState>
  <tableColumns count="6">
    <tableColumn id="1" xr3:uid="{78669E1A-1E5E-4284-B644-4D0BDCE0868A}" name="Form Section" dataDxfId="295" dataCellStyle="Followed Hyperlink"/>
    <tableColumn id="2" xr3:uid="{3334DFB8-43B7-4690-A838-89BF0EC04D62}" name="Form / Page Order" dataDxfId="294"/>
    <tableColumn id="3" xr3:uid="{0D390DDB-BFA7-4C74-A85F-D9A5542BD490}" name="Recommended Entry Order" dataDxfId="293"/>
    <tableColumn id="8" xr3:uid="{1461A659-B436-4384-B573-1771C91E9148}" name="Accrual/Reinvestor SBIC ONLY" dataDxfId="292"/>
    <tableColumn id="6" xr3:uid="{10AE86E6-6143-4F77-A9E1-DE3301FF7090}" name="Leveraged Licensees Only" dataDxfId="291"/>
    <tableColumn id="7" xr3:uid="{570D55D2-9271-477B-A819-BBA118494067}" name="Tab Name" dataDxfId="290"/>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5AEBE06-B87E-4BAB-BCAC-E4A0A3C79E70}" name="s1inv" displayName="s1inv" ref="A21:AE60" totalsRowShown="0" headerRowDxfId="249" dataDxfId="247" headerRowBorderDxfId="248" tableBorderDxfId="246" totalsRowBorderDxfId="245">
  <autoFilter ref="A21:AE60" xr:uid="{F5AEBE06-B87E-4BAB-BCAC-E4A0A3C79E70}"/>
  <sortState xmlns:xlrd2="http://schemas.microsoft.com/office/spreadsheetml/2017/richdata2" ref="A22:AE26">
    <sortCondition ref="A21:A60"/>
  </sortState>
  <tableColumns count="31">
    <tableColumn id="1" xr3:uid="{1DDA7452-472E-47C5-AC2B-46DCED6DA010}" name="Portfolio Company Name" dataDxfId="244"/>
    <tableColumn id="2" xr3:uid="{0324D59E-6A26-4154-8B72-4E2FFB20125E}" name="Employer ID" dataDxfId="243">
      <calculatedColumnFormula>IFERROR(VLOOKUP(s1inv[[#This Row],[Portfolio Company Name]],s11cumperf[],2,FALSE),"")</calculatedColumnFormula>
    </tableColumn>
    <tableColumn id="31" xr3:uid="{917BA9E7-02BF-4625-9C9A-24DA270E5EAB}" name="Critical Technology_x000a_(if applicable)" dataDxfId="242" dataCellStyle="Currency"/>
    <tableColumn id="3" xr3:uid="{5821F46F-3818-4593-AB19-EE6A224D5E3F}" name="Financing Type" dataDxfId="241"/>
    <tableColumn id="29" xr3:uid="{264CA29E-EC53-4A25-BE40-E4957BD0BB63}" name="Investment Type" dataDxfId="240" dataCellStyle="Currency"/>
    <tableColumn id="19" xr3:uid="{2698B6DC-A8E2-4D4E-8C31-512E72194325}" name="Financing Description" dataDxfId="239" dataCellStyle="Currency"/>
    <tableColumn id="5" xr3:uid="{36858F88-9A3C-46C2-B844-7D9784CDBF02}" name="Financing Date" dataDxfId="238" dataCellStyle="Currency"/>
    <tableColumn id="20" xr3:uid="{5EE3F294-BBC6-409B-9624-FD229FF6B470}" name="Equity Capital Investment" dataDxfId="237"/>
    <tableColumn id="22" xr3:uid="{8B048D9C-F8BE-4A38-9413-A34C6AFBAB6B}" name="Interest or Dividend Rate" dataDxfId="236" dataCellStyle="Percent"/>
    <tableColumn id="4" xr3:uid="{CECC0F99-7C60-454F-84BE-A430F4526119}" name="Ownership % (Fully Diluted)" dataDxfId="235"/>
    <tableColumn id="28" xr3:uid="{79262455-8C86-4554-B603-B2680240A813}" name="Restructured?" dataDxfId="234" dataCellStyle="Currency"/>
    <tableColumn id="23" xr3:uid="{14ADCFFE-46D7-4733-95E7-B9CFDC60D788}" name="Loan/ Debt Status" dataDxfId="233" dataCellStyle="Currency"/>
    <tableColumn id="6" xr3:uid="{788776D1-4751-43AB-8895-2DA4338D7C30}" name="Total Cash Invested (A)" dataDxfId="232">
      <calculatedColumnFormula>2007726+1231331</calculatedColumnFormula>
    </tableColumn>
    <tableColumn id="26" xr3:uid="{5E1ED0F4-DA6F-4288-9D93-6BAA21AE2A91}" name="Cost at Beginning Period" dataDxfId="231" dataCellStyle="Currency"/>
    <tableColumn id="27" xr3:uid="{1B711DB6-D5CC-41BB-983D-DB5E96B7B450}" name="Schedule 1c Reference Number" dataDxfId="230" dataCellStyle="Currency"/>
    <tableColumn id="25" xr3:uid="{C0C4F010-8C59-4266-8F70-29C7F7FC23EC}" name="Addition/_x000a_Deduction" dataDxfId="229" dataCellStyle="Currency"/>
    <tableColumn id="24" xr3:uid="{E9566411-0796-43BB-A988-BF01E4795A76}" name="Non-Cash Gain included in Cost at End of Period" dataDxfId="228" dataCellStyle="Currency"/>
    <tableColumn id="7" xr3:uid="{94A9FE75-3088-44FB-8605-D2FEB8AF813E}" name="Cost at End of Period" dataDxfId="227">
      <calculatedColumnFormula>s1inv[[#This Row],[Cost at Beginning Period]]+s1inv[[#This Row],[Addition/
Deduction]]</calculatedColumnFormula>
    </tableColumn>
    <tableColumn id="8" xr3:uid="{99425D80-B9ED-43F1-9E99-C795E5CBE9E9}" name="Unrealized Appreciation" dataDxfId="226"/>
    <tableColumn id="9" xr3:uid="{DD26C873-7E14-4520-B93B-B1525E361291}" name="(Unrealized Depreciation)" dataDxfId="225"/>
    <tableColumn id="10" xr3:uid="{9DF23EC6-D3B4-4DF5-A3A6-916A9EFB9544}" name="Class 1" dataDxfId="224"/>
    <tableColumn id="11" xr3:uid="{8B977E9A-0221-4947-8086-CE2F58C7FB01}" name="Class 2" dataDxfId="223"/>
    <tableColumn id="21" xr3:uid="{E45C6254-76A6-448F-8839-3C7A29A0E528}" name="Class 2 Date of Up Round" dataDxfId="222"/>
    <tableColumn id="12" xr3:uid="{131362C1-3825-46FD-B987-AF3BEBC7D11C}" name="SBA Reported Value (B)" dataDxfId="221">
      <calculatedColumnFormula>s1inv[[#This Row],[Cost at End of Period]]+s1inv[[#This Row],[Unrealized Appreciation]]-ABS(s1inv[[#This Row],[(Unrealized Depreciation)]])</calculatedColumnFormula>
    </tableColumn>
    <tableColumn id="13" xr3:uid="{DDC1F74F-5034-430D-8A03-DAA2C9F7D3AC}" name="GAAP Reported Value (C)" dataDxfId="220" dataCellStyle="Currency"/>
    <tableColumn id="14" xr3:uid="{470F8DA1-3203-40FB-B15D-7C97B6ACAC40}" name="Cum. Cash Proceeds (D)" dataDxfId="219" dataCellStyle="Currency"/>
    <tableColumn id="15" xr3:uid="{26958A0F-C0D8-48A2-980B-EDA65B933C09}" name="Current SBA Mult" dataDxfId="218" dataCellStyle="Comma">
      <calculatedColumnFormula>IFERROR((s1inv[[#This Row],[SBA Reported Value (B)]]+s1inv[[#This Row],[Cum. Cash Proceeds (D)]])/s1inv[[#This Row],[Total Cash Invested (A)]],"")</calculatedColumnFormula>
    </tableColumn>
    <tableColumn id="16" xr3:uid="{B9A8B123-0ED7-480F-B73A-5B6489360C5B}" name="Prior SBA Mult" dataDxfId="217"/>
    <tableColumn id="17" xr3:uid="{A94E3E86-1A09-4D42-9723-E03DDF1421DC}" name="Current GAAP Mult" dataDxfId="216" dataCellStyle="Comma">
      <calculatedColumnFormula>IFERROR((s1inv[[#This Row],[GAAP Reported Value (C)]]+s1inv[[#This Row],[Cum. Cash Proceeds (D)]])/s1inv[[#This Row],[Total Cash Invested (A)]],"")</calculatedColumnFormula>
    </tableColumn>
    <tableColumn id="18" xr3:uid="{33774B1E-B795-4D4E-838F-EB682862FC2D}" name="Prior GAAP Mult" dataDxfId="215" dataCellStyle="Currency"/>
    <tableColumn id="30" xr3:uid="{2858DF2C-701B-4310-A0E5-B6C3FD655750}" name="First Investment Date" dataDxfId="214">
      <calculatedColumnFormula>IF(IFERROR(VLOOKUP(s1inv[[#This Row],[Portfolio Company Name]],s11cumperf[],4,FALSE),"")="","",(IFERROR(VLOOKUP(s1inv[[#This Row],[Portfolio Company Name]],s11cumperf[],4,FALSE),"")))</calculatedColumn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B2F82A8-4813-4919-9EA7-782D627DE223}" name="sched1c" displayName="sched1c" ref="A9:I67" totalsRowShown="0" headerRowDxfId="213" dataDxfId="211" headerRowBorderDxfId="212" tableBorderDxfId="210">
  <autoFilter ref="A9:I67" xr:uid="{CB9C4932-B9FE-4E60-BBB0-4F015E4A74D8}"/>
  <sortState xmlns:xlrd2="http://schemas.microsoft.com/office/spreadsheetml/2017/richdata2" ref="A10:I15">
    <sortCondition ref="A9:A67"/>
  </sortState>
  <tableColumns count="9">
    <tableColumn id="1" xr3:uid="{1572117B-4DF6-45FB-B299-6202CB915594}" name="Portfolio Company Name" dataDxfId="209"/>
    <tableColumn id="9" xr3:uid="{5C320CAC-DB00-4558-A847-9905F67D9438}" name="Employer ID" dataDxfId="208" dataCellStyle="Currency">
      <calculatedColumnFormula>IF(IFERROR(VLOOKUP(sched1c[[#This Row],[Portfolio Company Name]],s11cumperf[],2,FALSE),"")="","",(IFERROR(VLOOKUP(sched1c[[#This Row],[Portfolio Company Name]],s11cumperf[],2,FALSE),"")))</calculatedColumnFormula>
    </tableColumn>
    <tableColumn id="2" xr3:uid="{0EAC7481-F3D9-4E40-A480-FF7CC3F202E6}" name="Reference Number" dataDxfId="207" dataCellStyle="Currency"/>
    <tableColumn id="10" xr3:uid="{2B6808ED-5D4D-45A1-898F-923670E20D95}" name="Reference ID" dataDxfId="206" dataCellStyle="Currency">
      <calculatedColumnFormula>sched1c[[#This Row],[Employer ID]]&amp;"-"&amp;sched1c[[#This Row],[Reference Number]]</calculatedColumnFormula>
    </tableColumn>
    <tableColumn id="11" xr3:uid="{BB4ABC51-9C82-4E42-B34B-9CC22B087C4E}" name="Transaction Date" dataDxfId="205" dataCellStyle="Currency"/>
    <tableColumn id="3" xr3:uid="{ADCF52D8-78BE-4B54-89DE-DADF62CDACC4}" name="Description of Addition / Deduction to Loan and Investment Cost" dataDxfId="204"/>
    <tableColumn id="4" xr3:uid="{54D2FACA-E5DA-47CD-9FF7-14DF9562BEFC}" name="Addition/ Deduction Amount" dataDxfId="203"/>
    <tableColumn id="5" xr3:uid="{D1CC1E2C-E9ED-4044-BAE7-70A9DC9AE83E}" name="Change to Cost" dataDxfId="202" dataCellStyle="Currency">
      <calculatedColumnFormula>IF(LEFT(sched1c[[#This Row],[Description of Addition / Deduction to Loan and Investment Cost]],1)="D",-ABS(sched1c[[#This Row],[Addition/ Deduction Amount]]),ABS(sched1c[[#This Row],[Addition/ Deduction Amount]]))</calculatedColumnFormula>
    </tableColumn>
    <tableColumn id="8" xr3:uid="{7209B71D-8C08-4273-9680-015C88E1DAF5}" name="Notes" dataDxfId="201"/>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3DF95DC-6D43-4A01-9319-3B472A78ECC3}" name="realgain" displayName="realgain" ref="A10:N36" totalsRowShown="0" headerRowDxfId="200" dataDxfId="199" tableBorderDxfId="198">
  <autoFilter ref="A10:N36" xr:uid="{43DF95DC-6D43-4A01-9319-3B472A78ECC3}"/>
  <sortState xmlns:xlrd2="http://schemas.microsoft.com/office/spreadsheetml/2017/richdata2" ref="A11:M35">
    <sortCondition ref="A10:A35"/>
  </sortState>
  <tableColumns count="14">
    <tableColumn id="1" xr3:uid="{737ECD81-FCA2-40EC-8C1B-81401064CF56}" name="Portfolio Company Name" dataDxfId="197" dataCellStyle="Currency"/>
    <tableColumn id="14" xr3:uid="{B96E37A4-2477-49F2-A222-65C85DDC359B}" name="Employer ID" dataDxfId="196">
      <calculatedColumnFormula>IF(IFERROR(VLOOKUP(realgain[[#This Row],[Portfolio Company Name]],s11cumperf[],2,FALSE),"")="","",(IFERROR(VLOOKUP(realgain[[#This Row],[Portfolio Company Name]],s11cumperf[],2,FALSE),"")))</calculatedColumnFormula>
    </tableColumn>
    <tableColumn id="3" xr3:uid="{A9DD2FB5-CA10-4050-8B9A-6FCF2868F3E6}" name="Financing Type" dataDxfId="195"/>
    <tableColumn id="4" xr3:uid="{2DC748EE-4669-446E-A86D-01F124FD12B8}" name="Transaction Date" dataDxfId="194"/>
    <tableColumn id="5" xr3:uid="{F8D2D4BB-E57D-4149-BE0A-2BE761D9E876}" name="Transaction Type2" dataDxfId="193"/>
    <tableColumn id="6" xr3:uid="{907322DF-D3AF-4684-9C6A-DC7D8B6DE4E7}" name="Cost" dataDxfId="192"/>
    <tableColumn id="7" xr3:uid="{217A307B-6B3B-4A2C-A2A8-028BB0CC8456}" name="Net Sales Price" dataDxfId="191"/>
    <tableColumn id="8" xr3:uid="{3E5A3AFC-371B-492E-867A-BA68DE4B1345}" name="Realized Gain/(Loss)" dataDxfId="190" dataCellStyle="Currency">
      <calculatedColumnFormula>IFERROR(IF(realgain[[#This Row],[Transaction Type2]]="Principal Repayment", 0,realgain[[#This Row],[Net Sales Price]]-realgain[[#This Row],[Cost]]),"")</calculatedColumnFormula>
    </tableColumn>
    <tableColumn id="9" xr3:uid="{6C4503F2-451F-4341-BF04-B36DDFA6488A}" name="Cash" dataDxfId="189" dataCellStyle="Currency"/>
    <tableColumn id="10" xr3:uid="{043B8AED-00EE-46DA-9802-09C5F432A9CD}" name="Note" dataDxfId="188" dataCellStyle="Currency"/>
    <tableColumn id="11" xr3:uid="{ECB04AE3-76EE-4140-8ADC-45BBE8ED82D5}" name="Equity" dataDxfId="187" dataCellStyle="Currency">
      <calculatedColumnFormula>realgain[[#This Row],[Net Sales Price]]-realgain[[#This Row],[Cash]]-realgain[[#This Row],[Note]]</calculatedColumnFormula>
    </tableColumn>
    <tableColumn id="13" xr3:uid="{80B1EFA6-F27A-4B4C-A37B-14F4ADCCC01B}" name="Name" dataDxfId="186"/>
    <tableColumn id="12" xr3:uid="{C1DB28E1-89AF-49DD-995F-47243AD99843}" name="Address" dataDxfId="185"/>
    <tableColumn id="2" xr3:uid="{129D8023-CD15-400E-A386-E5D5E118BA85}" name="Comments" dataDxfId="18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667EB1-5001-499A-973E-3ECBF700D83F}" name="Select_Strategy" displayName="Select_Strategy" ref="V16:X36" totalsRowShown="0" headerRowDxfId="414" dataDxfId="412" headerRowBorderDxfId="413" tableBorderDxfId="411">
  <autoFilter ref="V16:X36" xr:uid="{1EFA1953-6F48-4AC0-8F11-E98D1B7DDE01}"/>
  <sortState xmlns:xlrd2="http://schemas.microsoft.com/office/spreadsheetml/2017/richdata2" ref="V17:W26">
    <sortCondition ref="V16:V26"/>
  </sortState>
  <tableColumns count="3">
    <tableColumn id="3" xr3:uid="{E5E3AE8D-32F7-4D98-B4FE-610180AB2883}" name="Strategy" dataDxfId="410"/>
    <tableColumn id="2" xr3:uid="{1CC41471-68E8-4ECE-9076-EC19B1271239}" name="Style" dataDxfId="409"/>
    <tableColumn id="1" xr3:uid="{89786865-A033-46A5-A5BE-5BCEDC973488}" name="   " dataDxfId="40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B9C4932-B9FE-4E60-BBB0-4F015E4A74D8}" name="noncash" displayName="noncash" ref="A10:H50" totalsRowShown="0" headerRowDxfId="183" dataDxfId="181" headerRowBorderDxfId="182" tableBorderDxfId="180" dataCellStyle="Currency">
  <autoFilter ref="A10:H50" xr:uid="{CB9C4932-B9FE-4E60-BBB0-4F015E4A74D8}"/>
  <sortState xmlns:xlrd2="http://schemas.microsoft.com/office/spreadsheetml/2017/richdata2" ref="A11:H13">
    <sortCondition ref="A10:A50"/>
  </sortState>
  <tableColumns count="8">
    <tableColumn id="1" xr3:uid="{415BF8D2-3DFD-4405-9D1B-EBDC515D8F91}" name="Portfolio Company Name" dataDxfId="179" dataCellStyle="Currency"/>
    <tableColumn id="9" xr3:uid="{521F42A5-7F9E-44B8-8E87-6115A510C668}" name="Employer ID" dataDxfId="178" dataCellStyle="Currency">
      <calculatedColumnFormula>IF(IFERROR(VLOOKUP(noncash[[#This Row],[Portfolio Company Name]],s11cumperf[],2,FALSE),"")="","",(IFERROR(VLOOKUP(noncash[[#This Row],[Portfolio Company Name]],s11cumperf[],2,FALSE),"")))</calculatedColumnFormula>
    </tableColumn>
    <tableColumn id="3" xr3:uid="{29C1885B-1FAB-4608-859B-88DD1505DD88}" name="Description of Non-cash Gains/Income (1)" dataDxfId="177" dataCellStyle="Currency"/>
    <tableColumn id="4" xr3:uid="{2AF8C55F-6165-4D75-A191-F98FBC107131}" name="Balance at Beginning of Period" dataDxfId="176" dataCellStyle="Currency"/>
    <tableColumn id="5" xr3:uid="{3FC267B0-F615-429E-B06D-231AB0EC496C}" name="Additions" dataDxfId="175" dataCellStyle="Currency"/>
    <tableColumn id="6" xr3:uid="{30714058-A9B5-4497-97EC-B2EDEB737972}" name="Deductions / Collections" dataDxfId="174" dataCellStyle="Currency"/>
    <tableColumn id="7" xr3:uid="{3D0E636F-E690-441A-849D-03D86E9F7EBB}" name="Balance at End of Period" dataDxfId="173" dataCellStyle="Currency">
      <calculatedColumnFormula>noncash[[#This Row],[Balance at Beginning of Period]]+noncash[[#This Row],[Additions]]-ABS(noncash[[#This Row],[Deductions / Collections]])</calculatedColumnFormula>
    </tableColumn>
    <tableColumn id="8" xr3:uid="{76EF3E29-BCBE-43A5-A3D0-968B50E44739}" name="Amount of &quot;includible non-cash gains&quot; for Capital Impairment" dataDxfId="172" dataCellStyle="Currency"/>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941EE23-4B89-49B0-BA2F-9CD1F252F7BF}" name="s4del" displayName="s4del" ref="A10:L38" totalsRowShown="0" headerRowDxfId="171" dataDxfId="170" tableBorderDxfId="169">
  <autoFilter ref="A10:L38" xr:uid="{1941EE23-4B89-49B0-BA2F-9CD1F252F7BF}"/>
  <tableColumns count="12">
    <tableColumn id="1" xr3:uid="{EED663B8-F190-4BCE-B726-1EEC098110F2}" name="Portfolio Company Name" dataDxfId="168" dataCellStyle="Currency"/>
    <tableColumn id="2" xr3:uid="{76C1BE5A-9CCD-4D60-AD3A-21EFEF800D1C}" name="Employer ID" dataDxfId="167" dataCellStyle="Currency">
      <calculatedColumnFormula>IF(IFERROR(VLOOKUP(s4del[[#This Row],[Portfolio Company Name]],s11cumperf[],2,FALSE),"")="","",(IFERROR(VLOOKUP(s4del[[#This Row],[Portfolio Company Name]],s11cumperf[],2,FALSE),"")))</calculatedColumnFormula>
    </tableColumn>
    <tableColumn id="3" xr3:uid="{8D404E1D-3A66-4394-94A5-621DF77B734A}" name="Outstanding Principal Balance" dataDxfId="166"/>
    <tableColumn id="4" xr3:uid="{85F48B3A-27FD-4361-A0E5-447ED8C830E8}" name="Amount Past Due" dataDxfId="165" dataCellStyle="Currency"/>
    <tableColumn id="5" xr3:uid="{6E4188AA-9766-42AE-AAC3-70A16491AEC0}" name="Days Past Due (1)" dataDxfId="164"/>
    <tableColumn id="6" xr3:uid="{C3D85620-E210-4F46-8394-9FBFBF46FA4A}" name=" Amount Past Due" dataDxfId="163" dataCellStyle="Currency"/>
    <tableColumn id="7" xr3:uid="{634DB99A-87DC-4E35-A6C3-95977993CA57}" name="Days Past Due (1) " dataDxfId="162"/>
    <tableColumn id="8" xr3:uid="{389D5FFA-4672-43C3-9931-3E94785420B9}" name="Principal" dataDxfId="161" dataCellStyle="Currency"/>
    <tableColumn id="9" xr3:uid="{86E92F27-FCC3-4A20-831D-248C9F599687}" name="Interest" dataDxfId="160" dataCellStyle="Currency"/>
    <tableColumn id="10" xr3:uid="{6414F9BF-6290-438E-864F-8A11274C8BEF}" name="Principal " dataDxfId="159" dataCellStyle="Currency"/>
    <tableColumn id="11" xr3:uid="{BF3F16F8-0B16-4E69-BF8E-6503320FB02D}" name="Interest " dataDxfId="158" dataCellStyle="Currency"/>
    <tableColumn id="12" xr3:uid="{54EF3924-A9EC-4879-AA59-2B4EE73D0044}" name="Fair Market Value of Collateral" dataDxfId="157" dataCellStyle="Currency"/>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29834E0-75F5-4373-936A-B29EECB9106F}" name="s5pccommit" displayName="s5pccommit" ref="A9:H30" totalsRowShown="0" headerRowDxfId="156" dataDxfId="154" headerRowBorderDxfId="155" tableBorderDxfId="153" totalsRowBorderDxfId="152">
  <autoFilter ref="A9:H30" xr:uid="{229834E0-75F5-4373-936A-B29EECB9106F}"/>
  <tableColumns count="8">
    <tableColumn id="1" xr3:uid="{91DDECE1-7428-4208-B7FA-9A5C0ABAA4A1}" name="Portfolio Company Name" dataDxfId="151"/>
    <tableColumn id="8" xr3:uid="{D9FA8472-8388-4017-8B78-167A0D60FB54}" name="Employer ID" dataDxfId="150">
      <calculatedColumnFormula>IFERROR(VLOOKUP(s5pccommit[[#This Row],[Portfolio Company Name]],s11cumperf[],2,FALSE),"")</calculatedColumnFormula>
    </tableColumn>
    <tableColumn id="3" xr3:uid="{3A47BB18-85F0-4D7F-99DF-9F74D4D91BFC}" name="Amount of Commitment" dataDxfId="149" dataCellStyle="Currency"/>
    <tableColumn id="4" xr3:uid="{41703CBB-7031-4EAB-A478-6246820D70FF}" name="Date Made" dataDxfId="148"/>
    <tableColumn id="5" xr3:uid="{9FD049CF-ECE5-4EBF-B92C-C44FA4AC25D0}" name="Expiration Date" dataDxfId="147"/>
    <tableColumn id="6" xr3:uid="{10908F84-5D22-4F20-A9F9-320EB4E7EE0F}" name="Security Type" dataDxfId="146"/>
    <tableColumn id="2" xr3:uid="{39E578F8-5B2C-45A8-88B3-29E4864631FD}" name="Investment Type" dataDxfId="145" dataCellStyle="Currency"/>
    <tableColumn id="7" xr3:uid="{BE57DAC9-2F8C-4487-BA57-E3AB3DCDED10}" name="Commitment Type" dataDxfId="144"/>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D952843-35C7-4D7D-A5E9-45E5D7017F29}" name="s6guar" displayName="s6guar" ref="A9:H25" totalsRowShown="0" headerRowDxfId="143" dataDxfId="141" headerRowBorderDxfId="142" tableBorderDxfId="140">
  <autoFilter ref="A9:H25" xr:uid="{6D952843-35C7-4D7D-A5E9-45E5D7017F29}"/>
  <tableColumns count="8">
    <tableColumn id="1" xr3:uid="{64A1FD10-7256-4204-9823-6806E8752718}" name="Portfolio Company Name" dataDxfId="139"/>
    <tableColumn id="3" xr3:uid="{31F54490-7C38-4C13-AE4C-ACF1E2474D2A}" name="Employer ID" dataDxfId="138">
      <calculatedColumnFormula>IFERROR(VLOOKUP(s6guar[[#This Row],[Portfolio Company Name]],s11cumperf[],2,FALSE),"")</calculatedColumnFormula>
    </tableColumn>
    <tableColumn id="4" xr3:uid="{90D19E7F-51EB-4A53-88B8-DB2823354149}" name="Guarantee Amount" dataDxfId="137" dataCellStyle="Currency"/>
    <tableColumn id="5" xr3:uid="{B036490C-F0D1-430F-AFA8-FD96F890AABB}" name="Date Made" dataDxfId="136"/>
    <tableColumn id="6" xr3:uid="{C503A30A-C619-4BB3-85E0-073A639E1148}" name="Expiration Date" dataDxfId="135"/>
    <tableColumn id="7" xr3:uid="{E3ECE899-F576-4727-9C8F-4EE2BC19257E}" name="Name of Guaranteed Party" dataDxfId="134"/>
    <tableColumn id="8" xr3:uid="{5ED74599-C482-4998-B7D2-C1A78B68C6A6}" name="Is guarantee collateralized? " dataDxfId="133"/>
    <tableColumn id="10" xr3:uid="{8BDE9C1C-2460-49EB-B08D-777A9926FAAB}" name="Description of underlying obligation of Small Business" dataDxfId="13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3767E2D-DCEB-4877-AFBE-C34C42C1F516}" name="s11cumperf" displayName="s11cumperf" ref="A17:AD100" totalsRowShown="0" headerRowDxfId="131" dataDxfId="130">
  <autoFilter ref="A17:AD100" xr:uid="{23767E2D-DCEB-4877-AFBE-C34C42C1F516}"/>
  <sortState xmlns:xlrd2="http://schemas.microsoft.com/office/spreadsheetml/2017/richdata2" ref="A19:AD23">
    <sortCondition ref="A17:A100"/>
  </sortState>
  <tableColumns count="30">
    <tableColumn id="1" xr3:uid="{3F18FC5B-C7AB-4B9F-92DC-E8808845638D}" name="Portfolio Company Name" dataDxfId="129"/>
    <tableColumn id="2" xr3:uid="{05F23F87-CB73-4B42-BE52-699C3DF16FDA}" name="Employer ID" dataDxfId="128">
      <calculatedColumnFormula>IFERROR(VLOOKUP(s11cumperf[[#This Row],[Portfolio Company Name]],s1inv[],2,FALSE),"")</calculatedColumnFormula>
    </tableColumn>
    <tableColumn id="23" xr3:uid="{09F08DBF-73E4-4ECB-8A3C-B18FE5A9B94D}" name="Realization Status" dataDxfId="127" dataCellStyle="Currency"/>
    <tableColumn id="3" xr3:uid="{5151B6E5-EF69-4331-B3C4-FA480028E659}" name="Date of 1st Investment" dataDxfId="126"/>
    <tableColumn id="24" xr3:uid="{6D7E7849-61D9-49B9-BCBE-8F37A4B0FBF8}" name="Number of Investments Since Inception" dataDxfId="125"/>
    <tableColumn id="4" xr3:uid="{110D7281-77E0-45A7-83EE-38C566F04FB2}" name="Total Dollars Invested" dataDxfId="124"/>
    <tableColumn id="5" xr3:uid="{A5430AD8-5C99-411B-B2AB-00731B21BC37}" name="Gross Receipts Cash" dataDxfId="123"/>
    <tableColumn id="6" xr3:uid="{449F3024-699F-4F7C-B2B6-F06ABD7A3025}" name="Gross Receipts Equity" dataDxfId="122"/>
    <tableColumn id="7" xr3:uid="{6D22CD81-A099-498B-B997-B579FE35811A}" name="Total Receipts" dataDxfId="121">
      <calculatedColumnFormula>s11cumperf[[#This Row],[Gross Receipts Cash]]+s11cumperf[[#This Row],[Gross Receipts Equity]]</calculatedColumnFormula>
    </tableColumn>
    <tableColumn id="8" xr3:uid="{F329E13D-829E-44C3-B7AE-8695730C6F06}" name="SBA Reported Value" dataDxfId="120">
      <calculatedColumnFormula>SUMIF(s1inv[Employer ID],s11cumperf[[#This Row],[Employer ID]],s1inv[SBA Reported Value (B)])</calculatedColumnFormula>
    </tableColumn>
    <tableColumn id="9" xr3:uid="{B3A34AD9-8EDF-4951-99FC-85C67AF0DB10}" name="GAAP Reported Value" dataDxfId="119">
      <calculatedColumnFormula>SUMIF(s1inv[Employer ID],s11cumperf[[#This Row],[Employer ID]],s1inv[GAAP Reported Value (C)])</calculatedColumnFormula>
    </tableColumn>
    <tableColumn id="10" xr3:uid="{E8F73B61-115F-4C9C-A1B7-9114CC361763}" name="Cash Mult. See Note 1" dataDxfId="118">
      <calculatedColumnFormula>IFERROR(s11cumperf[[#This Row],[Total Receipts]]/s11cumperf[[#This Row],[Total Dollars Invested]],"")</calculatedColumnFormula>
    </tableColumn>
    <tableColumn id="11" xr3:uid="{E25BDD55-661F-4D89-BCAA-D4C018FF3D08}" name="Mult. See Note 2" dataDxfId="117">
      <calculatedColumnFormula>IFERROR((s11cumperf[[#This Row],[Total Receipts]]+s11cumperf[[#This Row],[SBA Reported Value]])/s11cumperf[[#This Row],[Total Dollars Invested]],"")</calculatedColumnFormula>
    </tableColumn>
    <tableColumn id="27" xr3:uid="{81853F33-8F2B-4225-856F-F6BBB44641DB}" name="Full-time Employees #" dataDxfId="116" dataCellStyle="Currency"/>
    <tableColumn id="29" xr3:uid="{3F8B54F2-BCC3-4753-A096-F88A59DD2D84}" name="Part-time Employees #" dataDxfId="115" dataCellStyle="Currency"/>
    <tableColumn id="28" xr3:uid="{A269ED46-4316-4315-86B2-462F1C18828B}" name="Total # of Employees" dataDxfId="114" dataCellStyle="Currency"/>
    <tableColumn id="26" xr3:uid="{F19B641F-41E4-4468-B333-7EF1E68CA2D2}" name="Net Employee Count Increase/Decrease in last 12 months" dataDxfId="113" dataCellStyle="Currency"/>
    <tableColumn id="32" xr3:uid="{92B29EEF-5E2F-4C0C-8D11-6F706E77E573}" name="# of Employees with Company Equity Ownership" dataDxfId="112" dataCellStyle="Currency"/>
    <tableColumn id="31" xr3:uid="{935CA18E-7446-4E5C-8741-42A7875E556C}" name="Average Employee Tenure (years)" dataDxfId="111" dataCellStyle="Currency"/>
    <tableColumn id="30" xr3:uid="{8E9B65DF-1AF7-49EC-93C5-FEECE1E94E42}" name="Median Salary " dataDxfId="110" dataCellStyle="Currency"/>
    <tableColumn id="12" xr3:uid="{20B088C9-BC87-4AE1-92AB-F729FD015392}" name="Founder or Owner Veteran" dataDxfId="109"/>
    <tableColumn id="13" xr3:uid="{1D4553B9-2349-4EBC-BB3C-BC887A4B3F9C}" name=" Founder or Owner Gender" dataDxfId="108"/>
    <tableColumn id="14" xr3:uid="{57E1BF7B-C8EC-482D-B6B3-0F65F2BA4793}" name="Founder or Owner Race" dataDxfId="107"/>
    <tableColumn id="20" xr3:uid="{1CB76038-7397-433F-92AB-792E4B20BB19}" name="Founder or Owner Ethnicity" dataDxfId="106"/>
    <tableColumn id="19" xr3:uid="{76834BEE-45F0-4EB5-A20F-32A82B54638E}" name="Founder - Person with Disabilities" dataDxfId="105"/>
    <tableColumn id="15" xr3:uid="{3B9426CC-9F3B-471D-8B88-0407C3EC78D5}" name="CEO or Equivalent Veteran" dataDxfId="104"/>
    <tableColumn id="16" xr3:uid="{D6BDB45F-7605-40E3-9177-4F293DA306B6}" name="CEO or Equivalent Gender" dataDxfId="103"/>
    <tableColumn id="18" xr3:uid="{B86EAA60-FEDE-4E1F-A65C-AC916DE8D106}" name="CEO or Equivalent Race" dataDxfId="102"/>
    <tableColumn id="21" xr3:uid="{E10FFC87-7D67-4D6B-9A1D-EE7EAFD653A8}" name="CEO or Equivalent Ethnicity" dataDxfId="101"/>
    <tableColumn id="17" xr3:uid="{7906B3DC-88A5-4121-99F6-8B1436FC9763}" name="CEO or Equivalent Person - with Disabilities" dataDxfId="100"/>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1FAB137-8B0B-4C0D-9727-D399B95EB1BC}" name="byind" displayName="byind" ref="A64:C69" totalsRowShown="0" headerRowDxfId="99" dataDxfId="98">
  <autoFilter ref="A64:C69" xr:uid="{E1FAB137-8B0B-4C0D-9727-D399B95EB1BC}">
    <filterColumn colId="0" hiddenButton="1"/>
    <filterColumn colId="1" hiddenButton="1"/>
    <filterColumn colId="2" hiddenButton="1"/>
  </autoFilter>
  <sortState xmlns:xlrd2="http://schemas.microsoft.com/office/spreadsheetml/2017/richdata2" ref="A65:C69">
    <sortCondition descending="1" ref="B64:B69"/>
  </sortState>
  <tableColumns count="3">
    <tableColumn id="1" xr3:uid="{40ADB734-B2B4-4396-A252-10B26B08805B}" name="Industry" dataDxfId="97"/>
    <tableColumn id="2" xr3:uid="{53A76B7C-9F09-4520-AE78-AFEAC6E76E13}" name="Invested $" dataDxfId="96"/>
    <tableColumn id="3" xr3:uid="{4AE3C0D7-BA78-45EE-A76D-BA9D8AF12226}" name="%" dataDxfId="95">
      <calculatedColumnFormula>IFERROR(byind[[#This Row],[Invested $]]/InvestAmt,"")</calculatedColumnFormula>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FF0E6A4-16FF-4CE7-8DEB-F6AA7A774116}" name="Table11" displayName="Table11" ref="I64:K69" totalsRowShown="0" headerRowDxfId="94" dataDxfId="93">
  <autoFilter ref="I64:K69" xr:uid="{0FF0E6A4-16FF-4CE7-8DEB-F6AA7A774116}">
    <filterColumn colId="0" hiddenButton="1"/>
    <filterColumn colId="1" hiddenButton="1"/>
    <filterColumn colId="2" hiddenButton="1"/>
  </autoFilter>
  <sortState xmlns:xlrd2="http://schemas.microsoft.com/office/spreadsheetml/2017/richdata2" ref="I65:K69">
    <sortCondition descending="1" ref="J65:J69"/>
  </sortState>
  <tableColumns count="3">
    <tableColumn id="1" xr3:uid="{3FE8C19B-8C06-4653-8628-B0F09275CE6B}" name="Stage" dataDxfId="92"/>
    <tableColumn id="2" xr3:uid="{F9FD93AC-C43A-462D-8FBD-E6E47B233AE9}" name="Invested $" dataDxfId="91"/>
    <tableColumn id="3" xr3:uid="{6A5D88CF-1FC4-4913-BB7A-9278AE4A19C8}" name="%" dataDxfId="90">
      <calculatedColumnFormula>IFERROR(Table11[[#This Row],[Invested $]]/InvestAmt,"")</calculatedColumnFormula>
    </tableColumn>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B1AF278-1D7B-4DED-AC24-6B0E1F2C683C}" name="Table1113" displayName="Table1113" ref="E64:G69" totalsRowShown="0" headerRowDxfId="89" dataDxfId="88">
  <autoFilter ref="E64:G69" xr:uid="{6B1AF278-1D7B-4DED-AC24-6B0E1F2C683C}">
    <filterColumn colId="0" hiddenButton="1"/>
    <filterColumn colId="1" hiddenButton="1"/>
    <filterColumn colId="2" hiddenButton="1"/>
  </autoFilter>
  <sortState xmlns:xlrd2="http://schemas.microsoft.com/office/spreadsheetml/2017/richdata2" ref="E65:G69">
    <sortCondition descending="1" ref="F64:F69"/>
  </sortState>
  <tableColumns count="3">
    <tableColumn id="1" xr3:uid="{506C1D39-A973-43F4-B99D-24E9E23ECC72}" name="State" dataDxfId="87"/>
    <tableColumn id="2" xr3:uid="{CD976C4F-08B3-40F0-8D3B-1763B5259C23}" name="Invested $" dataDxfId="86"/>
    <tableColumn id="3" xr3:uid="{7E8F03E3-D643-4C4D-970E-456C8E5C8399}" name="%" dataDxfId="85">
      <calculatedColumnFormula>IFERROR(Table1113[[#This Row],[Invested $]]/InvestAmt,"")</calculatedColumnFormula>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40CF9D-60DE-48AB-B62F-778C300CAE7A}" name="byind11" displayName="byind11" ref="A75:C80" totalsRowShown="0" headerRowDxfId="84" dataDxfId="83">
  <autoFilter ref="A75:C80" xr:uid="{4D40CF9D-60DE-48AB-B62F-778C300CAE7A}"/>
  <sortState xmlns:xlrd2="http://schemas.microsoft.com/office/spreadsheetml/2017/richdata2" ref="A76:C80">
    <sortCondition descending="1" ref="B64:B69"/>
  </sortState>
  <tableColumns count="3">
    <tableColumn id="1" xr3:uid="{9E9DB86B-D592-4DA1-8BA6-5D8E2B453231}" name="Asset Type" dataDxfId="82"/>
    <tableColumn id="2" xr3:uid="{6C861C99-AC77-40D3-97D6-E55179D0241F}" name="Invested $" dataDxfId="81"/>
    <tableColumn id="3" xr3:uid="{905A1B51-31C5-41BA-AB54-0D07E48E79DF}" name="%" dataDxfId="80">
      <calculatedColumnFormula>IFERROR(byind11[[#This Row],[Invested $]]/InvestAmt,"")</calculatedColumnFormula>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A9ED6CF-A45D-4517-BE08-90F549B6A533}" name="Table1" displayName="Table1" ref="A12:M41" totalsRowShown="0" headerRowDxfId="79" dataDxfId="78" tableBorderDxfId="77" headerRowCellStyle="Normal 2 3" dataCellStyle="Normal 2 3">
  <autoFilter ref="A12:M41" xr:uid="{871CEBA0-5AD2-4F48-9AB7-70A85126152A}"/>
  <tableColumns count="13">
    <tableColumn id="1" xr3:uid="{04B18670-D940-473F-89BB-A78D96083B20}" name="Portfolio Company Name" dataDxfId="76" dataCellStyle="Normal 2 3"/>
    <tableColumn id="2" xr3:uid="{AD1F90DB-690A-4472-8040-64B5D42A1025}" name="Year First Invested" dataDxfId="75" dataCellStyle="Normal 2 3">
      <calculatedColumnFormula>IF(Table1[[#This Row],[Portfolio Company Name]]=" ","",IFERROR(YEAR(VLOOKUP(Table1[[#This Row],[Portfolio Company Name]],s11cumperf[],3,FALSE)),""))</calculatedColumnFormula>
    </tableColumn>
    <tableColumn id="3" xr3:uid="{053F5182-50D3-4B02-A43E-6993E9606661}" name="Cost of Invest." dataDxfId="74" dataCellStyle="Currency">
      <calculatedColumnFormula>SUMIF(s1inv[Portfolio Company Name],Table1[[#This Row],[Portfolio Company Name]],s1inv[Cost at End of Period])</calculatedColumnFormula>
    </tableColumn>
    <tableColumn id="4" xr3:uid="{897F6BC2-3952-438A-8ECA-29DA06065F92}" name="468 SBA Reported Value" dataDxfId="73" dataCellStyle="Currency">
      <calculatedColumnFormula>SUMIF(s1inv[Portfolio Company Name],Table1[[#This Row],[Portfolio Company Name]],s1inv[SBA Reported Value (B)])</calculatedColumnFormula>
    </tableColumn>
    <tableColumn id="5" xr3:uid="{7FF8F12D-17F2-497D-A512-9E7722B700AA}" name="Ant. Exit Type" dataDxfId="72" dataCellStyle="Normal 2 3"/>
    <tableColumn id="6" xr3:uid="{7865FC7D-7CD6-4D7F-9419-3C377DC9F925}" name="Minimum" dataDxfId="71" dataCellStyle="Currency"/>
    <tableColumn id="7" xr3:uid="{CEA3A743-4C4C-416B-97CE-C95539DE26A4}" name="Maximum" dataDxfId="70" dataCellStyle="Currency"/>
    <tableColumn id="8" xr3:uid="{96F67BA0-50D4-43B0-94D1-62191D75A5E1}" name="Likely" dataDxfId="69" dataCellStyle="Currency"/>
    <tableColumn id="9" xr3:uid="{AF89B621-0258-460B-A0BF-45ACA6DDBB14}" name="Thru end of Current Year" dataDxfId="68" dataCellStyle="Currency"/>
    <tableColumn id="10" xr3:uid="{968B3B66-44E6-403D-98AA-689CCF0113AE}" name="Yr1" dataDxfId="67" dataCellStyle="Currency"/>
    <tableColumn id="11" xr3:uid="{F00A9ABA-68C0-4C6C-9084-565C3A874A34}" name="Yr2" dataDxfId="66" dataCellStyle="Currency"/>
    <tableColumn id="12" xr3:uid="{F93C256A-37E3-4D5E-A127-1DE1D73B0274}" name="PostYr2" dataDxfId="65" dataCellStyle="Currency">
      <calculatedColumnFormula>H13-I13-J13-K13</calculatedColumnFormula>
    </tableColumn>
    <tableColumn id="13" xr3:uid="{6B52FFE6-C75B-4DDD-9D23-EA29744DFA19}" name="Comments" dataDxfId="64" dataCellStyle="Normal 2 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300E45-BDDD-4022-8249-92CA76B5002E}" name="Select_valuation" displayName="Select_valuation" ref="P16:P19" totalsRowShown="0" headerRowDxfId="407" dataDxfId="406">
  <autoFilter ref="P16:P19" xr:uid="{57553400-6B93-4731-AD11-E79184BC1A93}"/>
  <tableColumns count="1">
    <tableColumn id="1" xr3:uid="{BCD694B2-2F56-4A7C-8647-A391142469CF}" name="Valuation Guidance" dataDxfId="40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A47BD91C-9BBB-420B-ABC3-8A8E53CB054F}" name="Table35" displayName="Table35" ref="B10:K50" totalsRowShown="0" headerRowDxfId="63" dataDxfId="61" headerRowBorderDxfId="62" tableBorderDxfId="60" totalsRowBorderDxfId="59" headerRowCellStyle="Normal 2 3" dataCellStyle="Comma 2">
  <autoFilter ref="B10:K50" xr:uid="{A47BD91C-9BBB-420B-ABC3-8A8E53CB054F}"/>
  <tableColumns count="10">
    <tableColumn id="1" xr3:uid="{F941168C-1E65-4159-A585-212AEF734CE7}" name="Company Name" dataDxfId="58" dataCellStyle="Normal 2 3"/>
    <tableColumn id="2" xr3:uid="{A593CF47-C0F4-4E0A-9EB8-577B2650C9B4}" name="Investment Type" dataDxfId="57" dataCellStyle="Normal 2 3"/>
    <tableColumn id="3" xr3:uid="{E1B52E96-858A-41D8-AC4F-EDBDB1E68155}" name="Small Business Total Round/ Deal Size" dataDxfId="56" dataCellStyle="Normal 2 3"/>
    <tableColumn id="4" xr3:uid="{07AFA72B-8D12-43BE-A895-15B6B9E740C1}" name="SBIC's Pro-Rata Investment" dataDxfId="55" dataCellStyle="Comma 2"/>
    <tableColumn id="5" xr3:uid="{AAFBF58A-30EE-4316-BDDA-4C63E8BFA2DF}" name="SBIC Follow-on Participation" dataDxfId="54" dataCellStyle="Comma 2"/>
    <tableColumn id="6" xr3:uid="{0CA81559-B8C5-4302-88E3-1B6FC0E3E176}" name="Yr0" dataDxfId="53" dataCellStyle="Comma 2"/>
    <tableColumn id="7" xr3:uid="{3BE4F8D9-58CC-4B22-8B29-82D8F9E318C9}" name="Yr1" dataDxfId="52" dataCellStyle="Comma 2"/>
    <tableColumn id="8" xr3:uid="{F89B7C4E-A83D-49B8-AAD5-E452660D8035}" name="Yr2" dataDxfId="51" dataCellStyle="Comma 2"/>
    <tableColumn id="9" xr3:uid="{A5E2075F-DED5-4B20-9A61-83ACA776B93E}" name="Yr3" dataDxfId="50" dataCellStyle="Comma 2">
      <calculatedColumnFormula>F11-G11-H11-I11</calculatedColumnFormula>
    </tableColumn>
    <tableColumn id="10" xr3:uid="{E0A821E6-D79E-4209-9160-1A59FC16C958}" name="Comments" dataDxfId="49" dataCellStyle="Normal 2 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5364A91-15E5-4A87-B0BE-12E15D1A4A10}" name="select_yesno" displayName="select_yesno" ref="Y16:AB19" totalsRowShown="0" headerRowDxfId="404" dataDxfId="403">
  <autoFilter ref="Y16:AB19" xr:uid="{222DCEFB-7BC2-4BA0-8D3A-361713E74257}"/>
  <tableColumns count="4">
    <tableColumn id="1" xr3:uid="{427BF2DD-8605-4A59-9D1F-5E277767F92E}" name="YesNo" dataDxfId="402"/>
    <tableColumn id="2" xr3:uid="{EF3E1EB8-4F34-4EA7-86DB-A5D8DAE2CE39}" name="Full Text" dataDxfId="401"/>
    <tableColumn id="3" xr3:uid="{A79324AB-10BF-4323-8C85-7FAD8A013B7F}" name="Comment" dataDxfId="400"/>
    <tableColumn id="4" xr3:uid="{083F608F-49B7-45D8-9C71-866ED3467476}" name="   " dataDxfId="39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F0947BE-512F-41F0-8A71-74870DBC006E}" name="Select_Gender" displayName="Select_Gender" ref="AF16:AG20" totalsRowShown="0" headerRowDxfId="398" dataDxfId="397">
  <autoFilter ref="AF16:AG20" xr:uid="{96532B84-964B-4FC4-9DB0-721B9DE35CE3}"/>
  <tableColumns count="2">
    <tableColumn id="1" xr3:uid="{C6E85880-DBED-41BB-9763-E0D83427C2BF}" name="Gender" dataDxfId="396"/>
    <tableColumn id="2" xr3:uid="{77ECC5F0-6F4E-4747-B4A0-478ECECDFBD9}" name="Description" dataDxfId="39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E2D706-68E9-4EE8-996D-CEEDE46B892B}" name="Select_Industry" displayName="Select_Industry" ref="AW16:AX38" totalsRowShown="0" headerRowDxfId="394" dataDxfId="393">
  <autoFilter ref="AW16:AX38" xr:uid="{C672D13F-0DB7-42D4-A97B-D30375602EF6}"/>
  <tableColumns count="2">
    <tableColumn id="1" xr3:uid="{50226EF1-CB6C-4AE8-BF45-F7B6723F0125}" name="Industry" dataDxfId="392"/>
    <tableColumn id="2" xr3:uid="{A494C6D9-ED1B-422C-9D47-D64AFF27F444}" name="Comments" dataDxfId="39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F422B4A-296A-41EC-A0B5-D1DB24F274B4}" name="Select_CommitmentType" displayName="Select_CommitmentType" ref="BO16:BP20" totalsRowShown="0" headerRowDxfId="390" dataDxfId="389">
  <autoFilter ref="BO16:BP20" xr:uid="{6970F859-E808-4A84-8CE4-683F49B4F637}"/>
  <tableColumns count="2">
    <tableColumn id="1" xr3:uid="{E94FD1D1-4527-4022-BE95-14E1DD7D194E}" name="CommitmentType" dataDxfId="388"/>
    <tableColumn id="2" xr3:uid="{A3966738-CF89-4E1E-9B8E-C91607AA1237}" name="Description" dataDxfId="38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B905882-9E85-4337-AFE3-1E4BB41501FC}" name="Select_InvType" displayName="Select_InvType" ref="BC16:BD25" totalsRowShown="0" headerRowDxfId="386" dataDxfId="384" headerRowBorderDxfId="385" tableBorderDxfId="383" totalsRowBorderDxfId="382">
  <autoFilter ref="BC16:BD25" xr:uid="{8FB1B984-3736-4D0E-9C1F-C080F998DFE7}"/>
  <tableColumns count="2">
    <tableColumn id="1" xr3:uid="{7E65920B-1329-4C2A-8201-59C85664A02B}" name="Transaction Type" dataDxfId="381"/>
    <tableColumn id="2" xr3:uid="{EB75FCC8-C622-4E56-8613-475BB728FB4C}" name="Column1" dataDxfId="38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printerSettings" Target="../printerSettings/printerSettings2.bin"/><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table" Target="../tables/table35.xml"/><Relationship Id="rId2" Type="http://schemas.openxmlformats.org/officeDocument/2006/relationships/drawing" Target="../drawings/drawing3.xml"/><Relationship Id="rId1" Type="http://schemas.openxmlformats.org/officeDocument/2006/relationships/printerSettings" Target="../printerSettings/printerSettings22.bin"/><Relationship Id="rId6" Type="http://schemas.openxmlformats.org/officeDocument/2006/relationships/table" Target="../tables/table38.xml"/><Relationship Id="rId5" Type="http://schemas.openxmlformats.org/officeDocument/2006/relationships/table" Target="../tables/table37.xml"/><Relationship Id="rId4" Type="http://schemas.openxmlformats.org/officeDocument/2006/relationships/table" Target="../tables/table36.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ivotTable" Target="../pivotTables/pivotTable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40F73-C0DB-47C2-8304-BBA0DC2404BE}">
  <sheetPr codeName="Sheet2">
    <tabColor theme="9"/>
  </sheetPr>
  <dimension ref="A1:R11"/>
  <sheetViews>
    <sheetView workbookViewId="0"/>
  </sheetViews>
  <sheetFormatPr defaultRowHeight="14.5" x14ac:dyDescent="0.35"/>
  <cols>
    <col min="1" max="1" width="26.54296875" customWidth="1"/>
    <col min="2" max="2" width="14.26953125" bestFit="1" customWidth="1"/>
  </cols>
  <sheetData>
    <row r="1" spans="1:18" x14ac:dyDescent="0.35">
      <c r="B1" s="22" t="s">
        <v>0</v>
      </c>
      <c r="C1" t="s">
        <v>1</v>
      </c>
      <c r="E1" s="4"/>
      <c r="F1" s="4"/>
      <c r="G1" s="4"/>
      <c r="H1" s="4"/>
      <c r="I1" s="4"/>
      <c r="J1" s="4" t="s">
        <v>2</v>
      </c>
      <c r="L1" s="4" t="s">
        <v>3</v>
      </c>
      <c r="M1" s="4" t="str">
        <f>licenseno&amp;rptperiodtype&amp;TEXT(Form468Date,"YYYYMMDD")</f>
        <v>00000000Q19000100</v>
      </c>
      <c r="N1" s="4"/>
      <c r="O1" s="4"/>
      <c r="P1" s="4"/>
      <c r="Q1" s="4"/>
      <c r="R1" s="4"/>
    </row>
    <row r="2" spans="1:18" x14ac:dyDescent="0.35">
      <c r="B2" s="4" t="s">
        <v>4</v>
      </c>
      <c r="E2" s="4"/>
      <c r="F2" s="4"/>
      <c r="G2" s="4"/>
      <c r="H2" s="4"/>
      <c r="I2" s="4"/>
      <c r="J2" s="4"/>
      <c r="K2" s="4"/>
      <c r="L2" s="4"/>
      <c r="M2" s="4"/>
      <c r="N2" s="4"/>
      <c r="O2" s="4"/>
      <c r="P2" s="4"/>
      <c r="Q2" s="4"/>
      <c r="R2" s="4"/>
    </row>
    <row r="3" spans="1:18" x14ac:dyDescent="0.35">
      <c r="A3" t="s">
        <v>5</v>
      </c>
      <c r="B3" s="4" t="s">
        <v>6</v>
      </c>
      <c r="C3" t="s">
        <v>7</v>
      </c>
      <c r="D3" t="s">
        <v>8</v>
      </c>
      <c r="E3" t="s">
        <v>9</v>
      </c>
      <c r="F3" t="s">
        <v>10</v>
      </c>
      <c r="G3" t="s">
        <v>11</v>
      </c>
      <c r="H3" t="s">
        <v>12</v>
      </c>
      <c r="I3" t="s">
        <v>13</v>
      </c>
      <c r="J3" t="s">
        <v>14</v>
      </c>
      <c r="K3" t="s">
        <v>15</v>
      </c>
      <c r="L3" t="s">
        <v>16</v>
      </c>
      <c r="M3" t="s">
        <v>17</v>
      </c>
      <c r="N3" t="s">
        <v>18</v>
      </c>
      <c r="O3" s="4" t="s">
        <v>6</v>
      </c>
      <c r="P3" s="4" t="s">
        <v>6</v>
      </c>
      <c r="Q3" s="4" t="s">
        <v>6</v>
      </c>
      <c r="R3" s="4"/>
    </row>
    <row r="4" spans="1:18" x14ac:dyDescent="0.35">
      <c r="B4" s="19" t="s">
        <v>19</v>
      </c>
      <c r="C4" s="19" t="s">
        <v>20</v>
      </c>
      <c r="D4" s="19" t="s">
        <v>21</v>
      </c>
      <c r="E4" s="19" t="s">
        <v>22</v>
      </c>
      <c r="F4" s="19" t="s">
        <v>23</v>
      </c>
      <c r="G4" s="19" t="s">
        <v>24</v>
      </c>
      <c r="H4" s="19" t="s">
        <v>25</v>
      </c>
      <c r="I4" s="19" t="s">
        <v>26</v>
      </c>
      <c r="J4" s="19" t="s">
        <v>27</v>
      </c>
      <c r="K4" s="19" t="s">
        <v>28</v>
      </c>
      <c r="L4" s="19" t="s">
        <v>29</v>
      </c>
      <c r="M4" s="19" t="s">
        <v>30</v>
      </c>
      <c r="N4" s="19" t="s">
        <v>31</v>
      </c>
      <c r="O4" s="19" t="s">
        <v>32</v>
      </c>
      <c r="P4" s="19" t="s">
        <v>33</v>
      </c>
      <c r="Q4" s="19" t="s">
        <v>34</v>
      </c>
    </row>
    <row r="5" spans="1:18" x14ac:dyDescent="0.35">
      <c r="B5" s="19" t="str">
        <f>rptkey</f>
        <v>00000000Q19000100</v>
      </c>
      <c r="C5" s="19" t="str">
        <f>TEXT(licenseno,"00000000")</f>
        <v>00000000</v>
      </c>
      <c r="D5" s="19">
        <f>sbicname</f>
        <v>0</v>
      </c>
      <c r="E5" s="23" t="str">
        <f>rptperiodtype</f>
        <v>Q</v>
      </c>
      <c r="F5" s="21" t="e">
        <f>rptenddate</f>
        <v>#NAME?</v>
      </c>
      <c r="G5" s="19">
        <f>Number_of_Months</f>
        <v>0</v>
      </c>
      <c r="H5" s="19">
        <f>'1-Cover'!C10</f>
        <v>0</v>
      </c>
      <c r="I5" s="19">
        <f>'1-Cover'!C13</f>
        <v>0</v>
      </c>
      <c r="J5" s="19">
        <f>'1-Cover'!C14</f>
        <v>0</v>
      </c>
      <c r="K5" s="20" t="str">
        <f>TEXT('1-Cover'!C15,"00000")</f>
        <v>00000</v>
      </c>
      <c r="L5" s="19">
        <f>'1-Cover'!C16</f>
        <v>0</v>
      </c>
      <c r="M5" s="19" t="str">
        <f>TEXT('1-Cover'!C18,"000000000")</f>
        <v>000000000</v>
      </c>
      <c r="N5" s="19" t="str">
        <f>'1-Cover'!C24</f>
        <v>Other</v>
      </c>
      <c r="O5" s="19" t="str">
        <f>ApprovedValuation</f>
        <v>SBA Valuation Guidelines</v>
      </c>
      <c r="P5" s="19">
        <f>'1-Cover'!C28</f>
        <v>0</v>
      </c>
      <c r="Q5" s="19">
        <f>'1-Cover'!C32</f>
        <v>0</v>
      </c>
    </row>
    <row r="8" spans="1:18" x14ac:dyDescent="0.35">
      <c r="B8" s="4" t="s">
        <v>35</v>
      </c>
    </row>
    <row r="10" spans="1:18" x14ac:dyDescent="0.35">
      <c r="B10" s="24" t="s">
        <v>19</v>
      </c>
      <c r="C10" s="25" t="s">
        <v>20</v>
      </c>
      <c r="D10" s="25" t="s">
        <v>36</v>
      </c>
      <c r="E10" s="25" t="s">
        <v>23</v>
      </c>
    </row>
    <row r="11" spans="1:18" x14ac:dyDescent="0.35">
      <c r="B11" s="26" t="str">
        <f>rptkey</f>
        <v>00000000Q19000100</v>
      </c>
      <c r="C11" s="27" t="str">
        <f>TEXT(licenseno,"00000000")</f>
        <v>00000000</v>
      </c>
      <c r="D11" s="28" t="str">
        <f>LEFT('1-Cover'!$D$1,1)</f>
        <v>Q</v>
      </c>
      <c r="E11" s="29" t="e">
        <f>rptenddate</f>
        <v>#NAME?</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083B-5319-4D2C-A1C6-823CA3872066}">
  <sheetPr codeName="Sheet15">
    <outlinePr summaryRight="0"/>
  </sheetPr>
  <dimension ref="A1:AF174"/>
  <sheetViews>
    <sheetView topLeftCell="A13" workbookViewId="0">
      <selection activeCell="D23" sqref="D23"/>
    </sheetView>
  </sheetViews>
  <sheetFormatPr defaultColWidth="1" defaultRowHeight="10" outlineLevelRow="1" outlineLevelCol="1" x14ac:dyDescent="0.2"/>
  <cols>
    <col min="1" max="1" width="19.1796875" style="77" customWidth="1"/>
    <col min="2" max="2" width="11" style="77" bestFit="1" customWidth="1"/>
    <col min="3" max="3" width="12.36328125" style="77" customWidth="1"/>
    <col min="4" max="4" width="16.7265625" style="77" customWidth="1"/>
    <col min="5" max="5" width="10.54296875" style="77" customWidth="1"/>
    <col min="6" max="6" width="11.81640625" style="79" customWidth="1"/>
    <col min="7" max="7" width="8.7265625" style="79" customWidth="1"/>
    <col min="8" max="8" width="10.81640625" style="77" customWidth="1"/>
    <col min="9" max="9" width="8.7265625" style="192" customWidth="1"/>
    <col min="10" max="10" width="9.7265625" style="85" customWidth="1"/>
    <col min="11" max="11" width="9.81640625" style="89" customWidth="1"/>
    <col min="12" max="12" width="9.26953125" style="85" customWidth="1"/>
    <col min="13" max="13" width="11.7265625" style="85" customWidth="1"/>
    <col min="14" max="14" width="13" style="142" customWidth="1"/>
    <col min="15" max="15" width="9.7265625" style="85" customWidth="1"/>
    <col min="16" max="16" width="11" style="85" customWidth="1"/>
    <col min="17" max="17" width="11.26953125" style="85" customWidth="1"/>
    <col min="18" max="18" width="10.453125" style="85" customWidth="1"/>
    <col min="19" max="19" width="11.453125" style="85" customWidth="1"/>
    <col min="20" max="20" width="13.36328125" style="85" customWidth="1"/>
    <col min="21" max="21" width="8.453125" style="85" customWidth="1" outlineLevel="1"/>
    <col min="22" max="22" width="9.54296875" style="85" customWidth="1" outlineLevel="1"/>
    <col min="23" max="23" width="7.26953125" style="85" customWidth="1" outlineLevel="1"/>
    <col min="24" max="24" width="10.26953125" style="85" customWidth="1"/>
    <col min="25" max="25" width="11" style="85" bestFit="1" customWidth="1"/>
    <col min="26" max="26" width="9.26953125" style="85" customWidth="1"/>
    <col min="27" max="27" width="7.7265625" style="77" customWidth="1"/>
    <col min="28" max="28" width="6.7265625" style="77" customWidth="1"/>
    <col min="29" max="29" width="7.26953125" style="192" customWidth="1"/>
    <col min="30" max="30" width="6.7265625" style="77" customWidth="1"/>
    <col min="31" max="31" width="7.81640625" style="77" customWidth="1" outlineLevel="1"/>
    <col min="32" max="32" width="11.1796875" style="77" customWidth="1"/>
    <col min="33" max="55" width="1" style="77" customWidth="1"/>
    <col min="56" max="56" width="4.54296875" style="77" customWidth="1"/>
    <col min="57" max="60" width="3.1796875" style="77" customWidth="1"/>
    <col min="61" max="189" width="1" style="77" customWidth="1"/>
    <col min="190" max="270" width="1" style="77"/>
    <col min="271" max="271" width="4.54296875" style="77" customWidth="1"/>
    <col min="272" max="16384" width="1" style="77"/>
  </cols>
  <sheetData>
    <row r="1" spans="1:32" ht="13.15" customHeight="1" x14ac:dyDescent="0.2">
      <c r="A1" s="73" t="s">
        <v>1999</v>
      </c>
      <c r="B1" s="74"/>
      <c r="C1" s="693"/>
      <c r="D1" s="74"/>
      <c r="E1" s="74"/>
      <c r="F1" s="75"/>
      <c r="G1" s="75"/>
      <c r="H1" s="759" t="s">
        <v>2000</v>
      </c>
      <c r="I1" s="759"/>
      <c r="J1" s="759"/>
      <c r="K1" s="759"/>
      <c r="L1" s="759"/>
      <c r="M1" s="759"/>
      <c r="N1" s="759"/>
      <c r="O1" s="759"/>
      <c r="P1" s="759"/>
      <c r="Q1" s="759"/>
      <c r="R1" s="759"/>
      <c r="S1" s="759"/>
      <c r="T1" s="759"/>
      <c r="U1" s="759"/>
      <c r="V1" s="759"/>
      <c r="W1" s="759"/>
      <c r="X1" s="244"/>
      <c r="Y1" s="74"/>
      <c r="Z1" s="74"/>
      <c r="AA1" s="243"/>
      <c r="AB1" s="135"/>
      <c r="AC1" s="74"/>
      <c r="AD1" s="76" t="str">
        <f>'1-Cover'!$G$1</f>
        <v>OMB Approval No. 3245-0063</v>
      </c>
    </row>
    <row r="2" spans="1:32" ht="13.15" customHeight="1" x14ac:dyDescent="0.2">
      <c r="A2" s="78"/>
      <c r="H2" s="741" t="str">
        <f>"FOR "&amp;Number_of_Months&amp;" MONTH PERIOD ENDED: "&amp;TEXT(Form468Date,"MM/DD/YYYY")</f>
        <v>FOR  MONTH PERIOD ENDED: 01/00/1900</v>
      </c>
      <c r="I2" s="741"/>
      <c r="J2" s="741"/>
      <c r="K2" s="741"/>
      <c r="L2" s="741"/>
      <c r="M2" s="741"/>
      <c r="N2" s="741"/>
      <c r="O2" s="741"/>
      <c r="P2" s="741"/>
      <c r="Q2" s="741"/>
      <c r="R2" s="741"/>
      <c r="S2" s="741"/>
      <c r="T2" s="741"/>
      <c r="U2" s="741"/>
      <c r="V2" s="741"/>
      <c r="W2" s="741"/>
      <c r="X2" s="77"/>
      <c r="Y2" s="77"/>
      <c r="Z2" s="77"/>
      <c r="AA2" s="79"/>
      <c r="AB2" s="85"/>
      <c r="AC2" s="77"/>
      <c r="AD2" s="80" t="str">
        <f>'1-Cover'!$G$2</f>
        <v>Expiration Date MM/DD/YYYY</v>
      </c>
    </row>
    <row r="3" spans="1:32" ht="13.15" customHeight="1" x14ac:dyDescent="0.2">
      <c r="A3" s="136"/>
      <c r="B3" s="82"/>
      <c r="C3" s="82"/>
      <c r="D3" s="137"/>
      <c r="E3" s="137"/>
      <c r="F3" s="137"/>
      <c r="G3" s="137"/>
      <c r="H3" s="137"/>
      <c r="I3" s="245"/>
      <c r="J3" s="246"/>
      <c r="K3" s="246"/>
      <c r="L3" s="246"/>
      <c r="M3" s="246"/>
      <c r="N3" s="247"/>
      <c r="O3" s="246"/>
      <c r="P3" s="246"/>
      <c r="Q3" s="246"/>
      <c r="R3" s="246"/>
      <c r="S3" s="246"/>
      <c r="T3" s="246"/>
      <c r="U3" s="246"/>
      <c r="V3" s="246"/>
      <c r="W3" s="246"/>
      <c r="X3" s="246"/>
      <c r="Y3" s="82"/>
      <c r="Z3" s="82"/>
      <c r="AA3" s="246"/>
      <c r="AB3" s="138"/>
      <c r="AC3" s="82"/>
      <c r="AD3" s="139"/>
    </row>
    <row r="4" spans="1:32" ht="13.15" customHeight="1" x14ac:dyDescent="0.2">
      <c r="A4" s="121" t="str">
        <f>"Name of License:  "&amp;sbicname</f>
        <v xml:space="preserve">Name of License:  </v>
      </c>
      <c r="B4" s="122">
        <f>'8-READ_Cap'!B5</f>
        <v>0</v>
      </c>
      <c r="C4" s="122"/>
      <c r="D4" s="140"/>
      <c r="E4" s="140"/>
      <c r="F4" s="248"/>
      <c r="G4" s="248"/>
      <c r="H4" s="140"/>
      <c r="I4" s="140"/>
      <c r="J4" s="140"/>
      <c r="K4" s="248"/>
      <c r="L4" s="140"/>
      <c r="M4" s="140"/>
      <c r="N4" s="249"/>
      <c r="O4" s="140"/>
      <c r="P4" s="140"/>
      <c r="Q4" s="140"/>
      <c r="R4" s="140"/>
      <c r="S4" s="140"/>
      <c r="T4" s="140"/>
      <c r="U4" s="140"/>
      <c r="V4" s="140"/>
      <c r="W4" s="140"/>
      <c r="X4" s="140"/>
      <c r="Y4" s="140"/>
      <c r="Z4" s="140"/>
      <c r="AA4" s="140"/>
      <c r="AB4" s="140"/>
      <c r="AC4" s="140"/>
      <c r="AD4" s="123" t="str">
        <f>"License no.:  "&amp;TEXT(licenseno,"00\/00\-0000")</f>
        <v>License no.:  00/00-0000</v>
      </c>
    </row>
    <row r="5" spans="1:32" x14ac:dyDescent="0.2">
      <c r="A5" s="73" t="s">
        <v>2001</v>
      </c>
      <c r="B5" s="74"/>
      <c r="C5" s="693"/>
      <c r="D5" s="74"/>
      <c r="E5" s="74"/>
      <c r="F5" s="75"/>
      <c r="G5" s="75"/>
      <c r="H5" s="75"/>
      <c r="I5" s="75"/>
      <c r="J5" s="74"/>
      <c r="K5" s="75"/>
      <c r="L5" s="189"/>
      <c r="M5" s="135"/>
      <c r="N5" s="190"/>
      <c r="O5" s="135"/>
      <c r="P5" s="135"/>
      <c r="Q5" s="135"/>
      <c r="R5" s="135"/>
      <c r="S5" s="135"/>
      <c r="T5" s="135"/>
      <c r="U5" s="135"/>
      <c r="V5" s="135"/>
      <c r="W5" s="135"/>
      <c r="X5" s="135"/>
      <c r="Y5" s="135"/>
      <c r="Z5" s="135"/>
      <c r="AA5" s="135"/>
      <c r="AB5" s="135"/>
      <c r="AC5" s="74"/>
      <c r="AD5" s="74"/>
      <c r="AE5" s="189"/>
      <c r="AF5" s="191"/>
    </row>
    <row r="6" spans="1:32" ht="44" customHeight="1" outlineLevel="1" x14ac:dyDescent="0.2">
      <c r="A6" s="78"/>
      <c r="H6" s="79"/>
      <c r="I6" s="79"/>
      <c r="J6" s="77"/>
      <c r="K6" s="79"/>
      <c r="L6" s="192"/>
      <c r="M6" s="756" t="s">
        <v>2002</v>
      </c>
      <c r="N6" s="757"/>
      <c r="O6" s="757"/>
      <c r="P6" s="757"/>
      <c r="Q6" s="757"/>
      <c r="R6" s="757"/>
      <c r="S6" s="757"/>
      <c r="T6" s="757"/>
      <c r="U6" s="757"/>
      <c r="V6" s="757"/>
      <c r="W6" s="757"/>
      <c r="X6" s="757"/>
      <c r="Y6" s="757"/>
      <c r="Z6" s="758"/>
      <c r="AA6" s="760" t="s">
        <v>2003</v>
      </c>
      <c r="AB6" s="753"/>
      <c r="AC6" s="754" t="s">
        <v>2004</v>
      </c>
      <c r="AD6" s="755"/>
      <c r="AE6" s="192"/>
      <c r="AF6" s="193"/>
    </row>
    <row r="7" spans="1:32" ht="40" outlineLevel="1" x14ac:dyDescent="0.2">
      <c r="A7" s="78"/>
      <c r="H7" s="79"/>
      <c r="I7" s="79"/>
      <c r="J7" s="77"/>
      <c r="K7" s="79"/>
      <c r="L7" s="192"/>
      <c r="M7" s="194" t="s">
        <v>2005</v>
      </c>
      <c r="N7" s="195" t="s">
        <v>2006</v>
      </c>
      <c r="P7" s="194" t="s">
        <v>2007</v>
      </c>
      <c r="Q7" s="194" t="s">
        <v>2008</v>
      </c>
      <c r="R7" s="194" t="s">
        <v>2009</v>
      </c>
      <c r="S7" s="194" t="s">
        <v>2010</v>
      </c>
      <c r="T7" s="194" t="s">
        <v>2011</v>
      </c>
      <c r="U7" s="194" t="s">
        <v>2012</v>
      </c>
      <c r="V7" s="194" t="s">
        <v>2013</v>
      </c>
      <c r="W7" s="196" t="s">
        <v>2014</v>
      </c>
      <c r="X7" s="194" t="s">
        <v>2015</v>
      </c>
      <c r="Y7" s="197" t="s">
        <v>2016</v>
      </c>
      <c r="Z7" s="194" t="s">
        <v>2017</v>
      </c>
      <c r="AA7" s="194" t="s">
        <v>2018</v>
      </c>
      <c r="AB7" s="194" t="s">
        <v>2019</v>
      </c>
      <c r="AC7" s="194" t="s">
        <v>2020</v>
      </c>
      <c r="AD7" s="194" t="s">
        <v>2021</v>
      </c>
      <c r="AE7" s="192"/>
      <c r="AF7" s="193"/>
    </row>
    <row r="8" spans="1:32" ht="15.75" customHeight="1" outlineLevel="1" x14ac:dyDescent="0.2">
      <c r="A8" s="78"/>
      <c r="D8" s="198" t="s">
        <v>2022</v>
      </c>
      <c r="E8" s="198"/>
      <c r="H8" s="79"/>
      <c r="I8" s="79"/>
      <c r="J8" s="77"/>
      <c r="K8" s="79"/>
      <c r="L8" s="192"/>
      <c r="M8" s="199" t="s">
        <v>2023</v>
      </c>
      <c r="N8" s="200"/>
      <c r="P8" s="199"/>
      <c r="Q8" s="199"/>
      <c r="R8" s="201">
        <f>SUMIF(s1inv[Equity Capital Investment],"Y",s1inv[Cost at End of Period])</f>
        <v>0</v>
      </c>
      <c r="AA8" s="85"/>
      <c r="AB8" s="85"/>
      <c r="AC8" s="77"/>
      <c r="AE8" s="192"/>
      <c r="AF8" s="193"/>
    </row>
    <row r="9" spans="1:32" outlineLevel="1" x14ac:dyDescent="0.2">
      <c r="A9" s="78"/>
      <c r="H9" s="79"/>
      <c r="I9" s="79"/>
      <c r="J9" s="77"/>
      <c r="K9" s="79"/>
      <c r="L9" s="202" t="s">
        <v>176</v>
      </c>
      <c r="M9" s="201">
        <f>SUMIF(s1inv[Financing Type],$L9,s1inv[Total Cash Invested (A)])</f>
        <v>0</v>
      </c>
      <c r="N9" s="203">
        <f>SUMIF(s1inv[Financing Type],$L9,s1inv[Cost at Beginning Period])</f>
        <v>0</v>
      </c>
      <c r="P9" s="203">
        <f>SUMIF(s1inv[Financing Type],$L9,s1inv[Addition/
Deduction])</f>
        <v>0</v>
      </c>
      <c r="Q9" s="204">
        <f>SUMIF(s1inv[Financing Type],$L9,s1inv[Non-Cash Gain included in Cost at End of Period])</f>
        <v>0</v>
      </c>
      <c r="R9" s="201">
        <f>SUMIF(s1inv[Financing Type],$L9,s1inv[Cost at End of Period])</f>
        <v>0</v>
      </c>
      <c r="S9" s="201">
        <f>SUMIF(s1inv[Financing Type],$L9,s1inv[Unrealized Appreciation])</f>
        <v>0</v>
      </c>
      <c r="T9" s="201">
        <f>-ABS(SUMIF(s1inv[Financing Type],$L9,s1inv[(Unrealized Depreciation)]))</f>
        <v>0</v>
      </c>
      <c r="U9" s="201">
        <f>SUMIF(s1inv[Financing Type],$L9,s1inv[Class 1])</f>
        <v>0</v>
      </c>
      <c r="V9" s="201">
        <f>SUMIF(s1inv[Financing Type],$L9,s1inv[Class 2])</f>
        <v>0</v>
      </c>
      <c r="W9" s="201"/>
      <c r="X9" s="201">
        <f>SUMIF(s1inv[Financing Type],$L9,s1inv[SBA Reported Value (B)])</f>
        <v>0</v>
      </c>
      <c r="Y9" s="201">
        <f>SUMIF(s1inv[Financing Type],$L9,s1inv[GAAP Reported Value (C)])</f>
        <v>0</v>
      </c>
      <c r="Z9" s="201">
        <f>SUMIF(s1inv[Financing Type],$L9,s1inv[Cum. Cash Proceeds (D)])</f>
        <v>0</v>
      </c>
      <c r="AA9" s="205" t="str">
        <f>IFERROR((X9+Z9)/M9,"")</f>
        <v/>
      </c>
      <c r="AB9" s="206"/>
      <c r="AC9" s="205" t="str">
        <f>IFERROR((Y9+Z9)/M9,"")</f>
        <v/>
      </c>
      <c r="AD9" s="207"/>
      <c r="AE9" s="192"/>
      <c r="AF9" s="193"/>
    </row>
    <row r="10" spans="1:32" outlineLevel="1" x14ac:dyDescent="0.2">
      <c r="A10" s="78"/>
      <c r="H10" s="79"/>
      <c r="I10" s="79"/>
      <c r="J10" s="77"/>
      <c r="K10" s="79"/>
      <c r="L10" s="202" t="s">
        <v>208</v>
      </c>
      <c r="M10" s="208">
        <f>SUMIF(s1inv[Financing Type],$L10,s1inv[Total Cash Invested (A)])</f>
        <v>0</v>
      </c>
      <c r="N10" s="209">
        <f>SUMIF(s1inv[Financing Type],$L10,s1inv[Cost at Beginning Period])</f>
        <v>0</v>
      </c>
      <c r="P10" s="208">
        <f>SUMIF(s1inv[Financing Type],$L10,s1inv[Addition/
Deduction])</f>
        <v>0</v>
      </c>
      <c r="Q10" s="208">
        <f>SUMIF(s1inv[Financing Type],$L10,s1inv[Non-Cash Gain included in Cost at End of Period])</f>
        <v>0</v>
      </c>
      <c r="R10" s="208">
        <f>SUMIF(s1inv[Financing Type],$L10,s1inv[Cost at End of Period])</f>
        <v>0</v>
      </c>
      <c r="S10" s="208">
        <f>SUMIF(s1inv[Financing Type],$L10,s1inv[Unrealized Appreciation])</f>
        <v>0</v>
      </c>
      <c r="T10" s="208">
        <f>-ABS(SUMIF(s1inv[Financing Type],$L10,s1inv[(Unrealized Depreciation)]))</f>
        <v>0</v>
      </c>
      <c r="U10" s="208">
        <f>SUMIF(s1inv[Financing Type],$L10,s1inv[Class 1])</f>
        <v>0</v>
      </c>
      <c r="V10" s="208">
        <f>SUMIF(s1inv[Financing Type],$L10,s1inv[Class 2])</f>
        <v>0</v>
      </c>
      <c r="W10" s="208"/>
      <c r="X10" s="208">
        <f>SUMIF(s1inv[Financing Type],$L10,s1inv[SBA Reported Value (B)])</f>
        <v>0</v>
      </c>
      <c r="Y10" s="208">
        <f>SUMIF(s1inv[Financing Type],$L10,s1inv[GAAP Reported Value (C)])</f>
        <v>0</v>
      </c>
      <c r="Z10" s="208">
        <f>SUMIF(s1inv[Financing Type],$L10,s1inv[Cum. Cash Proceeds (D)])</f>
        <v>0</v>
      </c>
      <c r="AA10" s="210" t="str">
        <f t="shared" ref="AA10:AA18" si="0">IFERROR((X10+Z10)/M10,"")</f>
        <v/>
      </c>
      <c r="AB10" s="211"/>
      <c r="AC10" s="210" t="str">
        <f t="shared" ref="AC10:AC18" si="1">IFERROR((Y10+Z10)/M10,"")</f>
        <v/>
      </c>
      <c r="AD10" s="212"/>
      <c r="AE10" s="192"/>
      <c r="AF10" s="193"/>
    </row>
    <row r="11" spans="1:32" ht="11.5" outlineLevel="1" x14ac:dyDescent="0.35">
      <c r="A11" s="78"/>
      <c r="H11" s="79"/>
      <c r="I11" s="79"/>
      <c r="J11" s="77"/>
      <c r="K11" s="79"/>
      <c r="L11" s="202" t="s">
        <v>237</v>
      </c>
      <c r="M11" s="213">
        <f>SUMIF(s1inv[Financing Type],$L11,s1inv[Total Cash Invested (A)])</f>
        <v>0</v>
      </c>
      <c r="N11" s="214">
        <f>SUMIF(s1inv[Financing Type],$L11,s1inv[Cost at Beginning Period])</f>
        <v>0</v>
      </c>
      <c r="P11" s="213">
        <f>SUMIF(s1inv[Financing Type],$L11,s1inv[Addition/
Deduction])</f>
        <v>0</v>
      </c>
      <c r="Q11" s="213">
        <f>SUMIF(s1inv[Financing Type],$L11,s1inv[Non-Cash Gain included in Cost at End of Period])</f>
        <v>0</v>
      </c>
      <c r="R11" s="213">
        <f>SUMIF(s1inv[Financing Type],$L11,s1inv[Cost at End of Period])</f>
        <v>0</v>
      </c>
      <c r="S11" s="213">
        <f>SUMIF(s1inv[Financing Type],$L11,s1inv[Unrealized Appreciation])</f>
        <v>0</v>
      </c>
      <c r="T11" s="213">
        <f>-ABS(SUMIF(s1inv[Financing Type],$L11,s1inv[(Unrealized Depreciation)]))</f>
        <v>0</v>
      </c>
      <c r="U11" s="213">
        <f>SUMIF(s1inv[Financing Type],$L11,s1inv[Class 1])</f>
        <v>0</v>
      </c>
      <c r="V11" s="213">
        <f>SUMIF(s1inv[Financing Type],$L11,s1inv[Class 2])</f>
        <v>0</v>
      </c>
      <c r="W11" s="213"/>
      <c r="X11" s="213">
        <f>SUMIF(s1inv[Financing Type],$L11,s1inv[SBA Reported Value (B)])</f>
        <v>0</v>
      </c>
      <c r="Y11" s="213">
        <f>SUMIF(s1inv[Financing Type],$L11,s1inv[GAAP Reported Value (C)])</f>
        <v>0</v>
      </c>
      <c r="Z11" s="213">
        <f>SUMIF(s1inv[Financing Type],$L11,s1inv[Cum. Cash Proceeds (D)])</f>
        <v>0</v>
      </c>
      <c r="AA11" s="210" t="str">
        <f t="shared" si="0"/>
        <v/>
      </c>
      <c r="AB11" s="211"/>
      <c r="AC11" s="210" t="str">
        <f t="shared" si="1"/>
        <v/>
      </c>
      <c r="AD11" s="212"/>
      <c r="AE11" s="192"/>
      <c r="AF11" s="193"/>
    </row>
    <row r="12" spans="1:32" outlineLevel="1" x14ac:dyDescent="0.2">
      <c r="A12" s="78"/>
      <c r="H12" s="79"/>
      <c r="I12" s="79"/>
      <c r="J12" s="77"/>
      <c r="K12" s="79"/>
      <c r="L12" s="202" t="s">
        <v>2024</v>
      </c>
      <c r="M12" s="208">
        <f>SUM(M9:M11)</f>
        <v>0</v>
      </c>
      <c r="N12" s="209">
        <f t="shared" ref="N12:Q12" si="2">SUM(N9:N11)</f>
        <v>0</v>
      </c>
      <c r="P12" s="208">
        <f>SUM(P9:P11)</f>
        <v>0</v>
      </c>
      <c r="Q12" s="208">
        <f t="shared" si="2"/>
        <v>0</v>
      </c>
      <c r="R12" s="208">
        <f t="shared" ref="R12:Z12" si="3">SUM(R9:R11)</f>
        <v>0</v>
      </c>
      <c r="S12" s="208">
        <f t="shared" si="3"/>
        <v>0</v>
      </c>
      <c r="T12" s="208">
        <f t="shared" si="3"/>
        <v>0</v>
      </c>
      <c r="U12" s="208">
        <f t="shared" si="3"/>
        <v>0</v>
      </c>
      <c r="V12" s="208">
        <f t="shared" si="3"/>
        <v>0</v>
      </c>
      <c r="W12" s="208"/>
      <c r="X12" s="208">
        <f t="shared" si="3"/>
        <v>0</v>
      </c>
      <c r="Y12" s="208">
        <f t="shared" si="3"/>
        <v>0</v>
      </c>
      <c r="Z12" s="208">
        <f t="shared" si="3"/>
        <v>0</v>
      </c>
      <c r="AA12" s="210" t="str">
        <f t="shared" si="0"/>
        <v/>
      </c>
      <c r="AB12" s="211"/>
      <c r="AC12" s="210" t="str">
        <f t="shared" si="1"/>
        <v/>
      </c>
      <c r="AD12" s="212"/>
      <c r="AE12" s="192"/>
      <c r="AF12" s="193"/>
    </row>
    <row r="13" spans="1:32" outlineLevel="1" x14ac:dyDescent="0.2">
      <c r="A13" s="78"/>
      <c r="H13" s="79"/>
      <c r="I13" s="79"/>
      <c r="J13" s="77"/>
      <c r="K13" s="79"/>
      <c r="L13" s="202" t="s">
        <v>320</v>
      </c>
      <c r="M13" s="208">
        <f>SUMIF(s1inv[Financing Type],$L13,s1inv[Total Cash Invested (A)])</f>
        <v>0</v>
      </c>
      <c r="N13" s="209">
        <f>SUMIF(s1inv[Financing Type],$L13,s1inv[Cost at Beginning Period])</f>
        <v>0</v>
      </c>
      <c r="P13" s="208">
        <f>SUMIF(s1inv[Financing Type],$L13,s1inv[Addition/
Deduction])</f>
        <v>0</v>
      </c>
      <c r="Q13" s="208">
        <f>SUMIF(s1inv[Financing Type],$L13,s1inv[Non-Cash Gain included in Cost at End of Period])</f>
        <v>0</v>
      </c>
      <c r="R13" s="208">
        <f>SUMIF(s1inv[Financing Type],$L13,s1inv[Cost at End of Period])</f>
        <v>0</v>
      </c>
      <c r="S13" s="208">
        <f>SUMIF(s1inv[Financing Type],$L13,s1inv[Unrealized Appreciation])</f>
        <v>0</v>
      </c>
      <c r="T13" s="208">
        <f>-ABS(SUMIF(s1inv[Financing Type],$L13,s1inv[(Unrealized Depreciation)]))</f>
        <v>0</v>
      </c>
      <c r="U13" s="208">
        <f>SUMIF(s1inv[Financing Type],$L13,s1inv[Class 1])</f>
        <v>0</v>
      </c>
      <c r="V13" s="208">
        <f>SUMIF(s1inv[Financing Type],$L13,s1inv[Class 2])</f>
        <v>0</v>
      </c>
      <c r="W13" s="208"/>
      <c r="X13" s="208">
        <f>SUMIF(s1inv[Financing Type],$L13,s1inv[SBA Reported Value (B)])</f>
        <v>0</v>
      </c>
      <c r="Y13" s="208">
        <f>SUMIF(s1inv[Financing Type],$L13,s1inv[GAAP Reported Value (C)])</f>
        <v>0</v>
      </c>
      <c r="Z13" s="208">
        <f>SUMIF(s1inv[Financing Type],$L13,s1inv[Cum. Cash Proceeds (D)])</f>
        <v>0</v>
      </c>
      <c r="AA13" s="210" t="str">
        <f t="shared" si="0"/>
        <v/>
      </c>
      <c r="AB13" s="211"/>
      <c r="AC13" s="210" t="str">
        <f t="shared" si="1"/>
        <v/>
      </c>
      <c r="AD13" s="212"/>
      <c r="AE13" s="192"/>
      <c r="AF13" s="193"/>
    </row>
    <row r="14" spans="1:32" outlineLevel="1" x14ac:dyDescent="0.2">
      <c r="A14" s="78"/>
      <c r="H14" s="79"/>
      <c r="I14" s="79"/>
      <c r="J14" s="77"/>
      <c r="K14" s="79"/>
      <c r="L14" s="202" t="s">
        <v>280</v>
      </c>
      <c r="M14" s="208">
        <f>SUMIF(s1inv[Financing Type],$L14,s1inv[Total Cash Invested (A)])</f>
        <v>0</v>
      </c>
      <c r="N14" s="209">
        <f>SUMIF(s1inv[Financing Type],$L14,s1inv[Cost at Beginning Period])</f>
        <v>0</v>
      </c>
      <c r="P14" s="208">
        <f>SUMIF(s1inv[Financing Type],$L14,s1inv[Addition/
Deduction])</f>
        <v>0</v>
      </c>
      <c r="Q14" s="208">
        <f>SUMIF(s1inv[Financing Type],$L14,s1inv[Non-Cash Gain included in Cost at End of Period])</f>
        <v>0</v>
      </c>
      <c r="R14" s="208">
        <f>SUMIF(s1inv[Financing Type],$L14,s1inv[Cost at End of Period])</f>
        <v>0</v>
      </c>
      <c r="S14" s="208">
        <f>SUMIF(s1inv[Financing Type],$L14,s1inv[Unrealized Appreciation])</f>
        <v>0</v>
      </c>
      <c r="T14" s="208">
        <f>-ABS(SUMIF(s1inv[Financing Type],$L14,s1inv[(Unrealized Depreciation)]))</f>
        <v>0</v>
      </c>
      <c r="U14" s="208">
        <f>SUMIF(s1inv[Financing Type],$L14,s1inv[Class 1])</f>
        <v>0</v>
      </c>
      <c r="V14" s="208">
        <f>SUMIF(s1inv[Financing Type],$L14,s1inv[Class 2])</f>
        <v>0</v>
      </c>
      <c r="W14" s="208"/>
      <c r="X14" s="208">
        <f>SUMIF(s1inv[Financing Type],$L14,s1inv[SBA Reported Value (B)])</f>
        <v>0</v>
      </c>
      <c r="Y14" s="208">
        <f>SUMIF(s1inv[Financing Type],$L14,s1inv[GAAP Reported Value (C)])</f>
        <v>0</v>
      </c>
      <c r="Z14" s="208">
        <f>SUMIF(s1inv[Financing Type],$L14,s1inv[Cum. Cash Proceeds (D)])</f>
        <v>0</v>
      </c>
      <c r="AA14" s="210" t="str">
        <f t="shared" si="0"/>
        <v/>
      </c>
      <c r="AB14" s="211"/>
      <c r="AC14" s="210" t="str">
        <f t="shared" si="1"/>
        <v/>
      </c>
      <c r="AD14" s="212"/>
      <c r="AE14" s="192"/>
      <c r="AF14" s="193"/>
    </row>
    <row r="15" spans="1:32" outlineLevel="1" x14ac:dyDescent="0.2">
      <c r="A15" s="78"/>
      <c r="H15" s="79"/>
      <c r="I15" s="79"/>
      <c r="J15" s="77"/>
      <c r="K15" s="79"/>
      <c r="L15" s="202" t="s">
        <v>309</v>
      </c>
      <c r="M15" s="208">
        <f>SUMIF(s1inv[Financing Type],$L15,s1inv[Total Cash Invested (A)])</f>
        <v>0</v>
      </c>
      <c r="N15" s="209">
        <f>SUMIF(s1inv[Financing Type],$L15,s1inv[Cost at Beginning Period])</f>
        <v>0</v>
      </c>
      <c r="P15" s="208">
        <f>SUMIF(s1inv[Financing Type],$L15,s1inv[Addition/
Deduction])</f>
        <v>0</v>
      </c>
      <c r="Q15" s="208">
        <f>SUMIF(s1inv[Financing Type],$L15,s1inv[Non-Cash Gain included in Cost at End of Period])</f>
        <v>0</v>
      </c>
      <c r="R15" s="208">
        <f>SUMIF(s1inv[Financing Type],$L15,s1inv[Cost at End of Period])</f>
        <v>0</v>
      </c>
      <c r="S15" s="208">
        <f>SUMIF(s1inv[Financing Type],$L15,s1inv[Unrealized Appreciation])</f>
        <v>0</v>
      </c>
      <c r="T15" s="208">
        <f>-ABS(SUMIF(s1inv[Financing Type],$L15,s1inv[(Unrealized Depreciation)]))</f>
        <v>0</v>
      </c>
      <c r="U15" s="208">
        <f>SUMIF(s1inv[Financing Type],$L15,s1inv[Class 1])</f>
        <v>0</v>
      </c>
      <c r="V15" s="208">
        <f>SUMIF(s1inv[Financing Type],$L15,s1inv[Class 2])</f>
        <v>0</v>
      </c>
      <c r="W15" s="208"/>
      <c r="X15" s="208">
        <f>SUMIF(s1inv[Financing Type],$L15,s1inv[SBA Reported Value (B)])</f>
        <v>0</v>
      </c>
      <c r="Y15" s="208">
        <f>SUMIF(s1inv[Financing Type],$L15,s1inv[GAAP Reported Value (C)])</f>
        <v>0</v>
      </c>
      <c r="Z15" s="208">
        <f>SUMIF(s1inv[Financing Type],$L15,s1inv[Cum. Cash Proceeds (D)])</f>
        <v>0</v>
      </c>
      <c r="AA15" s="210" t="str">
        <f t="shared" si="0"/>
        <v/>
      </c>
      <c r="AB15" s="211"/>
      <c r="AC15" s="210" t="str">
        <f t="shared" si="1"/>
        <v/>
      </c>
      <c r="AD15" s="212"/>
      <c r="AE15" s="192"/>
      <c r="AF15" s="193"/>
    </row>
    <row r="16" spans="1:32" outlineLevel="1" x14ac:dyDescent="0.2">
      <c r="A16" s="78"/>
      <c r="H16" s="79"/>
      <c r="I16" s="79"/>
      <c r="J16" s="77"/>
      <c r="K16" s="79"/>
      <c r="L16" s="202" t="s">
        <v>293</v>
      </c>
      <c r="M16" s="208">
        <f>SUMIF(s1inv[Financing Type],$L16,s1inv[Total Cash Invested (A)])</f>
        <v>0</v>
      </c>
      <c r="N16" s="209">
        <f>SUMIF(s1inv[Financing Type],$L16,s1inv[Cost at Beginning Period])</f>
        <v>0</v>
      </c>
      <c r="P16" s="208">
        <f>SUMIF(s1inv[Financing Type],$L16,s1inv[Addition/
Deduction])</f>
        <v>0</v>
      </c>
      <c r="Q16" s="208">
        <f>SUMIF(s1inv[Financing Type],$L16,s1inv[Non-Cash Gain included in Cost at End of Period])</f>
        <v>0</v>
      </c>
      <c r="R16" s="208">
        <f>SUMIF(s1inv[Financing Type],$L16,s1inv[Cost at End of Period])</f>
        <v>0</v>
      </c>
      <c r="S16" s="208">
        <f>SUMIF(s1inv[Financing Type],$L16,s1inv[Unrealized Appreciation])</f>
        <v>0</v>
      </c>
      <c r="T16" s="208">
        <f>-ABS(SUMIF(s1inv[Financing Type],$L16,s1inv[(Unrealized Depreciation)]))</f>
        <v>0</v>
      </c>
      <c r="U16" s="208">
        <f>SUMIF(s1inv[Financing Type],$L16,s1inv[Class 1])</f>
        <v>0</v>
      </c>
      <c r="V16" s="208">
        <f>SUMIF(s1inv[Financing Type],$L16,s1inv[Class 2])</f>
        <v>0</v>
      </c>
      <c r="W16" s="208"/>
      <c r="X16" s="208">
        <f>SUMIF(s1inv[Financing Type],$L16,s1inv[SBA Reported Value (B)])</f>
        <v>0</v>
      </c>
      <c r="Y16" s="208">
        <f>SUMIF(s1inv[Financing Type],$L16,s1inv[GAAP Reported Value (C)])</f>
        <v>0</v>
      </c>
      <c r="Z16" s="208">
        <f>SUMIF(s1inv[Financing Type],$L16,s1inv[Cum. Cash Proceeds (D)])</f>
        <v>0</v>
      </c>
      <c r="AA16" s="210" t="str">
        <f t="shared" si="0"/>
        <v/>
      </c>
      <c r="AB16" s="211"/>
      <c r="AC16" s="210" t="str">
        <f t="shared" si="1"/>
        <v/>
      </c>
      <c r="AD16" s="212"/>
      <c r="AE16" s="192"/>
      <c r="AF16" s="193"/>
    </row>
    <row r="17" spans="1:32" outlineLevel="1" x14ac:dyDescent="0.2">
      <c r="A17" s="78"/>
      <c r="H17" s="79"/>
      <c r="I17" s="79"/>
      <c r="J17" s="77"/>
      <c r="K17" s="79"/>
      <c r="L17" s="202" t="s">
        <v>262</v>
      </c>
      <c r="M17" s="208">
        <f>SUMIF(s1inv[Financing Type],$L17,s1inv[Total Cash Invested (A)])</f>
        <v>0</v>
      </c>
      <c r="N17" s="209">
        <f>SUMIF(s1inv[Financing Type],$L17,s1inv[Cost at Beginning Period])</f>
        <v>0</v>
      </c>
      <c r="P17" s="208">
        <f>SUMIF(s1inv[Financing Type],$L17,s1inv[Addition/
Deduction])</f>
        <v>0</v>
      </c>
      <c r="Q17" s="208">
        <f>SUMIF(s1inv[Financing Type],$L17,s1inv[Non-Cash Gain included in Cost at End of Period])</f>
        <v>0</v>
      </c>
      <c r="R17" s="208">
        <f>SUMIF(s1inv[Financing Type],$L17,s1inv[Cost at End of Period])</f>
        <v>0</v>
      </c>
      <c r="S17" s="208">
        <f>SUMIF(s1inv[Financing Type],$L17,s1inv[Unrealized Appreciation])</f>
        <v>0</v>
      </c>
      <c r="T17" s="208">
        <f>-ABS(SUMIF(s1inv[Financing Type],$L17,s1inv[(Unrealized Depreciation)]))</f>
        <v>0</v>
      </c>
      <c r="U17" s="208">
        <f>SUMIF(s1inv[Financing Type],$L17,s1inv[Class 1])</f>
        <v>0</v>
      </c>
      <c r="V17" s="208">
        <f>SUMIF(s1inv[Financing Type],$L17,s1inv[Class 2])</f>
        <v>0</v>
      </c>
      <c r="W17" s="208"/>
      <c r="X17" s="208">
        <f>SUMIF(s1inv[Financing Type],$L17,s1inv[SBA Reported Value (B)])</f>
        <v>0</v>
      </c>
      <c r="Y17" s="208">
        <f>SUMIF(s1inv[Financing Type],$L17,s1inv[GAAP Reported Value (C)])</f>
        <v>0</v>
      </c>
      <c r="Z17" s="208">
        <f>SUMIF(s1inv[Financing Type],$L17,s1inv[Cum. Cash Proceeds (D)])</f>
        <v>0</v>
      </c>
      <c r="AA17" s="210" t="str">
        <f t="shared" ref="AA17" si="4">IFERROR((X17+Z17)/M17,"")</f>
        <v/>
      </c>
      <c r="AB17" s="211"/>
      <c r="AC17" s="210"/>
      <c r="AD17" s="212"/>
      <c r="AE17" s="192"/>
      <c r="AF17" s="193"/>
    </row>
    <row r="18" spans="1:32" x14ac:dyDescent="0.2">
      <c r="A18" s="250" t="s">
        <v>2025</v>
      </c>
      <c r="B18" s="215"/>
      <c r="C18" s="215"/>
      <c r="D18" s="85"/>
      <c r="E18" s="85"/>
      <c r="F18" s="89"/>
      <c r="G18" s="89"/>
      <c r="H18" s="89"/>
      <c r="I18" s="89"/>
      <c r="J18" s="77"/>
      <c r="K18" s="79"/>
      <c r="L18" s="215" t="s">
        <v>2026</v>
      </c>
      <c r="M18" s="119">
        <f>SUM(s1inv[Total Cash Invested (A)])</f>
        <v>0</v>
      </c>
      <c r="N18" s="114">
        <f>SUM(s1inv[Cost at Beginning Period])</f>
        <v>0</v>
      </c>
      <c r="O18" s="77"/>
      <c r="P18" s="119">
        <f>SUM(s1inv[Addition/
Deduction])</f>
        <v>0</v>
      </c>
      <c r="Q18" s="119">
        <f>SUM(s1inv[Non-Cash Gain included in Cost at End of Period])</f>
        <v>0</v>
      </c>
      <c r="R18" s="119">
        <f>SUM(s1inv[Cost at End of Period])</f>
        <v>0</v>
      </c>
      <c r="S18" s="119">
        <f>SUM(s1inv[Unrealized Appreciation])</f>
        <v>0</v>
      </c>
      <c r="T18" s="119" cm="1">
        <f t="array" ref="T18">-SUM(ABS(s1inv[(Unrealized Depreciation)]))</f>
        <v>0</v>
      </c>
      <c r="U18" s="119">
        <f>SUM(s1inv[Class 1])</f>
        <v>0</v>
      </c>
      <c r="V18" s="119">
        <f>SUM(s1inv[Class 2])</f>
        <v>0</v>
      </c>
      <c r="W18" s="119"/>
      <c r="X18" s="119">
        <f>SUM(s1inv[SBA Reported Value (B)])</f>
        <v>0</v>
      </c>
      <c r="Y18" s="119">
        <f>SUM(s1inv[GAAP Reported Value (C)])</f>
        <v>0</v>
      </c>
      <c r="Z18" s="119">
        <f>SUM(s1inv[Cum. Cash Proceeds (D)])</f>
        <v>0</v>
      </c>
      <c r="AA18" s="216" t="str">
        <f t="shared" si="0"/>
        <v/>
      </c>
      <c r="AB18" s="217"/>
      <c r="AC18" s="216" t="str">
        <f t="shared" si="1"/>
        <v/>
      </c>
      <c r="AD18" s="218"/>
      <c r="AF18" s="193"/>
    </row>
    <row r="19" spans="1:32" x14ac:dyDescent="0.2">
      <c r="A19" s="78"/>
      <c r="H19" s="79"/>
      <c r="I19" s="79"/>
      <c r="J19" s="77"/>
      <c r="K19" s="79"/>
      <c r="L19" s="192"/>
      <c r="N19" s="143"/>
      <c r="AA19" s="85"/>
      <c r="AB19" s="85"/>
      <c r="AC19" s="77"/>
      <c r="AE19" s="192"/>
      <c r="AF19" s="193"/>
    </row>
    <row r="20" spans="1:32" ht="36" customHeight="1" x14ac:dyDescent="0.2">
      <c r="A20" s="251" t="s">
        <v>2027</v>
      </c>
      <c r="B20" s="219"/>
      <c r="C20" s="219"/>
      <c r="D20" s="82"/>
      <c r="E20" s="82"/>
      <c r="F20" s="137"/>
      <c r="G20" s="137"/>
      <c r="H20" s="137"/>
      <c r="I20" s="137"/>
      <c r="J20" s="82"/>
      <c r="K20" s="137"/>
      <c r="L20" s="220"/>
      <c r="M20" s="221"/>
      <c r="N20" s="96"/>
      <c r="O20" s="252" t="s">
        <v>2028</v>
      </c>
      <c r="P20" s="96"/>
      <c r="Q20" s="96"/>
      <c r="R20" s="96"/>
      <c r="S20" s="96"/>
      <c r="T20" s="96"/>
      <c r="U20" s="96"/>
      <c r="V20" s="96"/>
      <c r="W20" s="96"/>
      <c r="X20" s="96"/>
      <c r="Y20" s="96"/>
      <c r="Z20" s="96"/>
      <c r="AA20" s="752" t="s">
        <v>2003</v>
      </c>
      <c r="AB20" s="753"/>
      <c r="AC20" s="754" t="s">
        <v>2004</v>
      </c>
      <c r="AD20" s="755"/>
      <c r="AE20" s="220"/>
      <c r="AF20" s="222"/>
    </row>
    <row r="21" spans="1:32" s="258" customFormat="1" ht="40" x14ac:dyDescent="0.35">
      <c r="A21" s="253" t="s">
        <v>2029</v>
      </c>
      <c r="B21" s="254" t="s">
        <v>2030</v>
      </c>
      <c r="C21" s="254" t="s">
        <v>3540</v>
      </c>
      <c r="D21" s="254" t="s">
        <v>2032</v>
      </c>
      <c r="E21" s="254" t="s">
        <v>2031</v>
      </c>
      <c r="F21" s="254" t="s">
        <v>2033</v>
      </c>
      <c r="G21" s="254" t="s">
        <v>2034</v>
      </c>
      <c r="H21" s="254" t="s">
        <v>3508</v>
      </c>
      <c r="I21" s="254" t="s">
        <v>2035</v>
      </c>
      <c r="J21" s="254" t="s">
        <v>2036</v>
      </c>
      <c r="K21" s="254" t="s">
        <v>2037</v>
      </c>
      <c r="L21" s="255" t="s">
        <v>2038</v>
      </c>
      <c r="M21" s="255" t="s">
        <v>2005</v>
      </c>
      <c r="N21" s="256" t="s">
        <v>2006</v>
      </c>
      <c r="O21" s="255" t="s">
        <v>2039</v>
      </c>
      <c r="P21" s="255" t="s">
        <v>2007</v>
      </c>
      <c r="Q21" s="255" t="s">
        <v>3477</v>
      </c>
      <c r="R21" s="255" t="s">
        <v>2009</v>
      </c>
      <c r="S21" s="255" t="s">
        <v>2010</v>
      </c>
      <c r="T21" s="255" t="s">
        <v>2011</v>
      </c>
      <c r="U21" s="255" t="s">
        <v>2012</v>
      </c>
      <c r="V21" s="255" t="s">
        <v>2013</v>
      </c>
      <c r="W21" s="253" t="s">
        <v>2014</v>
      </c>
      <c r="X21" s="255" t="s">
        <v>2015</v>
      </c>
      <c r="Y21" s="257" t="s">
        <v>2016</v>
      </c>
      <c r="Z21" s="255" t="s">
        <v>2017</v>
      </c>
      <c r="AA21" s="255" t="s">
        <v>2018</v>
      </c>
      <c r="AB21" s="255" t="s">
        <v>2019</v>
      </c>
      <c r="AC21" s="255" t="s">
        <v>2020</v>
      </c>
      <c r="AD21" s="255" t="s">
        <v>2021</v>
      </c>
      <c r="AE21" s="255" t="s">
        <v>2040</v>
      </c>
    </row>
    <row r="22" spans="1:32" s="242" customFormat="1" x14ac:dyDescent="0.35">
      <c r="A22" s="223"/>
      <c r="B22" s="224" t="str">
        <f>IF(IFERROR(VLOOKUP(s1inv[[#This Row],[Portfolio Company Name]],s11cumperf[],2,FALSE),"")="","",(IFERROR(VLOOKUP(s1inv[[#This Row],[Portfolio Company Name]],s11cumperf[],2,FALSE),"")))</f>
        <v/>
      </c>
      <c r="C22" s="694"/>
      <c r="D22" s="225"/>
      <c r="E22" s="226"/>
      <c r="F22" s="227"/>
      <c r="G22" s="228"/>
      <c r="H22" s="229"/>
      <c r="I22" s="230"/>
      <c r="J22" s="231"/>
      <c r="K22" s="232"/>
      <c r="L22" s="227"/>
      <c r="M22" s="233"/>
      <c r="N22" s="233"/>
      <c r="O22" s="234"/>
      <c r="P22" s="235">
        <f>IF(s1inv[[#This Row],[Schedule 1c Reference Number]]="",0,SUMIF(sched1c[Reference ID],s1inv[[#This Row],[Employer ID]]&amp;"-"&amp;s1inv[[#This Row],[Schedule 1c Reference Number]],sched1c[Change to Cost]))</f>
        <v>0</v>
      </c>
      <c r="Q22" s="233"/>
      <c r="R22" s="235">
        <f>s1inv[[#This Row],[Cost at Beginning Period]]+s1inv[[#This Row],[Addition/
Deduction]]</f>
        <v>0</v>
      </c>
      <c r="S22" s="233"/>
      <c r="T22" s="236"/>
      <c r="U22" s="233"/>
      <c r="V22" s="225"/>
      <c r="W22" s="227"/>
      <c r="X22" s="237">
        <f>s1inv[[#This Row],[Cost at End of Period]]+s1inv[[#This Row],[Unrealized Appreciation]]-ABS(s1inv[[#This Row],[(Unrealized Depreciation)]])</f>
        <v>0</v>
      </c>
      <c r="Y22" s="238">
        <v>0</v>
      </c>
      <c r="Z22" s="238"/>
      <c r="AA22" s="239" t="str">
        <f>IFERROR((s1inv[[#This Row],[SBA Reported Value (B)]]+s1inv[[#This Row],[Cum. Cash Proceeds (D)]])/s1inv[[#This Row],[Total Cash Invested (A)]],"")</f>
        <v/>
      </c>
      <c r="AB22" s="240"/>
      <c r="AC22" s="239" t="str">
        <f>IFERROR((s1inv[[#This Row],[GAAP Reported Value (C)]]+s1inv[[#This Row],[Cum. Cash Proceeds (D)]])/s1inv[[#This Row],[Total Cash Invested (A)]],"")</f>
        <v/>
      </c>
      <c r="AD22" s="240"/>
      <c r="AE22" s="241" t="str">
        <f>IF(IFERROR(VLOOKUP(s1inv[[#This Row],[Portfolio Company Name]],s11cumperf[],4,FALSE),"")="","",(IFERROR(VLOOKUP(s1inv[[#This Row],[Portfolio Company Name]],s11cumperf[],4,FALSE),"")))</f>
        <v/>
      </c>
    </row>
    <row r="23" spans="1:32" s="242" customFormat="1" x14ac:dyDescent="0.35">
      <c r="A23" s="223" t="s">
        <v>243</v>
      </c>
      <c r="B23" s="224" t="str">
        <f>IF(IFERROR(VLOOKUP(s1inv[[#This Row],[Portfolio Company Name]],s11cumperf[],2,FALSE),"")="","",(IFERROR(VLOOKUP(s1inv[[#This Row],[Portfolio Company Name]],s11cumperf[],2,FALSE),"")))</f>
        <v/>
      </c>
      <c r="C23" s="694"/>
      <c r="D23" s="225"/>
      <c r="E23" s="226"/>
      <c r="F23" s="227"/>
      <c r="G23" s="228"/>
      <c r="H23" s="229"/>
      <c r="I23" s="230"/>
      <c r="J23" s="231"/>
      <c r="K23" s="232"/>
      <c r="L23" s="227"/>
      <c r="M23" s="233"/>
      <c r="N23" s="233"/>
      <c r="O23" s="234"/>
      <c r="P23" s="235">
        <f>IF(s1inv[[#This Row],[Schedule 1c Reference Number]]="",0,SUMIF(sched1c[Reference ID],s1inv[[#This Row],[Employer ID]]&amp;"-"&amp;s1inv[[#This Row],[Schedule 1c Reference Number]],sched1c[Change to Cost]))</f>
        <v>0</v>
      </c>
      <c r="Q23" s="233"/>
      <c r="R23" s="235">
        <f>s1inv[[#This Row],[Cost at Beginning Period]]+s1inv[[#This Row],[Addition/
Deduction]]</f>
        <v>0</v>
      </c>
      <c r="S23" s="233"/>
      <c r="T23" s="236"/>
      <c r="U23" s="233"/>
      <c r="V23" s="225"/>
      <c r="W23" s="227"/>
      <c r="X23" s="237">
        <f>s1inv[[#This Row],[Cost at End of Period]]+s1inv[[#This Row],[Unrealized Appreciation]]-ABS(s1inv[[#This Row],[(Unrealized Depreciation)]])</f>
        <v>0</v>
      </c>
      <c r="Y23" s="238">
        <v>0</v>
      </c>
      <c r="Z23" s="238"/>
      <c r="AA23" s="239" t="str">
        <f>IFERROR((s1inv[[#This Row],[SBA Reported Value (B)]]+s1inv[[#This Row],[Cum. Cash Proceeds (D)]])/s1inv[[#This Row],[Total Cash Invested (A)]],"")</f>
        <v/>
      </c>
      <c r="AB23" s="240"/>
      <c r="AC23" s="239" t="str">
        <f>IFERROR((s1inv[[#This Row],[GAAP Reported Value (C)]]+s1inv[[#This Row],[Cum. Cash Proceeds (D)]])/s1inv[[#This Row],[Total Cash Invested (A)]],"")</f>
        <v/>
      </c>
      <c r="AD23" s="240"/>
      <c r="AE23" s="241" t="str">
        <f>IF(IFERROR(VLOOKUP(s1inv[[#This Row],[Portfolio Company Name]],s11cumperf[],4,FALSE),"")="","",(IFERROR(VLOOKUP(s1inv[[#This Row],[Portfolio Company Name]],s11cumperf[],4,FALSE),"")))</f>
        <v/>
      </c>
    </row>
    <row r="24" spans="1:32" s="242" customFormat="1" x14ac:dyDescent="0.35">
      <c r="A24" s="223" t="s">
        <v>243</v>
      </c>
      <c r="B24" s="224" t="str">
        <f>IF(IFERROR(VLOOKUP(s1inv[[#This Row],[Portfolio Company Name]],s11cumperf[],2,FALSE),"")="","",(IFERROR(VLOOKUP(s1inv[[#This Row],[Portfolio Company Name]],s11cumperf[],2,FALSE),"")))</f>
        <v/>
      </c>
      <c r="C24" s="694"/>
      <c r="D24" s="225"/>
      <c r="E24" s="226"/>
      <c r="F24" s="227"/>
      <c r="G24" s="228"/>
      <c r="H24" s="229"/>
      <c r="I24" s="230"/>
      <c r="J24" s="231"/>
      <c r="K24" s="232"/>
      <c r="L24" s="227"/>
      <c r="M24" s="233"/>
      <c r="N24" s="233"/>
      <c r="O24" s="234"/>
      <c r="P24" s="235">
        <f>IF(s1inv[[#This Row],[Schedule 1c Reference Number]]="",0,SUMIF(sched1c[Reference ID],s1inv[[#This Row],[Employer ID]]&amp;"-"&amp;s1inv[[#This Row],[Schedule 1c Reference Number]],sched1c[Change to Cost]))</f>
        <v>0</v>
      </c>
      <c r="Q24" s="233"/>
      <c r="R24" s="235">
        <f>s1inv[[#This Row],[Cost at Beginning Period]]+s1inv[[#This Row],[Addition/
Deduction]]</f>
        <v>0</v>
      </c>
      <c r="S24" s="233"/>
      <c r="T24" s="236"/>
      <c r="U24" s="233"/>
      <c r="V24" s="225"/>
      <c r="W24" s="227"/>
      <c r="X24" s="237">
        <f>s1inv[[#This Row],[Cost at End of Period]]+s1inv[[#This Row],[Unrealized Appreciation]]-ABS(s1inv[[#This Row],[(Unrealized Depreciation)]])</f>
        <v>0</v>
      </c>
      <c r="Y24" s="238">
        <v>0</v>
      </c>
      <c r="Z24" s="238"/>
      <c r="AA24" s="239" t="str">
        <f>IFERROR((s1inv[[#This Row],[SBA Reported Value (B)]]+s1inv[[#This Row],[Cum. Cash Proceeds (D)]])/s1inv[[#This Row],[Total Cash Invested (A)]],"")</f>
        <v/>
      </c>
      <c r="AB24" s="240"/>
      <c r="AC24" s="239" t="str">
        <f>IFERROR((s1inv[[#This Row],[GAAP Reported Value (C)]]+s1inv[[#This Row],[Cum. Cash Proceeds (D)]])/s1inv[[#This Row],[Total Cash Invested (A)]],"")</f>
        <v/>
      </c>
      <c r="AD24" s="240"/>
      <c r="AE24" s="241" t="str">
        <f>IF(IFERROR(VLOOKUP(s1inv[[#This Row],[Portfolio Company Name]],s11cumperf[],4,FALSE),"")="","",(IFERROR(VLOOKUP(s1inv[[#This Row],[Portfolio Company Name]],s11cumperf[],4,FALSE),"")))</f>
        <v/>
      </c>
    </row>
    <row r="25" spans="1:32" s="242" customFormat="1" x14ac:dyDescent="0.35">
      <c r="A25" s="223" t="s">
        <v>243</v>
      </c>
      <c r="B25" s="224" t="str">
        <f>IF(IFERROR(VLOOKUP(s1inv[[#This Row],[Portfolio Company Name]],s11cumperf[],2,FALSE),"")="","",(IFERROR(VLOOKUP(s1inv[[#This Row],[Portfolio Company Name]],s11cumperf[],2,FALSE),"")))</f>
        <v/>
      </c>
      <c r="C25" s="694"/>
      <c r="D25" s="225"/>
      <c r="E25" s="226"/>
      <c r="F25" s="227"/>
      <c r="G25" s="228"/>
      <c r="H25" s="229"/>
      <c r="I25" s="230"/>
      <c r="J25" s="231"/>
      <c r="K25" s="232"/>
      <c r="L25" s="227"/>
      <c r="M25" s="233"/>
      <c r="N25" s="233"/>
      <c r="O25" s="234"/>
      <c r="P25" s="235">
        <f>IF(s1inv[[#This Row],[Schedule 1c Reference Number]]="",0,SUMIF(sched1c[Reference ID],s1inv[[#This Row],[Employer ID]]&amp;"-"&amp;s1inv[[#This Row],[Schedule 1c Reference Number]],sched1c[Change to Cost]))</f>
        <v>0</v>
      </c>
      <c r="Q25" s="233"/>
      <c r="R25" s="235">
        <f>s1inv[[#This Row],[Cost at Beginning Period]]+s1inv[[#This Row],[Addition/
Deduction]]</f>
        <v>0</v>
      </c>
      <c r="S25" s="233"/>
      <c r="T25" s="236"/>
      <c r="U25" s="233"/>
      <c r="V25" s="225"/>
      <c r="W25" s="227"/>
      <c r="X25" s="237">
        <f>s1inv[[#This Row],[Cost at End of Period]]+s1inv[[#This Row],[Unrealized Appreciation]]-ABS(s1inv[[#This Row],[(Unrealized Depreciation)]])</f>
        <v>0</v>
      </c>
      <c r="Y25" s="238">
        <v>0</v>
      </c>
      <c r="Z25" s="238"/>
      <c r="AA25" s="239" t="str">
        <f>IFERROR((s1inv[[#This Row],[SBA Reported Value (B)]]+s1inv[[#This Row],[Cum. Cash Proceeds (D)]])/s1inv[[#This Row],[Total Cash Invested (A)]],"")</f>
        <v/>
      </c>
      <c r="AB25" s="240"/>
      <c r="AC25" s="239" t="str">
        <f>IFERROR((s1inv[[#This Row],[GAAP Reported Value (C)]]+s1inv[[#This Row],[Cum. Cash Proceeds (D)]])/s1inv[[#This Row],[Total Cash Invested (A)]],"")</f>
        <v/>
      </c>
      <c r="AD25" s="240"/>
      <c r="AE25" s="241" t="str">
        <f>IF(IFERROR(VLOOKUP(s1inv[[#This Row],[Portfolio Company Name]],s11cumperf[],4,FALSE),"")="","",(IFERROR(VLOOKUP(s1inv[[#This Row],[Portfolio Company Name]],s11cumperf[],4,FALSE),"")))</f>
        <v/>
      </c>
    </row>
    <row r="26" spans="1:32" s="242" customFormat="1" x14ac:dyDescent="0.35">
      <c r="A26" s="223" t="s">
        <v>243</v>
      </c>
      <c r="B26" s="224" t="str">
        <f>IF(IFERROR(VLOOKUP(s1inv[[#This Row],[Portfolio Company Name]],s11cumperf[],2,FALSE),"")="","",(IFERROR(VLOOKUP(s1inv[[#This Row],[Portfolio Company Name]],s11cumperf[],2,FALSE),"")))</f>
        <v/>
      </c>
      <c r="C26" s="694"/>
      <c r="D26" s="225"/>
      <c r="E26" s="226"/>
      <c r="F26" s="227"/>
      <c r="G26" s="228"/>
      <c r="H26" s="229"/>
      <c r="I26" s="230"/>
      <c r="J26" s="231"/>
      <c r="K26" s="232"/>
      <c r="L26" s="227"/>
      <c r="M26" s="233"/>
      <c r="N26" s="233"/>
      <c r="O26" s="234"/>
      <c r="P26" s="235">
        <f>IF(s1inv[[#This Row],[Schedule 1c Reference Number]]="",0,SUMIF(sched1c[Reference ID],s1inv[[#This Row],[Employer ID]]&amp;"-"&amp;s1inv[[#This Row],[Schedule 1c Reference Number]],sched1c[Change to Cost]))</f>
        <v>0</v>
      </c>
      <c r="Q26" s="233"/>
      <c r="R26" s="235">
        <f>s1inv[[#This Row],[Cost at Beginning Period]]+s1inv[[#This Row],[Addition/
Deduction]]</f>
        <v>0</v>
      </c>
      <c r="S26" s="233"/>
      <c r="T26" s="236"/>
      <c r="U26" s="233"/>
      <c r="V26" s="225"/>
      <c r="W26" s="227"/>
      <c r="X26" s="237">
        <f>s1inv[[#This Row],[Cost at End of Period]]+s1inv[[#This Row],[Unrealized Appreciation]]-ABS(s1inv[[#This Row],[(Unrealized Depreciation)]])</f>
        <v>0</v>
      </c>
      <c r="Y26" s="238">
        <v>0</v>
      </c>
      <c r="Z26" s="238"/>
      <c r="AA26" s="239" t="str">
        <f>IFERROR((s1inv[[#This Row],[SBA Reported Value (B)]]+s1inv[[#This Row],[Cum. Cash Proceeds (D)]])/s1inv[[#This Row],[Total Cash Invested (A)]],"")</f>
        <v/>
      </c>
      <c r="AB26" s="240"/>
      <c r="AC26" s="239" t="str">
        <f>IFERROR((s1inv[[#This Row],[GAAP Reported Value (C)]]+s1inv[[#This Row],[Cum. Cash Proceeds (D)]])/s1inv[[#This Row],[Total Cash Invested (A)]],"")</f>
        <v/>
      </c>
      <c r="AD26" s="240"/>
      <c r="AE26" s="241" t="str">
        <f>IF(IFERROR(VLOOKUP(s1inv[[#This Row],[Portfolio Company Name]],s11cumperf[],4,FALSE),"")="","",(IFERROR(VLOOKUP(s1inv[[#This Row],[Portfolio Company Name]],s11cumperf[],4,FALSE),"")))</f>
        <v/>
      </c>
    </row>
    <row r="27" spans="1:32" s="242" customFormat="1" x14ac:dyDescent="0.35">
      <c r="A27" s="223" t="s">
        <v>243</v>
      </c>
      <c r="B27" s="224" t="str">
        <f>IF(IFERROR(VLOOKUP(s1inv[[#This Row],[Portfolio Company Name]],s11cumperf[],2,FALSE),"")="","",(IFERROR(VLOOKUP(s1inv[[#This Row],[Portfolio Company Name]],s11cumperf[],2,FALSE),"")))</f>
        <v/>
      </c>
      <c r="C27" s="694"/>
      <c r="D27" s="225"/>
      <c r="E27" s="226"/>
      <c r="F27" s="227"/>
      <c r="G27" s="228"/>
      <c r="H27" s="229"/>
      <c r="I27" s="230"/>
      <c r="J27" s="231"/>
      <c r="K27" s="232"/>
      <c r="L27" s="227"/>
      <c r="M27" s="233"/>
      <c r="N27" s="233"/>
      <c r="O27" s="234"/>
      <c r="P27" s="235">
        <f>IF(s1inv[[#This Row],[Schedule 1c Reference Number]]="",0,SUMIF(sched1c[Reference ID],s1inv[[#This Row],[Employer ID]]&amp;"-"&amp;s1inv[[#This Row],[Schedule 1c Reference Number]],sched1c[Change to Cost]))</f>
        <v>0</v>
      </c>
      <c r="Q27" s="233"/>
      <c r="R27" s="235">
        <f>s1inv[[#This Row],[Cost at Beginning Period]]+s1inv[[#This Row],[Addition/
Deduction]]</f>
        <v>0</v>
      </c>
      <c r="S27" s="233"/>
      <c r="T27" s="236"/>
      <c r="U27" s="233"/>
      <c r="V27" s="225"/>
      <c r="W27" s="227"/>
      <c r="X27" s="237">
        <f>s1inv[[#This Row],[Cost at End of Period]]+s1inv[[#This Row],[Unrealized Appreciation]]-ABS(s1inv[[#This Row],[(Unrealized Depreciation)]])</f>
        <v>0</v>
      </c>
      <c r="Y27" s="238">
        <v>0</v>
      </c>
      <c r="Z27" s="238"/>
      <c r="AA27" s="239" t="str">
        <f>IFERROR((s1inv[[#This Row],[SBA Reported Value (B)]]+s1inv[[#This Row],[Cum. Cash Proceeds (D)]])/s1inv[[#This Row],[Total Cash Invested (A)]],"")</f>
        <v/>
      </c>
      <c r="AB27" s="240"/>
      <c r="AC27" s="239" t="str">
        <f>IFERROR((s1inv[[#This Row],[GAAP Reported Value (C)]]+s1inv[[#This Row],[Cum. Cash Proceeds (D)]])/s1inv[[#This Row],[Total Cash Invested (A)]],"")</f>
        <v/>
      </c>
      <c r="AD27" s="240"/>
      <c r="AE27" s="241" t="str">
        <f>IF(IFERROR(VLOOKUP(s1inv[[#This Row],[Portfolio Company Name]],s11cumperf[],4,FALSE),"")="","",(IFERROR(VLOOKUP(s1inv[[#This Row],[Portfolio Company Name]],s11cumperf[],4,FALSE),"")))</f>
        <v/>
      </c>
    </row>
    <row r="28" spans="1:32" s="242" customFormat="1" x14ac:dyDescent="0.35">
      <c r="A28" s="223" t="s">
        <v>243</v>
      </c>
      <c r="B28" s="224" t="str">
        <f>IF(IFERROR(VLOOKUP(s1inv[[#This Row],[Portfolio Company Name]],s11cumperf[],2,FALSE),"")="","",(IFERROR(VLOOKUP(s1inv[[#This Row],[Portfolio Company Name]],s11cumperf[],2,FALSE),"")))</f>
        <v/>
      </c>
      <c r="C28" s="694"/>
      <c r="D28" s="225"/>
      <c r="E28" s="226"/>
      <c r="F28" s="227"/>
      <c r="G28" s="228"/>
      <c r="H28" s="229"/>
      <c r="I28" s="230"/>
      <c r="J28" s="231"/>
      <c r="K28" s="232"/>
      <c r="L28" s="227"/>
      <c r="M28" s="233"/>
      <c r="N28" s="233"/>
      <c r="O28" s="234"/>
      <c r="P28" s="235">
        <f>IF(s1inv[[#This Row],[Schedule 1c Reference Number]]="",0,SUMIF(sched1c[Reference ID],s1inv[[#This Row],[Employer ID]]&amp;"-"&amp;s1inv[[#This Row],[Schedule 1c Reference Number]],sched1c[Change to Cost]))</f>
        <v>0</v>
      </c>
      <c r="Q28" s="233"/>
      <c r="R28" s="235">
        <f>s1inv[[#This Row],[Cost at Beginning Period]]+s1inv[[#This Row],[Addition/
Deduction]]</f>
        <v>0</v>
      </c>
      <c r="S28" s="233"/>
      <c r="T28" s="236"/>
      <c r="U28" s="233"/>
      <c r="V28" s="225"/>
      <c r="W28" s="227"/>
      <c r="X28" s="237">
        <f>s1inv[[#This Row],[Cost at End of Period]]+s1inv[[#This Row],[Unrealized Appreciation]]-ABS(s1inv[[#This Row],[(Unrealized Depreciation)]])</f>
        <v>0</v>
      </c>
      <c r="Y28" s="238">
        <v>0</v>
      </c>
      <c r="Z28" s="238"/>
      <c r="AA28" s="239" t="str">
        <f>IFERROR((s1inv[[#This Row],[SBA Reported Value (B)]]+s1inv[[#This Row],[Cum. Cash Proceeds (D)]])/s1inv[[#This Row],[Total Cash Invested (A)]],"")</f>
        <v/>
      </c>
      <c r="AB28" s="240"/>
      <c r="AC28" s="239" t="str">
        <f>IFERROR((s1inv[[#This Row],[GAAP Reported Value (C)]]+s1inv[[#This Row],[Cum. Cash Proceeds (D)]])/s1inv[[#This Row],[Total Cash Invested (A)]],"")</f>
        <v/>
      </c>
      <c r="AD28" s="240"/>
      <c r="AE28" s="241" t="str">
        <f>IF(IFERROR(VLOOKUP(s1inv[[#This Row],[Portfolio Company Name]],s11cumperf[],4,FALSE),"")="","",(IFERROR(VLOOKUP(s1inv[[#This Row],[Portfolio Company Name]],s11cumperf[],4,FALSE),"")))</f>
        <v/>
      </c>
    </row>
    <row r="29" spans="1:32" s="242" customFormat="1" x14ac:dyDescent="0.35">
      <c r="A29" s="223" t="s">
        <v>243</v>
      </c>
      <c r="B29" s="224" t="str">
        <f>IF(IFERROR(VLOOKUP(s1inv[[#This Row],[Portfolio Company Name]],s11cumperf[],2,FALSE),"")="","",(IFERROR(VLOOKUP(s1inv[[#This Row],[Portfolio Company Name]],s11cumperf[],2,FALSE),"")))</f>
        <v/>
      </c>
      <c r="C29" s="694"/>
      <c r="D29" s="225"/>
      <c r="E29" s="226"/>
      <c r="F29" s="227"/>
      <c r="G29" s="228"/>
      <c r="H29" s="229"/>
      <c r="I29" s="230"/>
      <c r="J29" s="231"/>
      <c r="K29" s="232"/>
      <c r="L29" s="227"/>
      <c r="M29" s="233"/>
      <c r="N29" s="233"/>
      <c r="O29" s="234"/>
      <c r="P29" s="235">
        <f>IF(s1inv[[#This Row],[Schedule 1c Reference Number]]="",0,SUMIF(sched1c[Reference ID],s1inv[[#This Row],[Employer ID]]&amp;"-"&amp;s1inv[[#This Row],[Schedule 1c Reference Number]],sched1c[Change to Cost]))</f>
        <v>0</v>
      </c>
      <c r="Q29" s="233"/>
      <c r="R29" s="235">
        <f>s1inv[[#This Row],[Cost at Beginning Period]]+s1inv[[#This Row],[Addition/
Deduction]]</f>
        <v>0</v>
      </c>
      <c r="S29" s="233"/>
      <c r="T29" s="236"/>
      <c r="U29" s="233"/>
      <c r="V29" s="225"/>
      <c r="W29" s="227"/>
      <c r="X29" s="237">
        <f>s1inv[[#This Row],[Cost at End of Period]]+s1inv[[#This Row],[Unrealized Appreciation]]-ABS(s1inv[[#This Row],[(Unrealized Depreciation)]])</f>
        <v>0</v>
      </c>
      <c r="Y29" s="238">
        <v>0</v>
      </c>
      <c r="Z29" s="238"/>
      <c r="AA29" s="239" t="str">
        <f>IFERROR((s1inv[[#This Row],[SBA Reported Value (B)]]+s1inv[[#This Row],[Cum. Cash Proceeds (D)]])/s1inv[[#This Row],[Total Cash Invested (A)]],"")</f>
        <v/>
      </c>
      <c r="AB29" s="240"/>
      <c r="AC29" s="239" t="str">
        <f>IFERROR((s1inv[[#This Row],[GAAP Reported Value (C)]]+s1inv[[#This Row],[Cum. Cash Proceeds (D)]])/s1inv[[#This Row],[Total Cash Invested (A)]],"")</f>
        <v/>
      </c>
      <c r="AD29" s="240"/>
      <c r="AE29" s="241" t="str">
        <f>IF(IFERROR(VLOOKUP(s1inv[[#This Row],[Portfolio Company Name]],s11cumperf[],4,FALSE),"")="","",(IFERROR(VLOOKUP(s1inv[[#This Row],[Portfolio Company Name]],s11cumperf[],4,FALSE),"")))</f>
        <v/>
      </c>
    </row>
    <row r="30" spans="1:32" s="242" customFormat="1" x14ac:dyDescent="0.35">
      <c r="A30" s="223" t="s">
        <v>243</v>
      </c>
      <c r="B30" s="224" t="str">
        <f>IF(IFERROR(VLOOKUP(s1inv[[#This Row],[Portfolio Company Name]],s11cumperf[],2,FALSE),"")="","",(IFERROR(VLOOKUP(s1inv[[#This Row],[Portfolio Company Name]],s11cumperf[],2,FALSE),"")))</f>
        <v/>
      </c>
      <c r="C30" s="694"/>
      <c r="D30" s="225"/>
      <c r="E30" s="226"/>
      <c r="F30" s="227"/>
      <c r="G30" s="228"/>
      <c r="H30" s="229"/>
      <c r="I30" s="230"/>
      <c r="J30" s="231"/>
      <c r="K30" s="232"/>
      <c r="L30" s="227"/>
      <c r="M30" s="233"/>
      <c r="N30" s="233"/>
      <c r="O30" s="234"/>
      <c r="P30" s="235">
        <f>IF(s1inv[[#This Row],[Schedule 1c Reference Number]]="",0,SUMIF(sched1c[Reference ID],s1inv[[#This Row],[Employer ID]]&amp;"-"&amp;s1inv[[#This Row],[Schedule 1c Reference Number]],sched1c[Change to Cost]))</f>
        <v>0</v>
      </c>
      <c r="Q30" s="233"/>
      <c r="R30" s="235">
        <f>s1inv[[#This Row],[Cost at Beginning Period]]+s1inv[[#This Row],[Addition/
Deduction]]</f>
        <v>0</v>
      </c>
      <c r="S30" s="233"/>
      <c r="T30" s="236"/>
      <c r="U30" s="233"/>
      <c r="V30" s="225"/>
      <c r="W30" s="227"/>
      <c r="X30" s="237">
        <f>s1inv[[#This Row],[Cost at End of Period]]+s1inv[[#This Row],[Unrealized Appreciation]]-ABS(s1inv[[#This Row],[(Unrealized Depreciation)]])</f>
        <v>0</v>
      </c>
      <c r="Y30" s="238">
        <v>0</v>
      </c>
      <c r="Z30" s="238"/>
      <c r="AA30" s="239" t="str">
        <f>IFERROR((s1inv[[#This Row],[SBA Reported Value (B)]]+s1inv[[#This Row],[Cum. Cash Proceeds (D)]])/s1inv[[#This Row],[Total Cash Invested (A)]],"")</f>
        <v/>
      </c>
      <c r="AB30" s="240"/>
      <c r="AC30" s="239" t="str">
        <f>IFERROR((s1inv[[#This Row],[GAAP Reported Value (C)]]+s1inv[[#This Row],[Cum. Cash Proceeds (D)]])/s1inv[[#This Row],[Total Cash Invested (A)]],"")</f>
        <v/>
      </c>
      <c r="AD30" s="240"/>
      <c r="AE30" s="241" t="str">
        <f>IF(IFERROR(VLOOKUP(s1inv[[#This Row],[Portfolio Company Name]],s11cumperf[],4,FALSE),"")="","",(IFERROR(VLOOKUP(s1inv[[#This Row],[Portfolio Company Name]],s11cumperf[],4,FALSE),"")))</f>
        <v/>
      </c>
    </row>
    <row r="31" spans="1:32" s="242" customFormat="1" x14ac:dyDescent="0.35">
      <c r="A31" s="223" t="s">
        <v>243</v>
      </c>
      <c r="B31" s="224" t="str">
        <f>IF(IFERROR(VLOOKUP(s1inv[[#This Row],[Portfolio Company Name]],s11cumperf[],2,FALSE),"")="","",(IFERROR(VLOOKUP(s1inv[[#This Row],[Portfolio Company Name]],s11cumperf[],2,FALSE),"")))</f>
        <v/>
      </c>
      <c r="C31" s="694"/>
      <c r="D31" s="225"/>
      <c r="E31" s="226"/>
      <c r="F31" s="227"/>
      <c r="G31" s="228"/>
      <c r="H31" s="229"/>
      <c r="I31" s="230"/>
      <c r="J31" s="231"/>
      <c r="K31" s="232"/>
      <c r="L31" s="227"/>
      <c r="M31" s="233"/>
      <c r="N31" s="233"/>
      <c r="O31" s="234"/>
      <c r="P31" s="235">
        <f>IF(s1inv[[#This Row],[Schedule 1c Reference Number]]="",0,SUMIF(sched1c[Reference ID],s1inv[[#This Row],[Employer ID]]&amp;"-"&amp;s1inv[[#This Row],[Schedule 1c Reference Number]],sched1c[Change to Cost]))</f>
        <v>0</v>
      </c>
      <c r="Q31" s="233"/>
      <c r="R31" s="235">
        <f>s1inv[[#This Row],[Cost at Beginning Period]]+s1inv[[#This Row],[Addition/
Deduction]]</f>
        <v>0</v>
      </c>
      <c r="S31" s="233"/>
      <c r="T31" s="236"/>
      <c r="U31" s="233"/>
      <c r="V31" s="225"/>
      <c r="W31" s="227"/>
      <c r="X31" s="237">
        <f>s1inv[[#This Row],[Cost at End of Period]]+s1inv[[#This Row],[Unrealized Appreciation]]-ABS(s1inv[[#This Row],[(Unrealized Depreciation)]])</f>
        <v>0</v>
      </c>
      <c r="Y31" s="238">
        <v>0</v>
      </c>
      <c r="Z31" s="238"/>
      <c r="AA31" s="239" t="str">
        <f>IFERROR((s1inv[[#This Row],[SBA Reported Value (B)]]+s1inv[[#This Row],[Cum. Cash Proceeds (D)]])/s1inv[[#This Row],[Total Cash Invested (A)]],"")</f>
        <v/>
      </c>
      <c r="AB31" s="240"/>
      <c r="AC31" s="239" t="str">
        <f>IFERROR((s1inv[[#This Row],[GAAP Reported Value (C)]]+s1inv[[#This Row],[Cum. Cash Proceeds (D)]])/s1inv[[#This Row],[Total Cash Invested (A)]],"")</f>
        <v/>
      </c>
      <c r="AD31" s="240"/>
      <c r="AE31" s="241" t="str">
        <f>IF(IFERROR(VLOOKUP(s1inv[[#This Row],[Portfolio Company Name]],s11cumperf[],4,FALSE),"")="","",(IFERROR(VLOOKUP(s1inv[[#This Row],[Portfolio Company Name]],s11cumperf[],4,FALSE),"")))</f>
        <v/>
      </c>
    </row>
    <row r="32" spans="1:32" s="242" customFormat="1" x14ac:dyDescent="0.35">
      <c r="A32" s="223" t="s">
        <v>243</v>
      </c>
      <c r="B32" s="224" t="str">
        <f>IF(IFERROR(VLOOKUP(s1inv[[#This Row],[Portfolio Company Name]],s11cumperf[],2,FALSE),"")="","",(IFERROR(VLOOKUP(s1inv[[#This Row],[Portfolio Company Name]],s11cumperf[],2,FALSE),"")))</f>
        <v/>
      </c>
      <c r="C32" s="694"/>
      <c r="D32" s="225"/>
      <c r="E32" s="226"/>
      <c r="F32" s="227"/>
      <c r="G32" s="228"/>
      <c r="H32" s="229"/>
      <c r="I32" s="230"/>
      <c r="J32" s="231"/>
      <c r="K32" s="232"/>
      <c r="L32" s="227"/>
      <c r="M32" s="233"/>
      <c r="N32" s="233"/>
      <c r="O32" s="234"/>
      <c r="P32" s="235">
        <f>IF(s1inv[[#This Row],[Schedule 1c Reference Number]]="",0,SUMIF(sched1c[Reference ID],s1inv[[#This Row],[Employer ID]]&amp;"-"&amp;s1inv[[#This Row],[Schedule 1c Reference Number]],sched1c[Change to Cost]))</f>
        <v>0</v>
      </c>
      <c r="Q32" s="233"/>
      <c r="R32" s="235">
        <f>s1inv[[#This Row],[Cost at Beginning Period]]+s1inv[[#This Row],[Addition/
Deduction]]</f>
        <v>0</v>
      </c>
      <c r="S32" s="233"/>
      <c r="T32" s="236"/>
      <c r="U32" s="233"/>
      <c r="V32" s="225"/>
      <c r="W32" s="227"/>
      <c r="X32" s="237">
        <f>s1inv[[#This Row],[Cost at End of Period]]+s1inv[[#This Row],[Unrealized Appreciation]]-ABS(s1inv[[#This Row],[(Unrealized Depreciation)]])</f>
        <v>0</v>
      </c>
      <c r="Y32" s="238">
        <v>0</v>
      </c>
      <c r="Z32" s="238"/>
      <c r="AA32" s="239" t="str">
        <f>IFERROR((s1inv[[#This Row],[SBA Reported Value (B)]]+s1inv[[#This Row],[Cum. Cash Proceeds (D)]])/s1inv[[#This Row],[Total Cash Invested (A)]],"")</f>
        <v/>
      </c>
      <c r="AB32" s="240"/>
      <c r="AC32" s="239" t="str">
        <f>IFERROR((s1inv[[#This Row],[GAAP Reported Value (C)]]+s1inv[[#This Row],[Cum. Cash Proceeds (D)]])/s1inv[[#This Row],[Total Cash Invested (A)]],"")</f>
        <v/>
      </c>
      <c r="AD32" s="240"/>
      <c r="AE32" s="241" t="str">
        <f>IF(IFERROR(VLOOKUP(s1inv[[#This Row],[Portfolio Company Name]],s11cumperf[],4,FALSE),"")="","",(IFERROR(VLOOKUP(s1inv[[#This Row],[Portfolio Company Name]],s11cumperf[],4,FALSE),"")))</f>
        <v/>
      </c>
    </row>
    <row r="33" spans="1:31" s="242" customFormat="1" x14ac:dyDescent="0.35">
      <c r="A33" s="223" t="s">
        <v>243</v>
      </c>
      <c r="B33" s="224" t="str">
        <f>IF(IFERROR(VLOOKUP(s1inv[[#This Row],[Portfolio Company Name]],s11cumperf[],2,FALSE),"")="","",(IFERROR(VLOOKUP(s1inv[[#This Row],[Portfolio Company Name]],s11cumperf[],2,FALSE),"")))</f>
        <v/>
      </c>
      <c r="C33" s="694"/>
      <c r="D33" s="225"/>
      <c r="E33" s="226"/>
      <c r="F33" s="227"/>
      <c r="G33" s="228"/>
      <c r="H33" s="229"/>
      <c r="I33" s="230"/>
      <c r="J33" s="231"/>
      <c r="K33" s="232"/>
      <c r="L33" s="227"/>
      <c r="M33" s="233"/>
      <c r="N33" s="233"/>
      <c r="O33" s="234"/>
      <c r="P33" s="235">
        <f>IF(s1inv[[#This Row],[Schedule 1c Reference Number]]="",0,SUMIF(sched1c[Reference ID],s1inv[[#This Row],[Employer ID]]&amp;"-"&amp;s1inv[[#This Row],[Schedule 1c Reference Number]],sched1c[Change to Cost]))</f>
        <v>0</v>
      </c>
      <c r="Q33" s="233"/>
      <c r="R33" s="235">
        <f>s1inv[[#This Row],[Cost at Beginning Period]]+s1inv[[#This Row],[Addition/
Deduction]]</f>
        <v>0</v>
      </c>
      <c r="S33" s="233"/>
      <c r="T33" s="236"/>
      <c r="U33" s="233"/>
      <c r="V33" s="225"/>
      <c r="W33" s="227"/>
      <c r="X33" s="237">
        <f>s1inv[[#This Row],[Cost at End of Period]]+s1inv[[#This Row],[Unrealized Appreciation]]-ABS(s1inv[[#This Row],[(Unrealized Depreciation)]])</f>
        <v>0</v>
      </c>
      <c r="Y33" s="238">
        <v>0</v>
      </c>
      <c r="Z33" s="238"/>
      <c r="AA33" s="239" t="str">
        <f>IFERROR((s1inv[[#This Row],[SBA Reported Value (B)]]+s1inv[[#This Row],[Cum. Cash Proceeds (D)]])/s1inv[[#This Row],[Total Cash Invested (A)]],"")</f>
        <v/>
      </c>
      <c r="AB33" s="240"/>
      <c r="AC33" s="239" t="str">
        <f>IFERROR((s1inv[[#This Row],[GAAP Reported Value (C)]]+s1inv[[#This Row],[Cum. Cash Proceeds (D)]])/s1inv[[#This Row],[Total Cash Invested (A)]],"")</f>
        <v/>
      </c>
      <c r="AD33" s="240"/>
      <c r="AE33" s="241" t="str">
        <f>IF(IFERROR(VLOOKUP(s1inv[[#This Row],[Portfolio Company Name]],s11cumperf[],4,FALSE),"")="","",(IFERROR(VLOOKUP(s1inv[[#This Row],[Portfolio Company Name]],s11cumperf[],4,FALSE),"")))</f>
        <v/>
      </c>
    </row>
    <row r="34" spans="1:31" s="242" customFormat="1" x14ac:dyDescent="0.35">
      <c r="A34" s="223" t="s">
        <v>243</v>
      </c>
      <c r="B34" s="224" t="str">
        <f>IF(IFERROR(VLOOKUP(s1inv[[#This Row],[Portfolio Company Name]],s11cumperf[],2,FALSE),"")="","",(IFERROR(VLOOKUP(s1inv[[#This Row],[Portfolio Company Name]],s11cumperf[],2,FALSE),"")))</f>
        <v/>
      </c>
      <c r="C34" s="694"/>
      <c r="D34" s="225"/>
      <c r="E34" s="226"/>
      <c r="F34" s="227"/>
      <c r="G34" s="228"/>
      <c r="H34" s="229"/>
      <c r="I34" s="230"/>
      <c r="J34" s="231"/>
      <c r="K34" s="232"/>
      <c r="L34" s="227"/>
      <c r="M34" s="233"/>
      <c r="N34" s="233"/>
      <c r="O34" s="234"/>
      <c r="P34" s="235">
        <f>IF(s1inv[[#This Row],[Schedule 1c Reference Number]]="",0,SUMIF(sched1c[Reference ID],s1inv[[#This Row],[Employer ID]]&amp;"-"&amp;s1inv[[#This Row],[Schedule 1c Reference Number]],sched1c[Change to Cost]))</f>
        <v>0</v>
      </c>
      <c r="Q34" s="233"/>
      <c r="R34" s="235">
        <f>s1inv[[#This Row],[Cost at Beginning Period]]+s1inv[[#This Row],[Addition/
Deduction]]</f>
        <v>0</v>
      </c>
      <c r="S34" s="233"/>
      <c r="T34" s="236"/>
      <c r="U34" s="233"/>
      <c r="V34" s="225"/>
      <c r="W34" s="227"/>
      <c r="X34" s="237">
        <f>s1inv[[#This Row],[Cost at End of Period]]+s1inv[[#This Row],[Unrealized Appreciation]]-ABS(s1inv[[#This Row],[(Unrealized Depreciation)]])</f>
        <v>0</v>
      </c>
      <c r="Y34" s="238">
        <v>0</v>
      </c>
      <c r="Z34" s="238"/>
      <c r="AA34" s="239" t="str">
        <f>IFERROR((s1inv[[#This Row],[SBA Reported Value (B)]]+s1inv[[#This Row],[Cum. Cash Proceeds (D)]])/s1inv[[#This Row],[Total Cash Invested (A)]],"")</f>
        <v/>
      </c>
      <c r="AB34" s="240"/>
      <c r="AC34" s="239" t="str">
        <f>IFERROR((s1inv[[#This Row],[GAAP Reported Value (C)]]+s1inv[[#This Row],[Cum. Cash Proceeds (D)]])/s1inv[[#This Row],[Total Cash Invested (A)]],"")</f>
        <v/>
      </c>
      <c r="AD34" s="240"/>
      <c r="AE34" s="241" t="str">
        <f>IF(IFERROR(VLOOKUP(s1inv[[#This Row],[Portfolio Company Name]],s11cumperf[],4,FALSE),"")="","",(IFERROR(VLOOKUP(s1inv[[#This Row],[Portfolio Company Name]],s11cumperf[],4,FALSE),"")))</f>
        <v/>
      </c>
    </row>
    <row r="35" spans="1:31" s="242" customFormat="1" x14ac:dyDescent="0.35">
      <c r="A35" s="223" t="s">
        <v>243</v>
      </c>
      <c r="B35" s="224" t="str">
        <f>IF(IFERROR(VLOOKUP(s1inv[[#This Row],[Portfolio Company Name]],s11cumperf[],2,FALSE),"")="","",(IFERROR(VLOOKUP(s1inv[[#This Row],[Portfolio Company Name]],s11cumperf[],2,FALSE),"")))</f>
        <v/>
      </c>
      <c r="C35" s="694"/>
      <c r="D35" s="225"/>
      <c r="E35" s="226"/>
      <c r="F35" s="227"/>
      <c r="G35" s="228"/>
      <c r="H35" s="229"/>
      <c r="I35" s="230"/>
      <c r="J35" s="231"/>
      <c r="K35" s="232"/>
      <c r="L35" s="227"/>
      <c r="M35" s="233"/>
      <c r="N35" s="233"/>
      <c r="O35" s="234"/>
      <c r="P35" s="235">
        <f>IF(s1inv[[#This Row],[Schedule 1c Reference Number]]="",0,SUMIF(sched1c[Reference ID],s1inv[[#This Row],[Employer ID]]&amp;"-"&amp;s1inv[[#This Row],[Schedule 1c Reference Number]],sched1c[Change to Cost]))</f>
        <v>0</v>
      </c>
      <c r="Q35" s="233"/>
      <c r="R35" s="235">
        <f>s1inv[[#This Row],[Cost at Beginning Period]]+s1inv[[#This Row],[Addition/
Deduction]]</f>
        <v>0</v>
      </c>
      <c r="S35" s="233"/>
      <c r="T35" s="236"/>
      <c r="U35" s="233"/>
      <c r="V35" s="225"/>
      <c r="W35" s="227"/>
      <c r="X35" s="237">
        <f>s1inv[[#This Row],[Cost at End of Period]]+s1inv[[#This Row],[Unrealized Appreciation]]-ABS(s1inv[[#This Row],[(Unrealized Depreciation)]])</f>
        <v>0</v>
      </c>
      <c r="Y35" s="238">
        <v>0</v>
      </c>
      <c r="Z35" s="238"/>
      <c r="AA35" s="239" t="str">
        <f>IFERROR((s1inv[[#This Row],[SBA Reported Value (B)]]+s1inv[[#This Row],[Cum. Cash Proceeds (D)]])/s1inv[[#This Row],[Total Cash Invested (A)]],"")</f>
        <v/>
      </c>
      <c r="AB35" s="240"/>
      <c r="AC35" s="239" t="str">
        <f>IFERROR((s1inv[[#This Row],[GAAP Reported Value (C)]]+s1inv[[#This Row],[Cum. Cash Proceeds (D)]])/s1inv[[#This Row],[Total Cash Invested (A)]],"")</f>
        <v/>
      </c>
      <c r="AD35" s="240"/>
      <c r="AE35" s="241" t="str">
        <f>IF(IFERROR(VLOOKUP(s1inv[[#This Row],[Portfolio Company Name]],s11cumperf[],4,FALSE),"")="","",(IFERROR(VLOOKUP(s1inv[[#This Row],[Portfolio Company Name]],s11cumperf[],4,FALSE),"")))</f>
        <v/>
      </c>
    </row>
    <row r="36" spans="1:31" s="242" customFormat="1" x14ac:dyDescent="0.35">
      <c r="A36" s="223" t="s">
        <v>243</v>
      </c>
      <c r="B36" s="224" t="str">
        <f>IF(IFERROR(VLOOKUP(s1inv[[#This Row],[Portfolio Company Name]],s11cumperf[],2,FALSE),"")="","",(IFERROR(VLOOKUP(s1inv[[#This Row],[Portfolio Company Name]],s11cumperf[],2,FALSE),"")))</f>
        <v/>
      </c>
      <c r="C36" s="694"/>
      <c r="D36" s="225"/>
      <c r="E36" s="226"/>
      <c r="F36" s="227"/>
      <c r="G36" s="228"/>
      <c r="H36" s="229"/>
      <c r="I36" s="230"/>
      <c r="J36" s="231"/>
      <c r="K36" s="232"/>
      <c r="L36" s="227"/>
      <c r="M36" s="233"/>
      <c r="N36" s="233"/>
      <c r="O36" s="234"/>
      <c r="P36" s="235">
        <f>IF(s1inv[[#This Row],[Schedule 1c Reference Number]]="",0,SUMIF(sched1c[Reference ID],s1inv[[#This Row],[Employer ID]]&amp;"-"&amp;s1inv[[#This Row],[Schedule 1c Reference Number]],sched1c[Change to Cost]))</f>
        <v>0</v>
      </c>
      <c r="Q36" s="233"/>
      <c r="R36" s="235">
        <f>s1inv[[#This Row],[Cost at Beginning Period]]+s1inv[[#This Row],[Addition/
Deduction]]</f>
        <v>0</v>
      </c>
      <c r="S36" s="233"/>
      <c r="T36" s="236"/>
      <c r="U36" s="233"/>
      <c r="V36" s="225"/>
      <c r="W36" s="227"/>
      <c r="X36" s="237">
        <f>s1inv[[#This Row],[Cost at End of Period]]+s1inv[[#This Row],[Unrealized Appreciation]]-ABS(s1inv[[#This Row],[(Unrealized Depreciation)]])</f>
        <v>0</v>
      </c>
      <c r="Y36" s="238">
        <v>0</v>
      </c>
      <c r="Z36" s="238"/>
      <c r="AA36" s="239" t="str">
        <f>IFERROR((s1inv[[#This Row],[SBA Reported Value (B)]]+s1inv[[#This Row],[Cum. Cash Proceeds (D)]])/s1inv[[#This Row],[Total Cash Invested (A)]],"")</f>
        <v/>
      </c>
      <c r="AB36" s="240"/>
      <c r="AC36" s="239" t="str">
        <f>IFERROR((s1inv[[#This Row],[GAAP Reported Value (C)]]+s1inv[[#This Row],[Cum. Cash Proceeds (D)]])/s1inv[[#This Row],[Total Cash Invested (A)]],"")</f>
        <v/>
      </c>
      <c r="AD36" s="240"/>
      <c r="AE36" s="241" t="str">
        <f>IF(IFERROR(VLOOKUP(s1inv[[#This Row],[Portfolio Company Name]],s11cumperf[],4,FALSE),"")="","",(IFERROR(VLOOKUP(s1inv[[#This Row],[Portfolio Company Name]],s11cumperf[],4,FALSE),"")))</f>
        <v/>
      </c>
    </row>
    <row r="37" spans="1:31" s="242" customFormat="1" x14ac:dyDescent="0.35">
      <c r="A37" s="223" t="s">
        <v>243</v>
      </c>
      <c r="B37" s="224" t="str">
        <f>IF(IFERROR(VLOOKUP(s1inv[[#This Row],[Portfolio Company Name]],s11cumperf[],2,FALSE),"")="","",(IFERROR(VLOOKUP(s1inv[[#This Row],[Portfolio Company Name]],s11cumperf[],2,FALSE),"")))</f>
        <v/>
      </c>
      <c r="C37" s="694"/>
      <c r="D37" s="225"/>
      <c r="E37" s="226"/>
      <c r="F37" s="227"/>
      <c r="G37" s="228"/>
      <c r="H37" s="229"/>
      <c r="I37" s="230"/>
      <c r="J37" s="231"/>
      <c r="K37" s="232"/>
      <c r="L37" s="227"/>
      <c r="M37" s="233"/>
      <c r="N37" s="233"/>
      <c r="O37" s="234"/>
      <c r="P37" s="235">
        <f>IF(s1inv[[#This Row],[Schedule 1c Reference Number]]="",0,SUMIF(sched1c[Reference ID],s1inv[[#This Row],[Employer ID]]&amp;"-"&amp;s1inv[[#This Row],[Schedule 1c Reference Number]],sched1c[Change to Cost]))</f>
        <v>0</v>
      </c>
      <c r="Q37" s="233"/>
      <c r="R37" s="235">
        <f>s1inv[[#This Row],[Cost at Beginning Period]]+s1inv[[#This Row],[Addition/
Deduction]]</f>
        <v>0</v>
      </c>
      <c r="S37" s="233"/>
      <c r="T37" s="236"/>
      <c r="U37" s="233"/>
      <c r="V37" s="225"/>
      <c r="W37" s="227"/>
      <c r="X37" s="237">
        <f>s1inv[[#This Row],[Cost at End of Period]]+s1inv[[#This Row],[Unrealized Appreciation]]-ABS(s1inv[[#This Row],[(Unrealized Depreciation)]])</f>
        <v>0</v>
      </c>
      <c r="Y37" s="238">
        <v>0</v>
      </c>
      <c r="Z37" s="238"/>
      <c r="AA37" s="239" t="str">
        <f>IFERROR((s1inv[[#This Row],[SBA Reported Value (B)]]+s1inv[[#This Row],[Cum. Cash Proceeds (D)]])/s1inv[[#This Row],[Total Cash Invested (A)]],"")</f>
        <v/>
      </c>
      <c r="AB37" s="240"/>
      <c r="AC37" s="239" t="str">
        <f>IFERROR((s1inv[[#This Row],[GAAP Reported Value (C)]]+s1inv[[#This Row],[Cum. Cash Proceeds (D)]])/s1inv[[#This Row],[Total Cash Invested (A)]],"")</f>
        <v/>
      </c>
      <c r="AD37" s="240"/>
      <c r="AE37" s="241" t="str">
        <f>IF(IFERROR(VLOOKUP(s1inv[[#This Row],[Portfolio Company Name]],s11cumperf[],4,FALSE),"")="","",(IFERROR(VLOOKUP(s1inv[[#This Row],[Portfolio Company Name]],s11cumperf[],4,FALSE),"")))</f>
        <v/>
      </c>
    </row>
    <row r="38" spans="1:31" s="242" customFormat="1" x14ac:dyDescent="0.35">
      <c r="A38" s="223" t="s">
        <v>243</v>
      </c>
      <c r="B38" s="224" t="str">
        <f>IF(IFERROR(VLOOKUP(s1inv[[#This Row],[Portfolio Company Name]],s11cumperf[],2,FALSE),"")="","",(IFERROR(VLOOKUP(s1inv[[#This Row],[Portfolio Company Name]],s11cumperf[],2,FALSE),"")))</f>
        <v/>
      </c>
      <c r="C38" s="694"/>
      <c r="D38" s="225"/>
      <c r="E38" s="226"/>
      <c r="F38" s="227"/>
      <c r="G38" s="228"/>
      <c r="H38" s="229"/>
      <c r="I38" s="230"/>
      <c r="J38" s="231"/>
      <c r="K38" s="232"/>
      <c r="L38" s="227"/>
      <c r="M38" s="233"/>
      <c r="N38" s="233"/>
      <c r="O38" s="234"/>
      <c r="P38" s="235">
        <f>IF(s1inv[[#This Row],[Schedule 1c Reference Number]]="",0,SUMIF(sched1c[Reference ID],s1inv[[#This Row],[Employer ID]]&amp;"-"&amp;s1inv[[#This Row],[Schedule 1c Reference Number]],sched1c[Change to Cost]))</f>
        <v>0</v>
      </c>
      <c r="Q38" s="233"/>
      <c r="R38" s="235">
        <f>s1inv[[#This Row],[Cost at Beginning Period]]+s1inv[[#This Row],[Addition/
Deduction]]</f>
        <v>0</v>
      </c>
      <c r="S38" s="233"/>
      <c r="T38" s="236"/>
      <c r="U38" s="233"/>
      <c r="V38" s="225"/>
      <c r="W38" s="227"/>
      <c r="X38" s="237">
        <f>s1inv[[#This Row],[Cost at End of Period]]+s1inv[[#This Row],[Unrealized Appreciation]]-ABS(s1inv[[#This Row],[(Unrealized Depreciation)]])</f>
        <v>0</v>
      </c>
      <c r="Y38" s="238">
        <v>0</v>
      </c>
      <c r="Z38" s="238"/>
      <c r="AA38" s="239" t="str">
        <f>IFERROR((s1inv[[#This Row],[SBA Reported Value (B)]]+s1inv[[#This Row],[Cum. Cash Proceeds (D)]])/s1inv[[#This Row],[Total Cash Invested (A)]],"")</f>
        <v/>
      </c>
      <c r="AB38" s="240"/>
      <c r="AC38" s="239" t="str">
        <f>IFERROR((s1inv[[#This Row],[GAAP Reported Value (C)]]+s1inv[[#This Row],[Cum. Cash Proceeds (D)]])/s1inv[[#This Row],[Total Cash Invested (A)]],"")</f>
        <v/>
      </c>
      <c r="AD38" s="240"/>
      <c r="AE38" s="241" t="str">
        <f>IF(IFERROR(VLOOKUP(s1inv[[#This Row],[Portfolio Company Name]],s11cumperf[],4,FALSE),"")="","",(IFERROR(VLOOKUP(s1inv[[#This Row],[Portfolio Company Name]],s11cumperf[],4,FALSE),"")))</f>
        <v/>
      </c>
    </row>
    <row r="39" spans="1:31" s="242" customFormat="1" x14ac:dyDescent="0.35">
      <c r="A39" s="223" t="s">
        <v>243</v>
      </c>
      <c r="B39" s="224" t="str">
        <f>IF(IFERROR(VLOOKUP(s1inv[[#This Row],[Portfolio Company Name]],s11cumperf[],2,FALSE),"")="","",(IFERROR(VLOOKUP(s1inv[[#This Row],[Portfolio Company Name]],s11cumperf[],2,FALSE),"")))</f>
        <v/>
      </c>
      <c r="C39" s="694"/>
      <c r="D39" s="225"/>
      <c r="E39" s="226"/>
      <c r="F39" s="227"/>
      <c r="G39" s="228"/>
      <c r="H39" s="229"/>
      <c r="I39" s="230"/>
      <c r="J39" s="231"/>
      <c r="K39" s="232"/>
      <c r="L39" s="227"/>
      <c r="M39" s="233"/>
      <c r="N39" s="233"/>
      <c r="O39" s="234"/>
      <c r="P39" s="235">
        <f>IF(s1inv[[#This Row],[Schedule 1c Reference Number]]="",0,SUMIF(sched1c[Reference ID],s1inv[[#This Row],[Employer ID]]&amp;"-"&amp;s1inv[[#This Row],[Schedule 1c Reference Number]],sched1c[Change to Cost]))</f>
        <v>0</v>
      </c>
      <c r="Q39" s="233"/>
      <c r="R39" s="235">
        <f>s1inv[[#This Row],[Cost at Beginning Period]]+s1inv[[#This Row],[Addition/
Deduction]]</f>
        <v>0</v>
      </c>
      <c r="S39" s="233"/>
      <c r="T39" s="236"/>
      <c r="U39" s="233"/>
      <c r="V39" s="225"/>
      <c r="W39" s="227"/>
      <c r="X39" s="237">
        <f>s1inv[[#This Row],[Cost at End of Period]]+s1inv[[#This Row],[Unrealized Appreciation]]-ABS(s1inv[[#This Row],[(Unrealized Depreciation)]])</f>
        <v>0</v>
      </c>
      <c r="Y39" s="238">
        <v>0</v>
      </c>
      <c r="Z39" s="238"/>
      <c r="AA39" s="239" t="str">
        <f>IFERROR((s1inv[[#This Row],[SBA Reported Value (B)]]+s1inv[[#This Row],[Cum. Cash Proceeds (D)]])/s1inv[[#This Row],[Total Cash Invested (A)]],"")</f>
        <v/>
      </c>
      <c r="AB39" s="240"/>
      <c r="AC39" s="239" t="str">
        <f>IFERROR((s1inv[[#This Row],[GAAP Reported Value (C)]]+s1inv[[#This Row],[Cum. Cash Proceeds (D)]])/s1inv[[#This Row],[Total Cash Invested (A)]],"")</f>
        <v/>
      </c>
      <c r="AD39" s="240"/>
      <c r="AE39" s="241" t="str">
        <f>IF(IFERROR(VLOOKUP(s1inv[[#This Row],[Portfolio Company Name]],s11cumperf[],4,FALSE),"")="","",(IFERROR(VLOOKUP(s1inv[[#This Row],[Portfolio Company Name]],s11cumperf[],4,FALSE),"")))</f>
        <v/>
      </c>
    </row>
    <row r="40" spans="1:31" s="242" customFormat="1" x14ac:dyDescent="0.35">
      <c r="A40" s="223" t="s">
        <v>243</v>
      </c>
      <c r="B40" s="224" t="str">
        <f>IF(IFERROR(VLOOKUP(s1inv[[#This Row],[Portfolio Company Name]],s11cumperf[],2,FALSE),"")="","",(IFERROR(VLOOKUP(s1inv[[#This Row],[Portfolio Company Name]],s11cumperf[],2,FALSE),"")))</f>
        <v/>
      </c>
      <c r="C40" s="694"/>
      <c r="D40" s="225"/>
      <c r="E40" s="226"/>
      <c r="F40" s="227"/>
      <c r="G40" s="228"/>
      <c r="H40" s="229"/>
      <c r="I40" s="230"/>
      <c r="J40" s="231"/>
      <c r="K40" s="232"/>
      <c r="L40" s="227"/>
      <c r="M40" s="233"/>
      <c r="N40" s="233"/>
      <c r="O40" s="234"/>
      <c r="P40" s="235">
        <f>IF(s1inv[[#This Row],[Schedule 1c Reference Number]]="",0,SUMIF(sched1c[Reference ID],s1inv[[#This Row],[Employer ID]]&amp;"-"&amp;s1inv[[#This Row],[Schedule 1c Reference Number]],sched1c[Change to Cost]))</f>
        <v>0</v>
      </c>
      <c r="Q40" s="233"/>
      <c r="R40" s="235">
        <f>s1inv[[#This Row],[Cost at Beginning Period]]+s1inv[[#This Row],[Addition/
Deduction]]</f>
        <v>0</v>
      </c>
      <c r="S40" s="233"/>
      <c r="T40" s="236"/>
      <c r="U40" s="233"/>
      <c r="V40" s="225"/>
      <c r="W40" s="227"/>
      <c r="X40" s="237">
        <f>s1inv[[#This Row],[Cost at End of Period]]+s1inv[[#This Row],[Unrealized Appreciation]]-ABS(s1inv[[#This Row],[(Unrealized Depreciation)]])</f>
        <v>0</v>
      </c>
      <c r="Y40" s="238">
        <v>0</v>
      </c>
      <c r="Z40" s="238"/>
      <c r="AA40" s="239" t="str">
        <f>IFERROR((s1inv[[#This Row],[SBA Reported Value (B)]]+s1inv[[#This Row],[Cum. Cash Proceeds (D)]])/s1inv[[#This Row],[Total Cash Invested (A)]],"")</f>
        <v/>
      </c>
      <c r="AB40" s="240"/>
      <c r="AC40" s="239" t="str">
        <f>IFERROR((s1inv[[#This Row],[GAAP Reported Value (C)]]+s1inv[[#This Row],[Cum. Cash Proceeds (D)]])/s1inv[[#This Row],[Total Cash Invested (A)]],"")</f>
        <v/>
      </c>
      <c r="AD40" s="240"/>
      <c r="AE40" s="241" t="str">
        <f>IF(IFERROR(VLOOKUP(s1inv[[#This Row],[Portfolio Company Name]],s11cumperf[],4,FALSE),"")="","",(IFERROR(VLOOKUP(s1inv[[#This Row],[Portfolio Company Name]],s11cumperf[],4,FALSE),"")))</f>
        <v/>
      </c>
    </row>
    <row r="41" spans="1:31" s="242" customFormat="1" x14ac:dyDescent="0.35">
      <c r="A41" s="223" t="s">
        <v>243</v>
      </c>
      <c r="B41" s="224" t="str">
        <f>IF(IFERROR(VLOOKUP(s1inv[[#This Row],[Portfolio Company Name]],s11cumperf[],2,FALSE),"")="","",(IFERROR(VLOOKUP(s1inv[[#This Row],[Portfolio Company Name]],s11cumperf[],2,FALSE),"")))</f>
        <v/>
      </c>
      <c r="C41" s="694"/>
      <c r="D41" s="225"/>
      <c r="E41" s="226"/>
      <c r="F41" s="227"/>
      <c r="G41" s="228"/>
      <c r="H41" s="229"/>
      <c r="I41" s="230"/>
      <c r="J41" s="231"/>
      <c r="K41" s="232"/>
      <c r="L41" s="227"/>
      <c r="M41" s="233"/>
      <c r="N41" s="233"/>
      <c r="O41" s="234"/>
      <c r="P41" s="235">
        <f>IF(s1inv[[#This Row],[Schedule 1c Reference Number]]="",0,SUMIF(sched1c[Reference ID],s1inv[[#This Row],[Employer ID]]&amp;"-"&amp;s1inv[[#This Row],[Schedule 1c Reference Number]],sched1c[Change to Cost]))</f>
        <v>0</v>
      </c>
      <c r="Q41" s="233"/>
      <c r="R41" s="235">
        <f>s1inv[[#This Row],[Cost at Beginning Period]]+s1inv[[#This Row],[Addition/
Deduction]]</f>
        <v>0</v>
      </c>
      <c r="S41" s="233"/>
      <c r="T41" s="236"/>
      <c r="U41" s="233"/>
      <c r="V41" s="225"/>
      <c r="W41" s="227"/>
      <c r="X41" s="237">
        <f>s1inv[[#This Row],[Cost at End of Period]]+s1inv[[#This Row],[Unrealized Appreciation]]-ABS(s1inv[[#This Row],[(Unrealized Depreciation)]])</f>
        <v>0</v>
      </c>
      <c r="Y41" s="238">
        <v>0</v>
      </c>
      <c r="Z41" s="238"/>
      <c r="AA41" s="239" t="str">
        <f>IFERROR((s1inv[[#This Row],[SBA Reported Value (B)]]+s1inv[[#This Row],[Cum. Cash Proceeds (D)]])/s1inv[[#This Row],[Total Cash Invested (A)]],"")</f>
        <v/>
      </c>
      <c r="AB41" s="240"/>
      <c r="AC41" s="239" t="str">
        <f>IFERROR((s1inv[[#This Row],[GAAP Reported Value (C)]]+s1inv[[#This Row],[Cum. Cash Proceeds (D)]])/s1inv[[#This Row],[Total Cash Invested (A)]],"")</f>
        <v/>
      </c>
      <c r="AD41" s="240"/>
      <c r="AE41" s="241" t="str">
        <f>IF(IFERROR(VLOOKUP(s1inv[[#This Row],[Portfolio Company Name]],s11cumperf[],4,FALSE),"")="","",(IFERROR(VLOOKUP(s1inv[[#This Row],[Portfolio Company Name]],s11cumperf[],4,FALSE),"")))</f>
        <v/>
      </c>
    </row>
    <row r="42" spans="1:31" s="242" customFormat="1" x14ac:dyDescent="0.35">
      <c r="A42" s="223" t="s">
        <v>243</v>
      </c>
      <c r="B42" s="224" t="str">
        <f>IF(IFERROR(VLOOKUP(s1inv[[#This Row],[Portfolio Company Name]],s11cumperf[],2,FALSE),"")="","",(IFERROR(VLOOKUP(s1inv[[#This Row],[Portfolio Company Name]],s11cumperf[],2,FALSE),"")))</f>
        <v/>
      </c>
      <c r="C42" s="694"/>
      <c r="D42" s="225"/>
      <c r="E42" s="226"/>
      <c r="F42" s="227"/>
      <c r="G42" s="228"/>
      <c r="H42" s="229"/>
      <c r="I42" s="230"/>
      <c r="J42" s="231"/>
      <c r="K42" s="232"/>
      <c r="L42" s="227"/>
      <c r="M42" s="233"/>
      <c r="N42" s="233"/>
      <c r="O42" s="234"/>
      <c r="P42" s="235">
        <f>IF(s1inv[[#This Row],[Schedule 1c Reference Number]]="",0,SUMIF(sched1c[Reference ID],s1inv[[#This Row],[Employer ID]]&amp;"-"&amp;s1inv[[#This Row],[Schedule 1c Reference Number]],sched1c[Change to Cost]))</f>
        <v>0</v>
      </c>
      <c r="Q42" s="233"/>
      <c r="R42" s="235">
        <f>s1inv[[#This Row],[Cost at Beginning Period]]+s1inv[[#This Row],[Addition/
Deduction]]</f>
        <v>0</v>
      </c>
      <c r="S42" s="233"/>
      <c r="T42" s="236"/>
      <c r="U42" s="233"/>
      <c r="V42" s="225"/>
      <c r="W42" s="227"/>
      <c r="X42" s="237">
        <f>s1inv[[#This Row],[Cost at End of Period]]+s1inv[[#This Row],[Unrealized Appreciation]]-ABS(s1inv[[#This Row],[(Unrealized Depreciation)]])</f>
        <v>0</v>
      </c>
      <c r="Y42" s="238">
        <v>0</v>
      </c>
      <c r="Z42" s="238"/>
      <c r="AA42" s="239" t="str">
        <f>IFERROR((s1inv[[#This Row],[SBA Reported Value (B)]]+s1inv[[#This Row],[Cum. Cash Proceeds (D)]])/s1inv[[#This Row],[Total Cash Invested (A)]],"")</f>
        <v/>
      </c>
      <c r="AB42" s="240"/>
      <c r="AC42" s="239" t="str">
        <f>IFERROR((s1inv[[#This Row],[GAAP Reported Value (C)]]+s1inv[[#This Row],[Cum. Cash Proceeds (D)]])/s1inv[[#This Row],[Total Cash Invested (A)]],"")</f>
        <v/>
      </c>
      <c r="AD42" s="240"/>
      <c r="AE42" s="241" t="str">
        <f>IF(IFERROR(VLOOKUP(s1inv[[#This Row],[Portfolio Company Name]],s11cumperf[],4,FALSE),"")="","",(IFERROR(VLOOKUP(s1inv[[#This Row],[Portfolio Company Name]],s11cumperf[],4,FALSE),"")))</f>
        <v/>
      </c>
    </row>
    <row r="43" spans="1:31" s="242" customFormat="1" x14ac:dyDescent="0.35">
      <c r="A43" s="223" t="s">
        <v>243</v>
      </c>
      <c r="B43" s="224" t="str">
        <f>IF(IFERROR(VLOOKUP(s1inv[[#This Row],[Portfolio Company Name]],s11cumperf[],2,FALSE),"")="","",(IFERROR(VLOOKUP(s1inv[[#This Row],[Portfolio Company Name]],s11cumperf[],2,FALSE),"")))</f>
        <v/>
      </c>
      <c r="C43" s="694"/>
      <c r="D43" s="225"/>
      <c r="E43" s="226"/>
      <c r="F43" s="227"/>
      <c r="G43" s="228"/>
      <c r="H43" s="229"/>
      <c r="I43" s="230"/>
      <c r="J43" s="231"/>
      <c r="K43" s="232"/>
      <c r="L43" s="227"/>
      <c r="M43" s="233"/>
      <c r="N43" s="233"/>
      <c r="O43" s="234"/>
      <c r="P43" s="235">
        <f>IF(s1inv[[#This Row],[Schedule 1c Reference Number]]="",0,SUMIF(sched1c[Reference ID],s1inv[[#This Row],[Employer ID]]&amp;"-"&amp;s1inv[[#This Row],[Schedule 1c Reference Number]],sched1c[Change to Cost]))</f>
        <v>0</v>
      </c>
      <c r="Q43" s="233"/>
      <c r="R43" s="235">
        <f>s1inv[[#This Row],[Cost at Beginning Period]]+s1inv[[#This Row],[Addition/
Deduction]]</f>
        <v>0</v>
      </c>
      <c r="S43" s="233"/>
      <c r="T43" s="236"/>
      <c r="U43" s="233"/>
      <c r="V43" s="225"/>
      <c r="W43" s="227"/>
      <c r="X43" s="237">
        <f>s1inv[[#This Row],[Cost at End of Period]]+s1inv[[#This Row],[Unrealized Appreciation]]-ABS(s1inv[[#This Row],[(Unrealized Depreciation)]])</f>
        <v>0</v>
      </c>
      <c r="Y43" s="238">
        <v>0</v>
      </c>
      <c r="Z43" s="238"/>
      <c r="AA43" s="239" t="str">
        <f>IFERROR((s1inv[[#This Row],[SBA Reported Value (B)]]+s1inv[[#This Row],[Cum. Cash Proceeds (D)]])/s1inv[[#This Row],[Total Cash Invested (A)]],"")</f>
        <v/>
      </c>
      <c r="AB43" s="240"/>
      <c r="AC43" s="239" t="str">
        <f>IFERROR((s1inv[[#This Row],[GAAP Reported Value (C)]]+s1inv[[#This Row],[Cum. Cash Proceeds (D)]])/s1inv[[#This Row],[Total Cash Invested (A)]],"")</f>
        <v/>
      </c>
      <c r="AD43" s="240"/>
      <c r="AE43" s="241" t="str">
        <f>IF(IFERROR(VLOOKUP(s1inv[[#This Row],[Portfolio Company Name]],s11cumperf[],4,FALSE),"")="","",(IFERROR(VLOOKUP(s1inv[[#This Row],[Portfolio Company Name]],s11cumperf[],4,FALSE),"")))</f>
        <v/>
      </c>
    </row>
    <row r="44" spans="1:31" s="242" customFormat="1" x14ac:dyDescent="0.35">
      <c r="A44" s="223" t="s">
        <v>243</v>
      </c>
      <c r="B44" s="224" t="str">
        <f>IF(IFERROR(VLOOKUP(s1inv[[#This Row],[Portfolio Company Name]],s11cumperf[],2,FALSE),"")="","",(IFERROR(VLOOKUP(s1inv[[#This Row],[Portfolio Company Name]],s11cumperf[],2,FALSE),"")))</f>
        <v/>
      </c>
      <c r="C44" s="694"/>
      <c r="D44" s="225"/>
      <c r="E44" s="226"/>
      <c r="F44" s="227"/>
      <c r="G44" s="228"/>
      <c r="H44" s="229"/>
      <c r="I44" s="230"/>
      <c r="J44" s="231"/>
      <c r="K44" s="232"/>
      <c r="L44" s="227"/>
      <c r="M44" s="233"/>
      <c r="N44" s="238"/>
      <c r="O44" s="234"/>
      <c r="P44" s="235">
        <f>IF(s1inv[[#This Row],[Schedule 1c Reference Number]]="",0,SUMIF(sched1c[Reference ID],s1inv[[#This Row],[Employer ID]]&amp;"-"&amp;s1inv[[#This Row],[Schedule 1c Reference Number]],sched1c[Change to Cost]))</f>
        <v>0</v>
      </c>
      <c r="Q44" s="233"/>
      <c r="R44" s="235">
        <f>s1inv[[#This Row],[Cost at Beginning Period]]+s1inv[[#This Row],[Addition/
Deduction]]</f>
        <v>0</v>
      </c>
      <c r="S44" s="233"/>
      <c r="T44" s="236"/>
      <c r="U44" s="233"/>
      <c r="V44" s="225"/>
      <c r="W44" s="227"/>
      <c r="X44" s="237">
        <f>s1inv[[#This Row],[Cost at End of Period]]+s1inv[[#This Row],[Unrealized Appreciation]]-ABS(s1inv[[#This Row],[(Unrealized Depreciation)]])</f>
        <v>0</v>
      </c>
      <c r="Y44" s="238">
        <v>0</v>
      </c>
      <c r="Z44" s="238"/>
      <c r="AA44" s="239" t="str">
        <f>IFERROR((s1inv[[#This Row],[SBA Reported Value (B)]]+s1inv[[#This Row],[Cum. Cash Proceeds (D)]])/s1inv[[#This Row],[Total Cash Invested (A)]],"")</f>
        <v/>
      </c>
      <c r="AB44" s="240"/>
      <c r="AC44" s="239" t="str">
        <f>IFERROR((s1inv[[#This Row],[GAAP Reported Value (C)]]+s1inv[[#This Row],[Cum. Cash Proceeds (D)]])/s1inv[[#This Row],[Total Cash Invested (A)]],"")</f>
        <v/>
      </c>
      <c r="AD44" s="240"/>
      <c r="AE44" s="241" t="str">
        <f>IF(IFERROR(VLOOKUP(s1inv[[#This Row],[Portfolio Company Name]],s11cumperf[],4,FALSE),"")="","",(IFERROR(VLOOKUP(s1inv[[#This Row],[Portfolio Company Name]],s11cumperf[],4,FALSE),"")))</f>
        <v/>
      </c>
    </row>
    <row r="45" spans="1:31" s="242" customFormat="1" x14ac:dyDescent="0.35">
      <c r="A45" s="223" t="s">
        <v>243</v>
      </c>
      <c r="B45" s="224" t="str">
        <f>IF(IFERROR(VLOOKUP(s1inv[[#This Row],[Portfolio Company Name]],s11cumperf[],2,FALSE),"")="","",(IFERROR(VLOOKUP(s1inv[[#This Row],[Portfolio Company Name]],s11cumperf[],2,FALSE),"")))</f>
        <v/>
      </c>
      <c r="C45" s="694"/>
      <c r="D45" s="225"/>
      <c r="E45" s="226"/>
      <c r="F45" s="227"/>
      <c r="G45" s="228"/>
      <c r="H45" s="229"/>
      <c r="I45" s="230"/>
      <c r="J45" s="231"/>
      <c r="K45" s="232"/>
      <c r="L45" s="227"/>
      <c r="M45" s="233"/>
      <c r="N45" s="238"/>
      <c r="O45" s="234"/>
      <c r="P45" s="235">
        <f>IF(s1inv[[#This Row],[Schedule 1c Reference Number]]="",0,SUMIF(sched1c[Reference ID],s1inv[[#This Row],[Employer ID]]&amp;"-"&amp;s1inv[[#This Row],[Schedule 1c Reference Number]],sched1c[Change to Cost]))</f>
        <v>0</v>
      </c>
      <c r="Q45" s="233"/>
      <c r="R45" s="235">
        <f>s1inv[[#This Row],[Cost at Beginning Period]]+s1inv[[#This Row],[Addition/
Deduction]]</f>
        <v>0</v>
      </c>
      <c r="S45" s="233"/>
      <c r="T45" s="236"/>
      <c r="U45" s="233"/>
      <c r="V45" s="225"/>
      <c r="W45" s="227"/>
      <c r="X45" s="237">
        <f>s1inv[[#This Row],[Cost at End of Period]]+s1inv[[#This Row],[Unrealized Appreciation]]-ABS(s1inv[[#This Row],[(Unrealized Depreciation)]])</f>
        <v>0</v>
      </c>
      <c r="Y45" s="238">
        <v>0</v>
      </c>
      <c r="Z45" s="238"/>
      <c r="AA45" s="239" t="str">
        <f>IFERROR((s1inv[[#This Row],[SBA Reported Value (B)]]+s1inv[[#This Row],[Cum. Cash Proceeds (D)]])/s1inv[[#This Row],[Total Cash Invested (A)]],"")</f>
        <v/>
      </c>
      <c r="AB45" s="240"/>
      <c r="AC45" s="239" t="str">
        <f>IFERROR((s1inv[[#This Row],[GAAP Reported Value (C)]]+s1inv[[#This Row],[Cum. Cash Proceeds (D)]])/s1inv[[#This Row],[Total Cash Invested (A)]],"")</f>
        <v/>
      </c>
      <c r="AD45" s="240"/>
      <c r="AE45" s="241" t="str">
        <f>IF(IFERROR(VLOOKUP(s1inv[[#This Row],[Portfolio Company Name]],s11cumperf[],4,FALSE),"")="","",(IFERROR(VLOOKUP(s1inv[[#This Row],[Portfolio Company Name]],s11cumperf[],4,FALSE),"")))</f>
        <v/>
      </c>
    </row>
    <row r="46" spans="1:31" s="242" customFormat="1" x14ac:dyDescent="0.35">
      <c r="A46" s="223" t="s">
        <v>243</v>
      </c>
      <c r="B46" s="224" t="str">
        <f>IF(IFERROR(VLOOKUP(s1inv[[#This Row],[Portfolio Company Name]],s11cumperf[],2,FALSE),"")="","",(IFERROR(VLOOKUP(s1inv[[#This Row],[Portfolio Company Name]],s11cumperf[],2,FALSE),"")))</f>
        <v/>
      </c>
      <c r="C46" s="694"/>
      <c r="D46" s="225"/>
      <c r="E46" s="226"/>
      <c r="F46" s="227"/>
      <c r="G46" s="228"/>
      <c r="H46" s="229"/>
      <c r="I46" s="230"/>
      <c r="J46" s="231"/>
      <c r="K46" s="232"/>
      <c r="L46" s="227"/>
      <c r="M46" s="233"/>
      <c r="N46" s="238"/>
      <c r="O46" s="234"/>
      <c r="P46" s="235">
        <f>IF(s1inv[[#This Row],[Schedule 1c Reference Number]]="",0,SUMIF(sched1c[Reference ID],s1inv[[#This Row],[Employer ID]]&amp;"-"&amp;s1inv[[#This Row],[Schedule 1c Reference Number]],sched1c[Change to Cost]))</f>
        <v>0</v>
      </c>
      <c r="Q46" s="233"/>
      <c r="R46" s="235">
        <f>s1inv[[#This Row],[Cost at Beginning Period]]+s1inv[[#This Row],[Addition/
Deduction]]</f>
        <v>0</v>
      </c>
      <c r="S46" s="233"/>
      <c r="T46" s="236"/>
      <c r="U46" s="233"/>
      <c r="V46" s="225"/>
      <c r="W46" s="227"/>
      <c r="X46" s="237">
        <f>s1inv[[#This Row],[Cost at End of Period]]+s1inv[[#This Row],[Unrealized Appreciation]]-ABS(s1inv[[#This Row],[(Unrealized Depreciation)]])</f>
        <v>0</v>
      </c>
      <c r="Y46" s="238">
        <v>0</v>
      </c>
      <c r="Z46" s="238"/>
      <c r="AA46" s="239" t="str">
        <f>IFERROR((s1inv[[#This Row],[SBA Reported Value (B)]]+s1inv[[#This Row],[Cum. Cash Proceeds (D)]])/s1inv[[#This Row],[Total Cash Invested (A)]],"")</f>
        <v/>
      </c>
      <c r="AB46" s="240"/>
      <c r="AC46" s="239" t="str">
        <f>IFERROR((s1inv[[#This Row],[GAAP Reported Value (C)]]+s1inv[[#This Row],[Cum. Cash Proceeds (D)]])/s1inv[[#This Row],[Total Cash Invested (A)]],"")</f>
        <v/>
      </c>
      <c r="AD46" s="240"/>
      <c r="AE46" s="241" t="str">
        <f>IF(IFERROR(VLOOKUP(s1inv[[#This Row],[Portfolio Company Name]],s11cumperf[],4,FALSE),"")="","",(IFERROR(VLOOKUP(s1inv[[#This Row],[Portfolio Company Name]],s11cumperf[],4,FALSE),"")))</f>
        <v/>
      </c>
    </row>
    <row r="47" spans="1:31" s="242" customFormat="1" x14ac:dyDescent="0.35">
      <c r="A47" s="223" t="s">
        <v>243</v>
      </c>
      <c r="B47" s="224" t="str">
        <f>IF(IFERROR(VLOOKUP(s1inv[[#This Row],[Portfolio Company Name]],s11cumperf[],2,FALSE),"")="","",(IFERROR(VLOOKUP(s1inv[[#This Row],[Portfolio Company Name]],s11cumperf[],2,FALSE),"")))</f>
        <v/>
      </c>
      <c r="C47" s="694"/>
      <c r="D47" s="225"/>
      <c r="E47" s="226"/>
      <c r="F47" s="227"/>
      <c r="G47" s="228"/>
      <c r="H47" s="229"/>
      <c r="I47" s="230"/>
      <c r="J47" s="231"/>
      <c r="K47" s="232"/>
      <c r="L47" s="227"/>
      <c r="M47" s="233"/>
      <c r="N47" s="238"/>
      <c r="O47" s="234"/>
      <c r="P47" s="235">
        <f>IF(s1inv[[#This Row],[Schedule 1c Reference Number]]="",0,SUMIF(sched1c[Reference ID],s1inv[[#This Row],[Employer ID]]&amp;"-"&amp;s1inv[[#This Row],[Schedule 1c Reference Number]],sched1c[Change to Cost]))</f>
        <v>0</v>
      </c>
      <c r="Q47" s="233"/>
      <c r="R47" s="235">
        <f>s1inv[[#This Row],[Cost at Beginning Period]]+s1inv[[#This Row],[Addition/
Deduction]]</f>
        <v>0</v>
      </c>
      <c r="S47" s="233"/>
      <c r="T47" s="236"/>
      <c r="U47" s="233"/>
      <c r="V47" s="225"/>
      <c r="W47" s="227"/>
      <c r="X47" s="237">
        <f>s1inv[[#This Row],[Cost at End of Period]]+s1inv[[#This Row],[Unrealized Appreciation]]-ABS(s1inv[[#This Row],[(Unrealized Depreciation)]])</f>
        <v>0</v>
      </c>
      <c r="Y47" s="238">
        <v>0</v>
      </c>
      <c r="Z47" s="238"/>
      <c r="AA47" s="239" t="str">
        <f>IFERROR((s1inv[[#This Row],[SBA Reported Value (B)]]+s1inv[[#This Row],[Cum. Cash Proceeds (D)]])/s1inv[[#This Row],[Total Cash Invested (A)]],"")</f>
        <v/>
      </c>
      <c r="AB47" s="240"/>
      <c r="AC47" s="239" t="str">
        <f>IFERROR((s1inv[[#This Row],[GAAP Reported Value (C)]]+s1inv[[#This Row],[Cum. Cash Proceeds (D)]])/s1inv[[#This Row],[Total Cash Invested (A)]],"")</f>
        <v/>
      </c>
      <c r="AD47" s="240"/>
      <c r="AE47" s="241" t="str">
        <f>IF(IFERROR(VLOOKUP(s1inv[[#This Row],[Portfolio Company Name]],s11cumperf[],4,FALSE),"")="","",(IFERROR(VLOOKUP(s1inv[[#This Row],[Portfolio Company Name]],s11cumperf[],4,FALSE),"")))</f>
        <v/>
      </c>
    </row>
    <row r="48" spans="1:31" s="242" customFormat="1" x14ac:dyDescent="0.35">
      <c r="A48" s="223" t="s">
        <v>243</v>
      </c>
      <c r="B48" s="224" t="str">
        <f>IF(IFERROR(VLOOKUP(s1inv[[#This Row],[Portfolio Company Name]],s11cumperf[],2,FALSE),"")="","",(IFERROR(VLOOKUP(s1inv[[#This Row],[Portfolio Company Name]],s11cumperf[],2,FALSE),"")))</f>
        <v/>
      </c>
      <c r="C48" s="694"/>
      <c r="D48" s="225"/>
      <c r="E48" s="226"/>
      <c r="F48" s="227"/>
      <c r="G48" s="228"/>
      <c r="H48" s="229"/>
      <c r="I48" s="230"/>
      <c r="J48" s="231"/>
      <c r="K48" s="232"/>
      <c r="L48" s="227"/>
      <c r="M48" s="233"/>
      <c r="N48" s="238"/>
      <c r="O48" s="234"/>
      <c r="P48" s="235">
        <f>IF(s1inv[[#This Row],[Schedule 1c Reference Number]]="",0,SUMIF(sched1c[Reference ID],s1inv[[#This Row],[Employer ID]]&amp;"-"&amp;s1inv[[#This Row],[Schedule 1c Reference Number]],sched1c[Change to Cost]))</f>
        <v>0</v>
      </c>
      <c r="Q48" s="233"/>
      <c r="R48" s="235">
        <f>s1inv[[#This Row],[Cost at Beginning Period]]+s1inv[[#This Row],[Addition/
Deduction]]</f>
        <v>0</v>
      </c>
      <c r="S48" s="233"/>
      <c r="T48" s="236"/>
      <c r="U48" s="233"/>
      <c r="V48" s="225"/>
      <c r="W48" s="227"/>
      <c r="X48" s="237">
        <f>s1inv[[#This Row],[Cost at End of Period]]+s1inv[[#This Row],[Unrealized Appreciation]]-ABS(s1inv[[#This Row],[(Unrealized Depreciation)]])</f>
        <v>0</v>
      </c>
      <c r="Y48" s="238">
        <v>0</v>
      </c>
      <c r="Z48" s="238"/>
      <c r="AA48" s="239" t="str">
        <f>IFERROR((s1inv[[#This Row],[SBA Reported Value (B)]]+s1inv[[#This Row],[Cum. Cash Proceeds (D)]])/s1inv[[#This Row],[Total Cash Invested (A)]],"")</f>
        <v/>
      </c>
      <c r="AB48" s="240"/>
      <c r="AC48" s="239" t="str">
        <f>IFERROR((s1inv[[#This Row],[GAAP Reported Value (C)]]+s1inv[[#This Row],[Cum. Cash Proceeds (D)]])/s1inv[[#This Row],[Total Cash Invested (A)]],"")</f>
        <v/>
      </c>
      <c r="AD48" s="240"/>
      <c r="AE48" s="241" t="str">
        <f>IF(IFERROR(VLOOKUP(s1inv[[#This Row],[Portfolio Company Name]],s11cumperf[],4,FALSE),"")="","",(IFERROR(VLOOKUP(s1inv[[#This Row],[Portfolio Company Name]],s11cumperf[],4,FALSE),"")))</f>
        <v/>
      </c>
    </row>
    <row r="49" spans="1:31" s="242" customFormat="1" x14ac:dyDescent="0.35">
      <c r="A49" s="223" t="s">
        <v>243</v>
      </c>
      <c r="B49" s="224" t="str">
        <f>IF(IFERROR(VLOOKUP(s1inv[[#This Row],[Portfolio Company Name]],s11cumperf[],2,FALSE),"")="","",(IFERROR(VLOOKUP(s1inv[[#This Row],[Portfolio Company Name]],s11cumperf[],2,FALSE),"")))</f>
        <v/>
      </c>
      <c r="C49" s="694"/>
      <c r="D49" s="225"/>
      <c r="E49" s="226"/>
      <c r="F49" s="227"/>
      <c r="G49" s="228"/>
      <c r="H49" s="229"/>
      <c r="I49" s="230"/>
      <c r="J49" s="231"/>
      <c r="K49" s="232"/>
      <c r="L49" s="227"/>
      <c r="M49" s="233"/>
      <c r="N49" s="238"/>
      <c r="O49" s="234"/>
      <c r="P49" s="235">
        <f>IF(s1inv[[#This Row],[Schedule 1c Reference Number]]="",0,SUMIF(sched1c[Reference ID],s1inv[[#This Row],[Employer ID]]&amp;"-"&amp;s1inv[[#This Row],[Schedule 1c Reference Number]],sched1c[Change to Cost]))</f>
        <v>0</v>
      </c>
      <c r="Q49" s="233"/>
      <c r="R49" s="235">
        <f>s1inv[[#This Row],[Cost at Beginning Period]]+s1inv[[#This Row],[Addition/
Deduction]]</f>
        <v>0</v>
      </c>
      <c r="S49" s="233"/>
      <c r="T49" s="236"/>
      <c r="U49" s="233"/>
      <c r="V49" s="225"/>
      <c r="W49" s="227"/>
      <c r="X49" s="237">
        <f>s1inv[[#This Row],[Cost at End of Period]]+s1inv[[#This Row],[Unrealized Appreciation]]-ABS(s1inv[[#This Row],[(Unrealized Depreciation)]])</f>
        <v>0</v>
      </c>
      <c r="Y49" s="238">
        <v>0</v>
      </c>
      <c r="Z49" s="238"/>
      <c r="AA49" s="239" t="str">
        <f>IFERROR((s1inv[[#This Row],[SBA Reported Value (B)]]+s1inv[[#This Row],[Cum. Cash Proceeds (D)]])/s1inv[[#This Row],[Total Cash Invested (A)]],"")</f>
        <v/>
      </c>
      <c r="AB49" s="240"/>
      <c r="AC49" s="239" t="str">
        <f>IFERROR((s1inv[[#This Row],[GAAP Reported Value (C)]]+s1inv[[#This Row],[Cum. Cash Proceeds (D)]])/s1inv[[#This Row],[Total Cash Invested (A)]],"")</f>
        <v/>
      </c>
      <c r="AD49" s="240"/>
      <c r="AE49" s="241" t="str">
        <f>IF(IFERROR(VLOOKUP(s1inv[[#This Row],[Portfolio Company Name]],s11cumperf[],4,FALSE),"")="","",(IFERROR(VLOOKUP(s1inv[[#This Row],[Portfolio Company Name]],s11cumperf[],4,FALSE),"")))</f>
        <v/>
      </c>
    </row>
    <row r="50" spans="1:31" s="242" customFormat="1" x14ac:dyDescent="0.35">
      <c r="A50" s="223" t="s">
        <v>243</v>
      </c>
      <c r="B50" s="224" t="str">
        <f>IF(IFERROR(VLOOKUP(s1inv[[#This Row],[Portfolio Company Name]],s11cumperf[],2,FALSE),"")="","",(IFERROR(VLOOKUP(s1inv[[#This Row],[Portfolio Company Name]],s11cumperf[],2,FALSE),"")))</f>
        <v/>
      </c>
      <c r="C50" s="694"/>
      <c r="D50" s="225"/>
      <c r="E50" s="226"/>
      <c r="F50" s="227"/>
      <c r="G50" s="228"/>
      <c r="H50" s="229"/>
      <c r="I50" s="230"/>
      <c r="J50" s="231"/>
      <c r="K50" s="232"/>
      <c r="L50" s="227"/>
      <c r="M50" s="233"/>
      <c r="N50" s="238"/>
      <c r="O50" s="234"/>
      <c r="P50" s="235">
        <f>IF(s1inv[[#This Row],[Schedule 1c Reference Number]]="",0,SUMIF(sched1c[Reference ID],s1inv[[#This Row],[Employer ID]]&amp;"-"&amp;s1inv[[#This Row],[Schedule 1c Reference Number]],sched1c[Change to Cost]))</f>
        <v>0</v>
      </c>
      <c r="Q50" s="233"/>
      <c r="R50" s="235">
        <f>s1inv[[#This Row],[Cost at Beginning Period]]+s1inv[[#This Row],[Addition/
Deduction]]</f>
        <v>0</v>
      </c>
      <c r="S50" s="233"/>
      <c r="T50" s="236"/>
      <c r="U50" s="233"/>
      <c r="V50" s="225"/>
      <c r="W50" s="227"/>
      <c r="X50" s="237">
        <f>s1inv[[#This Row],[Cost at End of Period]]+s1inv[[#This Row],[Unrealized Appreciation]]-ABS(s1inv[[#This Row],[(Unrealized Depreciation)]])</f>
        <v>0</v>
      </c>
      <c r="Y50" s="238">
        <v>0</v>
      </c>
      <c r="Z50" s="238"/>
      <c r="AA50" s="239" t="str">
        <f>IFERROR((s1inv[[#This Row],[SBA Reported Value (B)]]+s1inv[[#This Row],[Cum. Cash Proceeds (D)]])/s1inv[[#This Row],[Total Cash Invested (A)]],"")</f>
        <v/>
      </c>
      <c r="AB50" s="240"/>
      <c r="AC50" s="239" t="str">
        <f>IFERROR((s1inv[[#This Row],[GAAP Reported Value (C)]]+s1inv[[#This Row],[Cum. Cash Proceeds (D)]])/s1inv[[#This Row],[Total Cash Invested (A)]],"")</f>
        <v/>
      </c>
      <c r="AD50" s="240"/>
      <c r="AE50" s="241" t="str">
        <f>IF(IFERROR(VLOOKUP(s1inv[[#This Row],[Portfolio Company Name]],s11cumperf[],4,FALSE),"")="","",(IFERROR(VLOOKUP(s1inv[[#This Row],[Portfolio Company Name]],s11cumperf[],4,FALSE),"")))</f>
        <v/>
      </c>
    </row>
    <row r="51" spans="1:31" s="242" customFormat="1" x14ac:dyDescent="0.35">
      <c r="A51" s="223" t="s">
        <v>243</v>
      </c>
      <c r="B51" s="224" t="str">
        <f>IF(IFERROR(VLOOKUP(s1inv[[#This Row],[Portfolio Company Name]],s11cumperf[],2,FALSE),"")="","",(IFERROR(VLOOKUP(s1inv[[#This Row],[Portfolio Company Name]],s11cumperf[],2,FALSE),"")))</f>
        <v/>
      </c>
      <c r="C51" s="694"/>
      <c r="D51" s="225"/>
      <c r="E51" s="226"/>
      <c r="F51" s="227"/>
      <c r="G51" s="228"/>
      <c r="H51" s="229"/>
      <c r="I51" s="230"/>
      <c r="J51" s="231"/>
      <c r="K51" s="232"/>
      <c r="L51" s="227"/>
      <c r="M51" s="233"/>
      <c r="N51" s="238"/>
      <c r="O51" s="234"/>
      <c r="P51" s="235">
        <f>IF(s1inv[[#This Row],[Schedule 1c Reference Number]]="",0,SUMIF(sched1c[Reference ID],s1inv[[#This Row],[Employer ID]]&amp;"-"&amp;s1inv[[#This Row],[Schedule 1c Reference Number]],sched1c[Change to Cost]))</f>
        <v>0</v>
      </c>
      <c r="Q51" s="233"/>
      <c r="R51" s="235">
        <f>s1inv[[#This Row],[Cost at Beginning Period]]+s1inv[[#This Row],[Addition/
Deduction]]</f>
        <v>0</v>
      </c>
      <c r="S51" s="233"/>
      <c r="T51" s="236"/>
      <c r="U51" s="233"/>
      <c r="V51" s="225"/>
      <c r="W51" s="227"/>
      <c r="X51" s="237">
        <f>s1inv[[#This Row],[Cost at End of Period]]+s1inv[[#This Row],[Unrealized Appreciation]]-ABS(s1inv[[#This Row],[(Unrealized Depreciation)]])</f>
        <v>0</v>
      </c>
      <c r="Y51" s="238">
        <v>0</v>
      </c>
      <c r="Z51" s="238"/>
      <c r="AA51" s="239" t="str">
        <f>IFERROR((s1inv[[#This Row],[SBA Reported Value (B)]]+s1inv[[#This Row],[Cum. Cash Proceeds (D)]])/s1inv[[#This Row],[Total Cash Invested (A)]],"")</f>
        <v/>
      </c>
      <c r="AB51" s="240"/>
      <c r="AC51" s="239" t="str">
        <f>IFERROR((s1inv[[#This Row],[GAAP Reported Value (C)]]+s1inv[[#This Row],[Cum. Cash Proceeds (D)]])/s1inv[[#This Row],[Total Cash Invested (A)]],"")</f>
        <v/>
      </c>
      <c r="AD51" s="240"/>
      <c r="AE51" s="241" t="str">
        <f>IF(IFERROR(VLOOKUP(s1inv[[#This Row],[Portfolio Company Name]],s11cumperf[],4,FALSE),"")="","",(IFERROR(VLOOKUP(s1inv[[#This Row],[Portfolio Company Name]],s11cumperf[],4,FALSE),"")))</f>
        <v/>
      </c>
    </row>
    <row r="52" spans="1:31" s="242" customFormat="1" x14ac:dyDescent="0.35">
      <c r="A52" s="223" t="s">
        <v>243</v>
      </c>
      <c r="B52" s="224" t="str">
        <f>IF(IFERROR(VLOOKUP(s1inv[[#This Row],[Portfolio Company Name]],s11cumperf[],2,FALSE),"")="","",(IFERROR(VLOOKUP(s1inv[[#This Row],[Portfolio Company Name]],s11cumperf[],2,FALSE),"")))</f>
        <v/>
      </c>
      <c r="C52" s="694"/>
      <c r="D52" s="225"/>
      <c r="E52" s="226"/>
      <c r="F52" s="227"/>
      <c r="G52" s="228"/>
      <c r="H52" s="229"/>
      <c r="I52" s="230"/>
      <c r="J52" s="231"/>
      <c r="K52" s="232"/>
      <c r="L52" s="227"/>
      <c r="M52" s="233"/>
      <c r="N52" s="238"/>
      <c r="O52" s="234"/>
      <c r="P52" s="235">
        <f>IF(s1inv[[#This Row],[Schedule 1c Reference Number]]="",0,SUMIF(sched1c[Reference ID],s1inv[[#This Row],[Employer ID]]&amp;"-"&amp;s1inv[[#This Row],[Schedule 1c Reference Number]],sched1c[Change to Cost]))</f>
        <v>0</v>
      </c>
      <c r="Q52" s="233"/>
      <c r="R52" s="235">
        <f>s1inv[[#This Row],[Cost at Beginning Period]]+s1inv[[#This Row],[Addition/
Deduction]]</f>
        <v>0</v>
      </c>
      <c r="S52" s="233"/>
      <c r="T52" s="236"/>
      <c r="U52" s="233"/>
      <c r="V52" s="225"/>
      <c r="W52" s="227"/>
      <c r="X52" s="237">
        <f>s1inv[[#This Row],[Cost at End of Period]]+s1inv[[#This Row],[Unrealized Appreciation]]-ABS(s1inv[[#This Row],[(Unrealized Depreciation)]])</f>
        <v>0</v>
      </c>
      <c r="Y52" s="238">
        <v>0</v>
      </c>
      <c r="Z52" s="238"/>
      <c r="AA52" s="239" t="str">
        <f>IFERROR((s1inv[[#This Row],[SBA Reported Value (B)]]+s1inv[[#This Row],[Cum. Cash Proceeds (D)]])/s1inv[[#This Row],[Total Cash Invested (A)]],"")</f>
        <v/>
      </c>
      <c r="AB52" s="240"/>
      <c r="AC52" s="239" t="str">
        <f>IFERROR((s1inv[[#This Row],[GAAP Reported Value (C)]]+s1inv[[#This Row],[Cum. Cash Proceeds (D)]])/s1inv[[#This Row],[Total Cash Invested (A)]],"")</f>
        <v/>
      </c>
      <c r="AD52" s="240"/>
      <c r="AE52" s="241" t="str">
        <f>IF(IFERROR(VLOOKUP(s1inv[[#This Row],[Portfolio Company Name]],s11cumperf[],4,FALSE),"")="","",(IFERROR(VLOOKUP(s1inv[[#This Row],[Portfolio Company Name]],s11cumperf[],4,FALSE),"")))</f>
        <v/>
      </c>
    </row>
    <row r="53" spans="1:31" s="242" customFormat="1" x14ac:dyDescent="0.35">
      <c r="A53" s="223" t="s">
        <v>243</v>
      </c>
      <c r="B53" s="224" t="str">
        <f>IF(IFERROR(VLOOKUP(s1inv[[#This Row],[Portfolio Company Name]],s11cumperf[],2,FALSE),"")="","",(IFERROR(VLOOKUP(s1inv[[#This Row],[Portfolio Company Name]],s11cumperf[],2,FALSE),"")))</f>
        <v/>
      </c>
      <c r="C53" s="694"/>
      <c r="D53" s="225"/>
      <c r="E53" s="226"/>
      <c r="F53" s="227"/>
      <c r="G53" s="228"/>
      <c r="H53" s="229"/>
      <c r="I53" s="230"/>
      <c r="J53" s="231"/>
      <c r="K53" s="232"/>
      <c r="L53" s="227"/>
      <c r="M53" s="233"/>
      <c r="N53" s="238"/>
      <c r="O53" s="234"/>
      <c r="P53" s="235">
        <f>IF(s1inv[[#This Row],[Schedule 1c Reference Number]]="",0,SUMIF(sched1c[Reference ID],s1inv[[#This Row],[Employer ID]]&amp;"-"&amp;s1inv[[#This Row],[Schedule 1c Reference Number]],sched1c[Change to Cost]))</f>
        <v>0</v>
      </c>
      <c r="Q53" s="233"/>
      <c r="R53" s="235">
        <f>s1inv[[#This Row],[Cost at Beginning Period]]+s1inv[[#This Row],[Addition/
Deduction]]</f>
        <v>0</v>
      </c>
      <c r="S53" s="233"/>
      <c r="T53" s="236"/>
      <c r="U53" s="233"/>
      <c r="V53" s="225"/>
      <c r="W53" s="227"/>
      <c r="X53" s="237">
        <f>s1inv[[#This Row],[Cost at End of Period]]+s1inv[[#This Row],[Unrealized Appreciation]]-ABS(s1inv[[#This Row],[(Unrealized Depreciation)]])</f>
        <v>0</v>
      </c>
      <c r="Y53" s="238">
        <v>0</v>
      </c>
      <c r="Z53" s="238"/>
      <c r="AA53" s="239" t="str">
        <f>IFERROR((s1inv[[#This Row],[SBA Reported Value (B)]]+s1inv[[#This Row],[Cum. Cash Proceeds (D)]])/s1inv[[#This Row],[Total Cash Invested (A)]],"")</f>
        <v/>
      </c>
      <c r="AB53" s="240"/>
      <c r="AC53" s="239" t="str">
        <f>IFERROR((s1inv[[#This Row],[GAAP Reported Value (C)]]+s1inv[[#This Row],[Cum. Cash Proceeds (D)]])/s1inv[[#This Row],[Total Cash Invested (A)]],"")</f>
        <v/>
      </c>
      <c r="AD53" s="240"/>
      <c r="AE53" s="241" t="str">
        <f>IF(IFERROR(VLOOKUP(s1inv[[#This Row],[Portfolio Company Name]],s11cumperf[],4,FALSE),"")="","",(IFERROR(VLOOKUP(s1inv[[#This Row],[Portfolio Company Name]],s11cumperf[],4,FALSE),"")))</f>
        <v/>
      </c>
    </row>
    <row r="54" spans="1:31" s="242" customFormat="1" x14ac:dyDescent="0.35">
      <c r="A54" s="223" t="s">
        <v>243</v>
      </c>
      <c r="B54" s="224" t="str">
        <f>IF(IFERROR(VLOOKUP(s1inv[[#This Row],[Portfolio Company Name]],s11cumperf[],2,FALSE),"")="","",(IFERROR(VLOOKUP(s1inv[[#This Row],[Portfolio Company Name]],s11cumperf[],2,FALSE),"")))</f>
        <v/>
      </c>
      <c r="C54" s="694"/>
      <c r="D54" s="225"/>
      <c r="E54" s="226"/>
      <c r="F54" s="227"/>
      <c r="G54" s="228"/>
      <c r="H54" s="229"/>
      <c r="I54" s="230"/>
      <c r="J54" s="231"/>
      <c r="K54" s="232"/>
      <c r="L54" s="227"/>
      <c r="M54" s="233"/>
      <c r="N54" s="238"/>
      <c r="O54" s="234"/>
      <c r="P54" s="235">
        <f>IF(s1inv[[#This Row],[Schedule 1c Reference Number]]="",0,SUMIF(sched1c[Reference ID],s1inv[[#This Row],[Employer ID]]&amp;"-"&amp;s1inv[[#This Row],[Schedule 1c Reference Number]],sched1c[Change to Cost]))</f>
        <v>0</v>
      </c>
      <c r="Q54" s="233"/>
      <c r="R54" s="235">
        <f>s1inv[[#This Row],[Cost at Beginning Period]]+s1inv[[#This Row],[Addition/
Deduction]]</f>
        <v>0</v>
      </c>
      <c r="S54" s="233"/>
      <c r="T54" s="236"/>
      <c r="U54" s="233"/>
      <c r="V54" s="225"/>
      <c r="W54" s="227"/>
      <c r="X54" s="237">
        <f>s1inv[[#This Row],[Cost at End of Period]]+s1inv[[#This Row],[Unrealized Appreciation]]-ABS(s1inv[[#This Row],[(Unrealized Depreciation)]])</f>
        <v>0</v>
      </c>
      <c r="Y54" s="238">
        <v>0</v>
      </c>
      <c r="Z54" s="238"/>
      <c r="AA54" s="239" t="str">
        <f>IFERROR((s1inv[[#This Row],[SBA Reported Value (B)]]+s1inv[[#This Row],[Cum. Cash Proceeds (D)]])/s1inv[[#This Row],[Total Cash Invested (A)]],"")</f>
        <v/>
      </c>
      <c r="AB54" s="240"/>
      <c r="AC54" s="239" t="str">
        <f>IFERROR((s1inv[[#This Row],[GAAP Reported Value (C)]]+s1inv[[#This Row],[Cum. Cash Proceeds (D)]])/s1inv[[#This Row],[Total Cash Invested (A)]],"")</f>
        <v/>
      </c>
      <c r="AD54" s="240"/>
      <c r="AE54" s="241" t="str">
        <f>IF(IFERROR(VLOOKUP(s1inv[[#This Row],[Portfolio Company Name]],s11cumperf[],4,FALSE),"")="","",(IFERROR(VLOOKUP(s1inv[[#This Row],[Portfolio Company Name]],s11cumperf[],4,FALSE),"")))</f>
        <v/>
      </c>
    </row>
    <row r="55" spans="1:31" s="242" customFormat="1" x14ac:dyDescent="0.35">
      <c r="A55" s="223" t="s">
        <v>243</v>
      </c>
      <c r="B55" s="224" t="str">
        <f>IF(IFERROR(VLOOKUP(s1inv[[#This Row],[Portfolio Company Name]],s11cumperf[],2,FALSE),"")="","",(IFERROR(VLOOKUP(s1inv[[#This Row],[Portfolio Company Name]],s11cumperf[],2,FALSE),"")))</f>
        <v/>
      </c>
      <c r="C55" s="694"/>
      <c r="D55" s="225"/>
      <c r="E55" s="226"/>
      <c r="F55" s="227"/>
      <c r="G55" s="228"/>
      <c r="H55" s="229"/>
      <c r="I55" s="230"/>
      <c r="J55" s="231"/>
      <c r="K55" s="232"/>
      <c r="L55" s="227"/>
      <c r="M55" s="233"/>
      <c r="N55" s="238"/>
      <c r="O55" s="234"/>
      <c r="P55" s="235">
        <f>IF(s1inv[[#This Row],[Schedule 1c Reference Number]]="",0,SUMIF(sched1c[Reference ID],s1inv[[#This Row],[Employer ID]]&amp;"-"&amp;s1inv[[#This Row],[Schedule 1c Reference Number]],sched1c[Change to Cost]))</f>
        <v>0</v>
      </c>
      <c r="Q55" s="233"/>
      <c r="R55" s="235">
        <f>s1inv[[#This Row],[Cost at Beginning Period]]+s1inv[[#This Row],[Addition/
Deduction]]</f>
        <v>0</v>
      </c>
      <c r="S55" s="233"/>
      <c r="T55" s="236"/>
      <c r="U55" s="233"/>
      <c r="V55" s="225"/>
      <c r="W55" s="227"/>
      <c r="X55" s="237">
        <f>s1inv[[#This Row],[Cost at End of Period]]+s1inv[[#This Row],[Unrealized Appreciation]]-ABS(s1inv[[#This Row],[(Unrealized Depreciation)]])</f>
        <v>0</v>
      </c>
      <c r="Y55" s="238">
        <v>0</v>
      </c>
      <c r="Z55" s="238"/>
      <c r="AA55" s="239" t="str">
        <f>IFERROR((s1inv[[#This Row],[SBA Reported Value (B)]]+s1inv[[#This Row],[Cum. Cash Proceeds (D)]])/s1inv[[#This Row],[Total Cash Invested (A)]],"")</f>
        <v/>
      </c>
      <c r="AB55" s="240"/>
      <c r="AC55" s="239" t="str">
        <f>IFERROR((s1inv[[#This Row],[GAAP Reported Value (C)]]+s1inv[[#This Row],[Cum. Cash Proceeds (D)]])/s1inv[[#This Row],[Total Cash Invested (A)]],"")</f>
        <v/>
      </c>
      <c r="AD55" s="240"/>
      <c r="AE55" s="241" t="str">
        <f>IF(IFERROR(VLOOKUP(s1inv[[#This Row],[Portfolio Company Name]],s11cumperf[],4,FALSE),"")="","",(IFERROR(VLOOKUP(s1inv[[#This Row],[Portfolio Company Name]],s11cumperf[],4,FALSE),"")))</f>
        <v/>
      </c>
    </row>
    <row r="56" spans="1:31" s="242" customFormat="1" x14ac:dyDescent="0.35">
      <c r="A56" s="223" t="s">
        <v>243</v>
      </c>
      <c r="B56" s="224" t="str">
        <f>IF(IFERROR(VLOOKUP(s1inv[[#This Row],[Portfolio Company Name]],s11cumperf[],2,FALSE),"")="","",(IFERROR(VLOOKUP(s1inv[[#This Row],[Portfolio Company Name]],s11cumperf[],2,FALSE),"")))</f>
        <v/>
      </c>
      <c r="C56" s="694"/>
      <c r="D56" s="225"/>
      <c r="E56" s="226"/>
      <c r="F56" s="227"/>
      <c r="G56" s="228"/>
      <c r="H56" s="229"/>
      <c r="I56" s="230"/>
      <c r="J56" s="231"/>
      <c r="K56" s="232"/>
      <c r="L56" s="227"/>
      <c r="M56" s="233"/>
      <c r="N56" s="238"/>
      <c r="O56" s="234"/>
      <c r="P56" s="235">
        <f>IF(s1inv[[#This Row],[Schedule 1c Reference Number]]="",0,SUMIF(sched1c[Reference ID],s1inv[[#This Row],[Employer ID]]&amp;"-"&amp;s1inv[[#This Row],[Schedule 1c Reference Number]],sched1c[Change to Cost]))</f>
        <v>0</v>
      </c>
      <c r="Q56" s="233"/>
      <c r="R56" s="235">
        <f>s1inv[[#This Row],[Cost at Beginning Period]]+s1inv[[#This Row],[Addition/
Deduction]]</f>
        <v>0</v>
      </c>
      <c r="S56" s="233"/>
      <c r="T56" s="236"/>
      <c r="U56" s="233"/>
      <c r="V56" s="225"/>
      <c r="W56" s="227"/>
      <c r="X56" s="237">
        <f>s1inv[[#This Row],[Cost at End of Period]]+s1inv[[#This Row],[Unrealized Appreciation]]-ABS(s1inv[[#This Row],[(Unrealized Depreciation)]])</f>
        <v>0</v>
      </c>
      <c r="Y56" s="238">
        <v>0</v>
      </c>
      <c r="Z56" s="238"/>
      <c r="AA56" s="239" t="str">
        <f>IFERROR((s1inv[[#This Row],[SBA Reported Value (B)]]+s1inv[[#This Row],[Cum. Cash Proceeds (D)]])/s1inv[[#This Row],[Total Cash Invested (A)]],"")</f>
        <v/>
      </c>
      <c r="AB56" s="240"/>
      <c r="AC56" s="239" t="str">
        <f>IFERROR((s1inv[[#This Row],[GAAP Reported Value (C)]]+s1inv[[#This Row],[Cum. Cash Proceeds (D)]])/s1inv[[#This Row],[Total Cash Invested (A)]],"")</f>
        <v/>
      </c>
      <c r="AD56" s="240"/>
      <c r="AE56" s="241" t="str">
        <f>IF(IFERROR(VLOOKUP(s1inv[[#This Row],[Portfolio Company Name]],s11cumperf[],4,FALSE),"")="","",(IFERROR(VLOOKUP(s1inv[[#This Row],[Portfolio Company Name]],s11cumperf[],4,FALSE),"")))</f>
        <v/>
      </c>
    </row>
    <row r="57" spans="1:31" s="242" customFormat="1" x14ac:dyDescent="0.35">
      <c r="A57" s="223" t="s">
        <v>243</v>
      </c>
      <c r="B57" s="224" t="str">
        <f>IF(IFERROR(VLOOKUP(s1inv[[#This Row],[Portfolio Company Name]],s11cumperf[],2,FALSE),"")="","",(IFERROR(VLOOKUP(s1inv[[#This Row],[Portfolio Company Name]],s11cumperf[],2,FALSE),"")))</f>
        <v/>
      </c>
      <c r="C57" s="694"/>
      <c r="D57" s="225"/>
      <c r="E57" s="226"/>
      <c r="F57" s="227"/>
      <c r="G57" s="228"/>
      <c r="H57" s="229"/>
      <c r="I57" s="230"/>
      <c r="J57" s="231"/>
      <c r="K57" s="232"/>
      <c r="L57" s="227"/>
      <c r="M57" s="233"/>
      <c r="N57" s="238"/>
      <c r="O57" s="234"/>
      <c r="P57" s="235">
        <f>IF(s1inv[[#This Row],[Schedule 1c Reference Number]]="",0,SUMIF(sched1c[Reference ID],s1inv[[#This Row],[Employer ID]]&amp;"-"&amp;s1inv[[#This Row],[Schedule 1c Reference Number]],sched1c[Change to Cost]))</f>
        <v>0</v>
      </c>
      <c r="Q57" s="233"/>
      <c r="R57" s="235">
        <f>s1inv[[#This Row],[Cost at Beginning Period]]+s1inv[[#This Row],[Addition/
Deduction]]</f>
        <v>0</v>
      </c>
      <c r="S57" s="233"/>
      <c r="T57" s="236"/>
      <c r="U57" s="233"/>
      <c r="V57" s="225"/>
      <c r="W57" s="227"/>
      <c r="X57" s="237">
        <f>s1inv[[#This Row],[Cost at End of Period]]+s1inv[[#This Row],[Unrealized Appreciation]]-ABS(s1inv[[#This Row],[(Unrealized Depreciation)]])</f>
        <v>0</v>
      </c>
      <c r="Y57" s="238">
        <v>0</v>
      </c>
      <c r="Z57" s="238"/>
      <c r="AA57" s="239" t="str">
        <f>IFERROR((s1inv[[#This Row],[SBA Reported Value (B)]]+s1inv[[#This Row],[Cum. Cash Proceeds (D)]])/s1inv[[#This Row],[Total Cash Invested (A)]],"")</f>
        <v/>
      </c>
      <c r="AB57" s="240"/>
      <c r="AC57" s="239" t="str">
        <f>IFERROR((s1inv[[#This Row],[GAAP Reported Value (C)]]+s1inv[[#This Row],[Cum. Cash Proceeds (D)]])/s1inv[[#This Row],[Total Cash Invested (A)]],"")</f>
        <v/>
      </c>
      <c r="AD57" s="240"/>
      <c r="AE57" s="241" t="str">
        <f>IF(IFERROR(VLOOKUP(s1inv[[#This Row],[Portfolio Company Name]],s11cumperf[],4,FALSE),"")="","",(IFERROR(VLOOKUP(s1inv[[#This Row],[Portfolio Company Name]],s11cumperf[],4,FALSE),"")))</f>
        <v/>
      </c>
    </row>
    <row r="58" spans="1:31" s="242" customFormat="1" x14ac:dyDescent="0.35">
      <c r="A58" s="223" t="s">
        <v>243</v>
      </c>
      <c r="B58" s="224" t="str">
        <f>IF(IFERROR(VLOOKUP(s1inv[[#This Row],[Portfolio Company Name]],s11cumperf[],2,FALSE),"")="","",(IFERROR(VLOOKUP(s1inv[[#This Row],[Portfolio Company Name]],s11cumperf[],2,FALSE),"")))</f>
        <v/>
      </c>
      <c r="C58" s="694"/>
      <c r="D58" s="225"/>
      <c r="E58" s="226"/>
      <c r="F58" s="227"/>
      <c r="G58" s="228"/>
      <c r="H58" s="229"/>
      <c r="I58" s="230"/>
      <c r="J58" s="231"/>
      <c r="K58" s="232"/>
      <c r="L58" s="227"/>
      <c r="M58" s="233"/>
      <c r="N58" s="238"/>
      <c r="O58" s="234"/>
      <c r="P58" s="235">
        <f>IF(s1inv[[#This Row],[Schedule 1c Reference Number]]="",0,SUMIF(sched1c[Reference ID],s1inv[[#This Row],[Employer ID]]&amp;"-"&amp;s1inv[[#This Row],[Schedule 1c Reference Number]],sched1c[Change to Cost]))</f>
        <v>0</v>
      </c>
      <c r="Q58" s="233"/>
      <c r="R58" s="235">
        <f>s1inv[[#This Row],[Cost at Beginning Period]]+s1inv[[#This Row],[Addition/
Deduction]]</f>
        <v>0</v>
      </c>
      <c r="S58" s="233"/>
      <c r="T58" s="236"/>
      <c r="U58" s="233"/>
      <c r="V58" s="225"/>
      <c r="W58" s="227"/>
      <c r="X58" s="237">
        <f>s1inv[[#This Row],[Cost at End of Period]]+s1inv[[#This Row],[Unrealized Appreciation]]-ABS(s1inv[[#This Row],[(Unrealized Depreciation)]])</f>
        <v>0</v>
      </c>
      <c r="Y58" s="238">
        <v>0</v>
      </c>
      <c r="Z58" s="238"/>
      <c r="AA58" s="239" t="str">
        <f>IFERROR((s1inv[[#This Row],[SBA Reported Value (B)]]+s1inv[[#This Row],[Cum. Cash Proceeds (D)]])/s1inv[[#This Row],[Total Cash Invested (A)]],"")</f>
        <v/>
      </c>
      <c r="AB58" s="240"/>
      <c r="AC58" s="239" t="str">
        <f>IFERROR((s1inv[[#This Row],[GAAP Reported Value (C)]]+s1inv[[#This Row],[Cum. Cash Proceeds (D)]])/s1inv[[#This Row],[Total Cash Invested (A)]],"")</f>
        <v/>
      </c>
      <c r="AD58" s="240"/>
      <c r="AE58" s="241" t="str">
        <f>IF(IFERROR(VLOOKUP(s1inv[[#This Row],[Portfolio Company Name]],s11cumperf[],4,FALSE),"")="","",(IFERROR(VLOOKUP(s1inv[[#This Row],[Portfolio Company Name]],s11cumperf[],4,FALSE),"")))</f>
        <v/>
      </c>
    </row>
    <row r="59" spans="1:31" s="242" customFormat="1" x14ac:dyDescent="0.35">
      <c r="A59" s="223" t="s">
        <v>243</v>
      </c>
      <c r="B59" s="224" t="str">
        <f>IF(IFERROR(VLOOKUP(s1inv[[#This Row],[Portfolio Company Name]],s11cumperf[],2,FALSE),"")="","",(IFERROR(VLOOKUP(s1inv[[#This Row],[Portfolio Company Name]],s11cumperf[],2,FALSE),"")))</f>
        <v/>
      </c>
      <c r="C59" s="694"/>
      <c r="D59" s="225"/>
      <c r="E59" s="226"/>
      <c r="F59" s="227"/>
      <c r="G59" s="228"/>
      <c r="H59" s="229"/>
      <c r="I59" s="230"/>
      <c r="J59" s="231"/>
      <c r="K59" s="232"/>
      <c r="L59" s="227"/>
      <c r="M59" s="233"/>
      <c r="N59" s="238"/>
      <c r="O59" s="234"/>
      <c r="P59" s="235">
        <f>IF(s1inv[[#This Row],[Schedule 1c Reference Number]]="",0,SUMIF(sched1c[Reference ID],s1inv[[#This Row],[Employer ID]]&amp;"-"&amp;s1inv[[#This Row],[Schedule 1c Reference Number]],sched1c[Change to Cost]))</f>
        <v>0</v>
      </c>
      <c r="Q59" s="233"/>
      <c r="R59" s="235">
        <f>s1inv[[#This Row],[Cost at Beginning Period]]+s1inv[[#This Row],[Addition/
Deduction]]</f>
        <v>0</v>
      </c>
      <c r="S59" s="233"/>
      <c r="T59" s="236"/>
      <c r="U59" s="233"/>
      <c r="V59" s="225"/>
      <c r="W59" s="227"/>
      <c r="X59" s="237">
        <f>s1inv[[#This Row],[Cost at End of Period]]+s1inv[[#This Row],[Unrealized Appreciation]]-ABS(s1inv[[#This Row],[(Unrealized Depreciation)]])</f>
        <v>0</v>
      </c>
      <c r="Y59" s="238">
        <v>0</v>
      </c>
      <c r="Z59" s="238"/>
      <c r="AA59" s="239" t="str">
        <f>IFERROR((s1inv[[#This Row],[SBA Reported Value (B)]]+s1inv[[#This Row],[Cum. Cash Proceeds (D)]])/s1inv[[#This Row],[Total Cash Invested (A)]],"")</f>
        <v/>
      </c>
      <c r="AB59" s="240"/>
      <c r="AC59" s="239" t="str">
        <f>IFERROR((s1inv[[#This Row],[GAAP Reported Value (C)]]+s1inv[[#This Row],[Cum. Cash Proceeds (D)]])/s1inv[[#This Row],[Total Cash Invested (A)]],"")</f>
        <v/>
      </c>
      <c r="AD59" s="240"/>
      <c r="AE59" s="241" t="str">
        <f>IF(IFERROR(VLOOKUP(s1inv[[#This Row],[Portfolio Company Name]],s11cumperf[],4,FALSE),"")="","",(IFERROR(VLOOKUP(s1inv[[#This Row],[Portfolio Company Name]],s11cumperf[],4,FALSE),"")))</f>
        <v/>
      </c>
    </row>
    <row r="60" spans="1:31" s="242" customFormat="1" x14ac:dyDescent="0.35">
      <c r="A60" s="223" t="s">
        <v>243</v>
      </c>
      <c r="B60" s="224" t="str">
        <f>IF(IFERROR(VLOOKUP(s1inv[[#This Row],[Portfolio Company Name]],s11cumperf[],2,FALSE),"")="","",(IFERROR(VLOOKUP(s1inv[[#This Row],[Portfolio Company Name]],s11cumperf[],2,FALSE),"")))</f>
        <v/>
      </c>
      <c r="C60" s="694"/>
      <c r="D60" s="225"/>
      <c r="E60" s="226"/>
      <c r="F60" s="227"/>
      <c r="G60" s="228"/>
      <c r="H60" s="229"/>
      <c r="I60" s="230"/>
      <c r="J60" s="231"/>
      <c r="K60" s="232"/>
      <c r="L60" s="227"/>
      <c r="M60" s="233"/>
      <c r="N60" s="238"/>
      <c r="O60" s="234"/>
      <c r="P60" s="235">
        <f>IF(s1inv[[#This Row],[Schedule 1c Reference Number]]="",0,SUMIF(sched1c[Reference ID],s1inv[[#This Row],[Employer ID]]&amp;"-"&amp;s1inv[[#This Row],[Schedule 1c Reference Number]],sched1c[Change to Cost]))</f>
        <v>0</v>
      </c>
      <c r="Q60" s="233"/>
      <c r="R60" s="235">
        <f>s1inv[[#This Row],[Cost at Beginning Period]]+s1inv[[#This Row],[Addition/
Deduction]]</f>
        <v>0</v>
      </c>
      <c r="S60" s="233"/>
      <c r="T60" s="236"/>
      <c r="U60" s="233"/>
      <c r="V60" s="225"/>
      <c r="W60" s="227"/>
      <c r="X60" s="237">
        <f>s1inv[[#This Row],[Cost at End of Period]]+s1inv[[#This Row],[Unrealized Appreciation]]-ABS(s1inv[[#This Row],[(Unrealized Depreciation)]])</f>
        <v>0</v>
      </c>
      <c r="Y60" s="238">
        <v>0</v>
      </c>
      <c r="Z60" s="238"/>
      <c r="AA60" s="239" t="str">
        <f>IFERROR((s1inv[[#This Row],[SBA Reported Value (B)]]+s1inv[[#This Row],[Cum. Cash Proceeds (D)]])/s1inv[[#This Row],[Total Cash Invested (A)]],"")</f>
        <v/>
      </c>
      <c r="AB60" s="240"/>
      <c r="AC60" s="239" t="str">
        <f>IFERROR((s1inv[[#This Row],[GAAP Reported Value (C)]]+s1inv[[#This Row],[Cum. Cash Proceeds (D)]])/s1inv[[#This Row],[Total Cash Invested (A)]],"")</f>
        <v/>
      </c>
      <c r="AD60" s="240"/>
      <c r="AE60" s="241" t="str">
        <f>IF(IFERROR(VLOOKUP(s1inv[[#This Row],[Portfolio Company Name]],s11cumperf[],4,FALSE),"")="","",(IFERROR(VLOOKUP(s1inv[[#This Row],[Portfolio Company Name]],s11cumperf[],4,FALSE),"")))</f>
        <v/>
      </c>
    </row>
    <row r="61" spans="1:31" s="242" customFormat="1" x14ac:dyDescent="0.35">
      <c r="A61" s="223" t="s">
        <v>243</v>
      </c>
      <c r="B61" s="224" t="str">
        <f>IF(IFERROR(VLOOKUP(s1inv[[#This Row],[Portfolio Company Name]],s11cumperf[],2,FALSE),"")="","",(IFERROR(VLOOKUP(s1inv[[#This Row],[Portfolio Company Name]],s11cumperf[],2,FALSE),"")))</f>
        <v/>
      </c>
      <c r="C61" s="694"/>
      <c r="D61" s="225"/>
      <c r="E61" s="226"/>
      <c r="F61" s="227"/>
      <c r="G61" s="228"/>
      <c r="H61" s="229"/>
      <c r="I61" s="230"/>
      <c r="J61" s="231"/>
      <c r="K61" s="232"/>
      <c r="L61" s="227"/>
      <c r="M61" s="233"/>
      <c r="N61" s="233"/>
      <c r="O61" s="234"/>
      <c r="P61" s="235" t="e">
        <f>IF(s1inv[[#This Row],[Schedule 1c Reference Number]]="",0,SUMIF(sched1c[Reference ID],s1inv[[#This Row],[Employer ID]]&amp;"-"&amp;s1inv[[#This Row],[Schedule 1c Reference Number]],sched1c[Change to Cost]))</f>
        <v>#VALUE!</v>
      </c>
      <c r="Q61" s="233"/>
      <c r="R61" s="235" t="e">
        <f>s1inv[[#This Row],[Cost at Beginning Period]]+s1inv[[#This Row],[Addition/
Deduction]]</f>
        <v>#VALUE!</v>
      </c>
      <c r="S61" s="233"/>
      <c r="T61" s="236"/>
      <c r="U61" s="233"/>
      <c r="V61" s="225"/>
      <c r="W61" s="227"/>
      <c r="X61" s="237" t="e">
        <f>s1inv[[#This Row],[Cost at End of Period]]+s1inv[[#This Row],[Unrealized Appreciation]]-ABS(s1inv[[#This Row],[(Unrealized Depreciation)]])</f>
        <v>#VALUE!</v>
      </c>
      <c r="Y61" s="238">
        <v>0</v>
      </c>
      <c r="Z61" s="238"/>
      <c r="AA61" s="239" t="str">
        <f>IFERROR((s1inv[[#This Row],[SBA Reported Value (B)]]+s1inv[[#This Row],[Cum. Cash Proceeds (D)]])/s1inv[[#This Row],[Total Cash Invested (A)]],"")</f>
        <v/>
      </c>
      <c r="AB61" s="240"/>
      <c r="AC61" s="239" t="str">
        <f>IFERROR((s1inv[[#This Row],[GAAP Reported Value (C)]]+s1inv[[#This Row],[Cum. Cash Proceeds (D)]])/s1inv[[#This Row],[Total Cash Invested (A)]],"")</f>
        <v/>
      </c>
      <c r="AD61" s="240"/>
      <c r="AE61" s="241" t="str">
        <f>IF(IFERROR(VLOOKUP(s1inv[[#This Row],[Portfolio Company Name]],s11cumperf[],4,FALSE),"")="","",(IFERROR(VLOOKUP(s1inv[[#This Row],[Portfolio Company Name]],s11cumperf[],4,FALSE),"")))</f>
        <v/>
      </c>
    </row>
    <row r="62" spans="1:31" s="242" customFormat="1" x14ac:dyDescent="0.35">
      <c r="A62" s="223" t="s">
        <v>243</v>
      </c>
      <c r="B62" s="224" t="str">
        <f>IF(IFERROR(VLOOKUP(s1inv[[#This Row],[Portfolio Company Name]],s11cumperf[],2,FALSE),"")="","",(IFERROR(VLOOKUP(s1inv[[#This Row],[Portfolio Company Name]],s11cumperf[],2,FALSE),"")))</f>
        <v/>
      </c>
      <c r="C62" s="694"/>
      <c r="D62" s="225"/>
      <c r="E62" s="226"/>
      <c r="F62" s="227"/>
      <c r="G62" s="228"/>
      <c r="H62" s="229"/>
      <c r="I62" s="230"/>
      <c r="J62" s="231"/>
      <c r="K62" s="232"/>
      <c r="L62" s="227"/>
      <c r="M62" s="233"/>
      <c r="N62" s="233"/>
      <c r="O62" s="234"/>
      <c r="P62" s="235" t="e">
        <f>IF(s1inv[[#This Row],[Schedule 1c Reference Number]]="",0,SUMIF(sched1c[Reference ID],s1inv[[#This Row],[Employer ID]]&amp;"-"&amp;s1inv[[#This Row],[Schedule 1c Reference Number]],sched1c[Change to Cost]))</f>
        <v>#VALUE!</v>
      </c>
      <c r="Q62" s="233"/>
      <c r="R62" s="235" t="e">
        <f>s1inv[[#This Row],[Cost at Beginning Period]]+s1inv[[#This Row],[Addition/
Deduction]]</f>
        <v>#VALUE!</v>
      </c>
      <c r="S62" s="233"/>
      <c r="T62" s="236"/>
      <c r="U62" s="233"/>
      <c r="V62" s="225"/>
      <c r="W62" s="227"/>
      <c r="X62" s="237" t="e">
        <f>s1inv[[#This Row],[Cost at End of Period]]+s1inv[[#This Row],[Unrealized Appreciation]]-ABS(s1inv[[#This Row],[(Unrealized Depreciation)]])</f>
        <v>#VALUE!</v>
      </c>
      <c r="Y62" s="238">
        <v>0</v>
      </c>
      <c r="Z62" s="238"/>
      <c r="AA62" s="239" t="str">
        <f>IFERROR((s1inv[[#This Row],[SBA Reported Value (B)]]+s1inv[[#This Row],[Cum. Cash Proceeds (D)]])/s1inv[[#This Row],[Total Cash Invested (A)]],"")</f>
        <v/>
      </c>
      <c r="AB62" s="240"/>
      <c r="AC62" s="239" t="str">
        <f>IFERROR((s1inv[[#This Row],[GAAP Reported Value (C)]]+s1inv[[#This Row],[Cum. Cash Proceeds (D)]])/s1inv[[#This Row],[Total Cash Invested (A)]],"")</f>
        <v/>
      </c>
      <c r="AD62" s="240"/>
      <c r="AE62" s="241" t="str">
        <f>IF(IFERROR(VLOOKUP(s1inv[[#This Row],[Portfolio Company Name]],s11cumperf[],4,FALSE),"")="","",(IFERROR(VLOOKUP(s1inv[[#This Row],[Portfolio Company Name]],s11cumperf[],4,FALSE),"")))</f>
        <v/>
      </c>
    </row>
    <row r="63" spans="1:31" s="242" customFormat="1" x14ac:dyDescent="0.35">
      <c r="A63" s="223" t="s">
        <v>243</v>
      </c>
      <c r="B63" s="224" t="str">
        <f>IF(IFERROR(VLOOKUP(s1inv[[#This Row],[Portfolio Company Name]],s11cumperf[],2,FALSE),"")="","",(IFERROR(VLOOKUP(s1inv[[#This Row],[Portfolio Company Name]],s11cumperf[],2,FALSE),"")))</f>
        <v/>
      </c>
      <c r="C63" s="694"/>
      <c r="D63" s="225"/>
      <c r="E63" s="226"/>
      <c r="F63" s="227"/>
      <c r="G63" s="228"/>
      <c r="H63" s="229"/>
      <c r="I63" s="230"/>
      <c r="J63" s="231"/>
      <c r="K63" s="232"/>
      <c r="L63" s="227"/>
      <c r="M63" s="233"/>
      <c r="N63" s="233"/>
      <c r="O63" s="234"/>
      <c r="P63" s="235" t="e">
        <f>IF(s1inv[[#This Row],[Schedule 1c Reference Number]]="",0,SUMIF(sched1c[Reference ID],s1inv[[#This Row],[Employer ID]]&amp;"-"&amp;s1inv[[#This Row],[Schedule 1c Reference Number]],sched1c[Change to Cost]))</f>
        <v>#VALUE!</v>
      </c>
      <c r="Q63" s="233"/>
      <c r="R63" s="235" t="e">
        <f>s1inv[[#This Row],[Cost at Beginning Period]]+s1inv[[#This Row],[Addition/
Deduction]]</f>
        <v>#VALUE!</v>
      </c>
      <c r="S63" s="233"/>
      <c r="T63" s="236"/>
      <c r="U63" s="233"/>
      <c r="V63" s="225"/>
      <c r="W63" s="227"/>
      <c r="X63" s="237" t="e">
        <f>s1inv[[#This Row],[Cost at End of Period]]+s1inv[[#This Row],[Unrealized Appreciation]]-ABS(s1inv[[#This Row],[(Unrealized Depreciation)]])</f>
        <v>#VALUE!</v>
      </c>
      <c r="Y63" s="238">
        <v>0</v>
      </c>
      <c r="Z63" s="238"/>
      <c r="AA63" s="239" t="str">
        <f>IFERROR((s1inv[[#This Row],[SBA Reported Value (B)]]+s1inv[[#This Row],[Cum. Cash Proceeds (D)]])/s1inv[[#This Row],[Total Cash Invested (A)]],"")</f>
        <v/>
      </c>
      <c r="AB63" s="240"/>
      <c r="AC63" s="239" t="str">
        <f>IFERROR((s1inv[[#This Row],[GAAP Reported Value (C)]]+s1inv[[#This Row],[Cum. Cash Proceeds (D)]])/s1inv[[#This Row],[Total Cash Invested (A)]],"")</f>
        <v/>
      </c>
      <c r="AD63" s="240"/>
      <c r="AE63" s="241" t="str">
        <f>IF(IFERROR(VLOOKUP(s1inv[[#This Row],[Portfolio Company Name]],s11cumperf[],4,FALSE),"")="","",(IFERROR(VLOOKUP(s1inv[[#This Row],[Portfolio Company Name]],s11cumperf[],4,FALSE),"")))</f>
        <v/>
      </c>
    </row>
    <row r="64" spans="1:31" s="242" customFormat="1" x14ac:dyDescent="0.35">
      <c r="A64" s="223" t="s">
        <v>243</v>
      </c>
      <c r="B64" s="224" t="str">
        <f>IF(IFERROR(VLOOKUP(s1inv[[#This Row],[Portfolio Company Name]],s11cumperf[],2,FALSE),"")="","",(IFERROR(VLOOKUP(s1inv[[#This Row],[Portfolio Company Name]],s11cumperf[],2,FALSE),"")))</f>
        <v/>
      </c>
      <c r="C64" s="694"/>
      <c r="D64" s="225"/>
      <c r="E64" s="226"/>
      <c r="F64" s="227"/>
      <c r="G64" s="228"/>
      <c r="H64" s="229"/>
      <c r="I64" s="230"/>
      <c r="J64" s="231"/>
      <c r="K64" s="232"/>
      <c r="L64" s="227"/>
      <c r="M64" s="233"/>
      <c r="N64" s="233"/>
      <c r="O64" s="234"/>
      <c r="P64" s="235" t="e">
        <f>IF(s1inv[[#This Row],[Schedule 1c Reference Number]]="",0,SUMIF(sched1c[Reference ID],s1inv[[#This Row],[Employer ID]]&amp;"-"&amp;s1inv[[#This Row],[Schedule 1c Reference Number]],sched1c[Change to Cost]))</f>
        <v>#VALUE!</v>
      </c>
      <c r="Q64" s="233"/>
      <c r="R64" s="235" t="e">
        <f>s1inv[[#This Row],[Cost at Beginning Period]]+s1inv[[#This Row],[Addition/
Deduction]]</f>
        <v>#VALUE!</v>
      </c>
      <c r="S64" s="233"/>
      <c r="T64" s="236"/>
      <c r="U64" s="233"/>
      <c r="V64" s="225"/>
      <c r="W64" s="227"/>
      <c r="X64" s="237" t="e">
        <f>s1inv[[#This Row],[Cost at End of Period]]+s1inv[[#This Row],[Unrealized Appreciation]]-ABS(s1inv[[#This Row],[(Unrealized Depreciation)]])</f>
        <v>#VALUE!</v>
      </c>
      <c r="Y64" s="238">
        <v>0</v>
      </c>
      <c r="Z64" s="238"/>
      <c r="AA64" s="239" t="str">
        <f>IFERROR((s1inv[[#This Row],[SBA Reported Value (B)]]+s1inv[[#This Row],[Cum. Cash Proceeds (D)]])/s1inv[[#This Row],[Total Cash Invested (A)]],"")</f>
        <v/>
      </c>
      <c r="AB64" s="240"/>
      <c r="AC64" s="239" t="str">
        <f>IFERROR((s1inv[[#This Row],[GAAP Reported Value (C)]]+s1inv[[#This Row],[Cum. Cash Proceeds (D)]])/s1inv[[#This Row],[Total Cash Invested (A)]],"")</f>
        <v/>
      </c>
      <c r="AD64" s="240"/>
      <c r="AE64" s="241" t="str">
        <f>IF(IFERROR(VLOOKUP(s1inv[[#This Row],[Portfolio Company Name]],s11cumperf[],4,FALSE),"")="","",(IFERROR(VLOOKUP(s1inv[[#This Row],[Portfolio Company Name]],s11cumperf[],4,FALSE),"")))</f>
        <v/>
      </c>
    </row>
    <row r="65" spans="1:31" s="242" customFormat="1" x14ac:dyDescent="0.35">
      <c r="A65" s="223" t="s">
        <v>243</v>
      </c>
      <c r="B65" s="224" t="str">
        <f>IF(IFERROR(VLOOKUP(s1inv[[#This Row],[Portfolio Company Name]],s11cumperf[],2,FALSE),"")="","",(IFERROR(VLOOKUP(s1inv[[#This Row],[Portfolio Company Name]],s11cumperf[],2,FALSE),"")))</f>
        <v/>
      </c>
      <c r="C65" s="694"/>
      <c r="D65" s="225"/>
      <c r="E65" s="226"/>
      <c r="F65" s="227"/>
      <c r="G65" s="228"/>
      <c r="H65" s="229"/>
      <c r="I65" s="230"/>
      <c r="J65" s="231"/>
      <c r="K65" s="232"/>
      <c r="L65" s="227"/>
      <c r="M65" s="233"/>
      <c r="N65" s="233"/>
      <c r="O65" s="234"/>
      <c r="P65" s="235" t="e">
        <f>IF(s1inv[[#This Row],[Schedule 1c Reference Number]]="",0,SUMIF(sched1c[Reference ID],s1inv[[#This Row],[Employer ID]]&amp;"-"&amp;s1inv[[#This Row],[Schedule 1c Reference Number]],sched1c[Change to Cost]))</f>
        <v>#VALUE!</v>
      </c>
      <c r="Q65" s="233"/>
      <c r="R65" s="235" t="e">
        <f>s1inv[[#This Row],[Cost at Beginning Period]]+s1inv[[#This Row],[Addition/
Deduction]]</f>
        <v>#VALUE!</v>
      </c>
      <c r="S65" s="233"/>
      <c r="T65" s="236"/>
      <c r="U65" s="233"/>
      <c r="V65" s="225"/>
      <c r="W65" s="227"/>
      <c r="X65" s="237" t="e">
        <f>s1inv[[#This Row],[Cost at End of Period]]+s1inv[[#This Row],[Unrealized Appreciation]]-ABS(s1inv[[#This Row],[(Unrealized Depreciation)]])</f>
        <v>#VALUE!</v>
      </c>
      <c r="Y65" s="238">
        <v>0</v>
      </c>
      <c r="Z65" s="238"/>
      <c r="AA65" s="239" t="str">
        <f>IFERROR((s1inv[[#This Row],[SBA Reported Value (B)]]+s1inv[[#This Row],[Cum. Cash Proceeds (D)]])/s1inv[[#This Row],[Total Cash Invested (A)]],"")</f>
        <v/>
      </c>
      <c r="AB65" s="240"/>
      <c r="AC65" s="239" t="str">
        <f>IFERROR((s1inv[[#This Row],[GAAP Reported Value (C)]]+s1inv[[#This Row],[Cum. Cash Proceeds (D)]])/s1inv[[#This Row],[Total Cash Invested (A)]],"")</f>
        <v/>
      </c>
      <c r="AD65" s="240"/>
      <c r="AE65" s="241" t="str">
        <f>IF(IFERROR(VLOOKUP(s1inv[[#This Row],[Portfolio Company Name]],s11cumperf[],4,FALSE),"")="","",(IFERROR(VLOOKUP(s1inv[[#This Row],[Portfolio Company Name]],s11cumperf[],4,FALSE),"")))</f>
        <v/>
      </c>
    </row>
    <row r="66" spans="1:31" s="242" customFormat="1" x14ac:dyDescent="0.35">
      <c r="A66" s="223" t="s">
        <v>243</v>
      </c>
      <c r="B66" s="224" t="str">
        <f>IF(IFERROR(VLOOKUP(s1inv[[#This Row],[Portfolio Company Name]],s11cumperf[],2,FALSE),"")="","",(IFERROR(VLOOKUP(s1inv[[#This Row],[Portfolio Company Name]],s11cumperf[],2,FALSE),"")))</f>
        <v/>
      </c>
      <c r="C66" s="694"/>
      <c r="D66" s="225"/>
      <c r="E66" s="226"/>
      <c r="F66" s="227"/>
      <c r="G66" s="228"/>
      <c r="H66" s="229"/>
      <c r="I66" s="230"/>
      <c r="J66" s="231"/>
      <c r="K66" s="232"/>
      <c r="L66" s="227"/>
      <c r="M66" s="233"/>
      <c r="N66" s="233"/>
      <c r="O66" s="234"/>
      <c r="P66" s="235" t="e">
        <f>IF(s1inv[[#This Row],[Schedule 1c Reference Number]]="",0,SUMIF(sched1c[Reference ID],s1inv[[#This Row],[Employer ID]]&amp;"-"&amp;s1inv[[#This Row],[Schedule 1c Reference Number]],sched1c[Change to Cost]))</f>
        <v>#VALUE!</v>
      </c>
      <c r="Q66" s="233"/>
      <c r="R66" s="235" t="e">
        <f>s1inv[[#This Row],[Cost at Beginning Period]]+s1inv[[#This Row],[Addition/
Deduction]]</f>
        <v>#VALUE!</v>
      </c>
      <c r="S66" s="233"/>
      <c r="T66" s="236"/>
      <c r="U66" s="233"/>
      <c r="V66" s="225"/>
      <c r="W66" s="227"/>
      <c r="X66" s="237" t="e">
        <f>s1inv[[#This Row],[Cost at End of Period]]+s1inv[[#This Row],[Unrealized Appreciation]]-ABS(s1inv[[#This Row],[(Unrealized Depreciation)]])</f>
        <v>#VALUE!</v>
      </c>
      <c r="Y66" s="238">
        <v>0</v>
      </c>
      <c r="Z66" s="238"/>
      <c r="AA66" s="239" t="str">
        <f>IFERROR((s1inv[[#This Row],[SBA Reported Value (B)]]+s1inv[[#This Row],[Cum. Cash Proceeds (D)]])/s1inv[[#This Row],[Total Cash Invested (A)]],"")</f>
        <v/>
      </c>
      <c r="AB66" s="240"/>
      <c r="AC66" s="239" t="str">
        <f>IFERROR((s1inv[[#This Row],[GAAP Reported Value (C)]]+s1inv[[#This Row],[Cum. Cash Proceeds (D)]])/s1inv[[#This Row],[Total Cash Invested (A)]],"")</f>
        <v/>
      </c>
      <c r="AD66" s="240"/>
      <c r="AE66" s="241" t="str">
        <f>IF(IFERROR(VLOOKUP(s1inv[[#This Row],[Portfolio Company Name]],s11cumperf[],4,FALSE),"")="","",(IFERROR(VLOOKUP(s1inv[[#This Row],[Portfolio Company Name]],s11cumperf[],4,FALSE),"")))</f>
        <v/>
      </c>
    </row>
    <row r="67" spans="1:31" s="242" customFormat="1" x14ac:dyDescent="0.35">
      <c r="A67" s="223" t="s">
        <v>243</v>
      </c>
      <c r="B67" s="224" t="str">
        <f>IF(IFERROR(VLOOKUP(s1inv[[#This Row],[Portfolio Company Name]],s11cumperf[],2,FALSE),"")="","",(IFERROR(VLOOKUP(s1inv[[#This Row],[Portfolio Company Name]],s11cumperf[],2,FALSE),"")))</f>
        <v/>
      </c>
      <c r="C67" s="694"/>
      <c r="D67" s="225"/>
      <c r="E67" s="226"/>
      <c r="F67" s="227"/>
      <c r="G67" s="228"/>
      <c r="H67" s="229"/>
      <c r="I67" s="230"/>
      <c r="J67" s="231"/>
      <c r="K67" s="232"/>
      <c r="L67" s="227"/>
      <c r="M67" s="233"/>
      <c r="N67" s="233"/>
      <c r="O67" s="234"/>
      <c r="P67" s="235" t="e">
        <f>IF(s1inv[[#This Row],[Schedule 1c Reference Number]]="",0,SUMIF(sched1c[Reference ID],s1inv[[#This Row],[Employer ID]]&amp;"-"&amp;s1inv[[#This Row],[Schedule 1c Reference Number]],sched1c[Change to Cost]))</f>
        <v>#VALUE!</v>
      </c>
      <c r="Q67" s="233"/>
      <c r="R67" s="235" t="e">
        <f>s1inv[[#This Row],[Cost at Beginning Period]]+s1inv[[#This Row],[Addition/
Deduction]]</f>
        <v>#VALUE!</v>
      </c>
      <c r="S67" s="233"/>
      <c r="T67" s="236"/>
      <c r="U67" s="233"/>
      <c r="V67" s="225"/>
      <c r="W67" s="227"/>
      <c r="X67" s="237" t="e">
        <f>s1inv[[#This Row],[Cost at End of Period]]+s1inv[[#This Row],[Unrealized Appreciation]]-ABS(s1inv[[#This Row],[(Unrealized Depreciation)]])</f>
        <v>#VALUE!</v>
      </c>
      <c r="Y67" s="238">
        <v>0</v>
      </c>
      <c r="Z67" s="238"/>
      <c r="AA67" s="239" t="str">
        <f>IFERROR((s1inv[[#This Row],[SBA Reported Value (B)]]+s1inv[[#This Row],[Cum. Cash Proceeds (D)]])/s1inv[[#This Row],[Total Cash Invested (A)]],"")</f>
        <v/>
      </c>
      <c r="AB67" s="240"/>
      <c r="AC67" s="239" t="str">
        <f>IFERROR((s1inv[[#This Row],[GAAP Reported Value (C)]]+s1inv[[#This Row],[Cum. Cash Proceeds (D)]])/s1inv[[#This Row],[Total Cash Invested (A)]],"")</f>
        <v/>
      </c>
      <c r="AD67" s="240"/>
      <c r="AE67" s="241" t="str">
        <f>IF(IFERROR(VLOOKUP(s1inv[[#This Row],[Portfolio Company Name]],s11cumperf[],4,FALSE),"")="","",(IFERROR(VLOOKUP(s1inv[[#This Row],[Portfolio Company Name]],s11cumperf[],4,FALSE),"")))</f>
        <v/>
      </c>
    </row>
    <row r="68" spans="1:31" s="242" customFormat="1" x14ac:dyDescent="0.35">
      <c r="A68" s="223" t="s">
        <v>243</v>
      </c>
      <c r="B68" s="224" t="str">
        <f>IF(IFERROR(VLOOKUP(s1inv[[#This Row],[Portfolio Company Name]],s11cumperf[],2,FALSE),"")="","",(IFERROR(VLOOKUP(s1inv[[#This Row],[Portfolio Company Name]],s11cumperf[],2,FALSE),"")))</f>
        <v/>
      </c>
      <c r="C68" s="694"/>
      <c r="D68" s="225"/>
      <c r="E68" s="226"/>
      <c r="F68" s="227"/>
      <c r="G68" s="228"/>
      <c r="H68" s="229"/>
      <c r="I68" s="230"/>
      <c r="J68" s="231"/>
      <c r="K68" s="232"/>
      <c r="L68" s="227"/>
      <c r="M68" s="233"/>
      <c r="N68" s="233"/>
      <c r="O68" s="234"/>
      <c r="P68" s="235" t="e">
        <f>IF(s1inv[[#This Row],[Schedule 1c Reference Number]]="",0,SUMIF(sched1c[Reference ID],s1inv[[#This Row],[Employer ID]]&amp;"-"&amp;s1inv[[#This Row],[Schedule 1c Reference Number]],sched1c[Change to Cost]))</f>
        <v>#VALUE!</v>
      </c>
      <c r="Q68" s="233"/>
      <c r="R68" s="235" t="e">
        <f>s1inv[[#This Row],[Cost at Beginning Period]]+s1inv[[#This Row],[Addition/
Deduction]]</f>
        <v>#VALUE!</v>
      </c>
      <c r="S68" s="233"/>
      <c r="T68" s="236"/>
      <c r="U68" s="233"/>
      <c r="V68" s="225"/>
      <c r="W68" s="227"/>
      <c r="X68" s="237" t="e">
        <f>s1inv[[#This Row],[Cost at End of Period]]+s1inv[[#This Row],[Unrealized Appreciation]]-ABS(s1inv[[#This Row],[(Unrealized Depreciation)]])</f>
        <v>#VALUE!</v>
      </c>
      <c r="Y68" s="238">
        <v>0</v>
      </c>
      <c r="Z68" s="238"/>
      <c r="AA68" s="239" t="str">
        <f>IFERROR((s1inv[[#This Row],[SBA Reported Value (B)]]+s1inv[[#This Row],[Cum. Cash Proceeds (D)]])/s1inv[[#This Row],[Total Cash Invested (A)]],"")</f>
        <v/>
      </c>
      <c r="AB68" s="240"/>
      <c r="AC68" s="239" t="str">
        <f>IFERROR((s1inv[[#This Row],[GAAP Reported Value (C)]]+s1inv[[#This Row],[Cum. Cash Proceeds (D)]])/s1inv[[#This Row],[Total Cash Invested (A)]],"")</f>
        <v/>
      </c>
      <c r="AD68" s="240"/>
      <c r="AE68" s="241" t="str">
        <f>IF(IFERROR(VLOOKUP(s1inv[[#This Row],[Portfolio Company Name]],s11cumperf[],4,FALSE),"")="","",(IFERROR(VLOOKUP(s1inv[[#This Row],[Portfolio Company Name]],s11cumperf[],4,FALSE),"")))</f>
        <v/>
      </c>
    </row>
    <row r="69" spans="1:31" s="242" customFormat="1" x14ac:dyDescent="0.35">
      <c r="A69" s="223" t="s">
        <v>243</v>
      </c>
      <c r="B69" s="224" t="str">
        <f>IF(IFERROR(VLOOKUP(s1inv[[#This Row],[Portfolio Company Name]],s11cumperf[],2,FALSE),"")="","",(IFERROR(VLOOKUP(s1inv[[#This Row],[Portfolio Company Name]],s11cumperf[],2,FALSE),"")))</f>
        <v/>
      </c>
      <c r="C69" s="694"/>
      <c r="D69" s="225"/>
      <c r="E69" s="226"/>
      <c r="F69" s="227"/>
      <c r="G69" s="228"/>
      <c r="H69" s="229"/>
      <c r="I69" s="230"/>
      <c r="J69" s="231"/>
      <c r="K69" s="232"/>
      <c r="L69" s="227"/>
      <c r="M69" s="233"/>
      <c r="N69" s="233"/>
      <c r="O69" s="234"/>
      <c r="P69" s="235" t="e">
        <f>IF(s1inv[[#This Row],[Schedule 1c Reference Number]]="",0,SUMIF(sched1c[Reference ID],s1inv[[#This Row],[Employer ID]]&amp;"-"&amp;s1inv[[#This Row],[Schedule 1c Reference Number]],sched1c[Change to Cost]))</f>
        <v>#VALUE!</v>
      </c>
      <c r="Q69" s="233"/>
      <c r="R69" s="235" t="e">
        <f>s1inv[[#This Row],[Cost at Beginning Period]]+s1inv[[#This Row],[Addition/
Deduction]]</f>
        <v>#VALUE!</v>
      </c>
      <c r="S69" s="233"/>
      <c r="T69" s="236"/>
      <c r="U69" s="233"/>
      <c r="V69" s="225"/>
      <c r="W69" s="227"/>
      <c r="X69" s="237" t="e">
        <f>s1inv[[#This Row],[Cost at End of Period]]+s1inv[[#This Row],[Unrealized Appreciation]]-ABS(s1inv[[#This Row],[(Unrealized Depreciation)]])</f>
        <v>#VALUE!</v>
      </c>
      <c r="Y69" s="238">
        <v>0</v>
      </c>
      <c r="Z69" s="238"/>
      <c r="AA69" s="239" t="str">
        <f>IFERROR((s1inv[[#This Row],[SBA Reported Value (B)]]+s1inv[[#This Row],[Cum. Cash Proceeds (D)]])/s1inv[[#This Row],[Total Cash Invested (A)]],"")</f>
        <v/>
      </c>
      <c r="AB69" s="240"/>
      <c r="AC69" s="239" t="str">
        <f>IFERROR((s1inv[[#This Row],[GAAP Reported Value (C)]]+s1inv[[#This Row],[Cum. Cash Proceeds (D)]])/s1inv[[#This Row],[Total Cash Invested (A)]],"")</f>
        <v/>
      </c>
      <c r="AD69" s="240"/>
      <c r="AE69" s="241" t="str">
        <f>IF(IFERROR(VLOOKUP(s1inv[[#This Row],[Portfolio Company Name]],s11cumperf[],4,FALSE),"")="","",(IFERROR(VLOOKUP(s1inv[[#This Row],[Portfolio Company Name]],s11cumperf[],4,FALSE),"")))</f>
        <v/>
      </c>
    </row>
    <row r="70" spans="1:31" s="242" customFormat="1" x14ac:dyDescent="0.35">
      <c r="A70" s="223" t="s">
        <v>243</v>
      </c>
      <c r="B70" s="224" t="str">
        <f>IF(IFERROR(VLOOKUP(s1inv[[#This Row],[Portfolio Company Name]],s11cumperf[],2,FALSE),"")="","",(IFERROR(VLOOKUP(s1inv[[#This Row],[Portfolio Company Name]],s11cumperf[],2,FALSE),"")))</f>
        <v/>
      </c>
      <c r="C70" s="694"/>
      <c r="D70" s="225"/>
      <c r="E70" s="226"/>
      <c r="F70" s="227"/>
      <c r="G70" s="228"/>
      <c r="H70" s="229"/>
      <c r="I70" s="230"/>
      <c r="J70" s="231"/>
      <c r="K70" s="232"/>
      <c r="L70" s="227"/>
      <c r="M70" s="233"/>
      <c r="N70" s="233"/>
      <c r="O70" s="234"/>
      <c r="P70" s="235" t="e">
        <f>IF(s1inv[[#This Row],[Schedule 1c Reference Number]]="",0,SUMIF(sched1c[Reference ID],s1inv[[#This Row],[Employer ID]]&amp;"-"&amp;s1inv[[#This Row],[Schedule 1c Reference Number]],sched1c[Change to Cost]))</f>
        <v>#VALUE!</v>
      </c>
      <c r="Q70" s="233"/>
      <c r="R70" s="235" t="e">
        <f>s1inv[[#This Row],[Cost at Beginning Period]]+s1inv[[#This Row],[Addition/
Deduction]]</f>
        <v>#VALUE!</v>
      </c>
      <c r="S70" s="233"/>
      <c r="T70" s="236"/>
      <c r="U70" s="233"/>
      <c r="V70" s="225"/>
      <c r="W70" s="227"/>
      <c r="X70" s="237" t="e">
        <f>s1inv[[#This Row],[Cost at End of Period]]+s1inv[[#This Row],[Unrealized Appreciation]]-ABS(s1inv[[#This Row],[(Unrealized Depreciation)]])</f>
        <v>#VALUE!</v>
      </c>
      <c r="Y70" s="238">
        <v>0</v>
      </c>
      <c r="Z70" s="238"/>
      <c r="AA70" s="239" t="str">
        <f>IFERROR((s1inv[[#This Row],[SBA Reported Value (B)]]+s1inv[[#This Row],[Cum. Cash Proceeds (D)]])/s1inv[[#This Row],[Total Cash Invested (A)]],"")</f>
        <v/>
      </c>
      <c r="AB70" s="240"/>
      <c r="AC70" s="239" t="str">
        <f>IFERROR((s1inv[[#This Row],[GAAP Reported Value (C)]]+s1inv[[#This Row],[Cum. Cash Proceeds (D)]])/s1inv[[#This Row],[Total Cash Invested (A)]],"")</f>
        <v/>
      </c>
      <c r="AD70" s="240"/>
      <c r="AE70" s="241" t="str">
        <f>IF(IFERROR(VLOOKUP(s1inv[[#This Row],[Portfolio Company Name]],s11cumperf[],4,FALSE),"")="","",(IFERROR(VLOOKUP(s1inv[[#This Row],[Portfolio Company Name]],s11cumperf[],4,FALSE),"")))</f>
        <v/>
      </c>
    </row>
    <row r="71" spans="1:31" s="242" customFormat="1" x14ac:dyDescent="0.35">
      <c r="A71" s="223" t="s">
        <v>243</v>
      </c>
      <c r="B71" s="224" t="str">
        <f>IF(IFERROR(VLOOKUP(s1inv[[#This Row],[Portfolio Company Name]],s11cumperf[],2,FALSE),"")="","",(IFERROR(VLOOKUP(s1inv[[#This Row],[Portfolio Company Name]],s11cumperf[],2,FALSE),"")))</f>
        <v/>
      </c>
      <c r="C71" s="694"/>
      <c r="D71" s="225"/>
      <c r="E71" s="226"/>
      <c r="F71" s="227"/>
      <c r="G71" s="228"/>
      <c r="H71" s="229"/>
      <c r="I71" s="230"/>
      <c r="J71" s="231"/>
      <c r="K71" s="232"/>
      <c r="L71" s="227"/>
      <c r="M71" s="233"/>
      <c r="N71" s="233"/>
      <c r="O71" s="234"/>
      <c r="P71" s="235" t="e">
        <f>IF(s1inv[[#This Row],[Schedule 1c Reference Number]]="",0,SUMIF(sched1c[Reference ID],s1inv[[#This Row],[Employer ID]]&amp;"-"&amp;s1inv[[#This Row],[Schedule 1c Reference Number]],sched1c[Change to Cost]))</f>
        <v>#VALUE!</v>
      </c>
      <c r="Q71" s="233"/>
      <c r="R71" s="235" t="e">
        <f>s1inv[[#This Row],[Cost at Beginning Period]]+s1inv[[#This Row],[Addition/
Deduction]]</f>
        <v>#VALUE!</v>
      </c>
      <c r="S71" s="233"/>
      <c r="T71" s="236"/>
      <c r="U71" s="233"/>
      <c r="V71" s="225"/>
      <c r="W71" s="227"/>
      <c r="X71" s="237" t="e">
        <f>s1inv[[#This Row],[Cost at End of Period]]+s1inv[[#This Row],[Unrealized Appreciation]]-ABS(s1inv[[#This Row],[(Unrealized Depreciation)]])</f>
        <v>#VALUE!</v>
      </c>
      <c r="Y71" s="238">
        <v>0</v>
      </c>
      <c r="Z71" s="238"/>
      <c r="AA71" s="239" t="str">
        <f>IFERROR((s1inv[[#This Row],[SBA Reported Value (B)]]+s1inv[[#This Row],[Cum. Cash Proceeds (D)]])/s1inv[[#This Row],[Total Cash Invested (A)]],"")</f>
        <v/>
      </c>
      <c r="AB71" s="240"/>
      <c r="AC71" s="239" t="str">
        <f>IFERROR((s1inv[[#This Row],[GAAP Reported Value (C)]]+s1inv[[#This Row],[Cum. Cash Proceeds (D)]])/s1inv[[#This Row],[Total Cash Invested (A)]],"")</f>
        <v/>
      </c>
      <c r="AD71" s="240"/>
      <c r="AE71" s="241" t="str">
        <f>IF(IFERROR(VLOOKUP(s1inv[[#This Row],[Portfolio Company Name]],s11cumperf[],4,FALSE),"")="","",(IFERROR(VLOOKUP(s1inv[[#This Row],[Portfolio Company Name]],s11cumperf[],4,FALSE),"")))</f>
        <v/>
      </c>
    </row>
    <row r="72" spans="1:31" s="242" customFormat="1" x14ac:dyDescent="0.35">
      <c r="A72" s="223" t="s">
        <v>243</v>
      </c>
      <c r="B72" s="224" t="str">
        <f>IF(IFERROR(VLOOKUP(s1inv[[#This Row],[Portfolio Company Name]],s11cumperf[],2,FALSE),"")="","",(IFERROR(VLOOKUP(s1inv[[#This Row],[Portfolio Company Name]],s11cumperf[],2,FALSE),"")))</f>
        <v/>
      </c>
      <c r="C72" s="694"/>
      <c r="D72" s="225"/>
      <c r="E72" s="226"/>
      <c r="F72" s="227"/>
      <c r="G72" s="228"/>
      <c r="H72" s="229"/>
      <c r="I72" s="230"/>
      <c r="J72" s="231"/>
      <c r="K72" s="232"/>
      <c r="L72" s="227"/>
      <c r="M72" s="233"/>
      <c r="N72" s="233"/>
      <c r="O72" s="234"/>
      <c r="P72" s="235" t="e">
        <f>IF(s1inv[[#This Row],[Schedule 1c Reference Number]]="",0,SUMIF(sched1c[Reference ID],s1inv[[#This Row],[Employer ID]]&amp;"-"&amp;s1inv[[#This Row],[Schedule 1c Reference Number]],sched1c[Change to Cost]))</f>
        <v>#VALUE!</v>
      </c>
      <c r="Q72" s="233"/>
      <c r="R72" s="235" t="e">
        <f>s1inv[[#This Row],[Cost at Beginning Period]]+s1inv[[#This Row],[Addition/
Deduction]]</f>
        <v>#VALUE!</v>
      </c>
      <c r="S72" s="233"/>
      <c r="T72" s="236"/>
      <c r="U72" s="233"/>
      <c r="V72" s="225"/>
      <c r="W72" s="227"/>
      <c r="X72" s="237" t="e">
        <f>s1inv[[#This Row],[Cost at End of Period]]+s1inv[[#This Row],[Unrealized Appreciation]]-ABS(s1inv[[#This Row],[(Unrealized Depreciation)]])</f>
        <v>#VALUE!</v>
      </c>
      <c r="Y72" s="238">
        <v>0</v>
      </c>
      <c r="Z72" s="238"/>
      <c r="AA72" s="239" t="str">
        <f>IFERROR((s1inv[[#This Row],[SBA Reported Value (B)]]+s1inv[[#This Row],[Cum. Cash Proceeds (D)]])/s1inv[[#This Row],[Total Cash Invested (A)]],"")</f>
        <v/>
      </c>
      <c r="AB72" s="240"/>
      <c r="AC72" s="239" t="str">
        <f>IFERROR((s1inv[[#This Row],[GAAP Reported Value (C)]]+s1inv[[#This Row],[Cum. Cash Proceeds (D)]])/s1inv[[#This Row],[Total Cash Invested (A)]],"")</f>
        <v/>
      </c>
      <c r="AD72" s="240"/>
      <c r="AE72" s="241" t="str">
        <f>IF(IFERROR(VLOOKUP(s1inv[[#This Row],[Portfolio Company Name]],s11cumperf[],4,FALSE),"")="","",(IFERROR(VLOOKUP(s1inv[[#This Row],[Portfolio Company Name]],s11cumperf[],4,FALSE),"")))</f>
        <v/>
      </c>
    </row>
    <row r="73" spans="1:31" s="242" customFormat="1" x14ac:dyDescent="0.35">
      <c r="A73" s="223" t="s">
        <v>243</v>
      </c>
      <c r="B73" s="224" t="str">
        <f>IF(IFERROR(VLOOKUP(s1inv[[#This Row],[Portfolio Company Name]],s11cumperf[],2,FALSE),"")="","",(IFERROR(VLOOKUP(s1inv[[#This Row],[Portfolio Company Name]],s11cumperf[],2,FALSE),"")))</f>
        <v/>
      </c>
      <c r="C73" s="694"/>
      <c r="D73" s="225"/>
      <c r="E73" s="226"/>
      <c r="F73" s="227"/>
      <c r="G73" s="228"/>
      <c r="H73" s="229"/>
      <c r="I73" s="230"/>
      <c r="J73" s="231"/>
      <c r="K73" s="232"/>
      <c r="L73" s="227"/>
      <c r="M73" s="233"/>
      <c r="N73" s="233"/>
      <c r="O73" s="234"/>
      <c r="P73" s="235" t="e">
        <f>IF(s1inv[[#This Row],[Schedule 1c Reference Number]]="",0,SUMIF(sched1c[Reference ID],s1inv[[#This Row],[Employer ID]]&amp;"-"&amp;s1inv[[#This Row],[Schedule 1c Reference Number]],sched1c[Change to Cost]))</f>
        <v>#VALUE!</v>
      </c>
      <c r="Q73" s="233"/>
      <c r="R73" s="235" t="e">
        <f>s1inv[[#This Row],[Cost at Beginning Period]]+s1inv[[#This Row],[Addition/
Deduction]]</f>
        <v>#VALUE!</v>
      </c>
      <c r="S73" s="233"/>
      <c r="T73" s="236"/>
      <c r="U73" s="233"/>
      <c r="V73" s="225"/>
      <c r="W73" s="227"/>
      <c r="X73" s="237" t="e">
        <f>s1inv[[#This Row],[Cost at End of Period]]+s1inv[[#This Row],[Unrealized Appreciation]]-ABS(s1inv[[#This Row],[(Unrealized Depreciation)]])</f>
        <v>#VALUE!</v>
      </c>
      <c r="Y73" s="238">
        <v>0</v>
      </c>
      <c r="Z73" s="238"/>
      <c r="AA73" s="239" t="str">
        <f>IFERROR((s1inv[[#This Row],[SBA Reported Value (B)]]+s1inv[[#This Row],[Cum. Cash Proceeds (D)]])/s1inv[[#This Row],[Total Cash Invested (A)]],"")</f>
        <v/>
      </c>
      <c r="AB73" s="240"/>
      <c r="AC73" s="239" t="str">
        <f>IFERROR((s1inv[[#This Row],[GAAP Reported Value (C)]]+s1inv[[#This Row],[Cum. Cash Proceeds (D)]])/s1inv[[#This Row],[Total Cash Invested (A)]],"")</f>
        <v/>
      </c>
      <c r="AD73" s="240"/>
      <c r="AE73" s="241" t="str">
        <f>IF(IFERROR(VLOOKUP(s1inv[[#This Row],[Portfolio Company Name]],s11cumperf[],4,FALSE),"")="","",(IFERROR(VLOOKUP(s1inv[[#This Row],[Portfolio Company Name]],s11cumperf[],4,FALSE),"")))</f>
        <v/>
      </c>
    </row>
    <row r="74" spans="1:31" s="242" customFormat="1" x14ac:dyDescent="0.35">
      <c r="A74" s="223" t="s">
        <v>243</v>
      </c>
      <c r="B74" s="224" t="str">
        <f>IF(IFERROR(VLOOKUP(s1inv[[#This Row],[Portfolio Company Name]],s11cumperf[],2,FALSE),"")="","",(IFERROR(VLOOKUP(s1inv[[#This Row],[Portfolio Company Name]],s11cumperf[],2,FALSE),"")))</f>
        <v/>
      </c>
      <c r="C74" s="694"/>
      <c r="D74" s="225"/>
      <c r="E74" s="226"/>
      <c r="F74" s="227"/>
      <c r="G74" s="228"/>
      <c r="H74" s="229"/>
      <c r="I74" s="230"/>
      <c r="J74" s="231"/>
      <c r="K74" s="232"/>
      <c r="L74" s="227"/>
      <c r="M74" s="233"/>
      <c r="N74" s="233"/>
      <c r="O74" s="234"/>
      <c r="P74" s="235" t="e">
        <f>IF(s1inv[[#This Row],[Schedule 1c Reference Number]]="",0,SUMIF(sched1c[Reference ID],s1inv[[#This Row],[Employer ID]]&amp;"-"&amp;s1inv[[#This Row],[Schedule 1c Reference Number]],sched1c[Change to Cost]))</f>
        <v>#VALUE!</v>
      </c>
      <c r="Q74" s="233"/>
      <c r="R74" s="235" t="e">
        <f>s1inv[[#This Row],[Cost at Beginning Period]]+s1inv[[#This Row],[Addition/
Deduction]]</f>
        <v>#VALUE!</v>
      </c>
      <c r="S74" s="233"/>
      <c r="T74" s="236"/>
      <c r="U74" s="233"/>
      <c r="V74" s="225"/>
      <c r="W74" s="227"/>
      <c r="X74" s="237" t="e">
        <f>s1inv[[#This Row],[Cost at End of Period]]+s1inv[[#This Row],[Unrealized Appreciation]]-ABS(s1inv[[#This Row],[(Unrealized Depreciation)]])</f>
        <v>#VALUE!</v>
      </c>
      <c r="Y74" s="238">
        <v>0</v>
      </c>
      <c r="Z74" s="238"/>
      <c r="AA74" s="239" t="str">
        <f>IFERROR((s1inv[[#This Row],[SBA Reported Value (B)]]+s1inv[[#This Row],[Cum. Cash Proceeds (D)]])/s1inv[[#This Row],[Total Cash Invested (A)]],"")</f>
        <v/>
      </c>
      <c r="AB74" s="240"/>
      <c r="AC74" s="239" t="str">
        <f>IFERROR((s1inv[[#This Row],[GAAP Reported Value (C)]]+s1inv[[#This Row],[Cum. Cash Proceeds (D)]])/s1inv[[#This Row],[Total Cash Invested (A)]],"")</f>
        <v/>
      </c>
      <c r="AD74" s="240"/>
      <c r="AE74" s="241" t="str">
        <f>IF(IFERROR(VLOOKUP(s1inv[[#This Row],[Portfolio Company Name]],s11cumperf[],4,FALSE),"")="","",(IFERROR(VLOOKUP(s1inv[[#This Row],[Portfolio Company Name]],s11cumperf[],4,FALSE),"")))</f>
        <v/>
      </c>
    </row>
    <row r="75" spans="1:31" s="242" customFormat="1" x14ac:dyDescent="0.35">
      <c r="A75" s="223" t="s">
        <v>243</v>
      </c>
      <c r="B75" s="224" t="str">
        <f>IF(IFERROR(VLOOKUP(s1inv[[#This Row],[Portfolio Company Name]],s11cumperf[],2,FALSE),"")="","",(IFERROR(VLOOKUP(s1inv[[#This Row],[Portfolio Company Name]],s11cumperf[],2,FALSE),"")))</f>
        <v/>
      </c>
      <c r="C75" s="694"/>
      <c r="D75" s="225"/>
      <c r="E75" s="226"/>
      <c r="F75" s="227"/>
      <c r="G75" s="228"/>
      <c r="H75" s="229"/>
      <c r="I75" s="230"/>
      <c r="J75" s="231"/>
      <c r="K75" s="232"/>
      <c r="L75" s="227"/>
      <c r="M75" s="233"/>
      <c r="N75" s="233"/>
      <c r="O75" s="234"/>
      <c r="P75" s="235" t="e">
        <f>IF(s1inv[[#This Row],[Schedule 1c Reference Number]]="",0,SUMIF(sched1c[Reference ID],s1inv[[#This Row],[Employer ID]]&amp;"-"&amp;s1inv[[#This Row],[Schedule 1c Reference Number]],sched1c[Change to Cost]))</f>
        <v>#VALUE!</v>
      </c>
      <c r="Q75" s="233"/>
      <c r="R75" s="235" t="e">
        <f>s1inv[[#This Row],[Cost at Beginning Period]]+s1inv[[#This Row],[Addition/
Deduction]]</f>
        <v>#VALUE!</v>
      </c>
      <c r="S75" s="233"/>
      <c r="T75" s="236"/>
      <c r="U75" s="233"/>
      <c r="V75" s="225"/>
      <c r="W75" s="227"/>
      <c r="X75" s="237" t="e">
        <f>s1inv[[#This Row],[Cost at End of Period]]+s1inv[[#This Row],[Unrealized Appreciation]]-ABS(s1inv[[#This Row],[(Unrealized Depreciation)]])</f>
        <v>#VALUE!</v>
      </c>
      <c r="Y75" s="238">
        <v>0</v>
      </c>
      <c r="Z75" s="238"/>
      <c r="AA75" s="239" t="str">
        <f>IFERROR((s1inv[[#This Row],[SBA Reported Value (B)]]+s1inv[[#This Row],[Cum. Cash Proceeds (D)]])/s1inv[[#This Row],[Total Cash Invested (A)]],"")</f>
        <v/>
      </c>
      <c r="AB75" s="240"/>
      <c r="AC75" s="239" t="str">
        <f>IFERROR((s1inv[[#This Row],[GAAP Reported Value (C)]]+s1inv[[#This Row],[Cum. Cash Proceeds (D)]])/s1inv[[#This Row],[Total Cash Invested (A)]],"")</f>
        <v/>
      </c>
      <c r="AD75" s="240"/>
      <c r="AE75" s="241" t="str">
        <f>IF(IFERROR(VLOOKUP(s1inv[[#This Row],[Portfolio Company Name]],s11cumperf[],4,FALSE),"")="","",(IFERROR(VLOOKUP(s1inv[[#This Row],[Portfolio Company Name]],s11cumperf[],4,FALSE),"")))</f>
        <v/>
      </c>
    </row>
    <row r="76" spans="1:31" s="242" customFormat="1" x14ac:dyDescent="0.35">
      <c r="A76" s="223" t="s">
        <v>243</v>
      </c>
      <c r="B76" s="224" t="str">
        <f>IF(IFERROR(VLOOKUP(s1inv[[#This Row],[Portfolio Company Name]],s11cumperf[],2,FALSE),"")="","",(IFERROR(VLOOKUP(s1inv[[#This Row],[Portfolio Company Name]],s11cumperf[],2,FALSE),"")))</f>
        <v/>
      </c>
      <c r="C76" s="694"/>
      <c r="D76" s="225"/>
      <c r="E76" s="226"/>
      <c r="F76" s="227"/>
      <c r="G76" s="228"/>
      <c r="H76" s="229"/>
      <c r="I76" s="230"/>
      <c r="J76" s="231"/>
      <c r="K76" s="232"/>
      <c r="L76" s="227"/>
      <c r="M76" s="233"/>
      <c r="N76" s="233"/>
      <c r="O76" s="234"/>
      <c r="P76" s="235" t="e">
        <f>IF(s1inv[[#This Row],[Schedule 1c Reference Number]]="",0,SUMIF(sched1c[Reference ID],s1inv[[#This Row],[Employer ID]]&amp;"-"&amp;s1inv[[#This Row],[Schedule 1c Reference Number]],sched1c[Change to Cost]))</f>
        <v>#VALUE!</v>
      </c>
      <c r="Q76" s="233"/>
      <c r="R76" s="235" t="e">
        <f>s1inv[[#This Row],[Cost at Beginning Period]]+s1inv[[#This Row],[Addition/
Deduction]]</f>
        <v>#VALUE!</v>
      </c>
      <c r="S76" s="233"/>
      <c r="T76" s="236"/>
      <c r="U76" s="233"/>
      <c r="V76" s="225"/>
      <c r="W76" s="227"/>
      <c r="X76" s="237" t="e">
        <f>s1inv[[#This Row],[Cost at End of Period]]+s1inv[[#This Row],[Unrealized Appreciation]]-ABS(s1inv[[#This Row],[(Unrealized Depreciation)]])</f>
        <v>#VALUE!</v>
      </c>
      <c r="Y76" s="238">
        <v>0</v>
      </c>
      <c r="Z76" s="238"/>
      <c r="AA76" s="239" t="str">
        <f>IFERROR((s1inv[[#This Row],[SBA Reported Value (B)]]+s1inv[[#This Row],[Cum. Cash Proceeds (D)]])/s1inv[[#This Row],[Total Cash Invested (A)]],"")</f>
        <v/>
      </c>
      <c r="AB76" s="240"/>
      <c r="AC76" s="239" t="str">
        <f>IFERROR((s1inv[[#This Row],[GAAP Reported Value (C)]]+s1inv[[#This Row],[Cum. Cash Proceeds (D)]])/s1inv[[#This Row],[Total Cash Invested (A)]],"")</f>
        <v/>
      </c>
      <c r="AD76" s="240"/>
      <c r="AE76" s="241" t="str">
        <f>IF(IFERROR(VLOOKUP(s1inv[[#This Row],[Portfolio Company Name]],s11cumperf[],4,FALSE),"")="","",(IFERROR(VLOOKUP(s1inv[[#This Row],[Portfolio Company Name]],s11cumperf[],4,FALSE),"")))</f>
        <v/>
      </c>
    </row>
    <row r="77" spans="1:31" s="242" customFormat="1" x14ac:dyDescent="0.35">
      <c r="A77" s="223" t="s">
        <v>243</v>
      </c>
      <c r="B77" s="224" t="str">
        <f>IF(IFERROR(VLOOKUP(s1inv[[#This Row],[Portfolio Company Name]],s11cumperf[],2,FALSE),"")="","",(IFERROR(VLOOKUP(s1inv[[#This Row],[Portfolio Company Name]],s11cumperf[],2,FALSE),"")))</f>
        <v/>
      </c>
      <c r="C77" s="694"/>
      <c r="D77" s="225"/>
      <c r="E77" s="226"/>
      <c r="F77" s="227"/>
      <c r="G77" s="228"/>
      <c r="H77" s="229"/>
      <c r="I77" s="230"/>
      <c r="J77" s="231"/>
      <c r="K77" s="232"/>
      <c r="L77" s="227"/>
      <c r="M77" s="233"/>
      <c r="N77" s="233"/>
      <c r="O77" s="234"/>
      <c r="P77" s="235" t="e">
        <f>IF(s1inv[[#This Row],[Schedule 1c Reference Number]]="",0,SUMIF(sched1c[Reference ID],s1inv[[#This Row],[Employer ID]]&amp;"-"&amp;s1inv[[#This Row],[Schedule 1c Reference Number]],sched1c[Change to Cost]))</f>
        <v>#VALUE!</v>
      </c>
      <c r="Q77" s="233"/>
      <c r="R77" s="235" t="e">
        <f>s1inv[[#This Row],[Cost at Beginning Period]]+s1inv[[#This Row],[Addition/
Deduction]]</f>
        <v>#VALUE!</v>
      </c>
      <c r="S77" s="233"/>
      <c r="T77" s="236"/>
      <c r="U77" s="233"/>
      <c r="V77" s="225"/>
      <c r="W77" s="227"/>
      <c r="X77" s="237" t="e">
        <f>s1inv[[#This Row],[Cost at End of Period]]+s1inv[[#This Row],[Unrealized Appreciation]]-ABS(s1inv[[#This Row],[(Unrealized Depreciation)]])</f>
        <v>#VALUE!</v>
      </c>
      <c r="Y77" s="238">
        <v>0</v>
      </c>
      <c r="Z77" s="238"/>
      <c r="AA77" s="239" t="str">
        <f>IFERROR((s1inv[[#This Row],[SBA Reported Value (B)]]+s1inv[[#This Row],[Cum. Cash Proceeds (D)]])/s1inv[[#This Row],[Total Cash Invested (A)]],"")</f>
        <v/>
      </c>
      <c r="AB77" s="240"/>
      <c r="AC77" s="239" t="str">
        <f>IFERROR((s1inv[[#This Row],[GAAP Reported Value (C)]]+s1inv[[#This Row],[Cum. Cash Proceeds (D)]])/s1inv[[#This Row],[Total Cash Invested (A)]],"")</f>
        <v/>
      </c>
      <c r="AD77" s="240"/>
      <c r="AE77" s="241" t="str">
        <f>IF(IFERROR(VLOOKUP(s1inv[[#This Row],[Portfolio Company Name]],s11cumperf[],4,FALSE),"")="","",(IFERROR(VLOOKUP(s1inv[[#This Row],[Portfolio Company Name]],s11cumperf[],4,FALSE),"")))</f>
        <v/>
      </c>
    </row>
    <row r="78" spans="1:31" s="242" customFormat="1" x14ac:dyDescent="0.35">
      <c r="A78" s="223" t="s">
        <v>243</v>
      </c>
      <c r="B78" s="224" t="str">
        <f>IF(IFERROR(VLOOKUP(s1inv[[#This Row],[Portfolio Company Name]],s11cumperf[],2,FALSE),"")="","",(IFERROR(VLOOKUP(s1inv[[#This Row],[Portfolio Company Name]],s11cumperf[],2,FALSE),"")))</f>
        <v/>
      </c>
      <c r="C78" s="694"/>
      <c r="D78" s="225"/>
      <c r="E78" s="226"/>
      <c r="F78" s="227"/>
      <c r="G78" s="228"/>
      <c r="H78" s="229"/>
      <c r="I78" s="230"/>
      <c r="J78" s="231"/>
      <c r="K78" s="232"/>
      <c r="L78" s="227"/>
      <c r="M78" s="233"/>
      <c r="N78" s="233"/>
      <c r="O78" s="234"/>
      <c r="P78" s="235" t="e">
        <f>IF(s1inv[[#This Row],[Schedule 1c Reference Number]]="",0,SUMIF(sched1c[Reference ID],s1inv[[#This Row],[Employer ID]]&amp;"-"&amp;s1inv[[#This Row],[Schedule 1c Reference Number]],sched1c[Change to Cost]))</f>
        <v>#VALUE!</v>
      </c>
      <c r="Q78" s="233"/>
      <c r="R78" s="235" t="e">
        <f>s1inv[[#This Row],[Cost at Beginning Period]]+s1inv[[#This Row],[Addition/
Deduction]]</f>
        <v>#VALUE!</v>
      </c>
      <c r="S78" s="233"/>
      <c r="T78" s="236"/>
      <c r="U78" s="233"/>
      <c r="V78" s="225"/>
      <c r="W78" s="227"/>
      <c r="X78" s="237" t="e">
        <f>s1inv[[#This Row],[Cost at End of Period]]+s1inv[[#This Row],[Unrealized Appreciation]]-ABS(s1inv[[#This Row],[(Unrealized Depreciation)]])</f>
        <v>#VALUE!</v>
      </c>
      <c r="Y78" s="238">
        <v>0</v>
      </c>
      <c r="Z78" s="238"/>
      <c r="AA78" s="239" t="str">
        <f>IFERROR((s1inv[[#This Row],[SBA Reported Value (B)]]+s1inv[[#This Row],[Cum. Cash Proceeds (D)]])/s1inv[[#This Row],[Total Cash Invested (A)]],"")</f>
        <v/>
      </c>
      <c r="AB78" s="240"/>
      <c r="AC78" s="239" t="str">
        <f>IFERROR((s1inv[[#This Row],[GAAP Reported Value (C)]]+s1inv[[#This Row],[Cum. Cash Proceeds (D)]])/s1inv[[#This Row],[Total Cash Invested (A)]],"")</f>
        <v/>
      </c>
      <c r="AD78" s="240"/>
      <c r="AE78" s="241" t="str">
        <f>IF(IFERROR(VLOOKUP(s1inv[[#This Row],[Portfolio Company Name]],s11cumperf[],4,FALSE),"")="","",(IFERROR(VLOOKUP(s1inv[[#This Row],[Portfolio Company Name]],s11cumperf[],4,FALSE),"")))</f>
        <v/>
      </c>
    </row>
    <row r="79" spans="1:31" s="242" customFormat="1" x14ac:dyDescent="0.35">
      <c r="A79" s="223" t="s">
        <v>243</v>
      </c>
      <c r="B79" s="224" t="str">
        <f>IF(IFERROR(VLOOKUP(s1inv[[#This Row],[Portfolio Company Name]],s11cumperf[],2,FALSE),"")="","",(IFERROR(VLOOKUP(s1inv[[#This Row],[Portfolio Company Name]],s11cumperf[],2,FALSE),"")))</f>
        <v/>
      </c>
      <c r="C79" s="694"/>
      <c r="D79" s="225"/>
      <c r="E79" s="226"/>
      <c r="F79" s="227"/>
      <c r="G79" s="228"/>
      <c r="H79" s="229"/>
      <c r="I79" s="230"/>
      <c r="J79" s="231"/>
      <c r="K79" s="232"/>
      <c r="L79" s="227"/>
      <c r="M79" s="233"/>
      <c r="N79" s="233"/>
      <c r="O79" s="234"/>
      <c r="P79" s="235" t="e">
        <f>IF(s1inv[[#This Row],[Schedule 1c Reference Number]]="",0,SUMIF(sched1c[Reference ID],s1inv[[#This Row],[Employer ID]]&amp;"-"&amp;s1inv[[#This Row],[Schedule 1c Reference Number]],sched1c[Change to Cost]))</f>
        <v>#VALUE!</v>
      </c>
      <c r="Q79" s="233"/>
      <c r="R79" s="235" t="e">
        <f>s1inv[[#This Row],[Cost at Beginning Period]]+s1inv[[#This Row],[Addition/
Deduction]]</f>
        <v>#VALUE!</v>
      </c>
      <c r="S79" s="233"/>
      <c r="T79" s="236"/>
      <c r="U79" s="233"/>
      <c r="V79" s="225"/>
      <c r="W79" s="227"/>
      <c r="X79" s="237" t="e">
        <f>s1inv[[#This Row],[Cost at End of Period]]+s1inv[[#This Row],[Unrealized Appreciation]]-ABS(s1inv[[#This Row],[(Unrealized Depreciation)]])</f>
        <v>#VALUE!</v>
      </c>
      <c r="Y79" s="238">
        <v>0</v>
      </c>
      <c r="Z79" s="238"/>
      <c r="AA79" s="239" t="str">
        <f>IFERROR((s1inv[[#This Row],[SBA Reported Value (B)]]+s1inv[[#This Row],[Cum. Cash Proceeds (D)]])/s1inv[[#This Row],[Total Cash Invested (A)]],"")</f>
        <v/>
      </c>
      <c r="AB79" s="240"/>
      <c r="AC79" s="239" t="str">
        <f>IFERROR((s1inv[[#This Row],[GAAP Reported Value (C)]]+s1inv[[#This Row],[Cum. Cash Proceeds (D)]])/s1inv[[#This Row],[Total Cash Invested (A)]],"")</f>
        <v/>
      </c>
      <c r="AD79" s="240"/>
      <c r="AE79" s="241" t="str">
        <f>IF(IFERROR(VLOOKUP(s1inv[[#This Row],[Portfolio Company Name]],s11cumperf[],4,FALSE),"")="","",(IFERROR(VLOOKUP(s1inv[[#This Row],[Portfolio Company Name]],s11cumperf[],4,FALSE),"")))</f>
        <v/>
      </c>
    </row>
    <row r="80" spans="1:31" s="242" customFormat="1" x14ac:dyDescent="0.35">
      <c r="A80" s="223" t="s">
        <v>243</v>
      </c>
      <c r="B80" s="224" t="str">
        <f>IF(IFERROR(VLOOKUP(s1inv[[#This Row],[Portfolio Company Name]],s11cumperf[],2,FALSE),"")="","",(IFERROR(VLOOKUP(s1inv[[#This Row],[Portfolio Company Name]],s11cumperf[],2,FALSE),"")))</f>
        <v/>
      </c>
      <c r="C80" s="694"/>
      <c r="D80" s="225"/>
      <c r="E80" s="226"/>
      <c r="F80" s="227"/>
      <c r="G80" s="228"/>
      <c r="H80" s="229"/>
      <c r="I80" s="230"/>
      <c r="J80" s="231"/>
      <c r="K80" s="232"/>
      <c r="L80" s="227"/>
      <c r="M80" s="233"/>
      <c r="N80" s="233"/>
      <c r="O80" s="234"/>
      <c r="P80" s="235" t="e">
        <f>IF(s1inv[[#This Row],[Schedule 1c Reference Number]]="",0,SUMIF(sched1c[Reference ID],s1inv[[#This Row],[Employer ID]]&amp;"-"&amp;s1inv[[#This Row],[Schedule 1c Reference Number]],sched1c[Change to Cost]))</f>
        <v>#VALUE!</v>
      </c>
      <c r="Q80" s="233"/>
      <c r="R80" s="235" t="e">
        <f>s1inv[[#This Row],[Cost at Beginning Period]]+s1inv[[#This Row],[Addition/
Deduction]]</f>
        <v>#VALUE!</v>
      </c>
      <c r="S80" s="233"/>
      <c r="T80" s="236"/>
      <c r="U80" s="233"/>
      <c r="V80" s="225"/>
      <c r="W80" s="227"/>
      <c r="X80" s="237" t="e">
        <f>s1inv[[#This Row],[Cost at End of Period]]+s1inv[[#This Row],[Unrealized Appreciation]]-ABS(s1inv[[#This Row],[(Unrealized Depreciation)]])</f>
        <v>#VALUE!</v>
      </c>
      <c r="Y80" s="238">
        <v>0</v>
      </c>
      <c r="Z80" s="238"/>
      <c r="AA80" s="239" t="str">
        <f>IFERROR((s1inv[[#This Row],[SBA Reported Value (B)]]+s1inv[[#This Row],[Cum. Cash Proceeds (D)]])/s1inv[[#This Row],[Total Cash Invested (A)]],"")</f>
        <v/>
      </c>
      <c r="AB80" s="240"/>
      <c r="AC80" s="239" t="str">
        <f>IFERROR((s1inv[[#This Row],[GAAP Reported Value (C)]]+s1inv[[#This Row],[Cum. Cash Proceeds (D)]])/s1inv[[#This Row],[Total Cash Invested (A)]],"")</f>
        <v/>
      </c>
      <c r="AD80" s="240"/>
      <c r="AE80" s="241" t="str">
        <f>IF(IFERROR(VLOOKUP(s1inv[[#This Row],[Portfolio Company Name]],s11cumperf[],4,FALSE),"")="","",(IFERROR(VLOOKUP(s1inv[[#This Row],[Portfolio Company Name]],s11cumperf[],4,FALSE),"")))</f>
        <v/>
      </c>
    </row>
    <row r="81" spans="1:31" s="242" customFormat="1" x14ac:dyDescent="0.35">
      <c r="A81" s="223" t="s">
        <v>243</v>
      </c>
      <c r="B81" s="224" t="str">
        <f>IF(IFERROR(VLOOKUP(s1inv[[#This Row],[Portfolio Company Name]],s11cumperf[],2,FALSE),"")="","",(IFERROR(VLOOKUP(s1inv[[#This Row],[Portfolio Company Name]],s11cumperf[],2,FALSE),"")))</f>
        <v/>
      </c>
      <c r="C81" s="694"/>
      <c r="D81" s="225"/>
      <c r="E81" s="226"/>
      <c r="F81" s="227"/>
      <c r="G81" s="228"/>
      <c r="H81" s="229"/>
      <c r="I81" s="230"/>
      <c r="J81" s="231"/>
      <c r="K81" s="232"/>
      <c r="L81" s="227"/>
      <c r="M81" s="233"/>
      <c r="N81" s="233"/>
      <c r="O81" s="234"/>
      <c r="P81" s="235" t="e">
        <f>IF(s1inv[[#This Row],[Schedule 1c Reference Number]]="",0,SUMIF(sched1c[Reference ID],s1inv[[#This Row],[Employer ID]]&amp;"-"&amp;s1inv[[#This Row],[Schedule 1c Reference Number]],sched1c[Change to Cost]))</f>
        <v>#VALUE!</v>
      </c>
      <c r="Q81" s="233"/>
      <c r="R81" s="235" t="e">
        <f>s1inv[[#This Row],[Cost at Beginning Period]]+s1inv[[#This Row],[Addition/
Deduction]]</f>
        <v>#VALUE!</v>
      </c>
      <c r="S81" s="233"/>
      <c r="T81" s="236"/>
      <c r="U81" s="233"/>
      <c r="V81" s="225"/>
      <c r="W81" s="227"/>
      <c r="X81" s="237" t="e">
        <f>s1inv[[#This Row],[Cost at End of Period]]+s1inv[[#This Row],[Unrealized Appreciation]]-ABS(s1inv[[#This Row],[(Unrealized Depreciation)]])</f>
        <v>#VALUE!</v>
      </c>
      <c r="Y81" s="238">
        <v>0</v>
      </c>
      <c r="Z81" s="238"/>
      <c r="AA81" s="239" t="str">
        <f>IFERROR((s1inv[[#This Row],[SBA Reported Value (B)]]+s1inv[[#This Row],[Cum. Cash Proceeds (D)]])/s1inv[[#This Row],[Total Cash Invested (A)]],"")</f>
        <v/>
      </c>
      <c r="AB81" s="240"/>
      <c r="AC81" s="239" t="str">
        <f>IFERROR((s1inv[[#This Row],[GAAP Reported Value (C)]]+s1inv[[#This Row],[Cum. Cash Proceeds (D)]])/s1inv[[#This Row],[Total Cash Invested (A)]],"")</f>
        <v/>
      </c>
      <c r="AD81" s="240"/>
      <c r="AE81" s="241" t="str">
        <f>IF(IFERROR(VLOOKUP(s1inv[[#This Row],[Portfolio Company Name]],s11cumperf[],4,FALSE),"")="","",(IFERROR(VLOOKUP(s1inv[[#This Row],[Portfolio Company Name]],s11cumperf[],4,FALSE),"")))</f>
        <v/>
      </c>
    </row>
    <row r="82" spans="1:31" s="242" customFormat="1" x14ac:dyDescent="0.35">
      <c r="A82" s="223" t="s">
        <v>243</v>
      </c>
      <c r="B82" s="224" t="str">
        <f>IF(IFERROR(VLOOKUP(s1inv[[#This Row],[Portfolio Company Name]],s11cumperf[],2,FALSE),"")="","",(IFERROR(VLOOKUP(s1inv[[#This Row],[Portfolio Company Name]],s11cumperf[],2,FALSE),"")))</f>
        <v/>
      </c>
      <c r="C82" s="694"/>
      <c r="D82" s="225"/>
      <c r="E82" s="226"/>
      <c r="F82" s="227"/>
      <c r="G82" s="228"/>
      <c r="H82" s="229"/>
      <c r="I82" s="230"/>
      <c r="J82" s="231"/>
      <c r="K82" s="232"/>
      <c r="L82" s="227"/>
      <c r="M82" s="233"/>
      <c r="N82" s="238"/>
      <c r="O82" s="234"/>
      <c r="P82" s="235" t="e">
        <f>IF(s1inv[[#This Row],[Schedule 1c Reference Number]]="",0,SUMIF(sched1c[Reference ID],s1inv[[#This Row],[Employer ID]]&amp;"-"&amp;s1inv[[#This Row],[Schedule 1c Reference Number]],sched1c[Change to Cost]))</f>
        <v>#VALUE!</v>
      </c>
      <c r="Q82" s="233"/>
      <c r="R82" s="235" t="e">
        <f>s1inv[[#This Row],[Cost at Beginning Period]]+s1inv[[#This Row],[Addition/
Deduction]]</f>
        <v>#VALUE!</v>
      </c>
      <c r="S82" s="233"/>
      <c r="T82" s="236"/>
      <c r="U82" s="233"/>
      <c r="V82" s="225"/>
      <c r="W82" s="227"/>
      <c r="X82" s="237" t="e">
        <f>s1inv[[#This Row],[Cost at End of Period]]+s1inv[[#This Row],[Unrealized Appreciation]]-ABS(s1inv[[#This Row],[(Unrealized Depreciation)]])</f>
        <v>#VALUE!</v>
      </c>
      <c r="Y82" s="238">
        <v>0</v>
      </c>
      <c r="Z82" s="238"/>
      <c r="AA82" s="239" t="str">
        <f>IFERROR((s1inv[[#This Row],[SBA Reported Value (B)]]+s1inv[[#This Row],[Cum. Cash Proceeds (D)]])/s1inv[[#This Row],[Total Cash Invested (A)]],"")</f>
        <v/>
      </c>
      <c r="AB82" s="240"/>
      <c r="AC82" s="239" t="str">
        <f>IFERROR((s1inv[[#This Row],[GAAP Reported Value (C)]]+s1inv[[#This Row],[Cum. Cash Proceeds (D)]])/s1inv[[#This Row],[Total Cash Invested (A)]],"")</f>
        <v/>
      </c>
      <c r="AD82" s="240"/>
      <c r="AE82" s="241" t="str">
        <f>IF(IFERROR(VLOOKUP(s1inv[[#This Row],[Portfolio Company Name]],s11cumperf[],4,FALSE),"")="","",(IFERROR(VLOOKUP(s1inv[[#This Row],[Portfolio Company Name]],s11cumperf[],4,FALSE),"")))</f>
        <v/>
      </c>
    </row>
    <row r="83" spans="1:31" s="242" customFormat="1" x14ac:dyDescent="0.35">
      <c r="A83" s="223" t="s">
        <v>243</v>
      </c>
      <c r="B83" s="224" t="str">
        <f>IF(IFERROR(VLOOKUP(s1inv[[#This Row],[Portfolio Company Name]],s11cumperf[],2,FALSE),"")="","",(IFERROR(VLOOKUP(s1inv[[#This Row],[Portfolio Company Name]],s11cumperf[],2,FALSE),"")))</f>
        <v/>
      </c>
      <c r="C83" s="694"/>
      <c r="D83" s="225"/>
      <c r="E83" s="226"/>
      <c r="F83" s="227"/>
      <c r="G83" s="228"/>
      <c r="H83" s="229"/>
      <c r="I83" s="230"/>
      <c r="J83" s="231"/>
      <c r="K83" s="232"/>
      <c r="L83" s="227"/>
      <c r="M83" s="233"/>
      <c r="N83" s="238"/>
      <c r="O83" s="234"/>
      <c r="P83" s="235" t="e">
        <f>IF(s1inv[[#This Row],[Schedule 1c Reference Number]]="",0,SUMIF(sched1c[Reference ID],s1inv[[#This Row],[Employer ID]]&amp;"-"&amp;s1inv[[#This Row],[Schedule 1c Reference Number]],sched1c[Change to Cost]))</f>
        <v>#VALUE!</v>
      </c>
      <c r="Q83" s="233"/>
      <c r="R83" s="235" t="e">
        <f>s1inv[[#This Row],[Cost at Beginning Period]]+s1inv[[#This Row],[Addition/
Deduction]]</f>
        <v>#VALUE!</v>
      </c>
      <c r="S83" s="233"/>
      <c r="T83" s="236"/>
      <c r="U83" s="233"/>
      <c r="V83" s="225"/>
      <c r="W83" s="227"/>
      <c r="X83" s="237" t="e">
        <f>s1inv[[#This Row],[Cost at End of Period]]+s1inv[[#This Row],[Unrealized Appreciation]]-ABS(s1inv[[#This Row],[(Unrealized Depreciation)]])</f>
        <v>#VALUE!</v>
      </c>
      <c r="Y83" s="238">
        <v>0</v>
      </c>
      <c r="Z83" s="238"/>
      <c r="AA83" s="239" t="str">
        <f>IFERROR((s1inv[[#This Row],[SBA Reported Value (B)]]+s1inv[[#This Row],[Cum. Cash Proceeds (D)]])/s1inv[[#This Row],[Total Cash Invested (A)]],"")</f>
        <v/>
      </c>
      <c r="AB83" s="240"/>
      <c r="AC83" s="239" t="str">
        <f>IFERROR((s1inv[[#This Row],[GAAP Reported Value (C)]]+s1inv[[#This Row],[Cum. Cash Proceeds (D)]])/s1inv[[#This Row],[Total Cash Invested (A)]],"")</f>
        <v/>
      </c>
      <c r="AD83" s="240"/>
      <c r="AE83" s="241" t="str">
        <f>IF(IFERROR(VLOOKUP(s1inv[[#This Row],[Portfolio Company Name]],s11cumperf[],4,FALSE),"")="","",(IFERROR(VLOOKUP(s1inv[[#This Row],[Portfolio Company Name]],s11cumperf[],4,FALSE),"")))</f>
        <v/>
      </c>
    </row>
    <row r="84" spans="1:31" s="242" customFormat="1" x14ac:dyDescent="0.35">
      <c r="A84" s="223" t="s">
        <v>243</v>
      </c>
      <c r="B84" s="224" t="str">
        <f>IF(IFERROR(VLOOKUP(s1inv[[#This Row],[Portfolio Company Name]],s11cumperf[],2,FALSE),"")="","",(IFERROR(VLOOKUP(s1inv[[#This Row],[Portfolio Company Name]],s11cumperf[],2,FALSE),"")))</f>
        <v/>
      </c>
      <c r="C84" s="694"/>
      <c r="D84" s="225"/>
      <c r="E84" s="226"/>
      <c r="F84" s="227"/>
      <c r="G84" s="228"/>
      <c r="H84" s="229"/>
      <c r="I84" s="230"/>
      <c r="J84" s="231"/>
      <c r="K84" s="232"/>
      <c r="L84" s="227"/>
      <c r="M84" s="233"/>
      <c r="N84" s="238"/>
      <c r="O84" s="234"/>
      <c r="P84" s="235" t="e">
        <f>IF(s1inv[[#This Row],[Schedule 1c Reference Number]]="",0,SUMIF(sched1c[Reference ID],s1inv[[#This Row],[Employer ID]]&amp;"-"&amp;s1inv[[#This Row],[Schedule 1c Reference Number]],sched1c[Change to Cost]))</f>
        <v>#VALUE!</v>
      </c>
      <c r="Q84" s="233"/>
      <c r="R84" s="235" t="e">
        <f>s1inv[[#This Row],[Cost at Beginning Period]]+s1inv[[#This Row],[Addition/
Deduction]]</f>
        <v>#VALUE!</v>
      </c>
      <c r="S84" s="233"/>
      <c r="T84" s="236"/>
      <c r="U84" s="233"/>
      <c r="V84" s="225"/>
      <c r="W84" s="227"/>
      <c r="X84" s="237" t="e">
        <f>s1inv[[#This Row],[Cost at End of Period]]+s1inv[[#This Row],[Unrealized Appreciation]]-ABS(s1inv[[#This Row],[(Unrealized Depreciation)]])</f>
        <v>#VALUE!</v>
      </c>
      <c r="Y84" s="238">
        <v>0</v>
      </c>
      <c r="Z84" s="238"/>
      <c r="AA84" s="239" t="str">
        <f>IFERROR((s1inv[[#This Row],[SBA Reported Value (B)]]+s1inv[[#This Row],[Cum. Cash Proceeds (D)]])/s1inv[[#This Row],[Total Cash Invested (A)]],"")</f>
        <v/>
      </c>
      <c r="AB84" s="240"/>
      <c r="AC84" s="239" t="str">
        <f>IFERROR((s1inv[[#This Row],[GAAP Reported Value (C)]]+s1inv[[#This Row],[Cum. Cash Proceeds (D)]])/s1inv[[#This Row],[Total Cash Invested (A)]],"")</f>
        <v/>
      </c>
      <c r="AD84" s="240"/>
      <c r="AE84" s="241" t="str">
        <f>IF(IFERROR(VLOOKUP(s1inv[[#This Row],[Portfolio Company Name]],s11cumperf[],4,FALSE),"")="","",(IFERROR(VLOOKUP(s1inv[[#This Row],[Portfolio Company Name]],s11cumperf[],4,FALSE),"")))</f>
        <v/>
      </c>
    </row>
    <row r="85" spans="1:31" s="242" customFormat="1" x14ac:dyDescent="0.35">
      <c r="A85" s="223" t="s">
        <v>243</v>
      </c>
      <c r="B85" s="224" t="str">
        <f>IF(IFERROR(VLOOKUP(s1inv[[#This Row],[Portfolio Company Name]],s11cumperf[],2,FALSE),"")="","",(IFERROR(VLOOKUP(s1inv[[#This Row],[Portfolio Company Name]],s11cumperf[],2,FALSE),"")))</f>
        <v/>
      </c>
      <c r="C85" s="694"/>
      <c r="D85" s="225"/>
      <c r="E85" s="226"/>
      <c r="F85" s="227"/>
      <c r="G85" s="228"/>
      <c r="H85" s="229"/>
      <c r="I85" s="230"/>
      <c r="J85" s="231"/>
      <c r="K85" s="232"/>
      <c r="L85" s="227"/>
      <c r="M85" s="233"/>
      <c r="N85" s="238"/>
      <c r="O85" s="234"/>
      <c r="P85" s="235" t="e">
        <f>IF(s1inv[[#This Row],[Schedule 1c Reference Number]]="",0,SUMIF(sched1c[Reference ID],s1inv[[#This Row],[Employer ID]]&amp;"-"&amp;s1inv[[#This Row],[Schedule 1c Reference Number]],sched1c[Change to Cost]))</f>
        <v>#VALUE!</v>
      </c>
      <c r="Q85" s="233"/>
      <c r="R85" s="235" t="e">
        <f>s1inv[[#This Row],[Cost at Beginning Period]]+s1inv[[#This Row],[Addition/
Deduction]]</f>
        <v>#VALUE!</v>
      </c>
      <c r="S85" s="233"/>
      <c r="T85" s="236"/>
      <c r="U85" s="233"/>
      <c r="V85" s="225"/>
      <c r="W85" s="227"/>
      <c r="X85" s="237" t="e">
        <f>s1inv[[#This Row],[Cost at End of Period]]+s1inv[[#This Row],[Unrealized Appreciation]]-ABS(s1inv[[#This Row],[(Unrealized Depreciation)]])</f>
        <v>#VALUE!</v>
      </c>
      <c r="Y85" s="238">
        <v>0</v>
      </c>
      <c r="Z85" s="238"/>
      <c r="AA85" s="239" t="str">
        <f>IFERROR((s1inv[[#This Row],[SBA Reported Value (B)]]+s1inv[[#This Row],[Cum. Cash Proceeds (D)]])/s1inv[[#This Row],[Total Cash Invested (A)]],"")</f>
        <v/>
      </c>
      <c r="AB85" s="240"/>
      <c r="AC85" s="239" t="str">
        <f>IFERROR((s1inv[[#This Row],[GAAP Reported Value (C)]]+s1inv[[#This Row],[Cum. Cash Proceeds (D)]])/s1inv[[#This Row],[Total Cash Invested (A)]],"")</f>
        <v/>
      </c>
      <c r="AD85" s="240"/>
      <c r="AE85" s="241" t="str">
        <f>IF(IFERROR(VLOOKUP(s1inv[[#This Row],[Portfolio Company Name]],s11cumperf[],4,FALSE),"")="","",(IFERROR(VLOOKUP(s1inv[[#This Row],[Portfolio Company Name]],s11cumperf[],4,FALSE),"")))</f>
        <v/>
      </c>
    </row>
    <row r="86" spans="1:31" s="242" customFormat="1" x14ac:dyDescent="0.35">
      <c r="A86" s="223" t="s">
        <v>243</v>
      </c>
      <c r="B86" s="224" t="str">
        <f>IF(IFERROR(VLOOKUP(s1inv[[#This Row],[Portfolio Company Name]],s11cumperf[],2,FALSE),"")="","",(IFERROR(VLOOKUP(s1inv[[#This Row],[Portfolio Company Name]],s11cumperf[],2,FALSE),"")))</f>
        <v/>
      </c>
      <c r="C86" s="694"/>
      <c r="D86" s="225"/>
      <c r="E86" s="226"/>
      <c r="F86" s="227"/>
      <c r="G86" s="228"/>
      <c r="H86" s="229"/>
      <c r="I86" s="230"/>
      <c r="J86" s="231"/>
      <c r="K86" s="232"/>
      <c r="L86" s="227"/>
      <c r="M86" s="233"/>
      <c r="N86" s="238"/>
      <c r="O86" s="234"/>
      <c r="P86" s="235" t="e">
        <f>IF(s1inv[[#This Row],[Schedule 1c Reference Number]]="",0,SUMIF(sched1c[Reference ID],s1inv[[#This Row],[Employer ID]]&amp;"-"&amp;s1inv[[#This Row],[Schedule 1c Reference Number]],sched1c[Change to Cost]))</f>
        <v>#VALUE!</v>
      </c>
      <c r="Q86" s="233"/>
      <c r="R86" s="235" t="e">
        <f>s1inv[[#This Row],[Cost at Beginning Period]]+s1inv[[#This Row],[Addition/
Deduction]]</f>
        <v>#VALUE!</v>
      </c>
      <c r="S86" s="233"/>
      <c r="T86" s="236"/>
      <c r="U86" s="233"/>
      <c r="V86" s="225"/>
      <c r="W86" s="227"/>
      <c r="X86" s="237" t="e">
        <f>s1inv[[#This Row],[Cost at End of Period]]+s1inv[[#This Row],[Unrealized Appreciation]]-ABS(s1inv[[#This Row],[(Unrealized Depreciation)]])</f>
        <v>#VALUE!</v>
      </c>
      <c r="Y86" s="238">
        <v>0</v>
      </c>
      <c r="Z86" s="238"/>
      <c r="AA86" s="239" t="str">
        <f>IFERROR((s1inv[[#This Row],[SBA Reported Value (B)]]+s1inv[[#This Row],[Cum. Cash Proceeds (D)]])/s1inv[[#This Row],[Total Cash Invested (A)]],"")</f>
        <v/>
      </c>
      <c r="AB86" s="240"/>
      <c r="AC86" s="239" t="str">
        <f>IFERROR((s1inv[[#This Row],[GAAP Reported Value (C)]]+s1inv[[#This Row],[Cum. Cash Proceeds (D)]])/s1inv[[#This Row],[Total Cash Invested (A)]],"")</f>
        <v/>
      </c>
      <c r="AD86" s="240"/>
      <c r="AE86" s="241" t="str">
        <f>IF(IFERROR(VLOOKUP(s1inv[[#This Row],[Portfolio Company Name]],s11cumperf[],4,FALSE),"")="","",(IFERROR(VLOOKUP(s1inv[[#This Row],[Portfolio Company Name]],s11cumperf[],4,FALSE),"")))</f>
        <v/>
      </c>
    </row>
    <row r="87" spans="1:31" s="242" customFormat="1" x14ac:dyDescent="0.35">
      <c r="A87" s="223" t="s">
        <v>243</v>
      </c>
      <c r="B87" s="224" t="str">
        <f>IF(IFERROR(VLOOKUP(s1inv[[#This Row],[Portfolio Company Name]],s11cumperf[],2,FALSE),"")="","",(IFERROR(VLOOKUP(s1inv[[#This Row],[Portfolio Company Name]],s11cumperf[],2,FALSE),"")))</f>
        <v/>
      </c>
      <c r="C87" s="694"/>
      <c r="D87" s="225"/>
      <c r="E87" s="226"/>
      <c r="F87" s="227"/>
      <c r="G87" s="228"/>
      <c r="H87" s="229"/>
      <c r="I87" s="230"/>
      <c r="J87" s="231"/>
      <c r="K87" s="232"/>
      <c r="L87" s="227"/>
      <c r="M87" s="233"/>
      <c r="N87" s="238"/>
      <c r="O87" s="234"/>
      <c r="P87" s="235" t="e">
        <f>IF(s1inv[[#This Row],[Schedule 1c Reference Number]]="",0,SUMIF(sched1c[Reference ID],s1inv[[#This Row],[Employer ID]]&amp;"-"&amp;s1inv[[#This Row],[Schedule 1c Reference Number]],sched1c[Change to Cost]))</f>
        <v>#VALUE!</v>
      </c>
      <c r="Q87" s="233"/>
      <c r="R87" s="235" t="e">
        <f>s1inv[[#This Row],[Cost at Beginning Period]]+s1inv[[#This Row],[Addition/
Deduction]]</f>
        <v>#VALUE!</v>
      </c>
      <c r="S87" s="233"/>
      <c r="T87" s="236"/>
      <c r="U87" s="233"/>
      <c r="V87" s="225"/>
      <c r="W87" s="227"/>
      <c r="X87" s="237" t="e">
        <f>s1inv[[#This Row],[Cost at End of Period]]+s1inv[[#This Row],[Unrealized Appreciation]]-ABS(s1inv[[#This Row],[(Unrealized Depreciation)]])</f>
        <v>#VALUE!</v>
      </c>
      <c r="Y87" s="238">
        <v>0</v>
      </c>
      <c r="Z87" s="238"/>
      <c r="AA87" s="239" t="str">
        <f>IFERROR((s1inv[[#This Row],[SBA Reported Value (B)]]+s1inv[[#This Row],[Cum. Cash Proceeds (D)]])/s1inv[[#This Row],[Total Cash Invested (A)]],"")</f>
        <v/>
      </c>
      <c r="AB87" s="240"/>
      <c r="AC87" s="239" t="str">
        <f>IFERROR((s1inv[[#This Row],[GAAP Reported Value (C)]]+s1inv[[#This Row],[Cum. Cash Proceeds (D)]])/s1inv[[#This Row],[Total Cash Invested (A)]],"")</f>
        <v/>
      </c>
      <c r="AD87" s="240"/>
      <c r="AE87" s="241" t="str">
        <f>IF(IFERROR(VLOOKUP(s1inv[[#This Row],[Portfolio Company Name]],s11cumperf[],4,FALSE),"")="","",(IFERROR(VLOOKUP(s1inv[[#This Row],[Portfolio Company Name]],s11cumperf[],4,FALSE),"")))</f>
        <v/>
      </c>
    </row>
    <row r="88" spans="1:31" s="242" customFormat="1" x14ac:dyDescent="0.35">
      <c r="A88" s="223" t="s">
        <v>243</v>
      </c>
      <c r="B88" s="224" t="str">
        <f>IF(IFERROR(VLOOKUP(s1inv[[#This Row],[Portfolio Company Name]],s11cumperf[],2,FALSE),"")="","",(IFERROR(VLOOKUP(s1inv[[#This Row],[Portfolio Company Name]],s11cumperf[],2,FALSE),"")))</f>
        <v/>
      </c>
      <c r="C88" s="694"/>
      <c r="D88" s="225"/>
      <c r="E88" s="226"/>
      <c r="F88" s="227"/>
      <c r="G88" s="228"/>
      <c r="H88" s="229"/>
      <c r="I88" s="230"/>
      <c r="J88" s="231"/>
      <c r="K88" s="232"/>
      <c r="L88" s="227"/>
      <c r="M88" s="233"/>
      <c r="N88" s="238"/>
      <c r="O88" s="234"/>
      <c r="P88" s="235" t="e">
        <f>IF(s1inv[[#This Row],[Schedule 1c Reference Number]]="",0,SUMIF(sched1c[Reference ID],s1inv[[#This Row],[Employer ID]]&amp;"-"&amp;s1inv[[#This Row],[Schedule 1c Reference Number]],sched1c[Change to Cost]))</f>
        <v>#VALUE!</v>
      </c>
      <c r="Q88" s="233"/>
      <c r="R88" s="235" t="e">
        <f>s1inv[[#This Row],[Cost at Beginning Period]]+s1inv[[#This Row],[Addition/
Deduction]]</f>
        <v>#VALUE!</v>
      </c>
      <c r="S88" s="233"/>
      <c r="T88" s="236"/>
      <c r="U88" s="233"/>
      <c r="V88" s="225"/>
      <c r="W88" s="227"/>
      <c r="X88" s="237" t="e">
        <f>s1inv[[#This Row],[Cost at End of Period]]+s1inv[[#This Row],[Unrealized Appreciation]]-ABS(s1inv[[#This Row],[(Unrealized Depreciation)]])</f>
        <v>#VALUE!</v>
      </c>
      <c r="Y88" s="238">
        <v>0</v>
      </c>
      <c r="Z88" s="238"/>
      <c r="AA88" s="239" t="str">
        <f>IFERROR((s1inv[[#This Row],[SBA Reported Value (B)]]+s1inv[[#This Row],[Cum. Cash Proceeds (D)]])/s1inv[[#This Row],[Total Cash Invested (A)]],"")</f>
        <v/>
      </c>
      <c r="AB88" s="240"/>
      <c r="AC88" s="239" t="str">
        <f>IFERROR((s1inv[[#This Row],[GAAP Reported Value (C)]]+s1inv[[#This Row],[Cum. Cash Proceeds (D)]])/s1inv[[#This Row],[Total Cash Invested (A)]],"")</f>
        <v/>
      </c>
      <c r="AD88" s="240"/>
      <c r="AE88" s="241" t="str">
        <f>IF(IFERROR(VLOOKUP(s1inv[[#This Row],[Portfolio Company Name]],s11cumperf[],4,FALSE),"")="","",(IFERROR(VLOOKUP(s1inv[[#This Row],[Portfolio Company Name]],s11cumperf[],4,FALSE),"")))</f>
        <v/>
      </c>
    </row>
    <row r="89" spans="1:31" s="242" customFormat="1" x14ac:dyDescent="0.35">
      <c r="A89" s="223" t="s">
        <v>243</v>
      </c>
      <c r="B89" s="224" t="str">
        <f>IF(IFERROR(VLOOKUP(s1inv[[#This Row],[Portfolio Company Name]],s11cumperf[],2,FALSE),"")="","",(IFERROR(VLOOKUP(s1inv[[#This Row],[Portfolio Company Name]],s11cumperf[],2,FALSE),"")))</f>
        <v/>
      </c>
      <c r="C89" s="694"/>
      <c r="D89" s="225"/>
      <c r="E89" s="226"/>
      <c r="F89" s="227"/>
      <c r="G89" s="228"/>
      <c r="H89" s="229"/>
      <c r="I89" s="230"/>
      <c r="J89" s="231"/>
      <c r="K89" s="232"/>
      <c r="L89" s="227"/>
      <c r="M89" s="233"/>
      <c r="N89" s="238"/>
      <c r="O89" s="234"/>
      <c r="P89" s="235" t="e">
        <f>IF(s1inv[[#This Row],[Schedule 1c Reference Number]]="",0,SUMIF(sched1c[Reference ID],s1inv[[#This Row],[Employer ID]]&amp;"-"&amp;s1inv[[#This Row],[Schedule 1c Reference Number]],sched1c[Change to Cost]))</f>
        <v>#VALUE!</v>
      </c>
      <c r="Q89" s="233"/>
      <c r="R89" s="235" t="e">
        <f>s1inv[[#This Row],[Cost at Beginning Period]]+s1inv[[#This Row],[Addition/
Deduction]]</f>
        <v>#VALUE!</v>
      </c>
      <c r="S89" s="233"/>
      <c r="T89" s="236"/>
      <c r="U89" s="233"/>
      <c r="V89" s="225"/>
      <c r="W89" s="227"/>
      <c r="X89" s="237" t="e">
        <f>s1inv[[#This Row],[Cost at End of Period]]+s1inv[[#This Row],[Unrealized Appreciation]]-ABS(s1inv[[#This Row],[(Unrealized Depreciation)]])</f>
        <v>#VALUE!</v>
      </c>
      <c r="Y89" s="238">
        <v>0</v>
      </c>
      <c r="Z89" s="238"/>
      <c r="AA89" s="239" t="str">
        <f>IFERROR((s1inv[[#This Row],[SBA Reported Value (B)]]+s1inv[[#This Row],[Cum. Cash Proceeds (D)]])/s1inv[[#This Row],[Total Cash Invested (A)]],"")</f>
        <v/>
      </c>
      <c r="AB89" s="240"/>
      <c r="AC89" s="239" t="str">
        <f>IFERROR((s1inv[[#This Row],[GAAP Reported Value (C)]]+s1inv[[#This Row],[Cum. Cash Proceeds (D)]])/s1inv[[#This Row],[Total Cash Invested (A)]],"")</f>
        <v/>
      </c>
      <c r="AD89" s="240"/>
      <c r="AE89" s="241" t="str">
        <f>IF(IFERROR(VLOOKUP(s1inv[[#This Row],[Portfolio Company Name]],s11cumperf[],4,FALSE),"")="","",(IFERROR(VLOOKUP(s1inv[[#This Row],[Portfolio Company Name]],s11cumperf[],4,FALSE),"")))</f>
        <v/>
      </c>
    </row>
    <row r="90" spans="1:31" s="242" customFormat="1" x14ac:dyDescent="0.35">
      <c r="A90" s="223" t="s">
        <v>243</v>
      </c>
      <c r="B90" s="224" t="str">
        <f>IF(IFERROR(VLOOKUP(s1inv[[#This Row],[Portfolio Company Name]],s11cumperf[],2,FALSE),"")="","",(IFERROR(VLOOKUP(s1inv[[#This Row],[Portfolio Company Name]],s11cumperf[],2,FALSE),"")))</f>
        <v/>
      </c>
      <c r="C90" s="694"/>
      <c r="D90" s="225"/>
      <c r="E90" s="226"/>
      <c r="F90" s="227"/>
      <c r="G90" s="228"/>
      <c r="H90" s="229"/>
      <c r="I90" s="230"/>
      <c r="J90" s="231"/>
      <c r="K90" s="232"/>
      <c r="L90" s="227"/>
      <c r="M90" s="233"/>
      <c r="N90" s="238"/>
      <c r="O90" s="234"/>
      <c r="P90" s="235" t="e">
        <f>IF(s1inv[[#This Row],[Schedule 1c Reference Number]]="",0,SUMIF(sched1c[Reference ID],s1inv[[#This Row],[Employer ID]]&amp;"-"&amp;s1inv[[#This Row],[Schedule 1c Reference Number]],sched1c[Change to Cost]))</f>
        <v>#VALUE!</v>
      </c>
      <c r="Q90" s="233"/>
      <c r="R90" s="235" t="e">
        <f>s1inv[[#This Row],[Cost at Beginning Period]]+s1inv[[#This Row],[Addition/
Deduction]]</f>
        <v>#VALUE!</v>
      </c>
      <c r="S90" s="233"/>
      <c r="T90" s="236"/>
      <c r="U90" s="233"/>
      <c r="V90" s="225"/>
      <c r="W90" s="227"/>
      <c r="X90" s="237" t="e">
        <f>s1inv[[#This Row],[Cost at End of Period]]+s1inv[[#This Row],[Unrealized Appreciation]]-ABS(s1inv[[#This Row],[(Unrealized Depreciation)]])</f>
        <v>#VALUE!</v>
      </c>
      <c r="Y90" s="238">
        <v>0</v>
      </c>
      <c r="Z90" s="238"/>
      <c r="AA90" s="239" t="str">
        <f>IFERROR((s1inv[[#This Row],[SBA Reported Value (B)]]+s1inv[[#This Row],[Cum. Cash Proceeds (D)]])/s1inv[[#This Row],[Total Cash Invested (A)]],"")</f>
        <v/>
      </c>
      <c r="AB90" s="240"/>
      <c r="AC90" s="239" t="str">
        <f>IFERROR((s1inv[[#This Row],[GAAP Reported Value (C)]]+s1inv[[#This Row],[Cum. Cash Proceeds (D)]])/s1inv[[#This Row],[Total Cash Invested (A)]],"")</f>
        <v/>
      </c>
      <c r="AD90" s="240"/>
      <c r="AE90" s="241" t="str">
        <f>IF(IFERROR(VLOOKUP(s1inv[[#This Row],[Portfolio Company Name]],s11cumperf[],4,FALSE),"")="","",(IFERROR(VLOOKUP(s1inv[[#This Row],[Portfolio Company Name]],s11cumperf[],4,FALSE),"")))</f>
        <v/>
      </c>
    </row>
    <row r="91" spans="1:31" s="242" customFormat="1" x14ac:dyDescent="0.35">
      <c r="A91" s="223" t="s">
        <v>243</v>
      </c>
      <c r="B91" s="224" t="str">
        <f>IF(IFERROR(VLOOKUP(s1inv[[#This Row],[Portfolio Company Name]],s11cumperf[],2,FALSE),"")="","",(IFERROR(VLOOKUP(s1inv[[#This Row],[Portfolio Company Name]],s11cumperf[],2,FALSE),"")))</f>
        <v/>
      </c>
      <c r="C91" s="694"/>
      <c r="D91" s="225"/>
      <c r="E91" s="226"/>
      <c r="F91" s="227"/>
      <c r="G91" s="228"/>
      <c r="H91" s="229"/>
      <c r="I91" s="230"/>
      <c r="J91" s="231"/>
      <c r="K91" s="232"/>
      <c r="L91" s="227"/>
      <c r="M91" s="233"/>
      <c r="N91" s="238"/>
      <c r="O91" s="234"/>
      <c r="P91" s="235" t="e">
        <f>IF(s1inv[[#This Row],[Schedule 1c Reference Number]]="",0,SUMIF(sched1c[Reference ID],s1inv[[#This Row],[Employer ID]]&amp;"-"&amp;s1inv[[#This Row],[Schedule 1c Reference Number]],sched1c[Change to Cost]))</f>
        <v>#VALUE!</v>
      </c>
      <c r="Q91" s="233"/>
      <c r="R91" s="235" t="e">
        <f>s1inv[[#This Row],[Cost at Beginning Period]]+s1inv[[#This Row],[Addition/
Deduction]]</f>
        <v>#VALUE!</v>
      </c>
      <c r="S91" s="233"/>
      <c r="T91" s="236"/>
      <c r="U91" s="233"/>
      <c r="V91" s="225"/>
      <c r="W91" s="227"/>
      <c r="X91" s="237" t="e">
        <f>s1inv[[#This Row],[Cost at End of Period]]+s1inv[[#This Row],[Unrealized Appreciation]]-ABS(s1inv[[#This Row],[(Unrealized Depreciation)]])</f>
        <v>#VALUE!</v>
      </c>
      <c r="Y91" s="238">
        <v>0</v>
      </c>
      <c r="Z91" s="238"/>
      <c r="AA91" s="239" t="str">
        <f>IFERROR((s1inv[[#This Row],[SBA Reported Value (B)]]+s1inv[[#This Row],[Cum. Cash Proceeds (D)]])/s1inv[[#This Row],[Total Cash Invested (A)]],"")</f>
        <v/>
      </c>
      <c r="AB91" s="240"/>
      <c r="AC91" s="239" t="str">
        <f>IFERROR((s1inv[[#This Row],[GAAP Reported Value (C)]]+s1inv[[#This Row],[Cum. Cash Proceeds (D)]])/s1inv[[#This Row],[Total Cash Invested (A)]],"")</f>
        <v/>
      </c>
      <c r="AD91" s="240"/>
      <c r="AE91" s="241" t="str">
        <f>IF(IFERROR(VLOOKUP(s1inv[[#This Row],[Portfolio Company Name]],s11cumperf[],4,FALSE),"")="","",(IFERROR(VLOOKUP(s1inv[[#This Row],[Portfolio Company Name]],s11cumperf[],4,FALSE),"")))</f>
        <v/>
      </c>
    </row>
    <row r="92" spans="1:31" s="242" customFormat="1" x14ac:dyDescent="0.35">
      <c r="A92" s="223" t="s">
        <v>243</v>
      </c>
      <c r="B92" s="224" t="str">
        <f>IF(IFERROR(VLOOKUP(s1inv[[#This Row],[Portfolio Company Name]],s11cumperf[],2,FALSE),"")="","",(IFERROR(VLOOKUP(s1inv[[#This Row],[Portfolio Company Name]],s11cumperf[],2,FALSE),"")))</f>
        <v/>
      </c>
      <c r="C92" s="694"/>
      <c r="D92" s="225"/>
      <c r="E92" s="226"/>
      <c r="F92" s="227"/>
      <c r="G92" s="228"/>
      <c r="H92" s="229"/>
      <c r="I92" s="230"/>
      <c r="J92" s="231"/>
      <c r="K92" s="232"/>
      <c r="L92" s="227"/>
      <c r="M92" s="233"/>
      <c r="N92" s="238"/>
      <c r="O92" s="234"/>
      <c r="P92" s="235" t="e">
        <f>IF(s1inv[[#This Row],[Schedule 1c Reference Number]]="",0,SUMIF(sched1c[Reference ID],s1inv[[#This Row],[Employer ID]]&amp;"-"&amp;s1inv[[#This Row],[Schedule 1c Reference Number]],sched1c[Change to Cost]))</f>
        <v>#VALUE!</v>
      </c>
      <c r="Q92" s="233"/>
      <c r="R92" s="235" t="e">
        <f>s1inv[[#This Row],[Cost at Beginning Period]]+s1inv[[#This Row],[Addition/
Deduction]]</f>
        <v>#VALUE!</v>
      </c>
      <c r="S92" s="233"/>
      <c r="T92" s="236"/>
      <c r="U92" s="233"/>
      <c r="V92" s="225"/>
      <c r="W92" s="227"/>
      <c r="X92" s="237" t="e">
        <f>s1inv[[#This Row],[Cost at End of Period]]+s1inv[[#This Row],[Unrealized Appreciation]]-ABS(s1inv[[#This Row],[(Unrealized Depreciation)]])</f>
        <v>#VALUE!</v>
      </c>
      <c r="Y92" s="238">
        <v>0</v>
      </c>
      <c r="Z92" s="238"/>
      <c r="AA92" s="239" t="str">
        <f>IFERROR((s1inv[[#This Row],[SBA Reported Value (B)]]+s1inv[[#This Row],[Cum. Cash Proceeds (D)]])/s1inv[[#This Row],[Total Cash Invested (A)]],"")</f>
        <v/>
      </c>
      <c r="AB92" s="240"/>
      <c r="AC92" s="239" t="str">
        <f>IFERROR((s1inv[[#This Row],[GAAP Reported Value (C)]]+s1inv[[#This Row],[Cum. Cash Proceeds (D)]])/s1inv[[#This Row],[Total Cash Invested (A)]],"")</f>
        <v/>
      </c>
      <c r="AD92" s="240"/>
      <c r="AE92" s="241" t="str">
        <f>IF(IFERROR(VLOOKUP(s1inv[[#This Row],[Portfolio Company Name]],s11cumperf[],4,FALSE),"")="","",(IFERROR(VLOOKUP(s1inv[[#This Row],[Portfolio Company Name]],s11cumperf[],4,FALSE),"")))</f>
        <v/>
      </c>
    </row>
    <row r="93" spans="1:31" s="242" customFormat="1" x14ac:dyDescent="0.35">
      <c r="A93" s="223" t="s">
        <v>243</v>
      </c>
      <c r="B93" s="224" t="str">
        <f>IF(IFERROR(VLOOKUP(s1inv[[#This Row],[Portfolio Company Name]],s11cumperf[],2,FALSE),"")="","",(IFERROR(VLOOKUP(s1inv[[#This Row],[Portfolio Company Name]],s11cumperf[],2,FALSE),"")))</f>
        <v/>
      </c>
      <c r="C93" s="694"/>
      <c r="D93" s="225"/>
      <c r="E93" s="226"/>
      <c r="F93" s="227"/>
      <c r="G93" s="228"/>
      <c r="H93" s="229"/>
      <c r="I93" s="230"/>
      <c r="J93" s="231"/>
      <c r="K93" s="232"/>
      <c r="L93" s="227"/>
      <c r="M93" s="233"/>
      <c r="N93" s="238"/>
      <c r="O93" s="234"/>
      <c r="P93" s="235" t="e">
        <f>IF(s1inv[[#This Row],[Schedule 1c Reference Number]]="",0,SUMIF(sched1c[Reference ID],s1inv[[#This Row],[Employer ID]]&amp;"-"&amp;s1inv[[#This Row],[Schedule 1c Reference Number]],sched1c[Change to Cost]))</f>
        <v>#VALUE!</v>
      </c>
      <c r="Q93" s="233"/>
      <c r="R93" s="235" t="e">
        <f>s1inv[[#This Row],[Cost at Beginning Period]]+s1inv[[#This Row],[Addition/
Deduction]]</f>
        <v>#VALUE!</v>
      </c>
      <c r="S93" s="233"/>
      <c r="T93" s="236"/>
      <c r="U93" s="233"/>
      <c r="V93" s="225"/>
      <c r="W93" s="227"/>
      <c r="X93" s="237" t="e">
        <f>s1inv[[#This Row],[Cost at End of Period]]+s1inv[[#This Row],[Unrealized Appreciation]]-ABS(s1inv[[#This Row],[(Unrealized Depreciation)]])</f>
        <v>#VALUE!</v>
      </c>
      <c r="Y93" s="238">
        <v>0</v>
      </c>
      <c r="Z93" s="238"/>
      <c r="AA93" s="239" t="str">
        <f>IFERROR((s1inv[[#This Row],[SBA Reported Value (B)]]+s1inv[[#This Row],[Cum. Cash Proceeds (D)]])/s1inv[[#This Row],[Total Cash Invested (A)]],"")</f>
        <v/>
      </c>
      <c r="AB93" s="240"/>
      <c r="AC93" s="239" t="str">
        <f>IFERROR((s1inv[[#This Row],[GAAP Reported Value (C)]]+s1inv[[#This Row],[Cum. Cash Proceeds (D)]])/s1inv[[#This Row],[Total Cash Invested (A)]],"")</f>
        <v/>
      </c>
      <c r="AD93" s="240"/>
      <c r="AE93" s="241" t="str">
        <f>IF(IFERROR(VLOOKUP(s1inv[[#This Row],[Portfolio Company Name]],s11cumperf[],4,FALSE),"")="","",(IFERROR(VLOOKUP(s1inv[[#This Row],[Portfolio Company Name]],s11cumperf[],4,FALSE),"")))</f>
        <v/>
      </c>
    </row>
    <row r="94" spans="1:31" s="242" customFormat="1" x14ac:dyDescent="0.35">
      <c r="A94" s="223" t="s">
        <v>243</v>
      </c>
      <c r="B94" s="224" t="str">
        <f>IF(IFERROR(VLOOKUP(s1inv[[#This Row],[Portfolio Company Name]],s11cumperf[],2,FALSE),"")="","",(IFERROR(VLOOKUP(s1inv[[#This Row],[Portfolio Company Name]],s11cumperf[],2,FALSE),"")))</f>
        <v/>
      </c>
      <c r="C94" s="694"/>
      <c r="D94" s="225"/>
      <c r="E94" s="226"/>
      <c r="F94" s="227"/>
      <c r="G94" s="228"/>
      <c r="H94" s="229"/>
      <c r="I94" s="230"/>
      <c r="J94" s="231"/>
      <c r="K94" s="232"/>
      <c r="L94" s="227"/>
      <c r="M94" s="233"/>
      <c r="N94" s="238"/>
      <c r="O94" s="234"/>
      <c r="P94" s="235" t="e">
        <f>IF(s1inv[[#This Row],[Schedule 1c Reference Number]]="",0,SUMIF(sched1c[Reference ID],s1inv[[#This Row],[Employer ID]]&amp;"-"&amp;s1inv[[#This Row],[Schedule 1c Reference Number]],sched1c[Change to Cost]))</f>
        <v>#VALUE!</v>
      </c>
      <c r="Q94" s="233"/>
      <c r="R94" s="235" t="e">
        <f>s1inv[[#This Row],[Cost at Beginning Period]]+s1inv[[#This Row],[Addition/
Deduction]]</f>
        <v>#VALUE!</v>
      </c>
      <c r="S94" s="233"/>
      <c r="T94" s="236"/>
      <c r="U94" s="233"/>
      <c r="V94" s="225"/>
      <c r="W94" s="227"/>
      <c r="X94" s="237" t="e">
        <f>s1inv[[#This Row],[Cost at End of Period]]+s1inv[[#This Row],[Unrealized Appreciation]]-ABS(s1inv[[#This Row],[(Unrealized Depreciation)]])</f>
        <v>#VALUE!</v>
      </c>
      <c r="Y94" s="238">
        <v>0</v>
      </c>
      <c r="Z94" s="238"/>
      <c r="AA94" s="239" t="str">
        <f>IFERROR((s1inv[[#This Row],[SBA Reported Value (B)]]+s1inv[[#This Row],[Cum. Cash Proceeds (D)]])/s1inv[[#This Row],[Total Cash Invested (A)]],"")</f>
        <v/>
      </c>
      <c r="AB94" s="240"/>
      <c r="AC94" s="239" t="str">
        <f>IFERROR((s1inv[[#This Row],[GAAP Reported Value (C)]]+s1inv[[#This Row],[Cum. Cash Proceeds (D)]])/s1inv[[#This Row],[Total Cash Invested (A)]],"")</f>
        <v/>
      </c>
      <c r="AD94" s="240"/>
      <c r="AE94" s="241" t="str">
        <f>IF(IFERROR(VLOOKUP(s1inv[[#This Row],[Portfolio Company Name]],s11cumperf[],4,FALSE),"")="","",(IFERROR(VLOOKUP(s1inv[[#This Row],[Portfolio Company Name]],s11cumperf[],4,FALSE),"")))</f>
        <v/>
      </c>
    </row>
    <row r="95" spans="1:31" s="242" customFormat="1" x14ac:dyDescent="0.35">
      <c r="A95" s="223" t="s">
        <v>243</v>
      </c>
      <c r="B95" s="224" t="str">
        <f>IF(IFERROR(VLOOKUP(s1inv[[#This Row],[Portfolio Company Name]],s11cumperf[],2,FALSE),"")="","",(IFERROR(VLOOKUP(s1inv[[#This Row],[Portfolio Company Name]],s11cumperf[],2,FALSE),"")))</f>
        <v/>
      </c>
      <c r="C95" s="694"/>
      <c r="D95" s="225"/>
      <c r="E95" s="226"/>
      <c r="F95" s="227"/>
      <c r="G95" s="228"/>
      <c r="H95" s="229"/>
      <c r="I95" s="230"/>
      <c r="J95" s="231"/>
      <c r="K95" s="232"/>
      <c r="L95" s="227"/>
      <c r="M95" s="233"/>
      <c r="N95" s="238"/>
      <c r="O95" s="234"/>
      <c r="P95" s="235" t="e">
        <f>IF(s1inv[[#This Row],[Schedule 1c Reference Number]]="",0,SUMIF(sched1c[Reference ID],s1inv[[#This Row],[Employer ID]]&amp;"-"&amp;s1inv[[#This Row],[Schedule 1c Reference Number]],sched1c[Change to Cost]))</f>
        <v>#VALUE!</v>
      </c>
      <c r="Q95" s="233"/>
      <c r="R95" s="235" t="e">
        <f>s1inv[[#This Row],[Cost at Beginning Period]]+s1inv[[#This Row],[Addition/
Deduction]]</f>
        <v>#VALUE!</v>
      </c>
      <c r="S95" s="233"/>
      <c r="T95" s="236"/>
      <c r="U95" s="233"/>
      <c r="V95" s="225"/>
      <c r="W95" s="227"/>
      <c r="X95" s="237" t="e">
        <f>s1inv[[#This Row],[Cost at End of Period]]+s1inv[[#This Row],[Unrealized Appreciation]]-ABS(s1inv[[#This Row],[(Unrealized Depreciation)]])</f>
        <v>#VALUE!</v>
      </c>
      <c r="Y95" s="238">
        <v>0</v>
      </c>
      <c r="Z95" s="238"/>
      <c r="AA95" s="239" t="str">
        <f>IFERROR((s1inv[[#This Row],[SBA Reported Value (B)]]+s1inv[[#This Row],[Cum. Cash Proceeds (D)]])/s1inv[[#This Row],[Total Cash Invested (A)]],"")</f>
        <v/>
      </c>
      <c r="AB95" s="240"/>
      <c r="AC95" s="239" t="str">
        <f>IFERROR((s1inv[[#This Row],[GAAP Reported Value (C)]]+s1inv[[#This Row],[Cum. Cash Proceeds (D)]])/s1inv[[#This Row],[Total Cash Invested (A)]],"")</f>
        <v/>
      </c>
      <c r="AD95" s="240"/>
      <c r="AE95" s="241" t="str">
        <f>IF(IFERROR(VLOOKUP(s1inv[[#This Row],[Portfolio Company Name]],s11cumperf[],4,FALSE),"")="","",(IFERROR(VLOOKUP(s1inv[[#This Row],[Portfolio Company Name]],s11cumperf[],4,FALSE),"")))</f>
        <v/>
      </c>
    </row>
    <row r="96" spans="1:31" s="242" customFormat="1" x14ac:dyDescent="0.35">
      <c r="A96" s="223" t="s">
        <v>243</v>
      </c>
      <c r="B96" s="224" t="str">
        <f>IF(IFERROR(VLOOKUP(s1inv[[#This Row],[Portfolio Company Name]],s11cumperf[],2,FALSE),"")="","",(IFERROR(VLOOKUP(s1inv[[#This Row],[Portfolio Company Name]],s11cumperf[],2,FALSE),"")))</f>
        <v/>
      </c>
      <c r="C96" s="694"/>
      <c r="D96" s="225"/>
      <c r="E96" s="226"/>
      <c r="F96" s="227"/>
      <c r="G96" s="228"/>
      <c r="H96" s="229"/>
      <c r="I96" s="230"/>
      <c r="J96" s="231"/>
      <c r="K96" s="232"/>
      <c r="L96" s="227"/>
      <c r="M96" s="233"/>
      <c r="N96" s="238"/>
      <c r="O96" s="234"/>
      <c r="P96" s="235" t="e">
        <f>IF(s1inv[[#This Row],[Schedule 1c Reference Number]]="",0,SUMIF(sched1c[Reference ID],s1inv[[#This Row],[Employer ID]]&amp;"-"&amp;s1inv[[#This Row],[Schedule 1c Reference Number]],sched1c[Change to Cost]))</f>
        <v>#VALUE!</v>
      </c>
      <c r="Q96" s="233"/>
      <c r="R96" s="235" t="e">
        <f>s1inv[[#This Row],[Cost at Beginning Period]]+s1inv[[#This Row],[Addition/
Deduction]]</f>
        <v>#VALUE!</v>
      </c>
      <c r="S96" s="233"/>
      <c r="T96" s="236"/>
      <c r="U96" s="233"/>
      <c r="V96" s="225"/>
      <c r="W96" s="227"/>
      <c r="X96" s="237" t="e">
        <f>s1inv[[#This Row],[Cost at End of Period]]+s1inv[[#This Row],[Unrealized Appreciation]]-ABS(s1inv[[#This Row],[(Unrealized Depreciation)]])</f>
        <v>#VALUE!</v>
      </c>
      <c r="Y96" s="238">
        <v>0</v>
      </c>
      <c r="Z96" s="238"/>
      <c r="AA96" s="239" t="str">
        <f>IFERROR((s1inv[[#This Row],[SBA Reported Value (B)]]+s1inv[[#This Row],[Cum. Cash Proceeds (D)]])/s1inv[[#This Row],[Total Cash Invested (A)]],"")</f>
        <v/>
      </c>
      <c r="AB96" s="240"/>
      <c r="AC96" s="239" t="str">
        <f>IFERROR((s1inv[[#This Row],[GAAP Reported Value (C)]]+s1inv[[#This Row],[Cum. Cash Proceeds (D)]])/s1inv[[#This Row],[Total Cash Invested (A)]],"")</f>
        <v/>
      </c>
      <c r="AD96" s="240"/>
      <c r="AE96" s="241" t="str">
        <f>IF(IFERROR(VLOOKUP(s1inv[[#This Row],[Portfolio Company Name]],s11cumperf[],4,FALSE),"")="","",(IFERROR(VLOOKUP(s1inv[[#This Row],[Portfolio Company Name]],s11cumperf[],4,FALSE),"")))</f>
        <v/>
      </c>
    </row>
    <row r="97" spans="1:31" s="242" customFormat="1" x14ac:dyDescent="0.35">
      <c r="A97" s="223" t="s">
        <v>243</v>
      </c>
      <c r="B97" s="224" t="str">
        <f>IF(IFERROR(VLOOKUP(s1inv[[#This Row],[Portfolio Company Name]],s11cumperf[],2,FALSE),"")="","",(IFERROR(VLOOKUP(s1inv[[#This Row],[Portfolio Company Name]],s11cumperf[],2,FALSE),"")))</f>
        <v/>
      </c>
      <c r="C97" s="694"/>
      <c r="D97" s="225"/>
      <c r="E97" s="226"/>
      <c r="F97" s="227"/>
      <c r="G97" s="228"/>
      <c r="H97" s="229"/>
      <c r="I97" s="230"/>
      <c r="J97" s="231"/>
      <c r="K97" s="232"/>
      <c r="L97" s="227"/>
      <c r="M97" s="233"/>
      <c r="N97" s="238"/>
      <c r="O97" s="234"/>
      <c r="P97" s="235" t="e">
        <f>IF(s1inv[[#This Row],[Schedule 1c Reference Number]]="",0,SUMIF(sched1c[Reference ID],s1inv[[#This Row],[Employer ID]]&amp;"-"&amp;s1inv[[#This Row],[Schedule 1c Reference Number]],sched1c[Change to Cost]))</f>
        <v>#VALUE!</v>
      </c>
      <c r="Q97" s="233"/>
      <c r="R97" s="235" t="e">
        <f>s1inv[[#This Row],[Cost at Beginning Period]]+s1inv[[#This Row],[Addition/
Deduction]]</f>
        <v>#VALUE!</v>
      </c>
      <c r="S97" s="233"/>
      <c r="T97" s="236"/>
      <c r="U97" s="233"/>
      <c r="V97" s="225"/>
      <c r="W97" s="227"/>
      <c r="X97" s="237" t="e">
        <f>s1inv[[#This Row],[Cost at End of Period]]+s1inv[[#This Row],[Unrealized Appreciation]]-ABS(s1inv[[#This Row],[(Unrealized Depreciation)]])</f>
        <v>#VALUE!</v>
      </c>
      <c r="Y97" s="238">
        <v>0</v>
      </c>
      <c r="Z97" s="238"/>
      <c r="AA97" s="239" t="str">
        <f>IFERROR((s1inv[[#This Row],[SBA Reported Value (B)]]+s1inv[[#This Row],[Cum. Cash Proceeds (D)]])/s1inv[[#This Row],[Total Cash Invested (A)]],"")</f>
        <v/>
      </c>
      <c r="AB97" s="240"/>
      <c r="AC97" s="239" t="str">
        <f>IFERROR((s1inv[[#This Row],[GAAP Reported Value (C)]]+s1inv[[#This Row],[Cum. Cash Proceeds (D)]])/s1inv[[#This Row],[Total Cash Invested (A)]],"")</f>
        <v/>
      </c>
      <c r="AD97" s="240"/>
      <c r="AE97" s="241" t="str">
        <f>IF(IFERROR(VLOOKUP(s1inv[[#This Row],[Portfolio Company Name]],s11cumperf[],4,FALSE),"")="","",(IFERROR(VLOOKUP(s1inv[[#This Row],[Portfolio Company Name]],s11cumperf[],4,FALSE),"")))</f>
        <v/>
      </c>
    </row>
    <row r="98" spans="1:31" s="242" customFormat="1" x14ac:dyDescent="0.35">
      <c r="A98" s="223" t="s">
        <v>243</v>
      </c>
      <c r="B98" s="224" t="str">
        <f>IF(IFERROR(VLOOKUP(s1inv[[#This Row],[Portfolio Company Name]],s11cumperf[],2,FALSE),"")="","",(IFERROR(VLOOKUP(s1inv[[#This Row],[Portfolio Company Name]],s11cumperf[],2,FALSE),"")))</f>
        <v/>
      </c>
      <c r="C98" s="694"/>
      <c r="D98" s="225"/>
      <c r="E98" s="226"/>
      <c r="F98" s="227"/>
      <c r="G98" s="228"/>
      <c r="H98" s="229"/>
      <c r="I98" s="230"/>
      <c r="J98" s="231"/>
      <c r="K98" s="232"/>
      <c r="L98" s="227"/>
      <c r="M98" s="233"/>
      <c r="N98" s="238"/>
      <c r="O98" s="234"/>
      <c r="P98" s="235" t="e">
        <f>IF(s1inv[[#This Row],[Schedule 1c Reference Number]]="",0,SUMIF(sched1c[Reference ID],s1inv[[#This Row],[Employer ID]]&amp;"-"&amp;s1inv[[#This Row],[Schedule 1c Reference Number]],sched1c[Change to Cost]))</f>
        <v>#VALUE!</v>
      </c>
      <c r="Q98" s="233"/>
      <c r="R98" s="235" t="e">
        <f>s1inv[[#This Row],[Cost at Beginning Period]]+s1inv[[#This Row],[Addition/
Deduction]]</f>
        <v>#VALUE!</v>
      </c>
      <c r="S98" s="233"/>
      <c r="T98" s="236"/>
      <c r="U98" s="233"/>
      <c r="V98" s="225"/>
      <c r="W98" s="227"/>
      <c r="X98" s="237" t="e">
        <f>s1inv[[#This Row],[Cost at End of Period]]+s1inv[[#This Row],[Unrealized Appreciation]]-ABS(s1inv[[#This Row],[(Unrealized Depreciation)]])</f>
        <v>#VALUE!</v>
      </c>
      <c r="Y98" s="238">
        <v>0</v>
      </c>
      <c r="Z98" s="238"/>
      <c r="AA98" s="239" t="str">
        <f>IFERROR((s1inv[[#This Row],[SBA Reported Value (B)]]+s1inv[[#This Row],[Cum. Cash Proceeds (D)]])/s1inv[[#This Row],[Total Cash Invested (A)]],"")</f>
        <v/>
      </c>
      <c r="AB98" s="240"/>
      <c r="AC98" s="239" t="str">
        <f>IFERROR((s1inv[[#This Row],[GAAP Reported Value (C)]]+s1inv[[#This Row],[Cum. Cash Proceeds (D)]])/s1inv[[#This Row],[Total Cash Invested (A)]],"")</f>
        <v/>
      </c>
      <c r="AD98" s="240"/>
      <c r="AE98" s="241" t="str">
        <f>IF(IFERROR(VLOOKUP(s1inv[[#This Row],[Portfolio Company Name]],s11cumperf[],4,FALSE),"")="","",(IFERROR(VLOOKUP(s1inv[[#This Row],[Portfolio Company Name]],s11cumperf[],4,FALSE),"")))</f>
        <v/>
      </c>
    </row>
    <row r="99" spans="1:31" s="242" customFormat="1" x14ac:dyDescent="0.35">
      <c r="A99" s="223" t="s">
        <v>243</v>
      </c>
      <c r="B99" s="224" t="str">
        <f>IF(IFERROR(VLOOKUP(s1inv[[#This Row],[Portfolio Company Name]],s11cumperf[],2,FALSE),"")="","",(IFERROR(VLOOKUP(s1inv[[#This Row],[Portfolio Company Name]],s11cumperf[],2,FALSE),"")))</f>
        <v/>
      </c>
      <c r="C99" s="694"/>
      <c r="D99" s="225"/>
      <c r="E99" s="226"/>
      <c r="F99" s="227"/>
      <c r="G99" s="228"/>
      <c r="H99" s="229"/>
      <c r="I99" s="230"/>
      <c r="J99" s="231"/>
      <c r="K99" s="232"/>
      <c r="L99" s="227"/>
      <c r="M99" s="233"/>
      <c r="N99" s="233"/>
      <c r="O99" s="234"/>
      <c r="P99" s="235" t="e">
        <f>IF(s1inv[[#This Row],[Schedule 1c Reference Number]]="",0,SUMIF(sched1c[Reference ID],s1inv[[#This Row],[Employer ID]]&amp;"-"&amp;s1inv[[#This Row],[Schedule 1c Reference Number]],sched1c[Change to Cost]))</f>
        <v>#VALUE!</v>
      </c>
      <c r="Q99" s="233"/>
      <c r="R99" s="235" t="e">
        <f>s1inv[[#This Row],[Cost at Beginning Period]]+s1inv[[#This Row],[Addition/
Deduction]]</f>
        <v>#VALUE!</v>
      </c>
      <c r="S99" s="233"/>
      <c r="T99" s="236"/>
      <c r="U99" s="233"/>
      <c r="V99" s="225"/>
      <c r="W99" s="227"/>
      <c r="X99" s="237" t="e">
        <f>s1inv[[#This Row],[Cost at End of Period]]+s1inv[[#This Row],[Unrealized Appreciation]]-ABS(s1inv[[#This Row],[(Unrealized Depreciation)]])</f>
        <v>#VALUE!</v>
      </c>
      <c r="Y99" s="238">
        <v>0</v>
      </c>
      <c r="Z99" s="238"/>
      <c r="AA99" s="239" t="str">
        <f>IFERROR((s1inv[[#This Row],[SBA Reported Value (B)]]+s1inv[[#This Row],[Cum. Cash Proceeds (D)]])/s1inv[[#This Row],[Total Cash Invested (A)]],"")</f>
        <v/>
      </c>
      <c r="AB99" s="240"/>
      <c r="AC99" s="239" t="str">
        <f>IFERROR((s1inv[[#This Row],[GAAP Reported Value (C)]]+s1inv[[#This Row],[Cum. Cash Proceeds (D)]])/s1inv[[#This Row],[Total Cash Invested (A)]],"")</f>
        <v/>
      </c>
      <c r="AD99" s="240"/>
      <c r="AE99" s="241" t="str">
        <f>IF(IFERROR(VLOOKUP(s1inv[[#This Row],[Portfolio Company Name]],s11cumperf[],4,FALSE),"")="","",(IFERROR(VLOOKUP(s1inv[[#This Row],[Portfolio Company Name]],s11cumperf[],4,FALSE),"")))</f>
        <v/>
      </c>
    </row>
    <row r="100" spans="1:31" s="242" customFormat="1" x14ac:dyDescent="0.35">
      <c r="A100" s="223" t="s">
        <v>243</v>
      </c>
      <c r="B100" s="224" t="str">
        <f>IF(IFERROR(VLOOKUP(s1inv[[#This Row],[Portfolio Company Name]],s11cumperf[],2,FALSE),"")="","",(IFERROR(VLOOKUP(s1inv[[#This Row],[Portfolio Company Name]],s11cumperf[],2,FALSE),"")))</f>
        <v/>
      </c>
      <c r="C100" s="694"/>
      <c r="D100" s="225"/>
      <c r="E100" s="226"/>
      <c r="F100" s="227"/>
      <c r="G100" s="228"/>
      <c r="H100" s="229"/>
      <c r="I100" s="230"/>
      <c r="J100" s="231"/>
      <c r="K100" s="232"/>
      <c r="L100" s="227"/>
      <c r="M100" s="233"/>
      <c r="N100" s="233"/>
      <c r="O100" s="234"/>
      <c r="P100" s="235" t="e">
        <f>IF(s1inv[[#This Row],[Schedule 1c Reference Number]]="",0,SUMIF(sched1c[Reference ID],s1inv[[#This Row],[Employer ID]]&amp;"-"&amp;s1inv[[#This Row],[Schedule 1c Reference Number]],sched1c[Change to Cost]))</f>
        <v>#VALUE!</v>
      </c>
      <c r="Q100" s="233"/>
      <c r="R100" s="235" t="e">
        <f>s1inv[[#This Row],[Cost at Beginning Period]]+s1inv[[#This Row],[Addition/
Deduction]]</f>
        <v>#VALUE!</v>
      </c>
      <c r="S100" s="233"/>
      <c r="T100" s="236"/>
      <c r="U100" s="233"/>
      <c r="V100" s="225"/>
      <c r="W100" s="227"/>
      <c r="X100" s="237" t="e">
        <f>s1inv[[#This Row],[Cost at End of Period]]+s1inv[[#This Row],[Unrealized Appreciation]]-ABS(s1inv[[#This Row],[(Unrealized Depreciation)]])</f>
        <v>#VALUE!</v>
      </c>
      <c r="Y100" s="238">
        <v>0</v>
      </c>
      <c r="Z100" s="238"/>
      <c r="AA100" s="239" t="str">
        <f>IFERROR((s1inv[[#This Row],[SBA Reported Value (B)]]+s1inv[[#This Row],[Cum. Cash Proceeds (D)]])/s1inv[[#This Row],[Total Cash Invested (A)]],"")</f>
        <v/>
      </c>
      <c r="AB100" s="240"/>
      <c r="AC100" s="239" t="str">
        <f>IFERROR((s1inv[[#This Row],[GAAP Reported Value (C)]]+s1inv[[#This Row],[Cum. Cash Proceeds (D)]])/s1inv[[#This Row],[Total Cash Invested (A)]],"")</f>
        <v/>
      </c>
      <c r="AD100" s="240"/>
      <c r="AE100" s="241" t="str">
        <f>IF(IFERROR(VLOOKUP(s1inv[[#This Row],[Portfolio Company Name]],s11cumperf[],4,FALSE),"")="","",(IFERROR(VLOOKUP(s1inv[[#This Row],[Portfolio Company Name]],s11cumperf[],4,FALSE),"")))</f>
        <v/>
      </c>
    </row>
    <row r="101" spans="1:31" s="242" customFormat="1" x14ac:dyDescent="0.35">
      <c r="A101" s="223" t="s">
        <v>243</v>
      </c>
      <c r="B101" s="224" t="str">
        <f>IF(IFERROR(VLOOKUP(s1inv[[#This Row],[Portfolio Company Name]],s11cumperf[],2,FALSE),"")="","",(IFERROR(VLOOKUP(s1inv[[#This Row],[Portfolio Company Name]],s11cumperf[],2,FALSE),"")))</f>
        <v/>
      </c>
      <c r="C101" s="694"/>
      <c r="D101" s="225"/>
      <c r="E101" s="226"/>
      <c r="F101" s="227"/>
      <c r="G101" s="228"/>
      <c r="H101" s="229"/>
      <c r="I101" s="230"/>
      <c r="J101" s="231"/>
      <c r="K101" s="232"/>
      <c r="L101" s="227"/>
      <c r="M101" s="233"/>
      <c r="N101" s="233"/>
      <c r="O101" s="234"/>
      <c r="P101" s="235" t="e">
        <f>IF(s1inv[[#This Row],[Schedule 1c Reference Number]]="",0,SUMIF(sched1c[Reference ID],s1inv[[#This Row],[Employer ID]]&amp;"-"&amp;s1inv[[#This Row],[Schedule 1c Reference Number]],sched1c[Change to Cost]))</f>
        <v>#VALUE!</v>
      </c>
      <c r="Q101" s="233"/>
      <c r="R101" s="235" t="e">
        <f>s1inv[[#This Row],[Cost at Beginning Period]]+s1inv[[#This Row],[Addition/
Deduction]]</f>
        <v>#VALUE!</v>
      </c>
      <c r="S101" s="233"/>
      <c r="T101" s="236"/>
      <c r="U101" s="233"/>
      <c r="V101" s="225"/>
      <c r="W101" s="227"/>
      <c r="X101" s="237" t="e">
        <f>s1inv[[#This Row],[Cost at End of Period]]+s1inv[[#This Row],[Unrealized Appreciation]]-ABS(s1inv[[#This Row],[(Unrealized Depreciation)]])</f>
        <v>#VALUE!</v>
      </c>
      <c r="Y101" s="238">
        <v>0</v>
      </c>
      <c r="Z101" s="238"/>
      <c r="AA101" s="239" t="str">
        <f>IFERROR((s1inv[[#This Row],[SBA Reported Value (B)]]+s1inv[[#This Row],[Cum. Cash Proceeds (D)]])/s1inv[[#This Row],[Total Cash Invested (A)]],"")</f>
        <v/>
      </c>
      <c r="AB101" s="240"/>
      <c r="AC101" s="239" t="str">
        <f>IFERROR((s1inv[[#This Row],[GAAP Reported Value (C)]]+s1inv[[#This Row],[Cum. Cash Proceeds (D)]])/s1inv[[#This Row],[Total Cash Invested (A)]],"")</f>
        <v/>
      </c>
      <c r="AD101" s="240"/>
      <c r="AE101" s="241" t="str">
        <f>IF(IFERROR(VLOOKUP(s1inv[[#This Row],[Portfolio Company Name]],s11cumperf[],4,FALSE),"")="","",(IFERROR(VLOOKUP(s1inv[[#This Row],[Portfolio Company Name]],s11cumperf[],4,FALSE),"")))</f>
        <v/>
      </c>
    </row>
    <row r="102" spans="1:31" s="242" customFormat="1" x14ac:dyDescent="0.35">
      <c r="A102" s="223" t="s">
        <v>243</v>
      </c>
      <c r="B102" s="224" t="str">
        <f>IF(IFERROR(VLOOKUP(s1inv[[#This Row],[Portfolio Company Name]],s11cumperf[],2,FALSE),"")="","",(IFERROR(VLOOKUP(s1inv[[#This Row],[Portfolio Company Name]],s11cumperf[],2,FALSE),"")))</f>
        <v/>
      </c>
      <c r="C102" s="694"/>
      <c r="D102" s="225"/>
      <c r="E102" s="226"/>
      <c r="F102" s="227"/>
      <c r="G102" s="228"/>
      <c r="H102" s="229"/>
      <c r="I102" s="230"/>
      <c r="J102" s="231"/>
      <c r="K102" s="232"/>
      <c r="L102" s="227"/>
      <c r="M102" s="233"/>
      <c r="N102" s="233"/>
      <c r="O102" s="234"/>
      <c r="P102" s="235" t="e">
        <f>IF(s1inv[[#This Row],[Schedule 1c Reference Number]]="",0,SUMIF(sched1c[Reference ID],s1inv[[#This Row],[Employer ID]]&amp;"-"&amp;s1inv[[#This Row],[Schedule 1c Reference Number]],sched1c[Change to Cost]))</f>
        <v>#VALUE!</v>
      </c>
      <c r="Q102" s="233"/>
      <c r="R102" s="235" t="e">
        <f>s1inv[[#This Row],[Cost at Beginning Period]]+s1inv[[#This Row],[Addition/
Deduction]]</f>
        <v>#VALUE!</v>
      </c>
      <c r="S102" s="233"/>
      <c r="T102" s="236"/>
      <c r="U102" s="233"/>
      <c r="V102" s="225"/>
      <c r="W102" s="227"/>
      <c r="X102" s="237" t="e">
        <f>s1inv[[#This Row],[Cost at End of Period]]+s1inv[[#This Row],[Unrealized Appreciation]]-ABS(s1inv[[#This Row],[(Unrealized Depreciation)]])</f>
        <v>#VALUE!</v>
      </c>
      <c r="Y102" s="238">
        <v>0</v>
      </c>
      <c r="Z102" s="238"/>
      <c r="AA102" s="239" t="str">
        <f>IFERROR((s1inv[[#This Row],[SBA Reported Value (B)]]+s1inv[[#This Row],[Cum. Cash Proceeds (D)]])/s1inv[[#This Row],[Total Cash Invested (A)]],"")</f>
        <v/>
      </c>
      <c r="AB102" s="240"/>
      <c r="AC102" s="239" t="str">
        <f>IFERROR((s1inv[[#This Row],[GAAP Reported Value (C)]]+s1inv[[#This Row],[Cum. Cash Proceeds (D)]])/s1inv[[#This Row],[Total Cash Invested (A)]],"")</f>
        <v/>
      </c>
      <c r="AD102" s="240"/>
      <c r="AE102" s="241" t="str">
        <f>IF(IFERROR(VLOOKUP(s1inv[[#This Row],[Portfolio Company Name]],s11cumperf[],4,FALSE),"")="","",(IFERROR(VLOOKUP(s1inv[[#This Row],[Portfolio Company Name]],s11cumperf[],4,FALSE),"")))</f>
        <v/>
      </c>
    </row>
    <row r="103" spans="1:31" s="242" customFormat="1" x14ac:dyDescent="0.35">
      <c r="A103" s="223" t="s">
        <v>243</v>
      </c>
      <c r="B103" s="224" t="str">
        <f>IF(IFERROR(VLOOKUP(s1inv[[#This Row],[Portfolio Company Name]],s11cumperf[],2,FALSE),"")="","",(IFERROR(VLOOKUP(s1inv[[#This Row],[Portfolio Company Name]],s11cumperf[],2,FALSE),"")))</f>
        <v/>
      </c>
      <c r="C103" s="694"/>
      <c r="D103" s="225"/>
      <c r="E103" s="226"/>
      <c r="F103" s="227"/>
      <c r="G103" s="228"/>
      <c r="H103" s="229"/>
      <c r="I103" s="230"/>
      <c r="J103" s="231"/>
      <c r="K103" s="232"/>
      <c r="L103" s="227"/>
      <c r="M103" s="233"/>
      <c r="N103" s="233"/>
      <c r="O103" s="234"/>
      <c r="P103" s="235" t="e">
        <f>IF(s1inv[[#This Row],[Schedule 1c Reference Number]]="",0,SUMIF(sched1c[Reference ID],s1inv[[#This Row],[Employer ID]]&amp;"-"&amp;s1inv[[#This Row],[Schedule 1c Reference Number]],sched1c[Change to Cost]))</f>
        <v>#VALUE!</v>
      </c>
      <c r="Q103" s="233"/>
      <c r="R103" s="235" t="e">
        <f>s1inv[[#This Row],[Cost at Beginning Period]]+s1inv[[#This Row],[Addition/
Deduction]]</f>
        <v>#VALUE!</v>
      </c>
      <c r="S103" s="233"/>
      <c r="T103" s="236"/>
      <c r="U103" s="233"/>
      <c r="V103" s="225"/>
      <c r="W103" s="227"/>
      <c r="X103" s="237" t="e">
        <f>s1inv[[#This Row],[Cost at End of Period]]+s1inv[[#This Row],[Unrealized Appreciation]]-ABS(s1inv[[#This Row],[(Unrealized Depreciation)]])</f>
        <v>#VALUE!</v>
      </c>
      <c r="Y103" s="238">
        <v>0</v>
      </c>
      <c r="Z103" s="238"/>
      <c r="AA103" s="239" t="str">
        <f>IFERROR((s1inv[[#This Row],[SBA Reported Value (B)]]+s1inv[[#This Row],[Cum. Cash Proceeds (D)]])/s1inv[[#This Row],[Total Cash Invested (A)]],"")</f>
        <v/>
      </c>
      <c r="AB103" s="240"/>
      <c r="AC103" s="239" t="str">
        <f>IFERROR((s1inv[[#This Row],[GAAP Reported Value (C)]]+s1inv[[#This Row],[Cum. Cash Proceeds (D)]])/s1inv[[#This Row],[Total Cash Invested (A)]],"")</f>
        <v/>
      </c>
      <c r="AD103" s="240"/>
      <c r="AE103" s="241" t="str">
        <f>IF(IFERROR(VLOOKUP(s1inv[[#This Row],[Portfolio Company Name]],s11cumperf[],4,FALSE),"")="","",(IFERROR(VLOOKUP(s1inv[[#This Row],[Portfolio Company Name]],s11cumperf[],4,FALSE),"")))</f>
        <v/>
      </c>
    </row>
    <row r="104" spans="1:31" s="242" customFormat="1" x14ac:dyDescent="0.35">
      <c r="A104" s="223" t="s">
        <v>243</v>
      </c>
      <c r="B104" s="224" t="str">
        <f>IF(IFERROR(VLOOKUP(s1inv[[#This Row],[Portfolio Company Name]],s11cumperf[],2,FALSE),"")="","",(IFERROR(VLOOKUP(s1inv[[#This Row],[Portfolio Company Name]],s11cumperf[],2,FALSE),"")))</f>
        <v/>
      </c>
      <c r="C104" s="694"/>
      <c r="D104" s="225"/>
      <c r="E104" s="226"/>
      <c r="F104" s="227"/>
      <c r="G104" s="228"/>
      <c r="H104" s="229"/>
      <c r="I104" s="230"/>
      <c r="J104" s="231"/>
      <c r="K104" s="232"/>
      <c r="L104" s="227"/>
      <c r="M104" s="233"/>
      <c r="N104" s="233"/>
      <c r="O104" s="234"/>
      <c r="P104" s="235" t="e">
        <f>IF(s1inv[[#This Row],[Schedule 1c Reference Number]]="",0,SUMIF(sched1c[Reference ID],s1inv[[#This Row],[Employer ID]]&amp;"-"&amp;s1inv[[#This Row],[Schedule 1c Reference Number]],sched1c[Change to Cost]))</f>
        <v>#VALUE!</v>
      </c>
      <c r="Q104" s="233"/>
      <c r="R104" s="235" t="e">
        <f>s1inv[[#This Row],[Cost at Beginning Period]]+s1inv[[#This Row],[Addition/
Deduction]]</f>
        <v>#VALUE!</v>
      </c>
      <c r="S104" s="233"/>
      <c r="T104" s="236"/>
      <c r="U104" s="233"/>
      <c r="V104" s="225"/>
      <c r="W104" s="227"/>
      <c r="X104" s="237" t="e">
        <f>s1inv[[#This Row],[Cost at End of Period]]+s1inv[[#This Row],[Unrealized Appreciation]]-ABS(s1inv[[#This Row],[(Unrealized Depreciation)]])</f>
        <v>#VALUE!</v>
      </c>
      <c r="Y104" s="238">
        <v>0</v>
      </c>
      <c r="Z104" s="238"/>
      <c r="AA104" s="239" t="str">
        <f>IFERROR((s1inv[[#This Row],[SBA Reported Value (B)]]+s1inv[[#This Row],[Cum. Cash Proceeds (D)]])/s1inv[[#This Row],[Total Cash Invested (A)]],"")</f>
        <v/>
      </c>
      <c r="AB104" s="240"/>
      <c r="AC104" s="239" t="str">
        <f>IFERROR((s1inv[[#This Row],[GAAP Reported Value (C)]]+s1inv[[#This Row],[Cum. Cash Proceeds (D)]])/s1inv[[#This Row],[Total Cash Invested (A)]],"")</f>
        <v/>
      </c>
      <c r="AD104" s="240"/>
      <c r="AE104" s="241" t="str">
        <f>IF(IFERROR(VLOOKUP(s1inv[[#This Row],[Portfolio Company Name]],s11cumperf[],4,FALSE),"")="","",(IFERROR(VLOOKUP(s1inv[[#This Row],[Portfolio Company Name]],s11cumperf[],4,FALSE),"")))</f>
        <v/>
      </c>
    </row>
    <row r="105" spans="1:31" s="242" customFormat="1" x14ac:dyDescent="0.35">
      <c r="A105" s="223" t="s">
        <v>243</v>
      </c>
      <c r="B105" s="224" t="str">
        <f>IF(IFERROR(VLOOKUP(s1inv[[#This Row],[Portfolio Company Name]],s11cumperf[],2,FALSE),"")="","",(IFERROR(VLOOKUP(s1inv[[#This Row],[Portfolio Company Name]],s11cumperf[],2,FALSE),"")))</f>
        <v/>
      </c>
      <c r="C105" s="694"/>
      <c r="D105" s="225"/>
      <c r="E105" s="226"/>
      <c r="F105" s="227"/>
      <c r="G105" s="228"/>
      <c r="H105" s="229"/>
      <c r="I105" s="230"/>
      <c r="J105" s="231"/>
      <c r="K105" s="232"/>
      <c r="L105" s="227"/>
      <c r="M105" s="233"/>
      <c r="N105" s="233"/>
      <c r="O105" s="234"/>
      <c r="P105" s="235" t="e">
        <f>IF(s1inv[[#This Row],[Schedule 1c Reference Number]]="",0,SUMIF(sched1c[Reference ID],s1inv[[#This Row],[Employer ID]]&amp;"-"&amp;s1inv[[#This Row],[Schedule 1c Reference Number]],sched1c[Change to Cost]))</f>
        <v>#VALUE!</v>
      </c>
      <c r="Q105" s="233"/>
      <c r="R105" s="235" t="e">
        <f>s1inv[[#This Row],[Cost at Beginning Period]]+s1inv[[#This Row],[Addition/
Deduction]]</f>
        <v>#VALUE!</v>
      </c>
      <c r="S105" s="233"/>
      <c r="T105" s="236"/>
      <c r="U105" s="233"/>
      <c r="V105" s="225"/>
      <c r="W105" s="227"/>
      <c r="X105" s="237" t="e">
        <f>s1inv[[#This Row],[Cost at End of Period]]+s1inv[[#This Row],[Unrealized Appreciation]]-ABS(s1inv[[#This Row],[(Unrealized Depreciation)]])</f>
        <v>#VALUE!</v>
      </c>
      <c r="Y105" s="238">
        <v>0</v>
      </c>
      <c r="Z105" s="238"/>
      <c r="AA105" s="239" t="str">
        <f>IFERROR((s1inv[[#This Row],[SBA Reported Value (B)]]+s1inv[[#This Row],[Cum. Cash Proceeds (D)]])/s1inv[[#This Row],[Total Cash Invested (A)]],"")</f>
        <v/>
      </c>
      <c r="AB105" s="240"/>
      <c r="AC105" s="239" t="str">
        <f>IFERROR((s1inv[[#This Row],[GAAP Reported Value (C)]]+s1inv[[#This Row],[Cum. Cash Proceeds (D)]])/s1inv[[#This Row],[Total Cash Invested (A)]],"")</f>
        <v/>
      </c>
      <c r="AD105" s="240"/>
      <c r="AE105" s="241" t="str">
        <f>IF(IFERROR(VLOOKUP(s1inv[[#This Row],[Portfolio Company Name]],s11cumperf[],4,FALSE),"")="","",(IFERROR(VLOOKUP(s1inv[[#This Row],[Portfolio Company Name]],s11cumperf[],4,FALSE),"")))</f>
        <v/>
      </c>
    </row>
    <row r="106" spans="1:31" s="242" customFormat="1" x14ac:dyDescent="0.35">
      <c r="A106" s="223" t="s">
        <v>243</v>
      </c>
      <c r="B106" s="224" t="str">
        <f>IF(IFERROR(VLOOKUP(s1inv[[#This Row],[Portfolio Company Name]],s11cumperf[],2,FALSE),"")="","",(IFERROR(VLOOKUP(s1inv[[#This Row],[Portfolio Company Name]],s11cumperf[],2,FALSE),"")))</f>
        <v/>
      </c>
      <c r="C106" s="694"/>
      <c r="D106" s="225"/>
      <c r="E106" s="226"/>
      <c r="F106" s="227"/>
      <c r="G106" s="228"/>
      <c r="H106" s="229"/>
      <c r="I106" s="230"/>
      <c r="J106" s="231"/>
      <c r="K106" s="232"/>
      <c r="L106" s="227"/>
      <c r="M106" s="233"/>
      <c r="N106" s="233"/>
      <c r="O106" s="234"/>
      <c r="P106" s="235" t="e">
        <f>IF(s1inv[[#This Row],[Schedule 1c Reference Number]]="",0,SUMIF(sched1c[Reference ID],s1inv[[#This Row],[Employer ID]]&amp;"-"&amp;s1inv[[#This Row],[Schedule 1c Reference Number]],sched1c[Change to Cost]))</f>
        <v>#VALUE!</v>
      </c>
      <c r="Q106" s="233"/>
      <c r="R106" s="235" t="e">
        <f>s1inv[[#This Row],[Cost at Beginning Period]]+s1inv[[#This Row],[Addition/
Deduction]]</f>
        <v>#VALUE!</v>
      </c>
      <c r="S106" s="233"/>
      <c r="T106" s="236"/>
      <c r="U106" s="233"/>
      <c r="V106" s="225"/>
      <c r="W106" s="227"/>
      <c r="X106" s="237" t="e">
        <f>s1inv[[#This Row],[Cost at End of Period]]+s1inv[[#This Row],[Unrealized Appreciation]]-ABS(s1inv[[#This Row],[(Unrealized Depreciation)]])</f>
        <v>#VALUE!</v>
      </c>
      <c r="Y106" s="238">
        <v>0</v>
      </c>
      <c r="Z106" s="238"/>
      <c r="AA106" s="239" t="str">
        <f>IFERROR((s1inv[[#This Row],[SBA Reported Value (B)]]+s1inv[[#This Row],[Cum. Cash Proceeds (D)]])/s1inv[[#This Row],[Total Cash Invested (A)]],"")</f>
        <v/>
      </c>
      <c r="AB106" s="240"/>
      <c r="AC106" s="239" t="str">
        <f>IFERROR((s1inv[[#This Row],[GAAP Reported Value (C)]]+s1inv[[#This Row],[Cum. Cash Proceeds (D)]])/s1inv[[#This Row],[Total Cash Invested (A)]],"")</f>
        <v/>
      </c>
      <c r="AD106" s="240"/>
      <c r="AE106" s="241" t="str">
        <f>IF(IFERROR(VLOOKUP(s1inv[[#This Row],[Portfolio Company Name]],s11cumperf[],4,FALSE),"")="","",(IFERROR(VLOOKUP(s1inv[[#This Row],[Portfolio Company Name]],s11cumperf[],4,FALSE),"")))</f>
        <v/>
      </c>
    </row>
    <row r="107" spans="1:31" s="242" customFormat="1" x14ac:dyDescent="0.35">
      <c r="A107" s="223" t="s">
        <v>243</v>
      </c>
      <c r="B107" s="224" t="str">
        <f>IF(IFERROR(VLOOKUP(s1inv[[#This Row],[Portfolio Company Name]],s11cumperf[],2,FALSE),"")="","",(IFERROR(VLOOKUP(s1inv[[#This Row],[Portfolio Company Name]],s11cumperf[],2,FALSE),"")))</f>
        <v/>
      </c>
      <c r="C107" s="694"/>
      <c r="D107" s="225"/>
      <c r="E107" s="226"/>
      <c r="F107" s="227"/>
      <c r="G107" s="228"/>
      <c r="H107" s="229"/>
      <c r="I107" s="230"/>
      <c r="J107" s="231"/>
      <c r="K107" s="232"/>
      <c r="L107" s="227"/>
      <c r="M107" s="233"/>
      <c r="N107" s="233"/>
      <c r="O107" s="234"/>
      <c r="P107" s="235" t="e">
        <f>IF(s1inv[[#This Row],[Schedule 1c Reference Number]]="",0,SUMIF(sched1c[Reference ID],s1inv[[#This Row],[Employer ID]]&amp;"-"&amp;s1inv[[#This Row],[Schedule 1c Reference Number]],sched1c[Change to Cost]))</f>
        <v>#VALUE!</v>
      </c>
      <c r="Q107" s="233"/>
      <c r="R107" s="235" t="e">
        <f>s1inv[[#This Row],[Cost at Beginning Period]]+s1inv[[#This Row],[Addition/
Deduction]]</f>
        <v>#VALUE!</v>
      </c>
      <c r="S107" s="233"/>
      <c r="T107" s="236"/>
      <c r="U107" s="233"/>
      <c r="V107" s="225"/>
      <c r="W107" s="227"/>
      <c r="X107" s="237" t="e">
        <f>s1inv[[#This Row],[Cost at End of Period]]+s1inv[[#This Row],[Unrealized Appreciation]]-ABS(s1inv[[#This Row],[(Unrealized Depreciation)]])</f>
        <v>#VALUE!</v>
      </c>
      <c r="Y107" s="238">
        <v>0</v>
      </c>
      <c r="Z107" s="238"/>
      <c r="AA107" s="239" t="str">
        <f>IFERROR((s1inv[[#This Row],[SBA Reported Value (B)]]+s1inv[[#This Row],[Cum. Cash Proceeds (D)]])/s1inv[[#This Row],[Total Cash Invested (A)]],"")</f>
        <v/>
      </c>
      <c r="AB107" s="240"/>
      <c r="AC107" s="239" t="str">
        <f>IFERROR((s1inv[[#This Row],[GAAP Reported Value (C)]]+s1inv[[#This Row],[Cum. Cash Proceeds (D)]])/s1inv[[#This Row],[Total Cash Invested (A)]],"")</f>
        <v/>
      </c>
      <c r="AD107" s="240"/>
      <c r="AE107" s="241" t="str">
        <f>IF(IFERROR(VLOOKUP(s1inv[[#This Row],[Portfolio Company Name]],s11cumperf[],4,FALSE),"")="","",(IFERROR(VLOOKUP(s1inv[[#This Row],[Portfolio Company Name]],s11cumperf[],4,FALSE),"")))</f>
        <v/>
      </c>
    </row>
    <row r="108" spans="1:31" s="242" customFormat="1" x14ac:dyDescent="0.35">
      <c r="A108" s="223" t="s">
        <v>243</v>
      </c>
      <c r="B108" s="224" t="str">
        <f>IF(IFERROR(VLOOKUP(s1inv[[#This Row],[Portfolio Company Name]],s11cumperf[],2,FALSE),"")="","",(IFERROR(VLOOKUP(s1inv[[#This Row],[Portfolio Company Name]],s11cumperf[],2,FALSE),"")))</f>
        <v/>
      </c>
      <c r="C108" s="694"/>
      <c r="D108" s="225"/>
      <c r="E108" s="226"/>
      <c r="F108" s="227"/>
      <c r="G108" s="228"/>
      <c r="H108" s="229"/>
      <c r="I108" s="230"/>
      <c r="J108" s="231"/>
      <c r="K108" s="232"/>
      <c r="L108" s="227"/>
      <c r="M108" s="233"/>
      <c r="N108" s="233"/>
      <c r="O108" s="234"/>
      <c r="P108" s="235" t="e">
        <f>IF(s1inv[[#This Row],[Schedule 1c Reference Number]]="",0,SUMIF(sched1c[Reference ID],s1inv[[#This Row],[Employer ID]]&amp;"-"&amp;s1inv[[#This Row],[Schedule 1c Reference Number]],sched1c[Change to Cost]))</f>
        <v>#VALUE!</v>
      </c>
      <c r="Q108" s="233"/>
      <c r="R108" s="235" t="e">
        <f>s1inv[[#This Row],[Cost at Beginning Period]]+s1inv[[#This Row],[Addition/
Deduction]]</f>
        <v>#VALUE!</v>
      </c>
      <c r="S108" s="233"/>
      <c r="T108" s="236"/>
      <c r="U108" s="233"/>
      <c r="V108" s="225"/>
      <c r="W108" s="227"/>
      <c r="X108" s="237" t="e">
        <f>s1inv[[#This Row],[Cost at End of Period]]+s1inv[[#This Row],[Unrealized Appreciation]]-ABS(s1inv[[#This Row],[(Unrealized Depreciation)]])</f>
        <v>#VALUE!</v>
      </c>
      <c r="Y108" s="238">
        <v>0</v>
      </c>
      <c r="Z108" s="238"/>
      <c r="AA108" s="239" t="str">
        <f>IFERROR((s1inv[[#This Row],[SBA Reported Value (B)]]+s1inv[[#This Row],[Cum. Cash Proceeds (D)]])/s1inv[[#This Row],[Total Cash Invested (A)]],"")</f>
        <v/>
      </c>
      <c r="AB108" s="240"/>
      <c r="AC108" s="239" t="str">
        <f>IFERROR((s1inv[[#This Row],[GAAP Reported Value (C)]]+s1inv[[#This Row],[Cum. Cash Proceeds (D)]])/s1inv[[#This Row],[Total Cash Invested (A)]],"")</f>
        <v/>
      </c>
      <c r="AD108" s="240"/>
      <c r="AE108" s="241" t="str">
        <f>IF(IFERROR(VLOOKUP(s1inv[[#This Row],[Portfolio Company Name]],s11cumperf[],4,FALSE),"")="","",(IFERROR(VLOOKUP(s1inv[[#This Row],[Portfolio Company Name]],s11cumperf[],4,FALSE),"")))</f>
        <v/>
      </c>
    </row>
    <row r="109" spans="1:31" s="242" customFormat="1" x14ac:dyDescent="0.35">
      <c r="A109" s="223" t="s">
        <v>243</v>
      </c>
      <c r="B109" s="224" t="str">
        <f>IF(IFERROR(VLOOKUP(s1inv[[#This Row],[Portfolio Company Name]],s11cumperf[],2,FALSE),"")="","",(IFERROR(VLOOKUP(s1inv[[#This Row],[Portfolio Company Name]],s11cumperf[],2,FALSE),"")))</f>
        <v/>
      </c>
      <c r="C109" s="694"/>
      <c r="D109" s="225"/>
      <c r="E109" s="226"/>
      <c r="F109" s="227"/>
      <c r="G109" s="228"/>
      <c r="H109" s="229"/>
      <c r="I109" s="230"/>
      <c r="J109" s="231"/>
      <c r="K109" s="232"/>
      <c r="L109" s="227"/>
      <c r="M109" s="233"/>
      <c r="N109" s="233"/>
      <c r="O109" s="234"/>
      <c r="P109" s="235" t="e">
        <f>IF(s1inv[[#This Row],[Schedule 1c Reference Number]]="",0,SUMIF(sched1c[Reference ID],s1inv[[#This Row],[Employer ID]]&amp;"-"&amp;s1inv[[#This Row],[Schedule 1c Reference Number]],sched1c[Change to Cost]))</f>
        <v>#VALUE!</v>
      </c>
      <c r="Q109" s="233"/>
      <c r="R109" s="235" t="e">
        <f>s1inv[[#This Row],[Cost at Beginning Period]]+s1inv[[#This Row],[Addition/
Deduction]]</f>
        <v>#VALUE!</v>
      </c>
      <c r="S109" s="233"/>
      <c r="T109" s="236"/>
      <c r="U109" s="233"/>
      <c r="V109" s="225"/>
      <c r="W109" s="227"/>
      <c r="X109" s="237" t="e">
        <f>s1inv[[#This Row],[Cost at End of Period]]+s1inv[[#This Row],[Unrealized Appreciation]]-ABS(s1inv[[#This Row],[(Unrealized Depreciation)]])</f>
        <v>#VALUE!</v>
      </c>
      <c r="Y109" s="238">
        <v>0</v>
      </c>
      <c r="Z109" s="238"/>
      <c r="AA109" s="239" t="str">
        <f>IFERROR((s1inv[[#This Row],[SBA Reported Value (B)]]+s1inv[[#This Row],[Cum. Cash Proceeds (D)]])/s1inv[[#This Row],[Total Cash Invested (A)]],"")</f>
        <v/>
      </c>
      <c r="AB109" s="240"/>
      <c r="AC109" s="239" t="str">
        <f>IFERROR((s1inv[[#This Row],[GAAP Reported Value (C)]]+s1inv[[#This Row],[Cum. Cash Proceeds (D)]])/s1inv[[#This Row],[Total Cash Invested (A)]],"")</f>
        <v/>
      </c>
      <c r="AD109" s="240"/>
      <c r="AE109" s="241" t="str">
        <f>IF(IFERROR(VLOOKUP(s1inv[[#This Row],[Portfolio Company Name]],s11cumperf[],4,FALSE),"")="","",(IFERROR(VLOOKUP(s1inv[[#This Row],[Portfolio Company Name]],s11cumperf[],4,FALSE),"")))</f>
        <v/>
      </c>
    </row>
    <row r="110" spans="1:31" s="242" customFormat="1" x14ac:dyDescent="0.35">
      <c r="A110" s="223" t="s">
        <v>243</v>
      </c>
      <c r="B110" s="224" t="str">
        <f>IF(IFERROR(VLOOKUP(s1inv[[#This Row],[Portfolio Company Name]],s11cumperf[],2,FALSE),"")="","",(IFERROR(VLOOKUP(s1inv[[#This Row],[Portfolio Company Name]],s11cumperf[],2,FALSE),"")))</f>
        <v/>
      </c>
      <c r="C110" s="694"/>
      <c r="D110" s="225"/>
      <c r="E110" s="226"/>
      <c r="F110" s="227"/>
      <c r="G110" s="228"/>
      <c r="H110" s="229"/>
      <c r="I110" s="230"/>
      <c r="J110" s="231"/>
      <c r="K110" s="232"/>
      <c r="L110" s="227"/>
      <c r="M110" s="233"/>
      <c r="N110" s="233"/>
      <c r="O110" s="234"/>
      <c r="P110" s="235" t="e">
        <f>IF(s1inv[[#This Row],[Schedule 1c Reference Number]]="",0,SUMIF(sched1c[Reference ID],s1inv[[#This Row],[Employer ID]]&amp;"-"&amp;s1inv[[#This Row],[Schedule 1c Reference Number]],sched1c[Change to Cost]))</f>
        <v>#VALUE!</v>
      </c>
      <c r="Q110" s="233"/>
      <c r="R110" s="235" t="e">
        <f>s1inv[[#This Row],[Cost at Beginning Period]]+s1inv[[#This Row],[Addition/
Deduction]]</f>
        <v>#VALUE!</v>
      </c>
      <c r="S110" s="233"/>
      <c r="T110" s="236"/>
      <c r="U110" s="233"/>
      <c r="V110" s="225"/>
      <c r="W110" s="227"/>
      <c r="X110" s="237" t="e">
        <f>s1inv[[#This Row],[Cost at End of Period]]+s1inv[[#This Row],[Unrealized Appreciation]]-ABS(s1inv[[#This Row],[(Unrealized Depreciation)]])</f>
        <v>#VALUE!</v>
      </c>
      <c r="Y110" s="238">
        <v>0</v>
      </c>
      <c r="Z110" s="238"/>
      <c r="AA110" s="239" t="str">
        <f>IFERROR((s1inv[[#This Row],[SBA Reported Value (B)]]+s1inv[[#This Row],[Cum. Cash Proceeds (D)]])/s1inv[[#This Row],[Total Cash Invested (A)]],"")</f>
        <v/>
      </c>
      <c r="AB110" s="240"/>
      <c r="AC110" s="239" t="str">
        <f>IFERROR((s1inv[[#This Row],[GAAP Reported Value (C)]]+s1inv[[#This Row],[Cum. Cash Proceeds (D)]])/s1inv[[#This Row],[Total Cash Invested (A)]],"")</f>
        <v/>
      </c>
      <c r="AD110" s="240"/>
      <c r="AE110" s="241" t="str">
        <f>IF(IFERROR(VLOOKUP(s1inv[[#This Row],[Portfolio Company Name]],s11cumperf[],4,FALSE),"")="","",(IFERROR(VLOOKUP(s1inv[[#This Row],[Portfolio Company Name]],s11cumperf[],4,FALSE),"")))</f>
        <v/>
      </c>
    </row>
    <row r="111" spans="1:31" s="242" customFormat="1" x14ac:dyDescent="0.35">
      <c r="A111" s="223" t="s">
        <v>243</v>
      </c>
      <c r="B111" s="224" t="str">
        <f>IF(IFERROR(VLOOKUP(s1inv[[#This Row],[Portfolio Company Name]],s11cumperf[],2,FALSE),"")="","",(IFERROR(VLOOKUP(s1inv[[#This Row],[Portfolio Company Name]],s11cumperf[],2,FALSE),"")))</f>
        <v/>
      </c>
      <c r="C111" s="694"/>
      <c r="D111" s="225"/>
      <c r="E111" s="226"/>
      <c r="F111" s="227"/>
      <c r="G111" s="228"/>
      <c r="H111" s="229"/>
      <c r="I111" s="230"/>
      <c r="J111" s="231"/>
      <c r="K111" s="232"/>
      <c r="L111" s="227"/>
      <c r="M111" s="233"/>
      <c r="N111" s="233"/>
      <c r="O111" s="234"/>
      <c r="P111" s="235" t="e">
        <f>IF(s1inv[[#This Row],[Schedule 1c Reference Number]]="",0,SUMIF(sched1c[Reference ID],s1inv[[#This Row],[Employer ID]]&amp;"-"&amp;s1inv[[#This Row],[Schedule 1c Reference Number]],sched1c[Change to Cost]))</f>
        <v>#VALUE!</v>
      </c>
      <c r="Q111" s="233"/>
      <c r="R111" s="235" t="e">
        <f>s1inv[[#This Row],[Cost at Beginning Period]]+s1inv[[#This Row],[Addition/
Deduction]]</f>
        <v>#VALUE!</v>
      </c>
      <c r="S111" s="233"/>
      <c r="T111" s="236"/>
      <c r="U111" s="233"/>
      <c r="V111" s="225"/>
      <c r="W111" s="227"/>
      <c r="X111" s="237" t="e">
        <f>s1inv[[#This Row],[Cost at End of Period]]+s1inv[[#This Row],[Unrealized Appreciation]]-ABS(s1inv[[#This Row],[(Unrealized Depreciation)]])</f>
        <v>#VALUE!</v>
      </c>
      <c r="Y111" s="238">
        <v>0</v>
      </c>
      <c r="Z111" s="238"/>
      <c r="AA111" s="239" t="str">
        <f>IFERROR((s1inv[[#This Row],[SBA Reported Value (B)]]+s1inv[[#This Row],[Cum. Cash Proceeds (D)]])/s1inv[[#This Row],[Total Cash Invested (A)]],"")</f>
        <v/>
      </c>
      <c r="AB111" s="240"/>
      <c r="AC111" s="239" t="str">
        <f>IFERROR((s1inv[[#This Row],[GAAP Reported Value (C)]]+s1inv[[#This Row],[Cum. Cash Proceeds (D)]])/s1inv[[#This Row],[Total Cash Invested (A)]],"")</f>
        <v/>
      </c>
      <c r="AD111" s="240"/>
      <c r="AE111" s="241" t="str">
        <f>IF(IFERROR(VLOOKUP(s1inv[[#This Row],[Portfolio Company Name]],s11cumperf[],4,FALSE),"")="","",(IFERROR(VLOOKUP(s1inv[[#This Row],[Portfolio Company Name]],s11cumperf[],4,FALSE),"")))</f>
        <v/>
      </c>
    </row>
    <row r="112" spans="1:31" s="242" customFormat="1" x14ac:dyDescent="0.35">
      <c r="A112" s="223" t="s">
        <v>243</v>
      </c>
      <c r="B112" s="224" t="str">
        <f>IF(IFERROR(VLOOKUP(s1inv[[#This Row],[Portfolio Company Name]],s11cumperf[],2,FALSE),"")="","",(IFERROR(VLOOKUP(s1inv[[#This Row],[Portfolio Company Name]],s11cumperf[],2,FALSE),"")))</f>
        <v/>
      </c>
      <c r="C112" s="694"/>
      <c r="D112" s="225"/>
      <c r="E112" s="226"/>
      <c r="F112" s="227"/>
      <c r="G112" s="228"/>
      <c r="H112" s="229"/>
      <c r="I112" s="230"/>
      <c r="J112" s="231"/>
      <c r="K112" s="232"/>
      <c r="L112" s="227"/>
      <c r="M112" s="233"/>
      <c r="N112" s="233"/>
      <c r="O112" s="234"/>
      <c r="P112" s="235" t="e">
        <f>IF(s1inv[[#This Row],[Schedule 1c Reference Number]]="",0,SUMIF(sched1c[Reference ID],s1inv[[#This Row],[Employer ID]]&amp;"-"&amp;s1inv[[#This Row],[Schedule 1c Reference Number]],sched1c[Change to Cost]))</f>
        <v>#VALUE!</v>
      </c>
      <c r="Q112" s="233"/>
      <c r="R112" s="235" t="e">
        <f>s1inv[[#This Row],[Cost at Beginning Period]]+s1inv[[#This Row],[Addition/
Deduction]]</f>
        <v>#VALUE!</v>
      </c>
      <c r="S112" s="233"/>
      <c r="T112" s="236"/>
      <c r="U112" s="233"/>
      <c r="V112" s="225"/>
      <c r="W112" s="227"/>
      <c r="X112" s="237" t="e">
        <f>s1inv[[#This Row],[Cost at End of Period]]+s1inv[[#This Row],[Unrealized Appreciation]]-ABS(s1inv[[#This Row],[(Unrealized Depreciation)]])</f>
        <v>#VALUE!</v>
      </c>
      <c r="Y112" s="238">
        <v>0</v>
      </c>
      <c r="Z112" s="238"/>
      <c r="AA112" s="239" t="str">
        <f>IFERROR((s1inv[[#This Row],[SBA Reported Value (B)]]+s1inv[[#This Row],[Cum. Cash Proceeds (D)]])/s1inv[[#This Row],[Total Cash Invested (A)]],"")</f>
        <v/>
      </c>
      <c r="AB112" s="240"/>
      <c r="AC112" s="239" t="str">
        <f>IFERROR((s1inv[[#This Row],[GAAP Reported Value (C)]]+s1inv[[#This Row],[Cum. Cash Proceeds (D)]])/s1inv[[#This Row],[Total Cash Invested (A)]],"")</f>
        <v/>
      </c>
      <c r="AD112" s="240"/>
      <c r="AE112" s="241" t="str">
        <f>IF(IFERROR(VLOOKUP(s1inv[[#This Row],[Portfolio Company Name]],s11cumperf[],4,FALSE),"")="","",(IFERROR(VLOOKUP(s1inv[[#This Row],[Portfolio Company Name]],s11cumperf[],4,FALSE),"")))</f>
        <v/>
      </c>
    </row>
    <row r="113" spans="1:31" s="242" customFormat="1" x14ac:dyDescent="0.35">
      <c r="A113" s="223" t="s">
        <v>243</v>
      </c>
      <c r="B113" s="224" t="str">
        <f>IF(IFERROR(VLOOKUP(s1inv[[#This Row],[Portfolio Company Name]],s11cumperf[],2,FALSE),"")="","",(IFERROR(VLOOKUP(s1inv[[#This Row],[Portfolio Company Name]],s11cumperf[],2,FALSE),"")))</f>
        <v/>
      </c>
      <c r="C113" s="694"/>
      <c r="D113" s="225"/>
      <c r="E113" s="226"/>
      <c r="F113" s="227"/>
      <c r="G113" s="228"/>
      <c r="H113" s="229"/>
      <c r="I113" s="230"/>
      <c r="J113" s="231"/>
      <c r="K113" s="232"/>
      <c r="L113" s="227"/>
      <c r="M113" s="233"/>
      <c r="N113" s="233"/>
      <c r="O113" s="234"/>
      <c r="P113" s="235" t="e">
        <f>IF(s1inv[[#This Row],[Schedule 1c Reference Number]]="",0,SUMIF(sched1c[Reference ID],s1inv[[#This Row],[Employer ID]]&amp;"-"&amp;s1inv[[#This Row],[Schedule 1c Reference Number]],sched1c[Change to Cost]))</f>
        <v>#VALUE!</v>
      </c>
      <c r="Q113" s="233"/>
      <c r="R113" s="235" t="e">
        <f>s1inv[[#This Row],[Cost at Beginning Period]]+s1inv[[#This Row],[Addition/
Deduction]]</f>
        <v>#VALUE!</v>
      </c>
      <c r="S113" s="233"/>
      <c r="T113" s="236"/>
      <c r="U113" s="233"/>
      <c r="V113" s="225"/>
      <c r="W113" s="227"/>
      <c r="X113" s="237" t="e">
        <f>s1inv[[#This Row],[Cost at End of Period]]+s1inv[[#This Row],[Unrealized Appreciation]]-ABS(s1inv[[#This Row],[(Unrealized Depreciation)]])</f>
        <v>#VALUE!</v>
      </c>
      <c r="Y113" s="238">
        <v>0</v>
      </c>
      <c r="Z113" s="238"/>
      <c r="AA113" s="239" t="str">
        <f>IFERROR((s1inv[[#This Row],[SBA Reported Value (B)]]+s1inv[[#This Row],[Cum. Cash Proceeds (D)]])/s1inv[[#This Row],[Total Cash Invested (A)]],"")</f>
        <v/>
      </c>
      <c r="AB113" s="240"/>
      <c r="AC113" s="239" t="str">
        <f>IFERROR((s1inv[[#This Row],[GAAP Reported Value (C)]]+s1inv[[#This Row],[Cum. Cash Proceeds (D)]])/s1inv[[#This Row],[Total Cash Invested (A)]],"")</f>
        <v/>
      </c>
      <c r="AD113" s="240"/>
      <c r="AE113" s="241" t="str">
        <f>IF(IFERROR(VLOOKUP(s1inv[[#This Row],[Portfolio Company Name]],s11cumperf[],4,FALSE),"")="","",(IFERROR(VLOOKUP(s1inv[[#This Row],[Portfolio Company Name]],s11cumperf[],4,FALSE),"")))</f>
        <v/>
      </c>
    </row>
    <row r="114" spans="1:31" s="242" customFormat="1" x14ac:dyDescent="0.35">
      <c r="A114" s="223" t="s">
        <v>243</v>
      </c>
      <c r="B114" s="224" t="str">
        <f>IF(IFERROR(VLOOKUP(s1inv[[#This Row],[Portfolio Company Name]],s11cumperf[],2,FALSE),"")="","",(IFERROR(VLOOKUP(s1inv[[#This Row],[Portfolio Company Name]],s11cumperf[],2,FALSE),"")))</f>
        <v/>
      </c>
      <c r="C114" s="694"/>
      <c r="D114" s="225"/>
      <c r="E114" s="226"/>
      <c r="F114" s="227"/>
      <c r="G114" s="228"/>
      <c r="H114" s="229"/>
      <c r="I114" s="230"/>
      <c r="J114" s="231"/>
      <c r="K114" s="232"/>
      <c r="L114" s="227"/>
      <c r="M114" s="233"/>
      <c r="N114" s="233"/>
      <c r="O114" s="234"/>
      <c r="P114" s="235" t="e">
        <f>IF(s1inv[[#This Row],[Schedule 1c Reference Number]]="",0,SUMIF(sched1c[Reference ID],s1inv[[#This Row],[Employer ID]]&amp;"-"&amp;s1inv[[#This Row],[Schedule 1c Reference Number]],sched1c[Change to Cost]))</f>
        <v>#VALUE!</v>
      </c>
      <c r="Q114" s="233"/>
      <c r="R114" s="235" t="e">
        <f>s1inv[[#This Row],[Cost at Beginning Period]]+s1inv[[#This Row],[Addition/
Deduction]]</f>
        <v>#VALUE!</v>
      </c>
      <c r="S114" s="233"/>
      <c r="T114" s="236"/>
      <c r="U114" s="233"/>
      <c r="V114" s="225"/>
      <c r="W114" s="227"/>
      <c r="X114" s="237" t="e">
        <f>s1inv[[#This Row],[Cost at End of Period]]+s1inv[[#This Row],[Unrealized Appreciation]]-ABS(s1inv[[#This Row],[(Unrealized Depreciation)]])</f>
        <v>#VALUE!</v>
      </c>
      <c r="Y114" s="238">
        <v>0</v>
      </c>
      <c r="Z114" s="238"/>
      <c r="AA114" s="239" t="str">
        <f>IFERROR((s1inv[[#This Row],[SBA Reported Value (B)]]+s1inv[[#This Row],[Cum. Cash Proceeds (D)]])/s1inv[[#This Row],[Total Cash Invested (A)]],"")</f>
        <v/>
      </c>
      <c r="AB114" s="240"/>
      <c r="AC114" s="239" t="str">
        <f>IFERROR((s1inv[[#This Row],[GAAP Reported Value (C)]]+s1inv[[#This Row],[Cum. Cash Proceeds (D)]])/s1inv[[#This Row],[Total Cash Invested (A)]],"")</f>
        <v/>
      </c>
      <c r="AD114" s="240"/>
      <c r="AE114" s="241" t="str">
        <f>IF(IFERROR(VLOOKUP(s1inv[[#This Row],[Portfolio Company Name]],s11cumperf[],4,FALSE),"")="","",(IFERROR(VLOOKUP(s1inv[[#This Row],[Portfolio Company Name]],s11cumperf[],4,FALSE),"")))</f>
        <v/>
      </c>
    </row>
    <row r="115" spans="1:31" s="242" customFormat="1" x14ac:dyDescent="0.35">
      <c r="A115" s="223" t="s">
        <v>243</v>
      </c>
      <c r="B115" s="224" t="str">
        <f>IF(IFERROR(VLOOKUP(s1inv[[#This Row],[Portfolio Company Name]],s11cumperf[],2,FALSE),"")="","",(IFERROR(VLOOKUP(s1inv[[#This Row],[Portfolio Company Name]],s11cumperf[],2,FALSE),"")))</f>
        <v/>
      </c>
      <c r="C115" s="694"/>
      <c r="D115" s="225"/>
      <c r="E115" s="226"/>
      <c r="F115" s="227"/>
      <c r="G115" s="228"/>
      <c r="H115" s="229"/>
      <c r="I115" s="230"/>
      <c r="J115" s="231"/>
      <c r="K115" s="232"/>
      <c r="L115" s="227"/>
      <c r="M115" s="233"/>
      <c r="N115" s="233"/>
      <c r="O115" s="234"/>
      <c r="P115" s="235" t="e">
        <f>IF(s1inv[[#This Row],[Schedule 1c Reference Number]]="",0,SUMIF(sched1c[Reference ID],s1inv[[#This Row],[Employer ID]]&amp;"-"&amp;s1inv[[#This Row],[Schedule 1c Reference Number]],sched1c[Change to Cost]))</f>
        <v>#VALUE!</v>
      </c>
      <c r="Q115" s="233"/>
      <c r="R115" s="235" t="e">
        <f>s1inv[[#This Row],[Cost at Beginning Period]]+s1inv[[#This Row],[Addition/
Deduction]]</f>
        <v>#VALUE!</v>
      </c>
      <c r="S115" s="233"/>
      <c r="T115" s="236"/>
      <c r="U115" s="233"/>
      <c r="V115" s="225"/>
      <c r="W115" s="227"/>
      <c r="X115" s="237" t="e">
        <f>s1inv[[#This Row],[Cost at End of Period]]+s1inv[[#This Row],[Unrealized Appreciation]]-ABS(s1inv[[#This Row],[(Unrealized Depreciation)]])</f>
        <v>#VALUE!</v>
      </c>
      <c r="Y115" s="238">
        <v>0</v>
      </c>
      <c r="Z115" s="238"/>
      <c r="AA115" s="239" t="str">
        <f>IFERROR((s1inv[[#This Row],[SBA Reported Value (B)]]+s1inv[[#This Row],[Cum. Cash Proceeds (D)]])/s1inv[[#This Row],[Total Cash Invested (A)]],"")</f>
        <v/>
      </c>
      <c r="AB115" s="240"/>
      <c r="AC115" s="239" t="str">
        <f>IFERROR((s1inv[[#This Row],[GAAP Reported Value (C)]]+s1inv[[#This Row],[Cum. Cash Proceeds (D)]])/s1inv[[#This Row],[Total Cash Invested (A)]],"")</f>
        <v/>
      </c>
      <c r="AD115" s="240"/>
      <c r="AE115" s="241" t="str">
        <f>IF(IFERROR(VLOOKUP(s1inv[[#This Row],[Portfolio Company Name]],s11cumperf[],4,FALSE),"")="","",(IFERROR(VLOOKUP(s1inv[[#This Row],[Portfolio Company Name]],s11cumperf[],4,FALSE),"")))</f>
        <v/>
      </c>
    </row>
    <row r="116" spans="1:31" s="242" customFormat="1" x14ac:dyDescent="0.35">
      <c r="A116" s="223" t="s">
        <v>243</v>
      </c>
      <c r="B116" s="224" t="str">
        <f>IF(IFERROR(VLOOKUP(s1inv[[#This Row],[Portfolio Company Name]],s11cumperf[],2,FALSE),"")="","",(IFERROR(VLOOKUP(s1inv[[#This Row],[Portfolio Company Name]],s11cumperf[],2,FALSE),"")))</f>
        <v/>
      </c>
      <c r="C116" s="694"/>
      <c r="D116" s="225"/>
      <c r="E116" s="226"/>
      <c r="F116" s="227"/>
      <c r="G116" s="228"/>
      <c r="H116" s="229"/>
      <c r="I116" s="230"/>
      <c r="J116" s="231"/>
      <c r="K116" s="232"/>
      <c r="L116" s="227"/>
      <c r="M116" s="233"/>
      <c r="N116" s="233"/>
      <c r="O116" s="234"/>
      <c r="P116" s="235" t="e">
        <f>IF(s1inv[[#This Row],[Schedule 1c Reference Number]]="",0,SUMIF(sched1c[Reference ID],s1inv[[#This Row],[Employer ID]]&amp;"-"&amp;s1inv[[#This Row],[Schedule 1c Reference Number]],sched1c[Change to Cost]))</f>
        <v>#VALUE!</v>
      </c>
      <c r="Q116" s="233"/>
      <c r="R116" s="235" t="e">
        <f>s1inv[[#This Row],[Cost at Beginning Period]]+s1inv[[#This Row],[Addition/
Deduction]]</f>
        <v>#VALUE!</v>
      </c>
      <c r="S116" s="233"/>
      <c r="T116" s="236"/>
      <c r="U116" s="233"/>
      <c r="V116" s="225"/>
      <c r="W116" s="227"/>
      <c r="X116" s="237" t="e">
        <f>s1inv[[#This Row],[Cost at End of Period]]+s1inv[[#This Row],[Unrealized Appreciation]]-ABS(s1inv[[#This Row],[(Unrealized Depreciation)]])</f>
        <v>#VALUE!</v>
      </c>
      <c r="Y116" s="238">
        <v>0</v>
      </c>
      <c r="Z116" s="238"/>
      <c r="AA116" s="239" t="str">
        <f>IFERROR((s1inv[[#This Row],[SBA Reported Value (B)]]+s1inv[[#This Row],[Cum. Cash Proceeds (D)]])/s1inv[[#This Row],[Total Cash Invested (A)]],"")</f>
        <v/>
      </c>
      <c r="AB116" s="240"/>
      <c r="AC116" s="239" t="str">
        <f>IFERROR((s1inv[[#This Row],[GAAP Reported Value (C)]]+s1inv[[#This Row],[Cum. Cash Proceeds (D)]])/s1inv[[#This Row],[Total Cash Invested (A)]],"")</f>
        <v/>
      </c>
      <c r="AD116" s="240"/>
      <c r="AE116" s="241" t="str">
        <f>IF(IFERROR(VLOOKUP(s1inv[[#This Row],[Portfolio Company Name]],s11cumperf[],4,FALSE),"")="","",(IFERROR(VLOOKUP(s1inv[[#This Row],[Portfolio Company Name]],s11cumperf[],4,FALSE),"")))</f>
        <v/>
      </c>
    </row>
    <row r="117" spans="1:31" s="242" customFormat="1" x14ac:dyDescent="0.35">
      <c r="A117" s="223" t="s">
        <v>243</v>
      </c>
      <c r="B117" s="224" t="str">
        <f>IF(IFERROR(VLOOKUP(s1inv[[#This Row],[Portfolio Company Name]],s11cumperf[],2,FALSE),"")="","",(IFERROR(VLOOKUP(s1inv[[#This Row],[Portfolio Company Name]],s11cumperf[],2,FALSE),"")))</f>
        <v/>
      </c>
      <c r="C117" s="694"/>
      <c r="D117" s="225"/>
      <c r="E117" s="226"/>
      <c r="F117" s="227"/>
      <c r="G117" s="228"/>
      <c r="H117" s="229"/>
      <c r="I117" s="230"/>
      <c r="J117" s="231"/>
      <c r="K117" s="232"/>
      <c r="L117" s="227"/>
      <c r="M117" s="233"/>
      <c r="N117" s="233"/>
      <c r="O117" s="234"/>
      <c r="P117" s="235" t="e">
        <f>IF(s1inv[[#This Row],[Schedule 1c Reference Number]]="",0,SUMIF(sched1c[Reference ID],s1inv[[#This Row],[Employer ID]]&amp;"-"&amp;s1inv[[#This Row],[Schedule 1c Reference Number]],sched1c[Change to Cost]))</f>
        <v>#VALUE!</v>
      </c>
      <c r="Q117" s="233"/>
      <c r="R117" s="235" t="e">
        <f>s1inv[[#This Row],[Cost at Beginning Period]]+s1inv[[#This Row],[Addition/
Deduction]]</f>
        <v>#VALUE!</v>
      </c>
      <c r="S117" s="233"/>
      <c r="T117" s="236"/>
      <c r="U117" s="233"/>
      <c r="V117" s="225"/>
      <c r="W117" s="227"/>
      <c r="X117" s="237" t="e">
        <f>s1inv[[#This Row],[Cost at End of Period]]+s1inv[[#This Row],[Unrealized Appreciation]]-ABS(s1inv[[#This Row],[(Unrealized Depreciation)]])</f>
        <v>#VALUE!</v>
      </c>
      <c r="Y117" s="238">
        <v>0</v>
      </c>
      <c r="Z117" s="238"/>
      <c r="AA117" s="239" t="str">
        <f>IFERROR((s1inv[[#This Row],[SBA Reported Value (B)]]+s1inv[[#This Row],[Cum. Cash Proceeds (D)]])/s1inv[[#This Row],[Total Cash Invested (A)]],"")</f>
        <v/>
      </c>
      <c r="AB117" s="240"/>
      <c r="AC117" s="239" t="str">
        <f>IFERROR((s1inv[[#This Row],[GAAP Reported Value (C)]]+s1inv[[#This Row],[Cum. Cash Proceeds (D)]])/s1inv[[#This Row],[Total Cash Invested (A)]],"")</f>
        <v/>
      </c>
      <c r="AD117" s="240"/>
      <c r="AE117" s="241" t="str">
        <f>IF(IFERROR(VLOOKUP(s1inv[[#This Row],[Portfolio Company Name]],s11cumperf[],4,FALSE),"")="","",(IFERROR(VLOOKUP(s1inv[[#This Row],[Portfolio Company Name]],s11cumperf[],4,FALSE),"")))</f>
        <v/>
      </c>
    </row>
    <row r="118" spans="1:31" s="242" customFormat="1" x14ac:dyDescent="0.35">
      <c r="A118" s="223" t="s">
        <v>243</v>
      </c>
      <c r="B118" s="224" t="str">
        <f>IF(IFERROR(VLOOKUP(s1inv[[#This Row],[Portfolio Company Name]],s11cumperf[],2,FALSE),"")="","",(IFERROR(VLOOKUP(s1inv[[#This Row],[Portfolio Company Name]],s11cumperf[],2,FALSE),"")))</f>
        <v/>
      </c>
      <c r="C118" s="694"/>
      <c r="D118" s="225"/>
      <c r="E118" s="226"/>
      <c r="F118" s="227"/>
      <c r="G118" s="228"/>
      <c r="H118" s="229"/>
      <c r="I118" s="230"/>
      <c r="J118" s="231"/>
      <c r="K118" s="232"/>
      <c r="L118" s="227"/>
      <c r="M118" s="233"/>
      <c r="N118" s="233"/>
      <c r="O118" s="234"/>
      <c r="P118" s="235" t="e">
        <f>IF(s1inv[[#This Row],[Schedule 1c Reference Number]]="",0,SUMIF(sched1c[Reference ID],s1inv[[#This Row],[Employer ID]]&amp;"-"&amp;s1inv[[#This Row],[Schedule 1c Reference Number]],sched1c[Change to Cost]))</f>
        <v>#VALUE!</v>
      </c>
      <c r="Q118" s="233"/>
      <c r="R118" s="235" t="e">
        <f>s1inv[[#This Row],[Cost at Beginning Period]]+s1inv[[#This Row],[Addition/
Deduction]]</f>
        <v>#VALUE!</v>
      </c>
      <c r="S118" s="233"/>
      <c r="T118" s="236"/>
      <c r="U118" s="233"/>
      <c r="V118" s="225"/>
      <c r="W118" s="227"/>
      <c r="X118" s="237" t="e">
        <f>s1inv[[#This Row],[Cost at End of Period]]+s1inv[[#This Row],[Unrealized Appreciation]]-ABS(s1inv[[#This Row],[(Unrealized Depreciation)]])</f>
        <v>#VALUE!</v>
      </c>
      <c r="Y118" s="238">
        <v>0</v>
      </c>
      <c r="Z118" s="238"/>
      <c r="AA118" s="239" t="str">
        <f>IFERROR((s1inv[[#This Row],[SBA Reported Value (B)]]+s1inv[[#This Row],[Cum. Cash Proceeds (D)]])/s1inv[[#This Row],[Total Cash Invested (A)]],"")</f>
        <v/>
      </c>
      <c r="AB118" s="240"/>
      <c r="AC118" s="239" t="str">
        <f>IFERROR((s1inv[[#This Row],[GAAP Reported Value (C)]]+s1inv[[#This Row],[Cum. Cash Proceeds (D)]])/s1inv[[#This Row],[Total Cash Invested (A)]],"")</f>
        <v/>
      </c>
      <c r="AD118" s="240"/>
      <c r="AE118" s="241" t="str">
        <f>IF(IFERROR(VLOOKUP(s1inv[[#This Row],[Portfolio Company Name]],s11cumperf[],4,FALSE),"")="","",(IFERROR(VLOOKUP(s1inv[[#This Row],[Portfolio Company Name]],s11cumperf[],4,FALSE),"")))</f>
        <v/>
      </c>
    </row>
    <row r="119" spans="1:31" s="242" customFormat="1" x14ac:dyDescent="0.35">
      <c r="A119" s="223" t="s">
        <v>243</v>
      </c>
      <c r="B119" s="224" t="str">
        <f>IF(IFERROR(VLOOKUP(s1inv[[#This Row],[Portfolio Company Name]],s11cumperf[],2,FALSE),"")="","",(IFERROR(VLOOKUP(s1inv[[#This Row],[Portfolio Company Name]],s11cumperf[],2,FALSE),"")))</f>
        <v/>
      </c>
      <c r="C119" s="694"/>
      <c r="D119" s="225"/>
      <c r="E119" s="226"/>
      <c r="F119" s="227"/>
      <c r="G119" s="228"/>
      <c r="H119" s="229"/>
      <c r="I119" s="230"/>
      <c r="J119" s="231"/>
      <c r="K119" s="232"/>
      <c r="L119" s="227"/>
      <c r="M119" s="233"/>
      <c r="N119" s="233"/>
      <c r="O119" s="234"/>
      <c r="P119" s="235" t="e">
        <f>IF(s1inv[[#This Row],[Schedule 1c Reference Number]]="",0,SUMIF(sched1c[Reference ID],s1inv[[#This Row],[Employer ID]]&amp;"-"&amp;s1inv[[#This Row],[Schedule 1c Reference Number]],sched1c[Change to Cost]))</f>
        <v>#VALUE!</v>
      </c>
      <c r="Q119" s="233"/>
      <c r="R119" s="235" t="e">
        <f>s1inv[[#This Row],[Cost at Beginning Period]]+s1inv[[#This Row],[Addition/
Deduction]]</f>
        <v>#VALUE!</v>
      </c>
      <c r="S119" s="233"/>
      <c r="T119" s="236"/>
      <c r="U119" s="233"/>
      <c r="V119" s="225"/>
      <c r="W119" s="227"/>
      <c r="X119" s="237" t="e">
        <f>s1inv[[#This Row],[Cost at End of Period]]+s1inv[[#This Row],[Unrealized Appreciation]]-ABS(s1inv[[#This Row],[(Unrealized Depreciation)]])</f>
        <v>#VALUE!</v>
      </c>
      <c r="Y119" s="238">
        <v>0</v>
      </c>
      <c r="Z119" s="238"/>
      <c r="AA119" s="239" t="str">
        <f>IFERROR((s1inv[[#This Row],[SBA Reported Value (B)]]+s1inv[[#This Row],[Cum. Cash Proceeds (D)]])/s1inv[[#This Row],[Total Cash Invested (A)]],"")</f>
        <v/>
      </c>
      <c r="AB119" s="240"/>
      <c r="AC119" s="239" t="str">
        <f>IFERROR((s1inv[[#This Row],[GAAP Reported Value (C)]]+s1inv[[#This Row],[Cum. Cash Proceeds (D)]])/s1inv[[#This Row],[Total Cash Invested (A)]],"")</f>
        <v/>
      </c>
      <c r="AD119" s="240"/>
      <c r="AE119" s="241" t="str">
        <f>IF(IFERROR(VLOOKUP(s1inv[[#This Row],[Portfolio Company Name]],s11cumperf[],4,FALSE),"")="","",(IFERROR(VLOOKUP(s1inv[[#This Row],[Portfolio Company Name]],s11cumperf[],4,FALSE),"")))</f>
        <v/>
      </c>
    </row>
    <row r="120" spans="1:31" s="242" customFormat="1" x14ac:dyDescent="0.35">
      <c r="A120" s="223" t="s">
        <v>243</v>
      </c>
      <c r="B120" s="224" t="str">
        <f>IF(IFERROR(VLOOKUP(s1inv[[#This Row],[Portfolio Company Name]],s11cumperf[],2,FALSE),"")="","",(IFERROR(VLOOKUP(s1inv[[#This Row],[Portfolio Company Name]],s11cumperf[],2,FALSE),"")))</f>
        <v/>
      </c>
      <c r="C120" s="694"/>
      <c r="D120" s="225"/>
      <c r="E120" s="226"/>
      <c r="F120" s="227"/>
      <c r="G120" s="228"/>
      <c r="H120" s="229"/>
      <c r="I120" s="230"/>
      <c r="J120" s="231"/>
      <c r="K120" s="232"/>
      <c r="L120" s="227"/>
      <c r="M120" s="233"/>
      <c r="N120" s="238"/>
      <c r="O120" s="234"/>
      <c r="P120" s="235" t="e">
        <f>IF(s1inv[[#This Row],[Schedule 1c Reference Number]]="",0,SUMIF(sched1c[Reference ID],s1inv[[#This Row],[Employer ID]]&amp;"-"&amp;s1inv[[#This Row],[Schedule 1c Reference Number]],sched1c[Change to Cost]))</f>
        <v>#VALUE!</v>
      </c>
      <c r="Q120" s="233"/>
      <c r="R120" s="235" t="e">
        <f>s1inv[[#This Row],[Cost at Beginning Period]]+s1inv[[#This Row],[Addition/
Deduction]]</f>
        <v>#VALUE!</v>
      </c>
      <c r="S120" s="233"/>
      <c r="T120" s="236"/>
      <c r="U120" s="233"/>
      <c r="V120" s="225"/>
      <c r="W120" s="227"/>
      <c r="X120" s="237" t="e">
        <f>s1inv[[#This Row],[Cost at End of Period]]+s1inv[[#This Row],[Unrealized Appreciation]]-ABS(s1inv[[#This Row],[(Unrealized Depreciation)]])</f>
        <v>#VALUE!</v>
      </c>
      <c r="Y120" s="238">
        <v>0</v>
      </c>
      <c r="Z120" s="238"/>
      <c r="AA120" s="239" t="str">
        <f>IFERROR((s1inv[[#This Row],[SBA Reported Value (B)]]+s1inv[[#This Row],[Cum. Cash Proceeds (D)]])/s1inv[[#This Row],[Total Cash Invested (A)]],"")</f>
        <v/>
      </c>
      <c r="AB120" s="240"/>
      <c r="AC120" s="239" t="str">
        <f>IFERROR((s1inv[[#This Row],[GAAP Reported Value (C)]]+s1inv[[#This Row],[Cum. Cash Proceeds (D)]])/s1inv[[#This Row],[Total Cash Invested (A)]],"")</f>
        <v/>
      </c>
      <c r="AD120" s="240"/>
      <c r="AE120" s="241" t="str">
        <f>IF(IFERROR(VLOOKUP(s1inv[[#This Row],[Portfolio Company Name]],s11cumperf[],4,FALSE),"")="","",(IFERROR(VLOOKUP(s1inv[[#This Row],[Portfolio Company Name]],s11cumperf[],4,FALSE),"")))</f>
        <v/>
      </c>
    </row>
    <row r="121" spans="1:31" s="242" customFormat="1" x14ac:dyDescent="0.35">
      <c r="A121" s="223" t="s">
        <v>243</v>
      </c>
      <c r="B121" s="224" t="str">
        <f>IF(IFERROR(VLOOKUP(s1inv[[#This Row],[Portfolio Company Name]],s11cumperf[],2,FALSE),"")="","",(IFERROR(VLOOKUP(s1inv[[#This Row],[Portfolio Company Name]],s11cumperf[],2,FALSE),"")))</f>
        <v/>
      </c>
      <c r="C121" s="694"/>
      <c r="D121" s="225"/>
      <c r="E121" s="226"/>
      <c r="F121" s="227"/>
      <c r="G121" s="228"/>
      <c r="H121" s="229"/>
      <c r="I121" s="230"/>
      <c r="J121" s="231"/>
      <c r="K121" s="232"/>
      <c r="L121" s="227"/>
      <c r="M121" s="233"/>
      <c r="N121" s="238"/>
      <c r="O121" s="234"/>
      <c r="P121" s="235" t="e">
        <f>IF(s1inv[[#This Row],[Schedule 1c Reference Number]]="",0,SUMIF(sched1c[Reference ID],s1inv[[#This Row],[Employer ID]]&amp;"-"&amp;s1inv[[#This Row],[Schedule 1c Reference Number]],sched1c[Change to Cost]))</f>
        <v>#VALUE!</v>
      </c>
      <c r="Q121" s="233"/>
      <c r="R121" s="235" t="e">
        <f>s1inv[[#This Row],[Cost at Beginning Period]]+s1inv[[#This Row],[Addition/
Deduction]]</f>
        <v>#VALUE!</v>
      </c>
      <c r="S121" s="233"/>
      <c r="T121" s="236"/>
      <c r="U121" s="233"/>
      <c r="V121" s="225"/>
      <c r="W121" s="227"/>
      <c r="X121" s="237" t="e">
        <f>s1inv[[#This Row],[Cost at End of Period]]+s1inv[[#This Row],[Unrealized Appreciation]]-ABS(s1inv[[#This Row],[(Unrealized Depreciation)]])</f>
        <v>#VALUE!</v>
      </c>
      <c r="Y121" s="238">
        <v>0</v>
      </c>
      <c r="Z121" s="238"/>
      <c r="AA121" s="239" t="str">
        <f>IFERROR((s1inv[[#This Row],[SBA Reported Value (B)]]+s1inv[[#This Row],[Cum. Cash Proceeds (D)]])/s1inv[[#This Row],[Total Cash Invested (A)]],"")</f>
        <v/>
      </c>
      <c r="AB121" s="240"/>
      <c r="AC121" s="239" t="str">
        <f>IFERROR((s1inv[[#This Row],[GAAP Reported Value (C)]]+s1inv[[#This Row],[Cum. Cash Proceeds (D)]])/s1inv[[#This Row],[Total Cash Invested (A)]],"")</f>
        <v/>
      </c>
      <c r="AD121" s="240"/>
      <c r="AE121" s="241" t="str">
        <f>IF(IFERROR(VLOOKUP(s1inv[[#This Row],[Portfolio Company Name]],s11cumperf[],4,FALSE),"")="","",(IFERROR(VLOOKUP(s1inv[[#This Row],[Portfolio Company Name]],s11cumperf[],4,FALSE),"")))</f>
        <v/>
      </c>
    </row>
    <row r="122" spans="1:31" s="242" customFormat="1" x14ac:dyDescent="0.35">
      <c r="A122" s="223" t="s">
        <v>243</v>
      </c>
      <c r="B122" s="224" t="str">
        <f>IF(IFERROR(VLOOKUP(s1inv[[#This Row],[Portfolio Company Name]],s11cumperf[],2,FALSE),"")="","",(IFERROR(VLOOKUP(s1inv[[#This Row],[Portfolio Company Name]],s11cumperf[],2,FALSE),"")))</f>
        <v/>
      </c>
      <c r="C122" s="694"/>
      <c r="D122" s="225"/>
      <c r="E122" s="226"/>
      <c r="F122" s="227"/>
      <c r="G122" s="228"/>
      <c r="H122" s="229"/>
      <c r="I122" s="230"/>
      <c r="J122" s="231"/>
      <c r="K122" s="232"/>
      <c r="L122" s="227"/>
      <c r="M122" s="233"/>
      <c r="N122" s="238"/>
      <c r="O122" s="234"/>
      <c r="P122" s="235" t="e">
        <f>IF(s1inv[[#This Row],[Schedule 1c Reference Number]]="",0,SUMIF(sched1c[Reference ID],s1inv[[#This Row],[Employer ID]]&amp;"-"&amp;s1inv[[#This Row],[Schedule 1c Reference Number]],sched1c[Change to Cost]))</f>
        <v>#VALUE!</v>
      </c>
      <c r="Q122" s="233"/>
      <c r="R122" s="235" t="e">
        <f>s1inv[[#This Row],[Cost at Beginning Period]]+s1inv[[#This Row],[Addition/
Deduction]]</f>
        <v>#VALUE!</v>
      </c>
      <c r="S122" s="233"/>
      <c r="T122" s="236"/>
      <c r="U122" s="233"/>
      <c r="V122" s="225"/>
      <c r="W122" s="227"/>
      <c r="X122" s="237" t="e">
        <f>s1inv[[#This Row],[Cost at End of Period]]+s1inv[[#This Row],[Unrealized Appreciation]]-ABS(s1inv[[#This Row],[(Unrealized Depreciation)]])</f>
        <v>#VALUE!</v>
      </c>
      <c r="Y122" s="238">
        <v>0</v>
      </c>
      <c r="Z122" s="238"/>
      <c r="AA122" s="239" t="str">
        <f>IFERROR((s1inv[[#This Row],[SBA Reported Value (B)]]+s1inv[[#This Row],[Cum. Cash Proceeds (D)]])/s1inv[[#This Row],[Total Cash Invested (A)]],"")</f>
        <v/>
      </c>
      <c r="AB122" s="240"/>
      <c r="AC122" s="239" t="str">
        <f>IFERROR((s1inv[[#This Row],[GAAP Reported Value (C)]]+s1inv[[#This Row],[Cum. Cash Proceeds (D)]])/s1inv[[#This Row],[Total Cash Invested (A)]],"")</f>
        <v/>
      </c>
      <c r="AD122" s="240"/>
      <c r="AE122" s="241" t="str">
        <f>IF(IFERROR(VLOOKUP(s1inv[[#This Row],[Portfolio Company Name]],s11cumperf[],4,FALSE),"")="","",(IFERROR(VLOOKUP(s1inv[[#This Row],[Portfolio Company Name]],s11cumperf[],4,FALSE),"")))</f>
        <v/>
      </c>
    </row>
    <row r="123" spans="1:31" s="242" customFormat="1" x14ac:dyDescent="0.35">
      <c r="A123" s="223" t="s">
        <v>243</v>
      </c>
      <c r="B123" s="224" t="str">
        <f>IF(IFERROR(VLOOKUP(s1inv[[#This Row],[Portfolio Company Name]],s11cumperf[],2,FALSE),"")="","",(IFERROR(VLOOKUP(s1inv[[#This Row],[Portfolio Company Name]],s11cumperf[],2,FALSE),"")))</f>
        <v/>
      </c>
      <c r="C123" s="694"/>
      <c r="D123" s="225"/>
      <c r="E123" s="226"/>
      <c r="F123" s="227"/>
      <c r="G123" s="228"/>
      <c r="H123" s="229"/>
      <c r="I123" s="230"/>
      <c r="J123" s="231"/>
      <c r="K123" s="232"/>
      <c r="L123" s="227"/>
      <c r="M123" s="233"/>
      <c r="N123" s="238"/>
      <c r="O123" s="234"/>
      <c r="P123" s="235" t="e">
        <f>IF(s1inv[[#This Row],[Schedule 1c Reference Number]]="",0,SUMIF(sched1c[Reference ID],s1inv[[#This Row],[Employer ID]]&amp;"-"&amp;s1inv[[#This Row],[Schedule 1c Reference Number]],sched1c[Change to Cost]))</f>
        <v>#VALUE!</v>
      </c>
      <c r="Q123" s="233"/>
      <c r="R123" s="235" t="e">
        <f>s1inv[[#This Row],[Cost at Beginning Period]]+s1inv[[#This Row],[Addition/
Deduction]]</f>
        <v>#VALUE!</v>
      </c>
      <c r="S123" s="233"/>
      <c r="T123" s="236"/>
      <c r="U123" s="233"/>
      <c r="V123" s="225"/>
      <c r="W123" s="227"/>
      <c r="X123" s="237" t="e">
        <f>s1inv[[#This Row],[Cost at End of Period]]+s1inv[[#This Row],[Unrealized Appreciation]]-ABS(s1inv[[#This Row],[(Unrealized Depreciation)]])</f>
        <v>#VALUE!</v>
      </c>
      <c r="Y123" s="238">
        <v>0</v>
      </c>
      <c r="Z123" s="238"/>
      <c r="AA123" s="239" t="str">
        <f>IFERROR((s1inv[[#This Row],[SBA Reported Value (B)]]+s1inv[[#This Row],[Cum. Cash Proceeds (D)]])/s1inv[[#This Row],[Total Cash Invested (A)]],"")</f>
        <v/>
      </c>
      <c r="AB123" s="240"/>
      <c r="AC123" s="239" t="str">
        <f>IFERROR((s1inv[[#This Row],[GAAP Reported Value (C)]]+s1inv[[#This Row],[Cum. Cash Proceeds (D)]])/s1inv[[#This Row],[Total Cash Invested (A)]],"")</f>
        <v/>
      </c>
      <c r="AD123" s="240"/>
      <c r="AE123" s="241" t="str">
        <f>IF(IFERROR(VLOOKUP(s1inv[[#This Row],[Portfolio Company Name]],s11cumperf[],4,FALSE),"")="","",(IFERROR(VLOOKUP(s1inv[[#This Row],[Portfolio Company Name]],s11cumperf[],4,FALSE),"")))</f>
        <v/>
      </c>
    </row>
    <row r="124" spans="1:31" s="242" customFormat="1" x14ac:dyDescent="0.35">
      <c r="A124" s="223" t="s">
        <v>243</v>
      </c>
      <c r="B124" s="224" t="str">
        <f>IF(IFERROR(VLOOKUP(s1inv[[#This Row],[Portfolio Company Name]],s11cumperf[],2,FALSE),"")="","",(IFERROR(VLOOKUP(s1inv[[#This Row],[Portfolio Company Name]],s11cumperf[],2,FALSE),"")))</f>
        <v/>
      </c>
      <c r="C124" s="694"/>
      <c r="D124" s="225"/>
      <c r="E124" s="226"/>
      <c r="F124" s="227"/>
      <c r="G124" s="228"/>
      <c r="H124" s="229"/>
      <c r="I124" s="230"/>
      <c r="J124" s="231"/>
      <c r="K124" s="232"/>
      <c r="L124" s="227"/>
      <c r="M124" s="233"/>
      <c r="N124" s="238"/>
      <c r="O124" s="234"/>
      <c r="P124" s="235" t="e">
        <f>IF(s1inv[[#This Row],[Schedule 1c Reference Number]]="",0,SUMIF(sched1c[Reference ID],s1inv[[#This Row],[Employer ID]]&amp;"-"&amp;s1inv[[#This Row],[Schedule 1c Reference Number]],sched1c[Change to Cost]))</f>
        <v>#VALUE!</v>
      </c>
      <c r="Q124" s="233"/>
      <c r="R124" s="235" t="e">
        <f>s1inv[[#This Row],[Cost at Beginning Period]]+s1inv[[#This Row],[Addition/
Deduction]]</f>
        <v>#VALUE!</v>
      </c>
      <c r="S124" s="233"/>
      <c r="T124" s="236"/>
      <c r="U124" s="233"/>
      <c r="V124" s="225"/>
      <c r="W124" s="227"/>
      <c r="X124" s="237" t="e">
        <f>s1inv[[#This Row],[Cost at End of Period]]+s1inv[[#This Row],[Unrealized Appreciation]]-ABS(s1inv[[#This Row],[(Unrealized Depreciation)]])</f>
        <v>#VALUE!</v>
      </c>
      <c r="Y124" s="238">
        <v>0</v>
      </c>
      <c r="Z124" s="238"/>
      <c r="AA124" s="239" t="str">
        <f>IFERROR((s1inv[[#This Row],[SBA Reported Value (B)]]+s1inv[[#This Row],[Cum. Cash Proceeds (D)]])/s1inv[[#This Row],[Total Cash Invested (A)]],"")</f>
        <v/>
      </c>
      <c r="AB124" s="240"/>
      <c r="AC124" s="239" t="str">
        <f>IFERROR((s1inv[[#This Row],[GAAP Reported Value (C)]]+s1inv[[#This Row],[Cum. Cash Proceeds (D)]])/s1inv[[#This Row],[Total Cash Invested (A)]],"")</f>
        <v/>
      </c>
      <c r="AD124" s="240"/>
      <c r="AE124" s="241" t="str">
        <f>IF(IFERROR(VLOOKUP(s1inv[[#This Row],[Portfolio Company Name]],s11cumperf[],4,FALSE),"")="","",(IFERROR(VLOOKUP(s1inv[[#This Row],[Portfolio Company Name]],s11cumperf[],4,FALSE),"")))</f>
        <v/>
      </c>
    </row>
    <row r="125" spans="1:31" s="242" customFormat="1" x14ac:dyDescent="0.35">
      <c r="A125" s="223" t="s">
        <v>243</v>
      </c>
      <c r="B125" s="224" t="str">
        <f>IF(IFERROR(VLOOKUP(s1inv[[#This Row],[Portfolio Company Name]],s11cumperf[],2,FALSE),"")="","",(IFERROR(VLOOKUP(s1inv[[#This Row],[Portfolio Company Name]],s11cumperf[],2,FALSE),"")))</f>
        <v/>
      </c>
      <c r="C125" s="694"/>
      <c r="D125" s="225"/>
      <c r="E125" s="226"/>
      <c r="F125" s="227"/>
      <c r="G125" s="228"/>
      <c r="H125" s="229"/>
      <c r="I125" s="230"/>
      <c r="J125" s="231"/>
      <c r="K125" s="232"/>
      <c r="L125" s="227"/>
      <c r="M125" s="233"/>
      <c r="N125" s="238"/>
      <c r="O125" s="234"/>
      <c r="P125" s="235" t="e">
        <f>IF(s1inv[[#This Row],[Schedule 1c Reference Number]]="",0,SUMIF(sched1c[Reference ID],s1inv[[#This Row],[Employer ID]]&amp;"-"&amp;s1inv[[#This Row],[Schedule 1c Reference Number]],sched1c[Change to Cost]))</f>
        <v>#VALUE!</v>
      </c>
      <c r="Q125" s="233"/>
      <c r="R125" s="235" t="e">
        <f>s1inv[[#This Row],[Cost at Beginning Period]]+s1inv[[#This Row],[Addition/
Deduction]]</f>
        <v>#VALUE!</v>
      </c>
      <c r="S125" s="233"/>
      <c r="T125" s="236"/>
      <c r="U125" s="233"/>
      <c r="V125" s="225"/>
      <c r="W125" s="227"/>
      <c r="X125" s="237" t="e">
        <f>s1inv[[#This Row],[Cost at End of Period]]+s1inv[[#This Row],[Unrealized Appreciation]]-ABS(s1inv[[#This Row],[(Unrealized Depreciation)]])</f>
        <v>#VALUE!</v>
      </c>
      <c r="Y125" s="238">
        <v>0</v>
      </c>
      <c r="Z125" s="238"/>
      <c r="AA125" s="239" t="str">
        <f>IFERROR((s1inv[[#This Row],[SBA Reported Value (B)]]+s1inv[[#This Row],[Cum. Cash Proceeds (D)]])/s1inv[[#This Row],[Total Cash Invested (A)]],"")</f>
        <v/>
      </c>
      <c r="AB125" s="240"/>
      <c r="AC125" s="239" t="str">
        <f>IFERROR((s1inv[[#This Row],[GAAP Reported Value (C)]]+s1inv[[#This Row],[Cum. Cash Proceeds (D)]])/s1inv[[#This Row],[Total Cash Invested (A)]],"")</f>
        <v/>
      </c>
      <c r="AD125" s="240"/>
      <c r="AE125" s="241" t="str">
        <f>IF(IFERROR(VLOOKUP(s1inv[[#This Row],[Portfolio Company Name]],s11cumperf[],4,FALSE),"")="","",(IFERROR(VLOOKUP(s1inv[[#This Row],[Portfolio Company Name]],s11cumperf[],4,FALSE),"")))</f>
        <v/>
      </c>
    </row>
    <row r="126" spans="1:31" s="242" customFormat="1" x14ac:dyDescent="0.35">
      <c r="A126" s="223" t="s">
        <v>243</v>
      </c>
      <c r="B126" s="224" t="str">
        <f>IF(IFERROR(VLOOKUP(s1inv[[#This Row],[Portfolio Company Name]],s11cumperf[],2,FALSE),"")="","",(IFERROR(VLOOKUP(s1inv[[#This Row],[Portfolio Company Name]],s11cumperf[],2,FALSE),"")))</f>
        <v/>
      </c>
      <c r="C126" s="694"/>
      <c r="D126" s="225"/>
      <c r="E126" s="226"/>
      <c r="F126" s="227"/>
      <c r="G126" s="228"/>
      <c r="H126" s="229"/>
      <c r="I126" s="230"/>
      <c r="J126" s="231"/>
      <c r="K126" s="232"/>
      <c r="L126" s="227"/>
      <c r="M126" s="233"/>
      <c r="N126" s="238"/>
      <c r="O126" s="234"/>
      <c r="P126" s="235" t="e">
        <f>IF(s1inv[[#This Row],[Schedule 1c Reference Number]]="",0,SUMIF(sched1c[Reference ID],s1inv[[#This Row],[Employer ID]]&amp;"-"&amp;s1inv[[#This Row],[Schedule 1c Reference Number]],sched1c[Change to Cost]))</f>
        <v>#VALUE!</v>
      </c>
      <c r="Q126" s="233"/>
      <c r="R126" s="235" t="e">
        <f>s1inv[[#This Row],[Cost at Beginning Period]]+s1inv[[#This Row],[Addition/
Deduction]]</f>
        <v>#VALUE!</v>
      </c>
      <c r="S126" s="233"/>
      <c r="T126" s="236"/>
      <c r="U126" s="233"/>
      <c r="V126" s="225"/>
      <c r="W126" s="227"/>
      <c r="X126" s="237" t="e">
        <f>s1inv[[#This Row],[Cost at End of Period]]+s1inv[[#This Row],[Unrealized Appreciation]]-ABS(s1inv[[#This Row],[(Unrealized Depreciation)]])</f>
        <v>#VALUE!</v>
      </c>
      <c r="Y126" s="238">
        <v>0</v>
      </c>
      <c r="Z126" s="238"/>
      <c r="AA126" s="239" t="str">
        <f>IFERROR((s1inv[[#This Row],[SBA Reported Value (B)]]+s1inv[[#This Row],[Cum. Cash Proceeds (D)]])/s1inv[[#This Row],[Total Cash Invested (A)]],"")</f>
        <v/>
      </c>
      <c r="AB126" s="240"/>
      <c r="AC126" s="239" t="str">
        <f>IFERROR((s1inv[[#This Row],[GAAP Reported Value (C)]]+s1inv[[#This Row],[Cum. Cash Proceeds (D)]])/s1inv[[#This Row],[Total Cash Invested (A)]],"")</f>
        <v/>
      </c>
      <c r="AD126" s="240"/>
      <c r="AE126" s="241" t="str">
        <f>IF(IFERROR(VLOOKUP(s1inv[[#This Row],[Portfolio Company Name]],s11cumperf[],4,FALSE),"")="","",(IFERROR(VLOOKUP(s1inv[[#This Row],[Portfolio Company Name]],s11cumperf[],4,FALSE),"")))</f>
        <v/>
      </c>
    </row>
    <row r="127" spans="1:31" s="242" customFormat="1" x14ac:dyDescent="0.35">
      <c r="A127" s="223" t="s">
        <v>243</v>
      </c>
      <c r="B127" s="224" t="str">
        <f>IF(IFERROR(VLOOKUP(s1inv[[#This Row],[Portfolio Company Name]],s11cumperf[],2,FALSE),"")="","",(IFERROR(VLOOKUP(s1inv[[#This Row],[Portfolio Company Name]],s11cumperf[],2,FALSE),"")))</f>
        <v/>
      </c>
      <c r="C127" s="694"/>
      <c r="D127" s="225"/>
      <c r="E127" s="226"/>
      <c r="F127" s="227"/>
      <c r="G127" s="228"/>
      <c r="H127" s="229"/>
      <c r="I127" s="230"/>
      <c r="J127" s="231"/>
      <c r="K127" s="232"/>
      <c r="L127" s="227"/>
      <c r="M127" s="233"/>
      <c r="N127" s="238"/>
      <c r="O127" s="234"/>
      <c r="P127" s="235" t="e">
        <f>IF(s1inv[[#This Row],[Schedule 1c Reference Number]]="",0,SUMIF(sched1c[Reference ID],s1inv[[#This Row],[Employer ID]]&amp;"-"&amp;s1inv[[#This Row],[Schedule 1c Reference Number]],sched1c[Change to Cost]))</f>
        <v>#VALUE!</v>
      </c>
      <c r="Q127" s="233"/>
      <c r="R127" s="235" t="e">
        <f>s1inv[[#This Row],[Cost at Beginning Period]]+s1inv[[#This Row],[Addition/
Deduction]]</f>
        <v>#VALUE!</v>
      </c>
      <c r="S127" s="233"/>
      <c r="T127" s="236"/>
      <c r="U127" s="233"/>
      <c r="V127" s="225"/>
      <c r="W127" s="227"/>
      <c r="X127" s="237" t="e">
        <f>s1inv[[#This Row],[Cost at End of Period]]+s1inv[[#This Row],[Unrealized Appreciation]]-ABS(s1inv[[#This Row],[(Unrealized Depreciation)]])</f>
        <v>#VALUE!</v>
      </c>
      <c r="Y127" s="238">
        <v>0</v>
      </c>
      <c r="Z127" s="238"/>
      <c r="AA127" s="239" t="str">
        <f>IFERROR((s1inv[[#This Row],[SBA Reported Value (B)]]+s1inv[[#This Row],[Cum. Cash Proceeds (D)]])/s1inv[[#This Row],[Total Cash Invested (A)]],"")</f>
        <v/>
      </c>
      <c r="AB127" s="240"/>
      <c r="AC127" s="239" t="str">
        <f>IFERROR((s1inv[[#This Row],[GAAP Reported Value (C)]]+s1inv[[#This Row],[Cum. Cash Proceeds (D)]])/s1inv[[#This Row],[Total Cash Invested (A)]],"")</f>
        <v/>
      </c>
      <c r="AD127" s="240"/>
      <c r="AE127" s="241" t="str">
        <f>IF(IFERROR(VLOOKUP(s1inv[[#This Row],[Portfolio Company Name]],s11cumperf[],4,FALSE),"")="","",(IFERROR(VLOOKUP(s1inv[[#This Row],[Portfolio Company Name]],s11cumperf[],4,FALSE),"")))</f>
        <v/>
      </c>
    </row>
    <row r="128" spans="1:31" s="242" customFormat="1" x14ac:dyDescent="0.35">
      <c r="A128" s="223" t="s">
        <v>243</v>
      </c>
      <c r="B128" s="224" t="str">
        <f>IF(IFERROR(VLOOKUP(s1inv[[#This Row],[Portfolio Company Name]],s11cumperf[],2,FALSE),"")="","",(IFERROR(VLOOKUP(s1inv[[#This Row],[Portfolio Company Name]],s11cumperf[],2,FALSE),"")))</f>
        <v/>
      </c>
      <c r="C128" s="694"/>
      <c r="D128" s="225"/>
      <c r="E128" s="226"/>
      <c r="F128" s="227"/>
      <c r="G128" s="228"/>
      <c r="H128" s="229"/>
      <c r="I128" s="230"/>
      <c r="J128" s="231"/>
      <c r="K128" s="232"/>
      <c r="L128" s="227"/>
      <c r="M128" s="233"/>
      <c r="N128" s="238"/>
      <c r="O128" s="234"/>
      <c r="P128" s="235" t="e">
        <f>IF(s1inv[[#This Row],[Schedule 1c Reference Number]]="",0,SUMIF(sched1c[Reference ID],s1inv[[#This Row],[Employer ID]]&amp;"-"&amp;s1inv[[#This Row],[Schedule 1c Reference Number]],sched1c[Change to Cost]))</f>
        <v>#VALUE!</v>
      </c>
      <c r="Q128" s="233"/>
      <c r="R128" s="235" t="e">
        <f>s1inv[[#This Row],[Cost at Beginning Period]]+s1inv[[#This Row],[Addition/
Deduction]]</f>
        <v>#VALUE!</v>
      </c>
      <c r="S128" s="233"/>
      <c r="T128" s="236"/>
      <c r="U128" s="233"/>
      <c r="V128" s="225"/>
      <c r="W128" s="227"/>
      <c r="X128" s="237" t="e">
        <f>s1inv[[#This Row],[Cost at End of Period]]+s1inv[[#This Row],[Unrealized Appreciation]]-ABS(s1inv[[#This Row],[(Unrealized Depreciation)]])</f>
        <v>#VALUE!</v>
      </c>
      <c r="Y128" s="238">
        <v>0</v>
      </c>
      <c r="Z128" s="238"/>
      <c r="AA128" s="239" t="str">
        <f>IFERROR((s1inv[[#This Row],[SBA Reported Value (B)]]+s1inv[[#This Row],[Cum. Cash Proceeds (D)]])/s1inv[[#This Row],[Total Cash Invested (A)]],"")</f>
        <v/>
      </c>
      <c r="AB128" s="240"/>
      <c r="AC128" s="239" t="str">
        <f>IFERROR((s1inv[[#This Row],[GAAP Reported Value (C)]]+s1inv[[#This Row],[Cum. Cash Proceeds (D)]])/s1inv[[#This Row],[Total Cash Invested (A)]],"")</f>
        <v/>
      </c>
      <c r="AD128" s="240"/>
      <c r="AE128" s="241" t="str">
        <f>IF(IFERROR(VLOOKUP(s1inv[[#This Row],[Portfolio Company Name]],s11cumperf[],4,FALSE),"")="","",(IFERROR(VLOOKUP(s1inv[[#This Row],[Portfolio Company Name]],s11cumperf[],4,FALSE),"")))</f>
        <v/>
      </c>
    </row>
    <row r="129" spans="1:31" s="242" customFormat="1" x14ac:dyDescent="0.35">
      <c r="A129" s="223" t="s">
        <v>243</v>
      </c>
      <c r="B129" s="224" t="str">
        <f>IF(IFERROR(VLOOKUP(s1inv[[#This Row],[Portfolio Company Name]],s11cumperf[],2,FALSE),"")="","",(IFERROR(VLOOKUP(s1inv[[#This Row],[Portfolio Company Name]],s11cumperf[],2,FALSE),"")))</f>
        <v/>
      </c>
      <c r="C129" s="694"/>
      <c r="D129" s="225"/>
      <c r="E129" s="226"/>
      <c r="F129" s="227"/>
      <c r="G129" s="228"/>
      <c r="H129" s="229"/>
      <c r="I129" s="230"/>
      <c r="J129" s="231"/>
      <c r="K129" s="232"/>
      <c r="L129" s="227"/>
      <c r="M129" s="233"/>
      <c r="N129" s="238"/>
      <c r="O129" s="234"/>
      <c r="P129" s="235" t="e">
        <f>IF(s1inv[[#This Row],[Schedule 1c Reference Number]]="",0,SUMIF(sched1c[Reference ID],s1inv[[#This Row],[Employer ID]]&amp;"-"&amp;s1inv[[#This Row],[Schedule 1c Reference Number]],sched1c[Change to Cost]))</f>
        <v>#VALUE!</v>
      </c>
      <c r="Q129" s="233"/>
      <c r="R129" s="235" t="e">
        <f>s1inv[[#This Row],[Cost at Beginning Period]]+s1inv[[#This Row],[Addition/
Deduction]]</f>
        <v>#VALUE!</v>
      </c>
      <c r="S129" s="233"/>
      <c r="T129" s="236"/>
      <c r="U129" s="233"/>
      <c r="V129" s="225"/>
      <c r="W129" s="227"/>
      <c r="X129" s="237" t="e">
        <f>s1inv[[#This Row],[Cost at End of Period]]+s1inv[[#This Row],[Unrealized Appreciation]]-ABS(s1inv[[#This Row],[(Unrealized Depreciation)]])</f>
        <v>#VALUE!</v>
      </c>
      <c r="Y129" s="238">
        <v>0</v>
      </c>
      <c r="Z129" s="238"/>
      <c r="AA129" s="239" t="str">
        <f>IFERROR((s1inv[[#This Row],[SBA Reported Value (B)]]+s1inv[[#This Row],[Cum. Cash Proceeds (D)]])/s1inv[[#This Row],[Total Cash Invested (A)]],"")</f>
        <v/>
      </c>
      <c r="AB129" s="240"/>
      <c r="AC129" s="239" t="str">
        <f>IFERROR((s1inv[[#This Row],[GAAP Reported Value (C)]]+s1inv[[#This Row],[Cum. Cash Proceeds (D)]])/s1inv[[#This Row],[Total Cash Invested (A)]],"")</f>
        <v/>
      </c>
      <c r="AD129" s="240"/>
      <c r="AE129" s="241" t="str">
        <f>IF(IFERROR(VLOOKUP(s1inv[[#This Row],[Portfolio Company Name]],s11cumperf[],4,FALSE),"")="","",(IFERROR(VLOOKUP(s1inv[[#This Row],[Portfolio Company Name]],s11cumperf[],4,FALSE),"")))</f>
        <v/>
      </c>
    </row>
    <row r="130" spans="1:31" s="242" customFormat="1" x14ac:dyDescent="0.35">
      <c r="A130" s="223" t="s">
        <v>243</v>
      </c>
      <c r="B130" s="224" t="str">
        <f>IF(IFERROR(VLOOKUP(s1inv[[#This Row],[Portfolio Company Name]],s11cumperf[],2,FALSE),"")="","",(IFERROR(VLOOKUP(s1inv[[#This Row],[Portfolio Company Name]],s11cumperf[],2,FALSE),"")))</f>
        <v/>
      </c>
      <c r="C130" s="694"/>
      <c r="D130" s="225"/>
      <c r="E130" s="226"/>
      <c r="F130" s="227"/>
      <c r="G130" s="228"/>
      <c r="H130" s="229"/>
      <c r="I130" s="230"/>
      <c r="J130" s="231"/>
      <c r="K130" s="232"/>
      <c r="L130" s="227"/>
      <c r="M130" s="233"/>
      <c r="N130" s="238"/>
      <c r="O130" s="234"/>
      <c r="P130" s="235" t="e">
        <f>IF(s1inv[[#This Row],[Schedule 1c Reference Number]]="",0,SUMIF(sched1c[Reference ID],s1inv[[#This Row],[Employer ID]]&amp;"-"&amp;s1inv[[#This Row],[Schedule 1c Reference Number]],sched1c[Change to Cost]))</f>
        <v>#VALUE!</v>
      </c>
      <c r="Q130" s="233"/>
      <c r="R130" s="235" t="e">
        <f>s1inv[[#This Row],[Cost at Beginning Period]]+s1inv[[#This Row],[Addition/
Deduction]]</f>
        <v>#VALUE!</v>
      </c>
      <c r="S130" s="233"/>
      <c r="T130" s="236"/>
      <c r="U130" s="233"/>
      <c r="V130" s="225"/>
      <c r="W130" s="227"/>
      <c r="X130" s="237" t="e">
        <f>s1inv[[#This Row],[Cost at End of Period]]+s1inv[[#This Row],[Unrealized Appreciation]]-ABS(s1inv[[#This Row],[(Unrealized Depreciation)]])</f>
        <v>#VALUE!</v>
      </c>
      <c r="Y130" s="238">
        <v>0</v>
      </c>
      <c r="Z130" s="238"/>
      <c r="AA130" s="239" t="str">
        <f>IFERROR((s1inv[[#This Row],[SBA Reported Value (B)]]+s1inv[[#This Row],[Cum. Cash Proceeds (D)]])/s1inv[[#This Row],[Total Cash Invested (A)]],"")</f>
        <v/>
      </c>
      <c r="AB130" s="240"/>
      <c r="AC130" s="239" t="str">
        <f>IFERROR((s1inv[[#This Row],[GAAP Reported Value (C)]]+s1inv[[#This Row],[Cum. Cash Proceeds (D)]])/s1inv[[#This Row],[Total Cash Invested (A)]],"")</f>
        <v/>
      </c>
      <c r="AD130" s="240"/>
      <c r="AE130" s="241" t="str">
        <f>IF(IFERROR(VLOOKUP(s1inv[[#This Row],[Portfolio Company Name]],s11cumperf[],4,FALSE),"")="","",(IFERROR(VLOOKUP(s1inv[[#This Row],[Portfolio Company Name]],s11cumperf[],4,FALSE),"")))</f>
        <v/>
      </c>
    </row>
    <row r="131" spans="1:31" s="242" customFormat="1" x14ac:dyDescent="0.35">
      <c r="A131" s="223" t="s">
        <v>243</v>
      </c>
      <c r="B131" s="224" t="str">
        <f>IF(IFERROR(VLOOKUP(s1inv[[#This Row],[Portfolio Company Name]],s11cumperf[],2,FALSE),"")="","",(IFERROR(VLOOKUP(s1inv[[#This Row],[Portfolio Company Name]],s11cumperf[],2,FALSE),"")))</f>
        <v/>
      </c>
      <c r="C131" s="694"/>
      <c r="D131" s="225"/>
      <c r="E131" s="226"/>
      <c r="F131" s="227"/>
      <c r="G131" s="228"/>
      <c r="H131" s="229"/>
      <c r="I131" s="230"/>
      <c r="J131" s="231"/>
      <c r="K131" s="232"/>
      <c r="L131" s="227"/>
      <c r="M131" s="233"/>
      <c r="N131" s="238"/>
      <c r="O131" s="234"/>
      <c r="P131" s="235" t="e">
        <f>IF(s1inv[[#This Row],[Schedule 1c Reference Number]]="",0,SUMIF(sched1c[Reference ID],s1inv[[#This Row],[Employer ID]]&amp;"-"&amp;s1inv[[#This Row],[Schedule 1c Reference Number]],sched1c[Change to Cost]))</f>
        <v>#VALUE!</v>
      </c>
      <c r="Q131" s="233"/>
      <c r="R131" s="235" t="e">
        <f>s1inv[[#This Row],[Cost at Beginning Period]]+s1inv[[#This Row],[Addition/
Deduction]]</f>
        <v>#VALUE!</v>
      </c>
      <c r="S131" s="233"/>
      <c r="T131" s="236"/>
      <c r="U131" s="233"/>
      <c r="V131" s="225"/>
      <c r="W131" s="227"/>
      <c r="X131" s="237" t="e">
        <f>s1inv[[#This Row],[Cost at End of Period]]+s1inv[[#This Row],[Unrealized Appreciation]]-ABS(s1inv[[#This Row],[(Unrealized Depreciation)]])</f>
        <v>#VALUE!</v>
      </c>
      <c r="Y131" s="238">
        <v>0</v>
      </c>
      <c r="Z131" s="238"/>
      <c r="AA131" s="239" t="str">
        <f>IFERROR((s1inv[[#This Row],[SBA Reported Value (B)]]+s1inv[[#This Row],[Cum. Cash Proceeds (D)]])/s1inv[[#This Row],[Total Cash Invested (A)]],"")</f>
        <v/>
      </c>
      <c r="AB131" s="240"/>
      <c r="AC131" s="239" t="str">
        <f>IFERROR((s1inv[[#This Row],[GAAP Reported Value (C)]]+s1inv[[#This Row],[Cum. Cash Proceeds (D)]])/s1inv[[#This Row],[Total Cash Invested (A)]],"")</f>
        <v/>
      </c>
      <c r="AD131" s="240"/>
      <c r="AE131" s="241" t="str">
        <f>IF(IFERROR(VLOOKUP(s1inv[[#This Row],[Portfolio Company Name]],s11cumperf[],4,FALSE),"")="","",(IFERROR(VLOOKUP(s1inv[[#This Row],[Portfolio Company Name]],s11cumperf[],4,FALSE),"")))</f>
        <v/>
      </c>
    </row>
    <row r="132" spans="1:31" s="242" customFormat="1" x14ac:dyDescent="0.35">
      <c r="A132" s="223" t="s">
        <v>243</v>
      </c>
      <c r="B132" s="224" t="str">
        <f>IF(IFERROR(VLOOKUP(s1inv[[#This Row],[Portfolio Company Name]],s11cumperf[],2,FALSE),"")="","",(IFERROR(VLOOKUP(s1inv[[#This Row],[Portfolio Company Name]],s11cumperf[],2,FALSE),"")))</f>
        <v/>
      </c>
      <c r="C132" s="694"/>
      <c r="D132" s="225"/>
      <c r="E132" s="226"/>
      <c r="F132" s="227"/>
      <c r="G132" s="228"/>
      <c r="H132" s="229"/>
      <c r="I132" s="230"/>
      <c r="J132" s="231"/>
      <c r="K132" s="232"/>
      <c r="L132" s="227"/>
      <c r="M132" s="233"/>
      <c r="N132" s="238"/>
      <c r="O132" s="234"/>
      <c r="P132" s="235" t="e">
        <f>IF(s1inv[[#This Row],[Schedule 1c Reference Number]]="",0,SUMIF(sched1c[Reference ID],s1inv[[#This Row],[Employer ID]]&amp;"-"&amp;s1inv[[#This Row],[Schedule 1c Reference Number]],sched1c[Change to Cost]))</f>
        <v>#VALUE!</v>
      </c>
      <c r="Q132" s="233"/>
      <c r="R132" s="235" t="e">
        <f>s1inv[[#This Row],[Cost at Beginning Period]]+s1inv[[#This Row],[Addition/
Deduction]]</f>
        <v>#VALUE!</v>
      </c>
      <c r="S132" s="233"/>
      <c r="T132" s="236"/>
      <c r="U132" s="233"/>
      <c r="V132" s="225"/>
      <c r="W132" s="227"/>
      <c r="X132" s="237" t="e">
        <f>s1inv[[#This Row],[Cost at End of Period]]+s1inv[[#This Row],[Unrealized Appreciation]]-ABS(s1inv[[#This Row],[(Unrealized Depreciation)]])</f>
        <v>#VALUE!</v>
      </c>
      <c r="Y132" s="238">
        <v>0</v>
      </c>
      <c r="Z132" s="238"/>
      <c r="AA132" s="239" t="str">
        <f>IFERROR((s1inv[[#This Row],[SBA Reported Value (B)]]+s1inv[[#This Row],[Cum. Cash Proceeds (D)]])/s1inv[[#This Row],[Total Cash Invested (A)]],"")</f>
        <v/>
      </c>
      <c r="AB132" s="240"/>
      <c r="AC132" s="239" t="str">
        <f>IFERROR((s1inv[[#This Row],[GAAP Reported Value (C)]]+s1inv[[#This Row],[Cum. Cash Proceeds (D)]])/s1inv[[#This Row],[Total Cash Invested (A)]],"")</f>
        <v/>
      </c>
      <c r="AD132" s="240"/>
      <c r="AE132" s="241" t="str">
        <f>IF(IFERROR(VLOOKUP(s1inv[[#This Row],[Portfolio Company Name]],s11cumperf[],4,FALSE),"")="","",(IFERROR(VLOOKUP(s1inv[[#This Row],[Portfolio Company Name]],s11cumperf[],4,FALSE),"")))</f>
        <v/>
      </c>
    </row>
    <row r="133" spans="1:31" s="242" customFormat="1" x14ac:dyDescent="0.35">
      <c r="A133" s="223" t="s">
        <v>243</v>
      </c>
      <c r="B133" s="224" t="str">
        <f>IF(IFERROR(VLOOKUP(s1inv[[#This Row],[Portfolio Company Name]],s11cumperf[],2,FALSE),"")="","",(IFERROR(VLOOKUP(s1inv[[#This Row],[Portfolio Company Name]],s11cumperf[],2,FALSE),"")))</f>
        <v/>
      </c>
      <c r="C133" s="694"/>
      <c r="D133" s="225"/>
      <c r="E133" s="226"/>
      <c r="F133" s="227"/>
      <c r="G133" s="228"/>
      <c r="H133" s="229"/>
      <c r="I133" s="230"/>
      <c r="J133" s="231"/>
      <c r="K133" s="232"/>
      <c r="L133" s="227"/>
      <c r="M133" s="233"/>
      <c r="N133" s="238"/>
      <c r="O133" s="234"/>
      <c r="P133" s="235" t="e">
        <f>IF(s1inv[[#This Row],[Schedule 1c Reference Number]]="",0,SUMIF(sched1c[Reference ID],s1inv[[#This Row],[Employer ID]]&amp;"-"&amp;s1inv[[#This Row],[Schedule 1c Reference Number]],sched1c[Change to Cost]))</f>
        <v>#VALUE!</v>
      </c>
      <c r="Q133" s="233"/>
      <c r="R133" s="235" t="e">
        <f>s1inv[[#This Row],[Cost at Beginning Period]]+s1inv[[#This Row],[Addition/
Deduction]]</f>
        <v>#VALUE!</v>
      </c>
      <c r="S133" s="233"/>
      <c r="T133" s="236"/>
      <c r="U133" s="233"/>
      <c r="V133" s="225"/>
      <c r="W133" s="227"/>
      <c r="X133" s="237" t="e">
        <f>s1inv[[#This Row],[Cost at End of Period]]+s1inv[[#This Row],[Unrealized Appreciation]]-ABS(s1inv[[#This Row],[(Unrealized Depreciation)]])</f>
        <v>#VALUE!</v>
      </c>
      <c r="Y133" s="238">
        <v>0</v>
      </c>
      <c r="Z133" s="238"/>
      <c r="AA133" s="239" t="str">
        <f>IFERROR((s1inv[[#This Row],[SBA Reported Value (B)]]+s1inv[[#This Row],[Cum. Cash Proceeds (D)]])/s1inv[[#This Row],[Total Cash Invested (A)]],"")</f>
        <v/>
      </c>
      <c r="AB133" s="240"/>
      <c r="AC133" s="239" t="str">
        <f>IFERROR((s1inv[[#This Row],[GAAP Reported Value (C)]]+s1inv[[#This Row],[Cum. Cash Proceeds (D)]])/s1inv[[#This Row],[Total Cash Invested (A)]],"")</f>
        <v/>
      </c>
      <c r="AD133" s="240"/>
      <c r="AE133" s="241" t="str">
        <f>IF(IFERROR(VLOOKUP(s1inv[[#This Row],[Portfolio Company Name]],s11cumperf[],4,FALSE),"")="","",(IFERROR(VLOOKUP(s1inv[[#This Row],[Portfolio Company Name]],s11cumperf[],4,FALSE),"")))</f>
        <v/>
      </c>
    </row>
    <row r="134" spans="1:31" s="242" customFormat="1" x14ac:dyDescent="0.35">
      <c r="A134" s="223" t="s">
        <v>243</v>
      </c>
      <c r="B134" s="224" t="str">
        <f>IF(IFERROR(VLOOKUP(s1inv[[#This Row],[Portfolio Company Name]],s11cumperf[],2,FALSE),"")="","",(IFERROR(VLOOKUP(s1inv[[#This Row],[Portfolio Company Name]],s11cumperf[],2,FALSE),"")))</f>
        <v/>
      </c>
      <c r="C134" s="694"/>
      <c r="D134" s="225"/>
      <c r="E134" s="226"/>
      <c r="F134" s="227"/>
      <c r="G134" s="228"/>
      <c r="H134" s="229"/>
      <c r="I134" s="230"/>
      <c r="J134" s="231"/>
      <c r="K134" s="232"/>
      <c r="L134" s="227"/>
      <c r="M134" s="233"/>
      <c r="N134" s="238"/>
      <c r="O134" s="234"/>
      <c r="P134" s="235" t="e">
        <f>IF(s1inv[[#This Row],[Schedule 1c Reference Number]]="",0,SUMIF(sched1c[Reference ID],s1inv[[#This Row],[Employer ID]]&amp;"-"&amp;s1inv[[#This Row],[Schedule 1c Reference Number]],sched1c[Change to Cost]))</f>
        <v>#VALUE!</v>
      </c>
      <c r="Q134" s="233"/>
      <c r="R134" s="235" t="e">
        <f>s1inv[[#This Row],[Cost at Beginning Period]]+s1inv[[#This Row],[Addition/
Deduction]]</f>
        <v>#VALUE!</v>
      </c>
      <c r="S134" s="233"/>
      <c r="T134" s="236"/>
      <c r="U134" s="233"/>
      <c r="V134" s="225"/>
      <c r="W134" s="227"/>
      <c r="X134" s="237" t="e">
        <f>s1inv[[#This Row],[Cost at End of Period]]+s1inv[[#This Row],[Unrealized Appreciation]]-ABS(s1inv[[#This Row],[(Unrealized Depreciation)]])</f>
        <v>#VALUE!</v>
      </c>
      <c r="Y134" s="238">
        <v>0</v>
      </c>
      <c r="Z134" s="238"/>
      <c r="AA134" s="239" t="str">
        <f>IFERROR((s1inv[[#This Row],[SBA Reported Value (B)]]+s1inv[[#This Row],[Cum. Cash Proceeds (D)]])/s1inv[[#This Row],[Total Cash Invested (A)]],"")</f>
        <v/>
      </c>
      <c r="AB134" s="240"/>
      <c r="AC134" s="239" t="str">
        <f>IFERROR((s1inv[[#This Row],[GAAP Reported Value (C)]]+s1inv[[#This Row],[Cum. Cash Proceeds (D)]])/s1inv[[#This Row],[Total Cash Invested (A)]],"")</f>
        <v/>
      </c>
      <c r="AD134" s="240"/>
      <c r="AE134" s="241" t="str">
        <f>IF(IFERROR(VLOOKUP(s1inv[[#This Row],[Portfolio Company Name]],s11cumperf[],4,FALSE),"")="","",(IFERROR(VLOOKUP(s1inv[[#This Row],[Portfolio Company Name]],s11cumperf[],4,FALSE),"")))</f>
        <v/>
      </c>
    </row>
    <row r="135" spans="1:31" s="242" customFormat="1" x14ac:dyDescent="0.35">
      <c r="A135" s="223" t="s">
        <v>243</v>
      </c>
      <c r="B135" s="224" t="str">
        <f>IF(IFERROR(VLOOKUP(s1inv[[#This Row],[Portfolio Company Name]],s11cumperf[],2,FALSE),"")="","",(IFERROR(VLOOKUP(s1inv[[#This Row],[Portfolio Company Name]],s11cumperf[],2,FALSE),"")))</f>
        <v/>
      </c>
      <c r="C135" s="694"/>
      <c r="D135" s="225"/>
      <c r="E135" s="226"/>
      <c r="F135" s="227"/>
      <c r="G135" s="228"/>
      <c r="H135" s="229"/>
      <c r="I135" s="230"/>
      <c r="J135" s="231"/>
      <c r="K135" s="232"/>
      <c r="L135" s="227"/>
      <c r="M135" s="233"/>
      <c r="N135" s="238"/>
      <c r="O135" s="234"/>
      <c r="P135" s="235" t="e">
        <f>IF(s1inv[[#This Row],[Schedule 1c Reference Number]]="",0,SUMIF(sched1c[Reference ID],s1inv[[#This Row],[Employer ID]]&amp;"-"&amp;s1inv[[#This Row],[Schedule 1c Reference Number]],sched1c[Change to Cost]))</f>
        <v>#VALUE!</v>
      </c>
      <c r="Q135" s="233"/>
      <c r="R135" s="235" t="e">
        <f>s1inv[[#This Row],[Cost at Beginning Period]]+s1inv[[#This Row],[Addition/
Deduction]]</f>
        <v>#VALUE!</v>
      </c>
      <c r="S135" s="233"/>
      <c r="T135" s="236"/>
      <c r="U135" s="233"/>
      <c r="V135" s="225"/>
      <c r="W135" s="227"/>
      <c r="X135" s="237" t="e">
        <f>s1inv[[#This Row],[Cost at End of Period]]+s1inv[[#This Row],[Unrealized Appreciation]]-ABS(s1inv[[#This Row],[(Unrealized Depreciation)]])</f>
        <v>#VALUE!</v>
      </c>
      <c r="Y135" s="238">
        <v>0</v>
      </c>
      <c r="Z135" s="238"/>
      <c r="AA135" s="239" t="str">
        <f>IFERROR((s1inv[[#This Row],[SBA Reported Value (B)]]+s1inv[[#This Row],[Cum. Cash Proceeds (D)]])/s1inv[[#This Row],[Total Cash Invested (A)]],"")</f>
        <v/>
      </c>
      <c r="AB135" s="240"/>
      <c r="AC135" s="239" t="str">
        <f>IFERROR((s1inv[[#This Row],[GAAP Reported Value (C)]]+s1inv[[#This Row],[Cum. Cash Proceeds (D)]])/s1inv[[#This Row],[Total Cash Invested (A)]],"")</f>
        <v/>
      </c>
      <c r="AD135" s="240"/>
      <c r="AE135" s="241" t="str">
        <f>IF(IFERROR(VLOOKUP(s1inv[[#This Row],[Portfolio Company Name]],s11cumperf[],4,FALSE),"")="","",(IFERROR(VLOOKUP(s1inv[[#This Row],[Portfolio Company Name]],s11cumperf[],4,FALSE),"")))</f>
        <v/>
      </c>
    </row>
    <row r="136" spans="1:31" s="242" customFormat="1" x14ac:dyDescent="0.35">
      <c r="A136" s="223" t="s">
        <v>243</v>
      </c>
      <c r="B136" s="224" t="str">
        <f>IF(IFERROR(VLOOKUP(s1inv[[#This Row],[Portfolio Company Name]],s11cumperf[],2,FALSE),"")="","",(IFERROR(VLOOKUP(s1inv[[#This Row],[Portfolio Company Name]],s11cumperf[],2,FALSE),"")))</f>
        <v/>
      </c>
      <c r="C136" s="694"/>
      <c r="D136" s="225"/>
      <c r="E136" s="226"/>
      <c r="F136" s="227"/>
      <c r="G136" s="228"/>
      <c r="H136" s="229"/>
      <c r="I136" s="230"/>
      <c r="J136" s="231"/>
      <c r="K136" s="232"/>
      <c r="L136" s="227"/>
      <c r="M136" s="233"/>
      <c r="N136" s="238"/>
      <c r="O136" s="234"/>
      <c r="P136" s="235" t="e">
        <f>IF(s1inv[[#This Row],[Schedule 1c Reference Number]]="",0,SUMIF(sched1c[Reference ID],s1inv[[#This Row],[Employer ID]]&amp;"-"&amp;s1inv[[#This Row],[Schedule 1c Reference Number]],sched1c[Change to Cost]))</f>
        <v>#VALUE!</v>
      </c>
      <c r="Q136" s="233"/>
      <c r="R136" s="235" t="e">
        <f>s1inv[[#This Row],[Cost at Beginning Period]]+s1inv[[#This Row],[Addition/
Deduction]]</f>
        <v>#VALUE!</v>
      </c>
      <c r="S136" s="233"/>
      <c r="T136" s="236"/>
      <c r="U136" s="233"/>
      <c r="V136" s="225"/>
      <c r="W136" s="227"/>
      <c r="X136" s="237" t="e">
        <f>s1inv[[#This Row],[Cost at End of Period]]+s1inv[[#This Row],[Unrealized Appreciation]]-ABS(s1inv[[#This Row],[(Unrealized Depreciation)]])</f>
        <v>#VALUE!</v>
      </c>
      <c r="Y136" s="238">
        <v>0</v>
      </c>
      <c r="Z136" s="238"/>
      <c r="AA136" s="239" t="str">
        <f>IFERROR((s1inv[[#This Row],[SBA Reported Value (B)]]+s1inv[[#This Row],[Cum. Cash Proceeds (D)]])/s1inv[[#This Row],[Total Cash Invested (A)]],"")</f>
        <v/>
      </c>
      <c r="AB136" s="240"/>
      <c r="AC136" s="239" t="str">
        <f>IFERROR((s1inv[[#This Row],[GAAP Reported Value (C)]]+s1inv[[#This Row],[Cum. Cash Proceeds (D)]])/s1inv[[#This Row],[Total Cash Invested (A)]],"")</f>
        <v/>
      </c>
      <c r="AD136" s="240"/>
      <c r="AE136" s="241" t="str">
        <f>IF(IFERROR(VLOOKUP(s1inv[[#This Row],[Portfolio Company Name]],s11cumperf[],4,FALSE),"")="","",(IFERROR(VLOOKUP(s1inv[[#This Row],[Portfolio Company Name]],s11cumperf[],4,FALSE),"")))</f>
        <v/>
      </c>
    </row>
    <row r="137" spans="1:31" s="242" customFormat="1" x14ac:dyDescent="0.35">
      <c r="A137" s="223" t="s">
        <v>243</v>
      </c>
      <c r="B137" s="224" t="str">
        <f>IF(IFERROR(VLOOKUP(s1inv[[#This Row],[Portfolio Company Name]],s11cumperf[],2,FALSE),"")="","",(IFERROR(VLOOKUP(s1inv[[#This Row],[Portfolio Company Name]],s11cumperf[],2,FALSE),"")))</f>
        <v/>
      </c>
      <c r="C137" s="694"/>
      <c r="D137" s="225"/>
      <c r="E137" s="226"/>
      <c r="F137" s="227"/>
      <c r="G137" s="228"/>
      <c r="H137" s="229"/>
      <c r="I137" s="230"/>
      <c r="J137" s="231"/>
      <c r="K137" s="232"/>
      <c r="L137" s="227"/>
      <c r="M137" s="233"/>
      <c r="N137" s="233"/>
      <c r="O137" s="234"/>
      <c r="P137" s="235" t="e">
        <f>IF(s1inv[[#This Row],[Schedule 1c Reference Number]]="",0,SUMIF(sched1c[Reference ID],s1inv[[#This Row],[Employer ID]]&amp;"-"&amp;s1inv[[#This Row],[Schedule 1c Reference Number]],sched1c[Change to Cost]))</f>
        <v>#VALUE!</v>
      </c>
      <c r="Q137" s="233"/>
      <c r="R137" s="235" t="e">
        <f>s1inv[[#This Row],[Cost at Beginning Period]]+s1inv[[#This Row],[Addition/
Deduction]]</f>
        <v>#VALUE!</v>
      </c>
      <c r="S137" s="233"/>
      <c r="T137" s="236"/>
      <c r="U137" s="233"/>
      <c r="V137" s="225"/>
      <c r="W137" s="227"/>
      <c r="X137" s="237" t="e">
        <f>s1inv[[#This Row],[Cost at End of Period]]+s1inv[[#This Row],[Unrealized Appreciation]]-ABS(s1inv[[#This Row],[(Unrealized Depreciation)]])</f>
        <v>#VALUE!</v>
      </c>
      <c r="Y137" s="238">
        <v>0</v>
      </c>
      <c r="Z137" s="238"/>
      <c r="AA137" s="239" t="str">
        <f>IFERROR((s1inv[[#This Row],[SBA Reported Value (B)]]+s1inv[[#This Row],[Cum. Cash Proceeds (D)]])/s1inv[[#This Row],[Total Cash Invested (A)]],"")</f>
        <v/>
      </c>
      <c r="AB137" s="240"/>
      <c r="AC137" s="239" t="str">
        <f>IFERROR((s1inv[[#This Row],[GAAP Reported Value (C)]]+s1inv[[#This Row],[Cum. Cash Proceeds (D)]])/s1inv[[#This Row],[Total Cash Invested (A)]],"")</f>
        <v/>
      </c>
      <c r="AD137" s="240"/>
      <c r="AE137" s="241" t="str">
        <f>IF(IFERROR(VLOOKUP(s1inv[[#This Row],[Portfolio Company Name]],s11cumperf[],4,FALSE),"")="","",(IFERROR(VLOOKUP(s1inv[[#This Row],[Portfolio Company Name]],s11cumperf[],4,FALSE),"")))</f>
        <v/>
      </c>
    </row>
    <row r="138" spans="1:31" s="242" customFormat="1" x14ac:dyDescent="0.35">
      <c r="A138" s="223" t="s">
        <v>243</v>
      </c>
      <c r="B138" s="224" t="str">
        <f>IF(IFERROR(VLOOKUP(s1inv[[#This Row],[Portfolio Company Name]],s11cumperf[],2,FALSE),"")="","",(IFERROR(VLOOKUP(s1inv[[#This Row],[Portfolio Company Name]],s11cumperf[],2,FALSE),"")))</f>
        <v/>
      </c>
      <c r="C138" s="694"/>
      <c r="D138" s="225"/>
      <c r="E138" s="226"/>
      <c r="F138" s="227"/>
      <c r="G138" s="228"/>
      <c r="H138" s="229"/>
      <c r="I138" s="230"/>
      <c r="J138" s="231"/>
      <c r="K138" s="232"/>
      <c r="L138" s="227"/>
      <c r="M138" s="233"/>
      <c r="N138" s="233"/>
      <c r="O138" s="234"/>
      <c r="P138" s="235" t="e">
        <f>IF(s1inv[[#This Row],[Schedule 1c Reference Number]]="",0,SUMIF(sched1c[Reference ID],s1inv[[#This Row],[Employer ID]]&amp;"-"&amp;s1inv[[#This Row],[Schedule 1c Reference Number]],sched1c[Change to Cost]))</f>
        <v>#VALUE!</v>
      </c>
      <c r="Q138" s="233"/>
      <c r="R138" s="235" t="e">
        <f>s1inv[[#This Row],[Cost at Beginning Period]]+s1inv[[#This Row],[Addition/
Deduction]]</f>
        <v>#VALUE!</v>
      </c>
      <c r="S138" s="233"/>
      <c r="T138" s="236"/>
      <c r="U138" s="233"/>
      <c r="V138" s="225"/>
      <c r="W138" s="227"/>
      <c r="X138" s="237" t="e">
        <f>s1inv[[#This Row],[Cost at End of Period]]+s1inv[[#This Row],[Unrealized Appreciation]]-ABS(s1inv[[#This Row],[(Unrealized Depreciation)]])</f>
        <v>#VALUE!</v>
      </c>
      <c r="Y138" s="238">
        <v>0</v>
      </c>
      <c r="Z138" s="238"/>
      <c r="AA138" s="239" t="str">
        <f>IFERROR((s1inv[[#This Row],[SBA Reported Value (B)]]+s1inv[[#This Row],[Cum. Cash Proceeds (D)]])/s1inv[[#This Row],[Total Cash Invested (A)]],"")</f>
        <v/>
      </c>
      <c r="AB138" s="240"/>
      <c r="AC138" s="239" t="str">
        <f>IFERROR((s1inv[[#This Row],[GAAP Reported Value (C)]]+s1inv[[#This Row],[Cum. Cash Proceeds (D)]])/s1inv[[#This Row],[Total Cash Invested (A)]],"")</f>
        <v/>
      </c>
      <c r="AD138" s="240"/>
      <c r="AE138" s="241" t="str">
        <f>IF(IFERROR(VLOOKUP(s1inv[[#This Row],[Portfolio Company Name]],s11cumperf[],4,FALSE),"")="","",(IFERROR(VLOOKUP(s1inv[[#This Row],[Portfolio Company Name]],s11cumperf[],4,FALSE),"")))</f>
        <v/>
      </c>
    </row>
    <row r="139" spans="1:31" s="242" customFormat="1" x14ac:dyDescent="0.35">
      <c r="A139" s="223" t="s">
        <v>243</v>
      </c>
      <c r="B139" s="224" t="str">
        <f>IF(IFERROR(VLOOKUP(s1inv[[#This Row],[Portfolio Company Name]],s11cumperf[],2,FALSE),"")="","",(IFERROR(VLOOKUP(s1inv[[#This Row],[Portfolio Company Name]],s11cumperf[],2,FALSE),"")))</f>
        <v/>
      </c>
      <c r="C139" s="694"/>
      <c r="D139" s="225"/>
      <c r="E139" s="226"/>
      <c r="F139" s="227"/>
      <c r="G139" s="228"/>
      <c r="H139" s="229"/>
      <c r="I139" s="230"/>
      <c r="J139" s="231"/>
      <c r="K139" s="232"/>
      <c r="L139" s="227"/>
      <c r="M139" s="233"/>
      <c r="N139" s="233"/>
      <c r="O139" s="234"/>
      <c r="P139" s="235" t="e">
        <f>IF(s1inv[[#This Row],[Schedule 1c Reference Number]]="",0,SUMIF(sched1c[Reference ID],s1inv[[#This Row],[Employer ID]]&amp;"-"&amp;s1inv[[#This Row],[Schedule 1c Reference Number]],sched1c[Change to Cost]))</f>
        <v>#VALUE!</v>
      </c>
      <c r="Q139" s="233"/>
      <c r="R139" s="235" t="e">
        <f>s1inv[[#This Row],[Cost at Beginning Period]]+s1inv[[#This Row],[Addition/
Deduction]]</f>
        <v>#VALUE!</v>
      </c>
      <c r="S139" s="233"/>
      <c r="T139" s="236"/>
      <c r="U139" s="233"/>
      <c r="V139" s="225"/>
      <c r="W139" s="227"/>
      <c r="X139" s="237" t="e">
        <f>s1inv[[#This Row],[Cost at End of Period]]+s1inv[[#This Row],[Unrealized Appreciation]]-ABS(s1inv[[#This Row],[(Unrealized Depreciation)]])</f>
        <v>#VALUE!</v>
      </c>
      <c r="Y139" s="238">
        <v>0</v>
      </c>
      <c r="Z139" s="238"/>
      <c r="AA139" s="239" t="str">
        <f>IFERROR((s1inv[[#This Row],[SBA Reported Value (B)]]+s1inv[[#This Row],[Cum. Cash Proceeds (D)]])/s1inv[[#This Row],[Total Cash Invested (A)]],"")</f>
        <v/>
      </c>
      <c r="AB139" s="240"/>
      <c r="AC139" s="239" t="str">
        <f>IFERROR((s1inv[[#This Row],[GAAP Reported Value (C)]]+s1inv[[#This Row],[Cum. Cash Proceeds (D)]])/s1inv[[#This Row],[Total Cash Invested (A)]],"")</f>
        <v/>
      </c>
      <c r="AD139" s="240"/>
      <c r="AE139" s="241" t="str">
        <f>IF(IFERROR(VLOOKUP(s1inv[[#This Row],[Portfolio Company Name]],s11cumperf[],4,FALSE),"")="","",(IFERROR(VLOOKUP(s1inv[[#This Row],[Portfolio Company Name]],s11cumperf[],4,FALSE),"")))</f>
        <v/>
      </c>
    </row>
    <row r="140" spans="1:31" s="242" customFormat="1" x14ac:dyDescent="0.35">
      <c r="A140" s="223" t="s">
        <v>243</v>
      </c>
      <c r="B140" s="224" t="str">
        <f>IF(IFERROR(VLOOKUP(s1inv[[#This Row],[Portfolio Company Name]],s11cumperf[],2,FALSE),"")="","",(IFERROR(VLOOKUP(s1inv[[#This Row],[Portfolio Company Name]],s11cumperf[],2,FALSE),"")))</f>
        <v/>
      </c>
      <c r="C140" s="694"/>
      <c r="D140" s="225"/>
      <c r="E140" s="226"/>
      <c r="F140" s="227"/>
      <c r="G140" s="228"/>
      <c r="H140" s="229"/>
      <c r="I140" s="230"/>
      <c r="J140" s="231"/>
      <c r="K140" s="232"/>
      <c r="L140" s="227"/>
      <c r="M140" s="233"/>
      <c r="N140" s="233"/>
      <c r="O140" s="234"/>
      <c r="P140" s="235" t="e">
        <f>IF(s1inv[[#This Row],[Schedule 1c Reference Number]]="",0,SUMIF(sched1c[Reference ID],s1inv[[#This Row],[Employer ID]]&amp;"-"&amp;s1inv[[#This Row],[Schedule 1c Reference Number]],sched1c[Change to Cost]))</f>
        <v>#VALUE!</v>
      </c>
      <c r="Q140" s="233"/>
      <c r="R140" s="235" t="e">
        <f>s1inv[[#This Row],[Cost at Beginning Period]]+s1inv[[#This Row],[Addition/
Deduction]]</f>
        <v>#VALUE!</v>
      </c>
      <c r="S140" s="233"/>
      <c r="T140" s="236"/>
      <c r="U140" s="233"/>
      <c r="V140" s="225"/>
      <c r="W140" s="227"/>
      <c r="X140" s="237" t="e">
        <f>s1inv[[#This Row],[Cost at End of Period]]+s1inv[[#This Row],[Unrealized Appreciation]]-ABS(s1inv[[#This Row],[(Unrealized Depreciation)]])</f>
        <v>#VALUE!</v>
      </c>
      <c r="Y140" s="238">
        <v>0</v>
      </c>
      <c r="Z140" s="238"/>
      <c r="AA140" s="239" t="str">
        <f>IFERROR((s1inv[[#This Row],[SBA Reported Value (B)]]+s1inv[[#This Row],[Cum. Cash Proceeds (D)]])/s1inv[[#This Row],[Total Cash Invested (A)]],"")</f>
        <v/>
      </c>
      <c r="AB140" s="240"/>
      <c r="AC140" s="239" t="str">
        <f>IFERROR((s1inv[[#This Row],[GAAP Reported Value (C)]]+s1inv[[#This Row],[Cum. Cash Proceeds (D)]])/s1inv[[#This Row],[Total Cash Invested (A)]],"")</f>
        <v/>
      </c>
      <c r="AD140" s="240"/>
      <c r="AE140" s="241" t="str">
        <f>IF(IFERROR(VLOOKUP(s1inv[[#This Row],[Portfolio Company Name]],s11cumperf[],4,FALSE),"")="","",(IFERROR(VLOOKUP(s1inv[[#This Row],[Portfolio Company Name]],s11cumperf[],4,FALSE),"")))</f>
        <v/>
      </c>
    </row>
    <row r="141" spans="1:31" s="242" customFormat="1" x14ac:dyDescent="0.35">
      <c r="A141" s="223" t="s">
        <v>243</v>
      </c>
      <c r="B141" s="224" t="str">
        <f>IF(IFERROR(VLOOKUP(s1inv[[#This Row],[Portfolio Company Name]],s11cumperf[],2,FALSE),"")="","",(IFERROR(VLOOKUP(s1inv[[#This Row],[Portfolio Company Name]],s11cumperf[],2,FALSE),"")))</f>
        <v/>
      </c>
      <c r="C141" s="694"/>
      <c r="D141" s="225"/>
      <c r="E141" s="226"/>
      <c r="F141" s="227"/>
      <c r="G141" s="228"/>
      <c r="H141" s="229"/>
      <c r="I141" s="230"/>
      <c r="J141" s="231"/>
      <c r="K141" s="232"/>
      <c r="L141" s="227"/>
      <c r="M141" s="233"/>
      <c r="N141" s="233"/>
      <c r="O141" s="234"/>
      <c r="P141" s="235" t="e">
        <f>IF(s1inv[[#This Row],[Schedule 1c Reference Number]]="",0,SUMIF(sched1c[Reference ID],s1inv[[#This Row],[Employer ID]]&amp;"-"&amp;s1inv[[#This Row],[Schedule 1c Reference Number]],sched1c[Change to Cost]))</f>
        <v>#VALUE!</v>
      </c>
      <c r="Q141" s="233"/>
      <c r="R141" s="235" t="e">
        <f>s1inv[[#This Row],[Cost at Beginning Period]]+s1inv[[#This Row],[Addition/
Deduction]]</f>
        <v>#VALUE!</v>
      </c>
      <c r="S141" s="233"/>
      <c r="T141" s="236"/>
      <c r="U141" s="233"/>
      <c r="V141" s="225"/>
      <c r="W141" s="227"/>
      <c r="X141" s="237" t="e">
        <f>s1inv[[#This Row],[Cost at End of Period]]+s1inv[[#This Row],[Unrealized Appreciation]]-ABS(s1inv[[#This Row],[(Unrealized Depreciation)]])</f>
        <v>#VALUE!</v>
      </c>
      <c r="Y141" s="238">
        <v>0</v>
      </c>
      <c r="Z141" s="238"/>
      <c r="AA141" s="239" t="str">
        <f>IFERROR((s1inv[[#This Row],[SBA Reported Value (B)]]+s1inv[[#This Row],[Cum. Cash Proceeds (D)]])/s1inv[[#This Row],[Total Cash Invested (A)]],"")</f>
        <v/>
      </c>
      <c r="AB141" s="240"/>
      <c r="AC141" s="239" t="str">
        <f>IFERROR((s1inv[[#This Row],[GAAP Reported Value (C)]]+s1inv[[#This Row],[Cum. Cash Proceeds (D)]])/s1inv[[#This Row],[Total Cash Invested (A)]],"")</f>
        <v/>
      </c>
      <c r="AD141" s="240"/>
      <c r="AE141" s="241" t="str">
        <f>IF(IFERROR(VLOOKUP(s1inv[[#This Row],[Portfolio Company Name]],s11cumperf[],4,FALSE),"")="","",(IFERROR(VLOOKUP(s1inv[[#This Row],[Portfolio Company Name]],s11cumperf[],4,FALSE),"")))</f>
        <v/>
      </c>
    </row>
    <row r="142" spans="1:31" s="242" customFormat="1" x14ac:dyDescent="0.35">
      <c r="A142" s="223" t="s">
        <v>243</v>
      </c>
      <c r="B142" s="224" t="str">
        <f>IF(IFERROR(VLOOKUP(s1inv[[#This Row],[Portfolio Company Name]],s11cumperf[],2,FALSE),"")="","",(IFERROR(VLOOKUP(s1inv[[#This Row],[Portfolio Company Name]],s11cumperf[],2,FALSE),"")))</f>
        <v/>
      </c>
      <c r="C142" s="694"/>
      <c r="D142" s="225"/>
      <c r="E142" s="226"/>
      <c r="F142" s="227"/>
      <c r="G142" s="228"/>
      <c r="H142" s="229"/>
      <c r="I142" s="230"/>
      <c r="J142" s="231"/>
      <c r="K142" s="232"/>
      <c r="L142" s="227"/>
      <c r="M142" s="233"/>
      <c r="N142" s="233"/>
      <c r="O142" s="234"/>
      <c r="P142" s="235" t="e">
        <f>IF(s1inv[[#This Row],[Schedule 1c Reference Number]]="",0,SUMIF(sched1c[Reference ID],s1inv[[#This Row],[Employer ID]]&amp;"-"&amp;s1inv[[#This Row],[Schedule 1c Reference Number]],sched1c[Change to Cost]))</f>
        <v>#VALUE!</v>
      </c>
      <c r="Q142" s="233"/>
      <c r="R142" s="235" t="e">
        <f>s1inv[[#This Row],[Cost at Beginning Period]]+s1inv[[#This Row],[Addition/
Deduction]]</f>
        <v>#VALUE!</v>
      </c>
      <c r="S142" s="233"/>
      <c r="T142" s="236"/>
      <c r="U142" s="233"/>
      <c r="V142" s="225"/>
      <c r="W142" s="227"/>
      <c r="X142" s="237" t="e">
        <f>s1inv[[#This Row],[Cost at End of Period]]+s1inv[[#This Row],[Unrealized Appreciation]]-ABS(s1inv[[#This Row],[(Unrealized Depreciation)]])</f>
        <v>#VALUE!</v>
      </c>
      <c r="Y142" s="238">
        <v>0</v>
      </c>
      <c r="Z142" s="238"/>
      <c r="AA142" s="239" t="str">
        <f>IFERROR((s1inv[[#This Row],[SBA Reported Value (B)]]+s1inv[[#This Row],[Cum. Cash Proceeds (D)]])/s1inv[[#This Row],[Total Cash Invested (A)]],"")</f>
        <v/>
      </c>
      <c r="AB142" s="240"/>
      <c r="AC142" s="239" t="str">
        <f>IFERROR((s1inv[[#This Row],[GAAP Reported Value (C)]]+s1inv[[#This Row],[Cum. Cash Proceeds (D)]])/s1inv[[#This Row],[Total Cash Invested (A)]],"")</f>
        <v/>
      </c>
      <c r="AD142" s="240"/>
      <c r="AE142" s="241" t="str">
        <f>IF(IFERROR(VLOOKUP(s1inv[[#This Row],[Portfolio Company Name]],s11cumperf[],4,FALSE),"")="","",(IFERROR(VLOOKUP(s1inv[[#This Row],[Portfolio Company Name]],s11cumperf[],4,FALSE),"")))</f>
        <v/>
      </c>
    </row>
    <row r="143" spans="1:31" s="242" customFormat="1" x14ac:dyDescent="0.35">
      <c r="A143" s="223" t="s">
        <v>243</v>
      </c>
      <c r="B143" s="224" t="str">
        <f>IF(IFERROR(VLOOKUP(s1inv[[#This Row],[Portfolio Company Name]],s11cumperf[],2,FALSE),"")="","",(IFERROR(VLOOKUP(s1inv[[#This Row],[Portfolio Company Name]],s11cumperf[],2,FALSE),"")))</f>
        <v/>
      </c>
      <c r="C143" s="694"/>
      <c r="D143" s="225"/>
      <c r="E143" s="226"/>
      <c r="F143" s="227"/>
      <c r="G143" s="228"/>
      <c r="H143" s="229"/>
      <c r="I143" s="230"/>
      <c r="J143" s="231"/>
      <c r="K143" s="232"/>
      <c r="L143" s="227"/>
      <c r="M143" s="233"/>
      <c r="N143" s="233"/>
      <c r="O143" s="234"/>
      <c r="P143" s="235" t="e">
        <f>IF(s1inv[[#This Row],[Schedule 1c Reference Number]]="",0,SUMIF(sched1c[Reference ID],s1inv[[#This Row],[Employer ID]]&amp;"-"&amp;s1inv[[#This Row],[Schedule 1c Reference Number]],sched1c[Change to Cost]))</f>
        <v>#VALUE!</v>
      </c>
      <c r="Q143" s="233"/>
      <c r="R143" s="235" t="e">
        <f>s1inv[[#This Row],[Cost at Beginning Period]]+s1inv[[#This Row],[Addition/
Deduction]]</f>
        <v>#VALUE!</v>
      </c>
      <c r="S143" s="233"/>
      <c r="T143" s="236"/>
      <c r="U143" s="233"/>
      <c r="V143" s="225"/>
      <c r="W143" s="227"/>
      <c r="X143" s="237" t="e">
        <f>s1inv[[#This Row],[Cost at End of Period]]+s1inv[[#This Row],[Unrealized Appreciation]]-ABS(s1inv[[#This Row],[(Unrealized Depreciation)]])</f>
        <v>#VALUE!</v>
      </c>
      <c r="Y143" s="238">
        <v>0</v>
      </c>
      <c r="Z143" s="238"/>
      <c r="AA143" s="239" t="str">
        <f>IFERROR((s1inv[[#This Row],[SBA Reported Value (B)]]+s1inv[[#This Row],[Cum. Cash Proceeds (D)]])/s1inv[[#This Row],[Total Cash Invested (A)]],"")</f>
        <v/>
      </c>
      <c r="AB143" s="240"/>
      <c r="AC143" s="239" t="str">
        <f>IFERROR((s1inv[[#This Row],[GAAP Reported Value (C)]]+s1inv[[#This Row],[Cum. Cash Proceeds (D)]])/s1inv[[#This Row],[Total Cash Invested (A)]],"")</f>
        <v/>
      </c>
      <c r="AD143" s="240"/>
      <c r="AE143" s="241" t="str">
        <f>IF(IFERROR(VLOOKUP(s1inv[[#This Row],[Portfolio Company Name]],s11cumperf[],4,FALSE),"")="","",(IFERROR(VLOOKUP(s1inv[[#This Row],[Portfolio Company Name]],s11cumperf[],4,FALSE),"")))</f>
        <v/>
      </c>
    </row>
    <row r="144" spans="1:31" s="242" customFormat="1" x14ac:dyDescent="0.35">
      <c r="A144" s="223" t="s">
        <v>243</v>
      </c>
      <c r="B144" s="224" t="str">
        <f>IF(IFERROR(VLOOKUP(s1inv[[#This Row],[Portfolio Company Name]],s11cumperf[],2,FALSE),"")="","",(IFERROR(VLOOKUP(s1inv[[#This Row],[Portfolio Company Name]],s11cumperf[],2,FALSE),"")))</f>
        <v/>
      </c>
      <c r="C144" s="694"/>
      <c r="D144" s="225"/>
      <c r="E144" s="226"/>
      <c r="F144" s="227"/>
      <c r="G144" s="228"/>
      <c r="H144" s="229"/>
      <c r="I144" s="230"/>
      <c r="J144" s="231"/>
      <c r="K144" s="232"/>
      <c r="L144" s="227"/>
      <c r="M144" s="233"/>
      <c r="N144" s="233"/>
      <c r="O144" s="234"/>
      <c r="P144" s="235" t="e">
        <f>IF(s1inv[[#This Row],[Schedule 1c Reference Number]]="",0,SUMIF(sched1c[Reference ID],s1inv[[#This Row],[Employer ID]]&amp;"-"&amp;s1inv[[#This Row],[Schedule 1c Reference Number]],sched1c[Change to Cost]))</f>
        <v>#VALUE!</v>
      </c>
      <c r="Q144" s="233"/>
      <c r="R144" s="235" t="e">
        <f>s1inv[[#This Row],[Cost at Beginning Period]]+s1inv[[#This Row],[Addition/
Deduction]]</f>
        <v>#VALUE!</v>
      </c>
      <c r="S144" s="233"/>
      <c r="T144" s="236"/>
      <c r="U144" s="233"/>
      <c r="V144" s="225"/>
      <c r="W144" s="227"/>
      <c r="X144" s="237" t="e">
        <f>s1inv[[#This Row],[Cost at End of Period]]+s1inv[[#This Row],[Unrealized Appreciation]]-ABS(s1inv[[#This Row],[(Unrealized Depreciation)]])</f>
        <v>#VALUE!</v>
      </c>
      <c r="Y144" s="238">
        <v>0</v>
      </c>
      <c r="Z144" s="238"/>
      <c r="AA144" s="239" t="str">
        <f>IFERROR((s1inv[[#This Row],[SBA Reported Value (B)]]+s1inv[[#This Row],[Cum. Cash Proceeds (D)]])/s1inv[[#This Row],[Total Cash Invested (A)]],"")</f>
        <v/>
      </c>
      <c r="AB144" s="240"/>
      <c r="AC144" s="239" t="str">
        <f>IFERROR((s1inv[[#This Row],[GAAP Reported Value (C)]]+s1inv[[#This Row],[Cum. Cash Proceeds (D)]])/s1inv[[#This Row],[Total Cash Invested (A)]],"")</f>
        <v/>
      </c>
      <c r="AD144" s="240"/>
      <c r="AE144" s="241" t="str">
        <f>IF(IFERROR(VLOOKUP(s1inv[[#This Row],[Portfolio Company Name]],s11cumperf[],4,FALSE),"")="","",(IFERROR(VLOOKUP(s1inv[[#This Row],[Portfolio Company Name]],s11cumperf[],4,FALSE),"")))</f>
        <v/>
      </c>
    </row>
    <row r="145" spans="1:31" s="242" customFormat="1" x14ac:dyDescent="0.35">
      <c r="A145" s="223" t="s">
        <v>243</v>
      </c>
      <c r="B145" s="224" t="str">
        <f>IF(IFERROR(VLOOKUP(s1inv[[#This Row],[Portfolio Company Name]],s11cumperf[],2,FALSE),"")="","",(IFERROR(VLOOKUP(s1inv[[#This Row],[Portfolio Company Name]],s11cumperf[],2,FALSE),"")))</f>
        <v/>
      </c>
      <c r="C145" s="694"/>
      <c r="D145" s="225"/>
      <c r="E145" s="226"/>
      <c r="F145" s="227"/>
      <c r="G145" s="228"/>
      <c r="H145" s="229"/>
      <c r="I145" s="230"/>
      <c r="J145" s="231"/>
      <c r="K145" s="232"/>
      <c r="L145" s="227"/>
      <c r="M145" s="233"/>
      <c r="N145" s="233"/>
      <c r="O145" s="234"/>
      <c r="P145" s="235" t="e">
        <f>IF(s1inv[[#This Row],[Schedule 1c Reference Number]]="",0,SUMIF(sched1c[Reference ID],s1inv[[#This Row],[Employer ID]]&amp;"-"&amp;s1inv[[#This Row],[Schedule 1c Reference Number]],sched1c[Change to Cost]))</f>
        <v>#VALUE!</v>
      </c>
      <c r="Q145" s="233"/>
      <c r="R145" s="235" t="e">
        <f>s1inv[[#This Row],[Cost at Beginning Period]]+s1inv[[#This Row],[Addition/
Deduction]]</f>
        <v>#VALUE!</v>
      </c>
      <c r="S145" s="233"/>
      <c r="T145" s="236"/>
      <c r="U145" s="233"/>
      <c r="V145" s="225"/>
      <c r="W145" s="227"/>
      <c r="X145" s="237" t="e">
        <f>s1inv[[#This Row],[Cost at End of Period]]+s1inv[[#This Row],[Unrealized Appreciation]]-ABS(s1inv[[#This Row],[(Unrealized Depreciation)]])</f>
        <v>#VALUE!</v>
      </c>
      <c r="Y145" s="238">
        <v>0</v>
      </c>
      <c r="Z145" s="238"/>
      <c r="AA145" s="239" t="str">
        <f>IFERROR((s1inv[[#This Row],[SBA Reported Value (B)]]+s1inv[[#This Row],[Cum. Cash Proceeds (D)]])/s1inv[[#This Row],[Total Cash Invested (A)]],"")</f>
        <v/>
      </c>
      <c r="AB145" s="240"/>
      <c r="AC145" s="239" t="str">
        <f>IFERROR((s1inv[[#This Row],[GAAP Reported Value (C)]]+s1inv[[#This Row],[Cum. Cash Proceeds (D)]])/s1inv[[#This Row],[Total Cash Invested (A)]],"")</f>
        <v/>
      </c>
      <c r="AD145" s="240"/>
      <c r="AE145" s="241" t="str">
        <f>IF(IFERROR(VLOOKUP(s1inv[[#This Row],[Portfolio Company Name]],s11cumperf[],4,FALSE),"")="","",(IFERROR(VLOOKUP(s1inv[[#This Row],[Portfolio Company Name]],s11cumperf[],4,FALSE),"")))</f>
        <v/>
      </c>
    </row>
    <row r="146" spans="1:31" s="242" customFormat="1" x14ac:dyDescent="0.35">
      <c r="A146" s="223" t="s">
        <v>243</v>
      </c>
      <c r="B146" s="224" t="str">
        <f>IF(IFERROR(VLOOKUP(s1inv[[#This Row],[Portfolio Company Name]],s11cumperf[],2,FALSE),"")="","",(IFERROR(VLOOKUP(s1inv[[#This Row],[Portfolio Company Name]],s11cumperf[],2,FALSE),"")))</f>
        <v/>
      </c>
      <c r="C146" s="694"/>
      <c r="D146" s="225"/>
      <c r="E146" s="226"/>
      <c r="F146" s="227"/>
      <c r="G146" s="228"/>
      <c r="H146" s="229"/>
      <c r="I146" s="230"/>
      <c r="J146" s="231"/>
      <c r="K146" s="232"/>
      <c r="L146" s="227"/>
      <c r="M146" s="233"/>
      <c r="N146" s="233"/>
      <c r="O146" s="234"/>
      <c r="P146" s="235" t="e">
        <f>IF(s1inv[[#This Row],[Schedule 1c Reference Number]]="",0,SUMIF(sched1c[Reference ID],s1inv[[#This Row],[Employer ID]]&amp;"-"&amp;s1inv[[#This Row],[Schedule 1c Reference Number]],sched1c[Change to Cost]))</f>
        <v>#VALUE!</v>
      </c>
      <c r="Q146" s="233"/>
      <c r="R146" s="235" t="e">
        <f>s1inv[[#This Row],[Cost at Beginning Period]]+s1inv[[#This Row],[Addition/
Deduction]]</f>
        <v>#VALUE!</v>
      </c>
      <c r="S146" s="233"/>
      <c r="T146" s="236"/>
      <c r="U146" s="233"/>
      <c r="V146" s="225"/>
      <c r="W146" s="227"/>
      <c r="X146" s="237" t="e">
        <f>s1inv[[#This Row],[Cost at End of Period]]+s1inv[[#This Row],[Unrealized Appreciation]]-ABS(s1inv[[#This Row],[(Unrealized Depreciation)]])</f>
        <v>#VALUE!</v>
      </c>
      <c r="Y146" s="238">
        <v>0</v>
      </c>
      <c r="Z146" s="238"/>
      <c r="AA146" s="239" t="str">
        <f>IFERROR((s1inv[[#This Row],[SBA Reported Value (B)]]+s1inv[[#This Row],[Cum. Cash Proceeds (D)]])/s1inv[[#This Row],[Total Cash Invested (A)]],"")</f>
        <v/>
      </c>
      <c r="AB146" s="240"/>
      <c r="AC146" s="239" t="str">
        <f>IFERROR((s1inv[[#This Row],[GAAP Reported Value (C)]]+s1inv[[#This Row],[Cum. Cash Proceeds (D)]])/s1inv[[#This Row],[Total Cash Invested (A)]],"")</f>
        <v/>
      </c>
      <c r="AD146" s="240"/>
      <c r="AE146" s="241" t="str">
        <f>IF(IFERROR(VLOOKUP(s1inv[[#This Row],[Portfolio Company Name]],s11cumperf[],4,FALSE),"")="","",(IFERROR(VLOOKUP(s1inv[[#This Row],[Portfolio Company Name]],s11cumperf[],4,FALSE),"")))</f>
        <v/>
      </c>
    </row>
    <row r="147" spans="1:31" s="242" customFormat="1" x14ac:dyDescent="0.35">
      <c r="A147" s="223" t="s">
        <v>243</v>
      </c>
      <c r="B147" s="224" t="str">
        <f>IF(IFERROR(VLOOKUP(s1inv[[#This Row],[Portfolio Company Name]],s11cumperf[],2,FALSE),"")="","",(IFERROR(VLOOKUP(s1inv[[#This Row],[Portfolio Company Name]],s11cumperf[],2,FALSE),"")))</f>
        <v/>
      </c>
      <c r="C147" s="694"/>
      <c r="D147" s="225"/>
      <c r="E147" s="226"/>
      <c r="F147" s="227"/>
      <c r="G147" s="228"/>
      <c r="H147" s="229"/>
      <c r="I147" s="230"/>
      <c r="J147" s="231"/>
      <c r="K147" s="232"/>
      <c r="L147" s="227"/>
      <c r="M147" s="233"/>
      <c r="N147" s="233"/>
      <c r="O147" s="234"/>
      <c r="P147" s="235" t="e">
        <f>IF(s1inv[[#This Row],[Schedule 1c Reference Number]]="",0,SUMIF(sched1c[Reference ID],s1inv[[#This Row],[Employer ID]]&amp;"-"&amp;s1inv[[#This Row],[Schedule 1c Reference Number]],sched1c[Change to Cost]))</f>
        <v>#VALUE!</v>
      </c>
      <c r="Q147" s="233"/>
      <c r="R147" s="235" t="e">
        <f>s1inv[[#This Row],[Cost at Beginning Period]]+s1inv[[#This Row],[Addition/
Deduction]]</f>
        <v>#VALUE!</v>
      </c>
      <c r="S147" s="233"/>
      <c r="T147" s="236"/>
      <c r="U147" s="233"/>
      <c r="V147" s="225"/>
      <c r="W147" s="227"/>
      <c r="X147" s="237" t="e">
        <f>s1inv[[#This Row],[Cost at End of Period]]+s1inv[[#This Row],[Unrealized Appreciation]]-ABS(s1inv[[#This Row],[(Unrealized Depreciation)]])</f>
        <v>#VALUE!</v>
      </c>
      <c r="Y147" s="238">
        <v>0</v>
      </c>
      <c r="Z147" s="238"/>
      <c r="AA147" s="239" t="str">
        <f>IFERROR((s1inv[[#This Row],[SBA Reported Value (B)]]+s1inv[[#This Row],[Cum. Cash Proceeds (D)]])/s1inv[[#This Row],[Total Cash Invested (A)]],"")</f>
        <v/>
      </c>
      <c r="AB147" s="240"/>
      <c r="AC147" s="239" t="str">
        <f>IFERROR((s1inv[[#This Row],[GAAP Reported Value (C)]]+s1inv[[#This Row],[Cum. Cash Proceeds (D)]])/s1inv[[#This Row],[Total Cash Invested (A)]],"")</f>
        <v/>
      </c>
      <c r="AD147" s="240"/>
      <c r="AE147" s="241" t="str">
        <f>IF(IFERROR(VLOOKUP(s1inv[[#This Row],[Portfolio Company Name]],s11cumperf[],4,FALSE),"")="","",(IFERROR(VLOOKUP(s1inv[[#This Row],[Portfolio Company Name]],s11cumperf[],4,FALSE),"")))</f>
        <v/>
      </c>
    </row>
    <row r="148" spans="1:31" s="242" customFormat="1" x14ac:dyDescent="0.35">
      <c r="A148" s="223" t="s">
        <v>243</v>
      </c>
      <c r="B148" s="224" t="str">
        <f>IF(IFERROR(VLOOKUP(s1inv[[#This Row],[Portfolio Company Name]],s11cumperf[],2,FALSE),"")="","",(IFERROR(VLOOKUP(s1inv[[#This Row],[Portfolio Company Name]],s11cumperf[],2,FALSE),"")))</f>
        <v/>
      </c>
      <c r="C148" s="694"/>
      <c r="D148" s="225"/>
      <c r="E148" s="226"/>
      <c r="F148" s="227"/>
      <c r="G148" s="228"/>
      <c r="H148" s="229"/>
      <c r="I148" s="230"/>
      <c r="J148" s="231"/>
      <c r="K148" s="232"/>
      <c r="L148" s="227"/>
      <c r="M148" s="233"/>
      <c r="N148" s="233"/>
      <c r="O148" s="234"/>
      <c r="P148" s="235" t="e">
        <f>IF(s1inv[[#This Row],[Schedule 1c Reference Number]]="",0,SUMIF(sched1c[Reference ID],s1inv[[#This Row],[Employer ID]]&amp;"-"&amp;s1inv[[#This Row],[Schedule 1c Reference Number]],sched1c[Change to Cost]))</f>
        <v>#VALUE!</v>
      </c>
      <c r="Q148" s="233"/>
      <c r="R148" s="235" t="e">
        <f>s1inv[[#This Row],[Cost at Beginning Period]]+s1inv[[#This Row],[Addition/
Deduction]]</f>
        <v>#VALUE!</v>
      </c>
      <c r="S148" s="233"/>
      <c r="T148" s="236"/>
      <c r="U148" s="233"/>
      <c r="V148" s="225"/>
      <c r="W148" s="227"/>
      <c r="X148" s="237" t="e">
        <f>s1inv[[#This Row],[Cost at End of Period]]+s1inv[[#This Row],[Unrealized Appreciation]]-ABS(s1inv[[#This Row],[(Unrealized Depreciation)]])</f>
        <v>#VALUE!</v>
      </c>
      <c r="Y148" s="238">
        <v>0</v>
      </c>
      <c r="Z148" s="238"/>
      <c r="AA148" s="239" t="str">
        <f>IFERROR((s1inv[[#This Row],[SBA Reported Value (B)]]+s1inv[[#This Row],[Cum. Cash Proceeds (D)]])/s1inv[[#This Row],[Total Cash Invested (A)]],"")</f>
        <v/>
      </c>
      <c r="AB148" s="240"/>
      <c r="AC148" s="239" t="str">
        <f>IFERROR((s1inv[[#This Row],[GAAP Reported Value (C)]]+s1inv[[#This Row],[Cum. Cash Proceeds (D)]])/s1inv[[#This Row],[Total Cash Invested (A)]],"")</f>
        <v/>
      </c>
      <c r="AD148" s="240"/>
      <c r="AE148" s="241" t="str">
        <f>IF(IFERROR(VLOOKUP(s1inv[[#This Row],[Portfolio Company Name]],s11cumperf[],4,FALSE),"")="","",(IFERROR(VLOOKUP(s1inv[[#This Row],[Portfolio Company Name]],s11cumperf[],4,FALSE),"")))</f>
        <v/>
      </c>
    </row>
    <row r="149" spans="1:31" s="242" customFormat="1" x14ac:dyDescent="0.35">
      <c r="A149" s="223" t="s">
        <v>243</v>
      </c>
      <c r="B149" s="224" t="str">
        <f>IF(IFERROR(VLOOKUP(s1inv[[#This Row],[Portfolio Company Name]],s11cumperf[],2,FALSE),"")="","",(IFERROR(VLOOKUP(s1inv[[#This Row],[Portfolio Company Name]],s11cumperf[],2,FALSE),"")))</f>
        <v/>
      </c>
      <c r="C149" s="694"/>
      <c r="D149" s="225"/>
      <c r="E149" s="226"/>
      <c r="F149" s="227"/>
      <c r="G149" s="228"/>
      <c r="H149" s="229"/>
      <c r="I149" s="230"/>
      <c r="J149" s="231"/>
      <c r="K149" s="232"/>
      <c r="L149" s="227"/>
      <c r="M149" s="233"/>
      <c r="N149" s="233"/>
      <c r="O149" s="234"/>
      <c r="P149" s="235" t="e">
        <f>IF(s1inv[[#This Row],[Schedule 1c Reference Number]]="",0,SUMIF(sched1c[Reference ID],s1inv[[#This Row],[Employer ID]]&amp;"-"&amp;s1inv[[#This Row],[Schedule 1c Reference Number]],sched1c[Change to Cost]))</f>
        <v>#VALUE!</v>
      </c>
      <c r="Q149" s="233"/>
      <c r="R149" s="235" t="e">
        <f>s1inv[[#This Row],[Cost at Beginning Period]]+s1inv[[#This Row],[Addition/
Deduction]]</f>
        <v>#VALUE!</v>
      </c>
      <c r="S149" s="233"/>
      <c r="T149" s="236"/>
      <c r="U149" s="233"/>
      <c r="V149" s="225"/>
      <c r="W149" s="227"/>
      <c r="X149" s="237" t="e">
        <f>s1inv[[#This Row],[Cost at End of Period]]+s1inv[[#This Row],[Unrealized Appreciation]]-ABS(s1inv[[#This Row],[(Unrealized Depreciation)]])</f>
        <v>#VALUE!</v>
      </c>
      <c r="Y149" s="238">
        <v>0</v>
      </c>
      <c r="Z149" s="238"/>
      <c r="AA149" s="239" t="str">
        <f>IFERROR((s1inv[[#This Row],[SBA Reported Value (B)]]+s1inv[[#This Row],[Cum. Cash Proceeds (D)]])/s1inv[[#This Row],[Total Cash Invested (A)]],"")</f>
        <v/>
      </c>
      <c r="AB149" s="240"/>
      <c r="AC149" s="239" t="str">
        <f>IFERROR((s1inv[[#This Row],[GAAP Reported Value (C)]]+s1inv[[#This Row],[Cum. Cash Proceeds (D)]])/s1inv[[#This Row],[Total Cash Invested (A)]],"")</f>
        <v/>
      </c>
      <c r="AD149" s="240"/>
      <c r="AE149" s="241" t="str">
        <f>IF(IFERROR(VLOOKUP(s1inv[[#This Row],[Portfolio Company Name]],s11cumperf[],4,FALSE),"")="","",(IFERROR(VLOOKUP(s1inv[[#This Row],[Portfolio Company Name]],s11cumperf[],4,FALSE),"")))</f>
        <v/>
      </c>
    </row>
    <row r="150" spans="1:31" s="242" customFormat="1" x14ac:dyDescent="0.35">
      <c r="A150" s="223" t="s">
        <v>243</v>
      </c>
      <c r="B150" s="224" t="str">
        <f>IF(IFERROR(VLOOKUP(s1inv[[#This Row],[Portfolio Company Name]],s11cumperf[],2,FALSE),"")="","",(IFERROR(VLOOKUP(s1inv[[#This Row],[Portfolio Company Name]],s11cumperf[],2,FALSE),"")))</f>
        <v/>
      </c>
      <c r="C150" s="694"/>
      <c r="D150" s="225"/>
      <c r="E150" s="226"/>
      <c r="F150" s="227"/>
      <c r="G150" s="228"/>
      <c r="H150" s="229"/>
      <c r="I150" s="230"/>
      <c r="J150" s="231"/>
      <c r="K150" s="232"/>
      <c r="L150" s="227"/>
      <c r="M150" s="233"/>
      <c r="N150" s="233"/>
      <c r="O150" s="234"/>
      <c r="P150" s="235" t="e">
        <f>IF(s1inv[[#This Row],[Schedule 1c Reference Number]]="",0,SUMIF(sched1c[Reference ID],s1inv[[#This Row],[Employer ID]]&amp;"-"&amp;s1inv[[#This Row],[Schedule 1c Reference Number]],sched1c[Change to Cost]))</f>
        <v>#VALUE!</v>
      </c>
      <c r="Q150" s="233"/>
      <c r="R150" s="235" t="e">
        <f>s1inv[[#This Row],[Cost at Beginning Period]]+s1inv[[#This Row],[Addition/
Deduction]]</f>
        <v>#VALUE!</v>
      </c>
      <c r="S150" s="233"/>
      <c r="T150" s="236"/>
      <c r="U150" s="233"/>
      <c r="V150" s="225"/>
      <c r="W150" s="227"/>
      <c r="X150" s="237" t="e">
        <f>s1inv[[#This Row],[Cost at End of Period]]+s1inv[[#This Row],[Unrealized Appreciation]]-ABS(s1inv[[#This Row],[(Unrealized Depreciation)]])</f>
        <v>#VALUE!</v>
      </c>
      <c r="Y150" s="238">
        <v>0</v>
      </c>
      <c r="Z150" s="238"/>
      <c r="AA150" s="239" t="str">
        <f>IFERROR((s1inv[[#This Row],[SBA Reported Value (B)]]+s1inv[[#This Row],[Cum. Cash Proceeds (D)]])/s1inv[[#This Row],[Total Cash Invested (A)]],"")</f>
        <v/>
      </c>
      <c r="AB150" s="240"/>
      <c r="AC150" s="239" t="str">
        <f>IFERROR((s1inv[[#This Row],[GAAP Reported Value (C)]]+s1inv[[#This Row],[Cum. Cash Proceeds (D)]])/s1inv[[#This Row],[Total Cash Invested (A)]],"")</f>
        <v/>
      </c>
      <c r="AD150" s="240"/>
      <c r="AE150" s="241" t="str">
        <f>IF(IFERROR(VLOOKUP(s1inv[[#This Row],[Portfolio Company Name]],s11cumperf[],4,FALSE),"")="","",(IFERROR(VLOOKUP(s1inv[[#This Row],[Portfolio Company Name]],s11cumperf[],4,FALSE),"")))</f>
        <v/>
      </c>
    </row>
    <row r="151" spans="1:31" s="242" customFormat="1" x14ac:dyDescent="0.35">
      <c r="A151" s="223" t="s">
        <v>243</v>
      </c>
      <c r="B151" s="224" t="str">
        <f>IF(IFERROR(VLOOKUP(s1inv[[#This Row],[Portfolio Company Name]],s11cumperf[],2,FALSE),"")="","",(IFERROR(VLOOKUP(s1inv[[#This Row],[Portfolio Company Name]],s11cumperf[],2,FALSE),"")))</f>
        <v/>
      </c>
      <c r="C151" s="694"/>
      <c r="D151" s="225"/>
      <c r="E151" s="226"/>
      <c r="F151" s="227"/>
      <c r="G151" s="228"/>
      <c r="H151" s="229"/>
      <c r="I151" s="230"/>
      <c r="J151" s="231"/>
      <c r="K151" s="232"/>
      <c r="L151" s="227"/>
      <c r="M151" s="233"/>
      <c r="N151" s="233"/>
      <c r="O151" s="234"/>
      <c r="P151" s="235" t="e">
        <f>IF(s1inv[[#This Row],[Schedule 1c Reference Number]]="",0,SUMIF(sched1c[Reference ID],s1inv[[#This Row],[Employer ID]]&amp;"-"&amp;s1inv[[#This Row],[Schedule 1c Reference Number]],sched1c[Change to Cost]))</f>
        <v>#VALUE!</v>
      </c>
      <c r="Q151" s="233"/>
      <c r="R151" s="235" t="e">
        <f>s1inv[[#This Row],[Cost at Beginning Period]]+s1inv[[#This Row],[Addition/
Deduction]]</f>
        <v>#VALUE!</v>
      </c>
      <c r="S151" s="233"/>
      <c r="T151" s="236"/>
      <c r="U151" s="233"/>
      <c r="V151" s="225"/>
      <c r="W151" s="227"/>
      <c r="X151" s="237" t="e">
        <f>s1inv[[#This Row],[Cost at End of Period]]+s1inv[[#This Row],[Unrealized Appreciation]]-ABS(s1inv[[#This Row],[(Unrealized Depreciation)]])</f>
        <v>#VALUE!</v>
      </c>
      <c r="Y151" s="238">
        <v>0</v>
      </c>
      <c r="Z151" s="238"/>
      <c r="AA151" s="239" t="str">
        <f>IFERROR((s1inv[[#This Row],[SBA Reported Value (B)]]+s1inv[[#This Row],[Cum. Cash Proceeds (D)]])/s1inv[[#This Row],[Total Cash Invested (A)]],"")</f>
        <v/>
      </c>
      <c r="AB151" s="240"/>
      <c r="AC151" s="239" t="str">
        <f>IFERROR((s1inv[[#This Row],[GAAP Reported Value (C)]]+s1inv[[#This Row],[Cum. Cash Proceeds (D)]])/s1inv[[#This Row],[Total Cash Invested (A)]],"")</f>
        <v/>
      </c>
      <c r="AD151" s="240"/>
      <c r="AE151" s="241" t="str">
        <f>IF(IFERROR(VLOOKUP(s1inv[[#This Row],[Portfolio Company Name]],s11cumperf[],4,FALSE),"")="","",(IFERROR(VLOOKUP(s1inv[[#This Row],[Portfolio Company Name]],s11cumperf[],4,FALSE),"")))</f>
        <v/>
      </c>
    </row>
    <row r="152" spans="1:31" s="242" customFormat="1" x14ac:dyDescent="0.35">
      <c r="A152" s="223" t="s">
        <v>243</v>
      </c>
      <c r="B152" s="224" t="str">
        <f>IF(IFERROR(VLOOKUP(s1inv[[#This Row],[Portfolio Company Name]],s11cumperf[],2,FALSE),"")="","",(IFERROR(VLOOKUP(s1inv[[#This Row],[Portfolio Company Name]],s11cumperf[],2,FALSE),"")))</f>
        <v/>
      </c>
      <c r="C152" s="694"/>
      <c r="D152" s="225"/>
      <c r="E152" s="226"/>
      <c r="F152" s="227"/>
      <c r="G152" s="228"/>
      <c r="H152" s="229"/>
      <c r="I152" s="230"/>
      <c r="J152" s="231"/>
      <c r="K152" s="232"/>
      <c r="L152" s="227"/>
      <c r="M152" s="233"/>
      <c r="N152" s="233"/>
      <c r="O152" s="234"/>
      <c r="P152" s="235" t="e">
        <f>IF(s1inv[[#This Row],[Schedule 1c Reference Number]]="",0,SUMIF(sched1c[Reference ID],s1inv[[#This Row],[Employer ID]]&amp;"-"&amp;s1inv[[#This Row],[Schedule 1c Reference Number]],sched1c[Change to Cost]))</f>
        <v>#VALUE!</v>
      </c>
      <c r="Q152" s="233"/>
      <c r="R152" s="235" t="e">
        <f>s1inv[[#This Row],[Cost at Beginning Period]]+s1inv[[#This Row],[Addition/
Deduction]]</f>
        <v>#VALUE!</v>
      </c>
      <c r="S152" s="233"/>
      <c r="T152" s="236"/>
      <c r="U152" s="233"/>
      <c r="V152" s="225"/>
      <c r="W152" s="227"/>
      <c r="X152" s="237" t="e">
        <f>s1inv[[#This Row],[Cost at End of Period]]+s1inv[[#This Row],[Unrealized Appreciation]]-ABS(s1inv[[#This Row],[(Unrealized Depreciation)]])</f>
        <v>#VALUE!</v>
      </c>
      <c r="Y152" s="238">
        <v>0</v>
      </c>
      <c r="Z152" s="238"/>
      <c r="AA152" s="239" t="str">
        <f>IFERROR((s1inv[[#This Row],[SBA Reported Value (B)]]+s1inv[[#This Row],[Cum. Cash Proceeds (D)]])/s1inv[[#This Row],[Total Cash Invested (A)]],"")</f>
        <v/>
      </c>
      <c r="AB152" s="240"/>
      <c r="AC152" s="239" t="str">
        <f>IFERROR((s1inv[[#This Row],[GAAP Reported Value (C)]]+s1inv[[#This Row],[Cum. Cash Proceeds (D)]])/s1inv[[#This Row],[Total Cash Invested (A)]],"")</f>
        <v/>
      </c>
      <c r="AD152" s="240"/>
      <c r="AE152" s="241" t="str">
        <f>IF(IFERROR(VLOOKUP(s1inv[[#This Row],[Portfolio Company Name]],s11cumperf[],4,FALSE),"")="","",(IFERROR(VLOOKUP(s1inv[[#This Row],[Portfolio Company Name]],s11cumperf[],4,FALSE),"")))</f>
        <v/>
      </c>
    </row>
    <row r="153" spans="1:31" s="242" customFormat="1" x14ac:dyDescent="0.35">
      <c r="A153" s="223" t="s">
        <v>243</v>
      </c>
      <c r="B153" s="224" t="str">
        <f>IF(IFERROR(VLOOKUP(s1inv[[#This Row],[Portfolio Company Name]],s11cumperf[],2,FALSE),"")="","",(IFERROR(VLOOKUP(s1inv[[#This Row],[Portfolio Company Name]],s11cumperf[],2,FALSE),"")))</f>
        <v/>
      </c>
      <c r="C153" s="694"/>
      <c r="D153" s="225"/>
      <c r="E153" s="226"/>
      <c r="F153" s="227"/>
      <c r="G153" s="228"/>
      <c r="H153" s="229"/>
      <c r="I153" s="230"/>
      <c r="J153" s="231"/>
      <c r="K153" s="232"/>
      <c r="L153" s="227"/>
      <c r="M153" s="233"/>
      <c r="N153" s="233"/>
      <c r="O153" s="234"/>
      <c r="P153" s="235" t="e">
        <f>IF(s1inv[[#This Row],[Schedule 1c Reference Number]]="",0,SUMIF(sched1c[Reference ID],s1inv[[#This Row],[Employer ID]]&amp;"-"&amp;s1inv[[#This Row],[Schedule 1c Reference Number]],sched1c[Change to Cost]))</f>
        <v>#VALUE!</v>
      </c>
      <c r="Q153" s="233"/>
      <c r="R153" s="235" t="e">
        <f>s1inv[[#This Row],[Cost at Beginning Period]]+s1inv[[#This Row],[Addition/
Deduction]]</f>
        <v>#VALUE!</v>
      </c>
      <c r="S153" s="233"/>
      <c r="T153" s="236"/>
      <c r="U153" s="233"/>
      <c r="V153" s="225"/>
      <c r="W153" s="227"/>
      <c r="X153" s="237" t="e">
        <f>s1inv[[#This Row],[Cost at End of Period]]+s1inv[[#This Row],[Unrealized Appreciation]]-ABS(s1inv[[#This Row],[(Unrealized Depreciation)]])</f>
        <v>#VALUE!</v>
      </c>
      <c r="Y153" s="238">
        <v>0</v>
      </c>
      <c r="Z153" s="238"/>
      <c r="AA153" s="239" t="str">
        <f>IFERROR((s1inv[[#This Row],[SBA Reported Value (B)]]+s1inv[[#This Row],[Cum. Cash Proceeds (D)]])/s1inv[[#This Row],[Total Cash Invested (A)]],"")</f>
        <v/>
      </c>
      <c r="AB153" s="240"/>
      <c r="AC153" s="239" t="str">
        <f>IFERROR((s1inv[[#This Row],[GAAP Reported Value (C)]]+s1inv[[#This Row],[Cum. Cash Proceeds (D)]])/s1inv[[#This Row],[Total Cash Invested (A)]],"")</f>
        <v/>
      </c>
      <c r="AD153" s="240"/>
      <c r="AE153" s="241" t="str">
        <f>IF(IFERROR(VLOOKUP(s1inv[[#This Row],[Portfolio Company Name]],s11cumperf[],4,FALSE),"")="","",(IFERROR(VLOOKUP(s1inv[[#This Row],[Portfolio Company Name]],s11cumperf[],4,FALSE),"")))</f>
        <v/>
      </c>
    </row>
    <row r="154" spans="1:31" s="242" customFormat="1" x14ac:dyDescent="0.35">
      <c r="A154" s="223" t="s">
        <v>243</v>
      </c>
      <c r="B154" s="224" t="str">
        <f>IF(IFERROR(VLOOKUP(s1inv[[#This Row],[Portfolio Company Name]],s11cumperf[],2,FALSE),"")="","",(IFERROR(VLOOKUP(s1inv[[#This Row],[Portfolio Company Name]],s11cumperf[],2,FALSE),"")))</f>
        <v/>
      </c>
      <c r="C154" s="694"/>
      <c r="D154" s="225"/>
      <c r="E154" s="226"/>
      <c r="F154" s="227"/>
      <c r="G154" s="228"/>
      <c r="H154" s="229"/>
      <c r="I154" s="230"/>
      <c r="J154" s="231"/>
      <c r="K154" s="232"/>
      <c r="L154" s="227"/>
      <c r="M154" s="233"/>
      <c r="N154" s="233"/>
      <c r="O154" s="234"/>
      <c r="P154" s="235" t="e">
        <f>IF(s1inv[[#This Row],[Schedule 1c Reference Number]]="",0,SUMIF(sched1c[Reference ID],s1inv[[#This Row],[Employer ID]]&amp;"-"&amp;s1inv[[#This Row],[Schedule 1c Reference Number]],sched1c[Change to Cost]))</f>
        <v>#VALUE!</v>
      </c>
      <c r="Q154" s="233"/>
      <c r="R154" s="235" t="e">
        <f>s1inv[[#This Row],[Cost at Beginning Period]]+s1inv[[#This Row],[Addition/
Deduction]]</f>
        <v>#VALUE!</v>
      </c>
      <c r="S154" s="233"/>
      <c r="T154" s="236"/>
      <c r="U154" s="233"/>
      <c r="V154" s="225"/>
      <c r="W154" s="227"/>
      <c r="X154" s="237" t="e">
        <f>s1inv[[#This Row],[Cost at End of Period]]+s1inv[[#This Row],[Unrealized Appreciation]]-ABS(s1inv[[#This Row],[(Unrealized Depreciation)]])</f>
        <v>#VALUE!</v>
      </c>
      <c r="Y154" s="238">
        <v>0</v>
      </c>
      <c r="Z154" s="238"/>
      <c r="AA154" s="239" t="str">
        <f>IFERROR((s1inv[[#This Row],[SBA Reported Value (B)]]+s1inv[[#This Row],[Cum. Cash Proceeds (D)]])/s1inv[[#This Row],[Total Cash Invested (A)]],"")</f>
        <v/>
      </c>
      <c r="AB154" s="240"/>
      <c r="AC154" s="239" t="str">
        <f>IFERROR((s1inv[[#This Row],[GAAP Reported Value (C)]]+s1inv[[#This Row],[Cum. Cash Proceeds (D)]])/s1inv[[#This Row],[Total Cash Invested (A)]],"")</f>
        <v/>
      </c>
      <c r="AD154" s="240"/>
      <c r="AE154" s="241" t="str">
        <f>IF(IFERROR(VLOOKUP(s1inv[[#This Row],[Portfolio Company Name]],s11cumperf[],4,FALSE),"")="","",(IFERROR(VLOOKUP(s1inv[[#This Row],[Portfolio Company Name]],s11cumperf[],4,FALSE),"")))</f>
        <v/>
      </c>
    </row>
    <row r="155" spans="1:31" s="242" customFormat="1" x14ac:dyDescent="0.35">
      <c r="A155" s="223" t="s">
        <v>243</v>
      </c>
      <c r="B155" s="224" t="str">
        <f>IF(IFERROR(VLOOKUP(s1inv[[#This Row],[Portfolio Company Name]],s11cumperf[],2,FALSE),"")="","",(IFERROR(VLOOKUP(s1inv[[#This Row],[Portfolio Company Name]],s11cumperf[],2,FALSE),"")))</f>
        <v/>
      </c>
      <c r="C155" s="694"/>
      <c r="D155" s="225"/>
      <c r="E155" s="226"/>
      <c r="F155" s="227"/>
      <c r="G155" s="228"/>
      <c r="H155" s="229"/>
      <c r="I155" s="230"/>
      <c r="J155" s="231"/>
      <c r="K155" s="232"/>
      <c r="L155" s="227"/>
      <c r="M155" s="233"/>
      <c r="N155" s="233"/>
      <c r="O155" s="234"/>
      <c r="P155" s="235" t="e">
        <f>IF(s1inv[[#This Row],[Schedule 1c Reference Number]]="",0,SUMIF(sched1c[Reference ID],s1inv[[#This Row],[Employer ID]]&amp;"-"&amp;s1inv[[#This Row],[Schedule 1c Reference Number]],sched1c[Change to Cost]))</f>
        <v>#VALUE!</v>
      </c>
      <c r="Q155" s="233"/>
      <c r="R155" s="235" t="e">
        <f>s1inv[[#This Row],[Cost at Beginning Period]]+s1inv[[#This Row],[Addition/
Deduction]]</f>
        <v>#VALUE!</v>
      </c>
      <c r="S155" s="233"/>
      <c r="T155" s="236"/>
      <c r="U155" s="233"/>
      <c r="V155" s="225"/>
      <c r="W155" s="227"/>
      <c r="X155" s="237" t="e">
        <f>s1inv[[#This Row],[Cost at End of Period]]+s1inv[[#This Row],[Unrealized Appreciation]]-ABS(s1inv[[#This Row],[(Unrealized Depreciation)]])</f>
        <v>#VALUE!</v>
      </c>
      <c r="Y155" s="238">
        <v>0</v>
      </c>
      <c r="Z155" s="238"/>
      <c r="AA155" s="239" t="str">
        <f>IFERROR((s1inv[[#This Row],[SBA Reported Value (B)]]+s1inv[[#This Row],[Cum. Cash Proceeds (D)]])/s1inv[[#This Row],[Total Cash Invested (A)]],"")</f>
        <v/>
      </c>
      <c r="AB155" s="240"/>
      <c r="AC155" s="239" t="str">
        <f>IFERROR((s1inv[[#This Row],[GAAP Reported Value (C)]]+s1inv[[#This Row],[Cum. Cash Proceeds (D)]])/s1inv[[#This Row],[Total Cash Invested (A)]],"")</f>
        <v/>
      </c>
      <c r="AD155" s="240"/>
      <c r="AE155" s="241" t="str">
        <f>IF(IFERROR(VLOOKUP(s1inv[[#This Row],[Portfolio Company Name]],s11cumperf[],4,FALSE),"")="","",(IFERROR(VLOOKUP(s1inv[[#This Row],[Portfolio Company Name]],s11cumperf[],4,FALSE),"")))</f>
        <v/>
      </c>
    </row>
    <row r="156" spans="1:31" s="242" customFormat="1" x14ac:dyDescent="0.35">
      <c r="A156" s="223" t="s">
        <v>243</v>
      </c>
      <c r="B156" s="224" t="str">
        <f>IF(IFERROR(VLOOKUP(s1inv[[#This Row],[Portfolio Company Name]],s11cumperf[],2,FALSE),"")="","",(IFERROR(VLOOKUP(s1inv[[#This Row],[Portfolio Company Name]],s11cumperf[],2,FALSE),"")))</f>
        <v/>
      </c>
      <c r="C156" s="694"/>
      <c r="D156" s="225"/>
      <c r="E156" s="226"/>
      <c r="F156" s="227"/>
      <c r="G156" s="228"/>
      <c r="H156" s="229"/>
      <c r="I156" s="230"/>
      <c r="J156" s="231"/>
      <c r="K156" s="232"/>
      <c r="L156" s="227"/>
      <c r="M156" s="233"/>
      <c r="N156" s="233"/>
      <c r="O156" s="234"/>
      <c r="P156" s="235" t="e">
        <f>IF(s1inv[[#This Row],[Schedule 1c Reference Number]]="",0,SUMIF(sched1c[Reference ID],s1inv[[#This Row],[Employer ID]]&amp;"-"&amp;s1inv[[#This Row],[Schedule 1c Reference Number]],sched1c[Change to Cost]))</f>
        <v>#VALUE!</v>
      </c>
      <c r="Q156" s="233"/>
      <c r="R156" s="235" t="e">
        <f>s1inv[[#This Row],[Cost at Beginning Period]]+s1inv[[#This Row],[Addition/
Deduction]]</f>
        <v>#VALUE!</v>
      </c>
      <c r="S156" s="233"/>
      <c r="T156" s="236"/>
      <c r="U156" s="233"/>
      <c r="V156" s="225"/>
      <c r="W156" s="227"/>
      <c r="X156" s="237" t="e">
        <f>s1inv[[#This Row],[Cost at End of Period]]+s1inv[[#This Row],[Unrealized Appreciation]]-ABS(s1inv[[#This Row],[(Unrealized Depreciation)]])</f>
        <v>#VALUE!</v>
      </c>
      <c r="Y156" s="238">
        <v>0</v>
      </c>
      <c r="Z156" s="238"/>
      <c r="AA156" s="239" t="str">
        <f>IFERROR((s1inv[[#This Row],[SBA Reported Value (B)]]+s1inv[[#This Row],[Cum. Cash Proceeds (D)]])/s1inv[[#This Row],[Total Cash Invested (A)]],"")</f>
        <v/>
      </c>
      <c r="AB156" s="240"/>
      <c r="AC156" s="239" t="str">
        <f>IFERROR((s1inv[[#This Row],[GAAP Reported Value (C)]]+s1inv[[#This Row],[Cum. Cash Proceeds (D)]])/s1inv[[#This Row],[Total Cash Invested (A)]],"")</f>
        <v/>
      </c>
      <c r="AD156" s="240"/>
      <c r="AE156" s="241" t="str">
        <f>IF(IFERROR(VLOOKUP(s1inv[[#This Row],[Portfolio Company Name]],s11cumperf[],4,FALSE),"")="","",(IFERROR(VLOOKUP(s1inv[[#This Row],[Portfolio Company Name]],s11cumperf[],4,FALSE),"")))</f>
        <v/>
      </c>
    </row>
    <row r="157" spans="1:31" s="242" customFormat="1" x14ac:dyDescent="0.35">
      <c r="A157" s="223" t="s">
        <v>243</v>
      </c>
      <c r="B157" s="224" t="str">
        <f>IF(IFERROR(VLOOKUP(s1inv[[#This Row],[Portfolio Company Name]],s11cumperf[],2,FALSE),"")="","",(IFERROR(VLOOKUP(s1inv[[#This Row],[Portfolio Company Name]],s11cumperf[],2,FALSE),"")))</f>
        <v/>
      </c>
      <c r="C157" s="694"/>
      <c r="D157" s="225"/>
      <c r="E157" s="226"/>
      <c r="F157" s="227"/>
      <c r="G157" s="228"/>
      <c r="H157" s="229"/>
      <c r="I157" s="230"/>
      <c r="J157" s="231"/>
      <c r="K157" s="232"/>
      <c r="L157" s="227"/>
      <c r="M157" s="233"/>
      <c r="N157" s="233"/>
      <c r="O157" s="234"/>
      <c r="P157" s="235" t="e">
        <f>IF(s1inv[[#This Row],[Schedule 1c Reference Number]]="",0,SUMIF(sched1c[Reference ID],s1inv[[#This Row],[Employer ID]]&amp;"-"&amp;s1inv[[#This Row],[Schedule 1c Reference Number]],sched1c[Change to Cost]))</f>
        <v>#VALUE!</v>
      </c>
      <c r="Q157" s="233"/>
      <c r="R157" s="235" t="e">
        <f>s1inv[[#This Row],[Cost at Beginning Period]]+s1inv[[#This Row],[Addition/
Deduction]]</f>
        <v>#VALUE!</v>
      </c>
      <c r="S157" s="233"/>
      <c r="T157" s="236"/>
      <c r="U157" s="233"/>
      <c r="V157" s="225"/>
      <c r="W157" s="227"/>
      <c r="X157" s="237" t="e">
        <f>s1inv[[#This Row],[Cost at End of Period]]+s1inv[[#This Row],[Unrealized Appreciation]]-ABS(s1inv[[#This Row],[(Unrealized Depreciation)]])</f>
        <v>#VALUE!</v>
      </c>
      <c r="Y157" s="238">
        <v>0</v>
      </c>
      <c r="Z157" s="238"/>
      <c r="AA157" s="239" t="str">
        <f>IFERROR((s1inv[[#This Row],[SBA Reported Value (B)]]+s1inv[[#This Row],[Cum. Cash Proceeds (D)]])/s1inv[[#This Row],[Total Cash Invested (A)]],"")</f>
        <v/>
      </c>
      <c r="AB157" s="240"/>
      <c r="AC157" s="239" t="str">
        <f>IFERROR((s1inv[[#This Row],[GAAP Reported Value (C)]]+s1inv[[#This Row],[Cum. Cash Proceeds (D)]])/s1inv[[#This Row],[Total Cash Invested (A)]],"")</f>
        <v/>
      </c>
      <c r="AD157" s="240"/>
      <c r="AE157" s="241" t="str">
        <f>IF(IFERROR(VLOOKUP(s1inv[[#This Row],[Portfolio Company Name]],s11cumperf[],4,FALSE),"")="","",(IFERROR(VLOOKUP(s1inv[[#This Row],[Portfolio Company Name]],s11cumperf[],4,FALSE),"")))</f>
        <v/>
      </c>
    </row>
    <row r="158" spans="1:31" s="242" customFormat="1" x14ac:dyDescent="0.35">
      <c r="A158" s="223" t="s">
        <v>243</v>
      </c>
      <c r="B158" s="224" t="str">
        <f>IF(IFERROR(VLOOKUP(s1inv[[#This Row],[Portfolio Company Name]],s11cumperf[],2,FALSE),"")="","",(IFERROR(VLOOKUP(s1inv[[#This Row],[Portfolio Company Name]],s11cumperf[],2,FALSE),"")))</f>
        <v/>
      </c>
      <c r="C158" s="694"/>
      <c r="D158" s="225"/>
      <c r="E158" s="226"/>
      <c r="F158" s="227"/>
      <c r="G158" s="228"/>
      <c r="H158" s="229"/>
      <c r="I158" s="230"/>
      <c r="J158" s="231"/>
      <c r="K158" s="232"/>
      <c r="L158" s="227"/>
      <c r="M158" s="233"/>
      <c r="N158" s="238"/>
      <c r="O158" s="234"/>
      <c r="P158" s="235" t="e">
        <f>IF(s1inv[[#This Row],[Schedule 1c Reference Number]]="",0,SUMIF(sched1c[Reference ID],s1inv[[#This Row],[Employer ID]]&amp;"-"&amp;s1inv[[#This Row],[Schedule 1c Reference Number]],sched1c[Change to Cost]))</f>
        <v>#VALUE!</v>
      </c>
      <c r="Q158" s="233"/>
      <c r="R158" s="235" t="e">
        <f>s1inv[[#This Row],[Cost at Beginning Period]]+s1inv[[#This Row],[Addition/
Deduction]]</f>
        <v>#VALUE!</v>
      </c>
      <c r="S158" s="233"/>
      <c r="T158" s="236"/>
      <c r="U158" s="233"/>
      <c r="V158" s="225"/>
      <c r="W158" s="227"/>
      <c r="X158" s="237" t="e">
        <f>s1inv[[#This Row],[Cost at End of Period]]+s1inv[[#This Row],[Unrealized Appreciation]]-ABS(s1inv[[#This Row],[(Unrealized Depreciation)]])</f>
        <v>#VALUE!</v>
      </c>
      <c r="Y158" s="238">
        <v>0</v>
      </c>
      <c r="Z158" s="238"/>
      <c r="AA158" s="239" t="str">
        <f>IFERROR((s1inv[[#This Row],[SBA Reported Value (B)]]+s1inv[[#This Row],[Cum. Cash Proceeds (D)]])/s1inv[[#This Row],[Total Cash Invested (A)]],"")</f>
        <v/>
      </c>
      <c r="AB158" s="240"/>
      <c r="AC158" s="239" t="str">
        <f>IFERROR((s1inv[[#This Row],[GAAP Reported Value (C)]]+s1inv[[#This Row],[Cum. Cash Proceeds (D)]])/s1inv[[#This Row],[Total Cash Invested (A)]],"")</f>
        <v/>
      </c>
      <c r="AD158" s="240"/>
      <c r="AE158" s="241" t="str">
        <f>IF(IFERROR(VLOOKUP(s1inv[[#This Row],[Portfolio Company Name]],s11cumperf[],4,FALSE),"")="","",(IFERROR(VLOOKUP(s1inv[[#This Row],[Portfolio Company Name]],s11cumperf[],4,FALSE),"")))</f>
        <v/>
      </c>
    </row>
    <row r="159" spans="1:31" s="242" customFormat="1" x14ac:dyDescent="0.35">
      <c r="A159" s="223" t="s">
        <v>243</v>
      </c>
      <c r="B159" s="224" t="str">
        <f>IF(IFERROR(VLOOKUP(s1inv[[#This Row],[Portfolio Company Name]],s11cumperf[],2,FALSE),"")="","",(IFERROR(VLOOKUP(s1inv[[#This Row],[Portfolio Company Name]],s11cumperf[],2,FALSE),"")))</f>
        <v/>
      </c>
      <c r="C159" s="694"/>
      <c r="D159" s="225"/>
      <c r="E159" s="226"/>
      <c r="F159" s="227"/>
      <c r="G159" s="228"/>
      <c r="H159" s="229"/>
      <c r="I159" s="230"/>
      <c r="J159" s="231"/>
      <c r="K159" s="232"/>
      <c r="L159" s="227"/>
      <c r="M159" s="233"/>
      <c r="N159" s="238"/>
      <c r="O159" s="234"/>
      <c r="P159" s="235" t="e">
        <f>IF(s1inv[[#This Row],[Schedule 1c Reference Number]]="",0,SUMIF(sched1c[Reference ID],s1inv[[#This Row],[Employer ID]]&amp;"-"&amp;s1inv[[#This Row],[Schedule 1c Reference Number]],sched1c[Change to Cost]))</f>
        <v>#VALUE!</v>
      </c>
      <c r="Q159" s="233"/>
      <c r="R159" s="235" t="e">
        <f>s1inv[[#This Row],[Cost at Beginning Period]]+s1inv[[#This Row],[Addition/
Deduction]]</f>
        <v>#VALUE!</v>
      </c>
      <c r="S159" s="233"/>
      <c r="T159" s="236"/>
      <c r="U159" s="233"/>
      <c r="V159" s="225"/>
      <c r="W159" s="227"/>
      <c r="X159" s="237" t="e">
        <f>s1inv[[#This Row],[Cost at End of Period]]+s1inv[[#This Row],[Unrealized Appreciation]]-ABS(s1inv[[#This Row],[(Unrealized Depreciation)]])</f>
        <v>#VALUE!</v>
      </c>
      <c r="Y159" s="238">
        <v>0</v>
      </c>
      <c r="Z159" s="238"/>
      <c r="AA159" s="239" t="str">
        <f>IFERROR((s1inv[[#This Row],[SBA Reported Value (B)]]+s1inv[[#This Row],[Cum. Cash Proceeds (D)]])/s1inv[[#This Row],[Total Cash Invested (A)]],"")</f>
        <v/>
      </c>
      <c r="AB159" s="240"/>
      <c r="AC159" s="239" t="str">
        <f>IFERROR((s1inv[[#This Row],[GAAP Reported Value (C)]]+s1inv[[#This Row],[Cum. Cash Proceeds (D)]])/s1inv[[#This Row],[Total Cash Invested (A)]],"")</f>
        <v/>
      </c>
      <c r="AD159" s="240"/>
      <c r="AE159" s="241" t="str">
        <f>IF(IFERROR(VLOOKUP(s1inv[[#This Row],[Portfolio Company Name]],s11cumperf[],4,FALSE),"")="","",(IFERROR(VLOOKUP(s1inv[[#This Row],[Portfolio Company Name]],s11cumperf[],4,FALSE),"")))</f>
        <v/>
      </c>
    </row>
    <row r="160" spans="1:31" s="242" customFormat="1" x14ac:dyDescent="0.35">
      <c r="A160" s="223" t="s">
        <v>243</v>
      </c>
      <c r="B160" s="224" t="str">
        <f>IF(IFERROR(VLOOKUP(s1inv[[#This Row],[Portfolio Company Name]],s11cumperf[],2,FALSE),"")="","",(IFERROR(VLOOKUP(s1inv[[#This Row],[Portfolio Company Name]],s11cumperf[],2,FALSE),"")))</f>
        <v/>
      </c>
      <c r="C160" s="694"/>
      <c r="D160" s="225"/>
      <c r="E160" s="226"/>
      <c r="F160" s="227"/>
      <c r="G160" s="228"/>
      <c r="H160" s="229"/>
      <c r="I160" s="230"/>
      <c r="J160" s="231"/>
      <c r="K160" s="232"/>
      <c r="L160" s="227"/>
      <c r="M160" s="233"/>
      <c r="N160" s="238"/>
      <c r="O160" s="234"/>
      <c r="P160" s="235" t="e">
        <f>IF(s1inv[[#This Row],[Schedule 1c Reference Number]]="",0,SUMIF(sched1c[Reference ID],s1inv[[#This Row],[Employer ID]]&amp;"-"&amp;s1inv[[#This Row],[Schedule 1c Reference Number]],sched1c[Change to Cost]))</f>
        <v>#VALUE!</v>
      </c>
      <c r="Q160" s="233"/>
      <c r="R160" s="235" t="e">
        <f>s1inv[[#This Row],[Cost at Beginning Period]]+s1inv[[#This Row],[Addition/
Deduction]]</f>
        <v>#VALUE!</v>
      </c>
      <c r="S160" s="233"/>
      <c r="T160" s="236"/>
      <c r="U160" s="233"/>
      <c r="V160" s="225"/>
      <c r="W160" s="227"/>
      <c r="X160" s="237" t="e">
        <f>s1inv[[#This Row],[Cost at End of Period]]+s1inv[[#This Row],[Unrealized Appreciation]]-ABS(s1inv[[#This Row],[(Unrealized Depreciation)]])</f>
        <v>#VALUE!</v>
      </c>
      <c r="Y160" s="238">
        <v>0</v>
      </c>
      <c r="Z160" s="238"/>
      <c r="AA160" s="239" t="str">
        <f>IFERROR((s1inv[[#This Row],[SBA Reported Value (B)]]+s1inv[[#This Row],[Cum. Cash Proceeds (D)]])/s1inv[[#This Row],[Total Cash Invested (A)]],"")</f>
        <v/>
      </c>
      <c r="AB160" s="240"/>
      <c r="AC160" s="239" t="str">
        <f>IFERROR((s1inv[[#This Row],[GAAP Reported Value (C)]]+s1inv[[#This Row],[Cum. Cash Proceeds (D)]])/s1inv[[#This Row],[Total Cash Invested (A)]],"")</f>
        <v/>
      </c>
      <c r="AD160" s="240"/>
      <c r="AE160" s="241" t="str">
        <f>IF(IFERROR(VLOOKUP(s1inv[[#This Row],[Portfolio Company Name]],s11cumperf[],4,FALSE),"")="","",(IFERROR(VLOOKUP(s1inv[[#This Row],[Portfolio Company Name]],s11cumperf[],4,FALSE),"")))</f>
        <v/>
      </c>
    </row>
    <row r="161" spans="1:31" s="242" customFormat="1" x14ac:dyDescent="0.35">
      <c r="A161" s="223" t="s">
        <v>243</v>
      </c>
      <c r="B161" s="224" t="str">
        <f>IF(IFERROR(VLOOKUP(s1inv[[#This Row],[Portfolio Company Name]],s11cumperf[],2,FALSE),"")="","",(IFERROR(VLOOKUP(s1inv[[#This Row],[Portfolio Company Name]],s11cumperf[],2,FALSE),"")))</f>
        <v/>
      </c>
      <c r="C161" s="694"/>
      <c r="D161" s="225"/>
      <c r="E161" s="226"/>
      <c r="F161" s="227"/>
      <c r="G161" s="228"/>
      <c r="H161" s="229"/>
      <c r="I161" s="230"/>
      <c r="J161" s="231"/>
      <c r="K161" s="232"/>
      <c r="L161" s="227"/>
      <c r="M161" s="233"/>
      <c r="N161" s="238"/>
      <c r="O161" s="234"/>
      <c r="P161" s="235" t="e">
        <f>IF(s1inv[[#This Row],[Schedule 1c Reference Number]]="",0,SUMIF(sched1c[Reference ID],s1inv[[#This Row],[Employer ID]]&amp;"-"&amp;s1inv[[#This Row],[Schedule 1c Reference Number]],sched1c[Change to Cost]))</f>
        <v>#VALUE!</v>
      </c>
      <c r="Q161" s="233"/>
      <c r="R161" s="235" t="e">
        <f>s1inv[[#This Row],[Cost at Beginning Period]]+s1inv[[#This Row],[Addition/
Deduction]]</f>
        <v>#VALUE!</v>
      </c>
      <c r="S161" s="233"/>
      <c r="T161" s="236"/>
      <c r="U161" s="233"/>
      <c r="V161" s="225"/>
      <c r="W161" s="227"/>
      <c r="X161" s="237" t="e">
        <f>s1inv[[#This Row],[Cost at End of Period]]+s1inv[[#This Row],[Unrealized Appreciation]]-ABS(s1inv[[#This Row],[(Unrealized Depreciation)]])</f>
        <v>#VALUE!</v>
      </c>
      <c r="Y161" s="238">
        <v>0</v>
      </c>
      <c r="Z161" s="238"/>
      <c r="AA161" s="239" t="str">
        <f>IFERROR((s1inv[[#This Row],[SBA Reported Value (B)]]+s1inv[[#This Row],[Cum. Cash Proceeds (D)]])/s1inv[[#This Row],[Total Cash Invested (A)]],"")</f>
        <v/>
      </c>
      <c r="AB161" s="240"/>
      <c r="AC161" s="239" t="str">
        <f>IFERROR((s1inv[[#This Row],[GAAP Reported Value (C)]]+s1inv[[#This Row],[Cum. Cash Proceeds (D)]])/s1inv[[#This Row],[Total Cash Invested (A)]],"")</f>
        <v/>
      </c>
      <c r="AD161" s="240"/>
      <c r="AE161" s="241" t="str">
        <f>IF(IFERROR(VLOOKUP(s1inv[[#This Row],[Portfolio Company Name]],s11cumperf[],4,FALSE),"")="","",(IFERROR(VLOOKUP(s1inv[[#This Row],[Portfolio Company Name]],s11cumperf[],4,FALSE),"")))</f>
        <v/>
      </c>
    </row>
    <row r="162" spans="1:31" s="242" customFormat="1" x14ac:dyDescent="0.35">
      <c r="A162" s="223" t="s">
        <v>243</v>
      </c>
      <c r="B162" s="224" t="str">
        <f>IF(IFERROR(VLOOKUP(s1inv[[#This Row],[Portfolio Company Name]],s11cumperf[],2,FALSE),"")="","",(IFERROR(VLOOKUP(s1inv[[#This Row],[Portfolio Company Name]],s11cumperf[],2,FALSE),"")))</f>
        <v/>
      </c>
      <c r="C162" s="694"/>
      <c r="D162" s="225"/>
      <c r="E162" s="226"/>
      <c r="F162" s="227"/>
      <c r="G162" s="228"/>
      <c r="H162" s="229"/>
      <c r="I162" s="230"/>
      <c r="J162" s="231"/>
      <c r="K162" s="232"/>
      <c r="L162" s="227"/>
      <c r="M162" s="233"/>
      <c r="N162" s="238"/>
      <c r="O162" s="234"/>
      <c r="P162" s="235" t="e">
        <f>IF(s1inv[[#This Row],[Schedule 1c Reference Number]]="",0,SUMIF(sched1c[Reference ID],s1inv[[#This Row],[Employer ID]]&amp;"-"&amp;s1inv[[#This Row],[Schedule 1c Reference Number]],sched1c[Change to Cost]))</f>
        <v>#VALUE!</v>
      </c>
      <c r="Q162" s="233"/>
      <c r="R162" s="235" t="e">
        <f>s1inv[[#This Row],[Cost at Beginning Period]]+s1inv[[#This Row],[Addition/
Deduction]]</f>
        <v>#VALUE!</v>
      </c>
      <c r="S162" s="233"/>
      <c r="T162" s="236"/>
      <c r="U162" s="233"/>
      <c r="V162" s="225"/>
      <c r="W162" s="227"/>
      <c r="X162" s="237" t="e">
        <f>s1inv[[#This Row],[Cost at End of Period]]+s1inv[[#This Row],[Unrealized Appreciation]]-ABS(s1inv[[#This Row],[(Unrealized Depreciation)]])</f>
        <v>#VALUE!</v>
      </c>
      <c r="Y162" s="238">
        <v>0</v>
      </c>
      <c r="Z162" s="238"/>
      <c r="AA162" s="239" t="str">
        <f>IFERROR((s1inv[[#This Row],[SBA Reported Value (B)]]+s1inv[[#This Row],[Cum. Cash Proceeds (D)]])/s1inv[[#This Row],[Total Cash Invested (A)]],"")</f>
        <v/>
      </c>
      <c r="AB162" s="240"/>
      <c r="AC162" s="239" t="str">
        <f>IFERROR((s1inv[[#This Row],[GAAP Reported Value (C)]]+s1inv[[#This Row],[Cum. Cash Proceeds (D)]])/s1inv[[#This Row],[Total Cash Invested (A)]],"")</f>
        <v/>
      </c>
      <c r="AD162" s="240"/>
      <c r="AE162" s="241" t="str">
        <f>IF(IFERROR(VLOOKUP(s1inv[[#This Row],[Portfolio Company Name]],s11cumperf[],4,FALSE),"")="","",(IFERROR(VLOOKUP(s1inv[[#This Row],[Portfolio Company Name]],s11cumperf[],4,FALSE),"")))</f>
        <v/>
      </c>
    </row>
    <row r="163" spans="1:31" s="242" customFormat="1" x14ac:dyDescent="0.35">
      <c r="A163" s="223" t="s">
        <v>243</v>
      </c>
      <c r="B163" s="224" t="str">
        <f>IF(IFERROR(VLOOKUP(s1inv[[#This Row],[Portfolio Company Name]],s11cumperf[],2,FALSE),"")="","",(IFERROR(VLOOKUP(s1inv[[#This Row],[Portfolio Company Name]],s11cumperf[],2,FALSE),"")))</f>
        <v/>
      </c>
      <c r="C163" s="694"/>
      <c r="D163" s="225"/>
      <c r="E163" s="226"/>
      <c r="F163" s="227"/>
      <c r="G163" s="228"/>
      <c r="H163" s="229"/>
      <c r="I163" s="230"/>
      <c r="J163" s="231"/>
      <c r="K163" s="232"/>
      <c r="L163" s="227"/>
      <c r="M163" s="233"/>
      <c r="N163" s="238"/>
      <c r="O163" s="234"/>
      <c r="P163" s="235" t="e">
        <f>IF(s1inv[[#This Row],[Schedule 1c Reference Number]]="",0,SUMIF(sched1c[Reference ID],s1inv[[#This Row],[Employer ID]]&amp;"-"&amp;s1inv[[#This Row],[Schedule 1c Reference Number]],sched1c[Change to Cost]))</f>
        <v>#VALUE!</v>
      </c>
      <c r="Q163" s="233"/>
      <c r="R163" s="235" t="e">
        <f>s1inv[[#This Row],[Cost at Beginning Period]]+s1inv[[#This Row],[Addition/
Deduction]]</f>
        <v>#VALUE!</v>
      </c>
      <c r="S163" s="233"/>
      <c r="T163" s="236"/>
      <c r="U163" s="233"/>
      <c r="V163" s="225"/>
      <c r="W163" s="227"/>
      <c r="X163" s="237" t="e">
        <f>s1inv[[#This Row],[Cost at End of Period]]+s1inv[[#This Row],[Unrealized Appreciation]]-ABS(s1inv[[#This Row],[(Unrealized Depreciation)]])</f>
        <v>#VALUE!</v>
      </c>
      <c r="Y163" s="238">
        <v>0</v>
      </c>
      <c r="Z163" s="238"/>
      <c r="AA163" s="239" t="str">
        <f>IFERROR((s1inv[[#This Row],[SBA Reported Value (B)]]+s1inv[[#This Row],[Cum. Cash Proceeds (D)]])/s1inv[[#This Row],[Total Cash Invested (A)]],"")</f>
        <v/>
      </c>
      <c r="AB163" s="240"/>
      <c r="AC163" s="239" t="str">
        <f>IFERROR((s1inv[[#This Row],[GAAP Reported Value (C)]]+s1inv[[#This Row],[Cum. Cash Proceeds (D)]])/s1inv[[#This Row],[Total Cash Invested (A)]],"")</f>
        <v/>
      </c>
      <c r="AD163" s="240"/>
      <c r="AE163" s="241" t="str">
        <f>IF(IFERROR(VLOOKUP(s1inv[[#This Row],[Portfolio Company Name]],s11cumperf[],4,FALSE),"")="","",(IFERROR(VLOOKUP(s1inv[[#This Row],[Portfolio Company Name]],s11cumperf[],4,FALSE),"")))</f>
        <v/>
      </c>
    </row>
    <row r="164" spans="1:31" s="242" customFormat="1" x14ac:dyDescent="0.35">
      <c r="A164" s="223" t="s">
        <v>243</v>
      </c>
      <c r="B164" s="224" t="str">
        <f>IF(IFERROR(VLOOKUP(s1inv[[#This Row],[Portfolio Company Name]],s11cumperf[],2,FALSE),"")="","",(IFERROR(VLOOKUP(s1inv[[#This Row],[Portfolio Company Name]],s11cumperf[],2,FALSE),"")))</f>
        <v/>
      </c>
      <c r="C164" s="694"/>
      <c r="D164" s="225"/>
      <c r="E164" s="226"/>
      <c r="F164" s="227"/>
      <c r="G164" s="228"/>
      <c r="H164" s="229"/>
      <c r="I164" s="230"/>
      <c r="J164" s="231"/>
      <c r="K164" s="232"/>
      <c r="L164" s="227"/>
      <c r="M164" s="233"/>
      <c r="N164" s="238"/>
      <c r="O164" s="234"/>
      <c r="P164" s="235" t="e">
        <f>IF(s1inv[[#This Row],[Schedule 1c Reference Number]]="",0,SUMIF(sched1c[Reference ID],s1inv[[#This Row],[Employer ID]]&amp;"-"&amp;s1inv[[#This Row],[Schedule 1c Reference Number]],sched1c[Change to Cost]))</f>
        <v>#VALUE!</v>
      </c>
      <c r="Q164" s="233"/>
      <c r="R164" s="235" t="e">
        <f>s1inv[[#This Row],[Cost at Beginning Period]]+s1inv[[#This Row],[Addition/
Deduction]]</f>
        <v>#VALUE!</v>
      </c>
      <c r="S164" s="233"/>
      <c r="T164" s="236"/>
      <c r="U164" s="233"/>
      <c r="V164" s="225"/>
      <c r="W164" s="227"/>
      <c r="X164" s="237" t="e">
        <f>s1inv[[#This Row],[Cost at End of Period]]+s1inv[[#This Row],[Unrealized Appreciation]]-ABS(s1inv[[#This Row],[(Unrealized Depreciation)]])</f>
        <v>#VALUE!</v>
      </c>
      <c r="Y164" s="238">
        <v>0</v>
      </c>
      <c r="Z164" s="238"/>
      <c r="AA164" s="239" t="str">
        <f>IFERROR((s1inv[[#This Row],[SBA Reported Value (B)]]+s1inv[[#This Row],[Cum. Cash Proceeds (D)]])/s1inv[[#This Row],[Total Cash Invested (A)]],"")</f>
        <v/>
      </c>
      <c r="AB164" s="240"/>
      <c r="AC164" s="239" t="str">
        <f>IFERROR((s1inv[[#This Row],[GAAP Reported Value (C)]]+s1inv[[#This Row],[Cum. Cash Proceeds (D)]])/s1inv[[#This Row],[Total Cash Invested (A)]],"")</f>
        <v/>
      </c>
      <c r="AD164" s="240"/>
      <c r="AE164" s="241" t="str">
        <f>IF(IFERROR(VLOOKUP(s1inv[[#This Row],[Portfolio Company Name]],s11cumperf[],4,FALSE),"")="","",(IFERROR(VLOOKUP(s1inv[[#This Row],[Portfolio Company Name]],s11cumperf[],4,FALSE),"")))</f>
        <v/>
      </c>
    </row>
    <row r="165" spans="1:31" s="242" customFormat="1" x14ac:dyDescent="0.35">
      <c r="A165" s="223" t="s">
        <v>243</v>
      </c>
      <c r="B165" s="224" t="str">
        <f>IF(IFERROR(VLOOKUP(s1inv[[#This Row],[Portfolio Company Name]],s11cumperf[],2,FALSE),"")="","",(IFERROR(VLOOKUP(s1inv[[#This Row],[Portfolio Company Name]],s11cumperf[],2,FALSE),"")))</f>
        <v/>
      </c>
      <c r="C165" s="694"/>
      <c r="D165" s="225"/>
      <c r="E165" s="226"/>
      <c r="F165" s="227"/>
      <c r="G165" s="228"/>
      <c r="H165" s="229"/>
      <c r="I165" s="230"/>
      <c r="J165" s="231"/>
      <c r="K165" s="232"/>
      <c r="L165" s="227"/>
      <c r="M165" s="233"/>
      <c r="N165" s="238"/>
      <c r="O165" s="234"/>
      <c r="P165" s="235" t="e">
        <f>IF(s1inv[[#This Row],[Schedule 1c Reference Number]]="",0,SUMIF(sched1c[Reference ID],s1inv[[#This Row],[Employer ID]]&amp;"-"&amp;s1inv[[#This Row],[Schedule 1c Reference Number]],sched1c[Change to Cost]))</f>
        <v>#VALUE!</v>
      </c>
      <c r="Q165" s="233"/>
      <c r="R165" s="235" t="e">
        <f>s1inv[[#This Row],[Cost at Beginning Period]]+s1inv[[#This Row],[Addition/
Deduction]]</f>
        <v>#VALUE!</v>
      </c>
      <c r="S165" s="233"/>
      <c r="T165" s="236"/>
      <c r="U165" s="233"/>
      <c r="V165" s="225"/>
      <c r="W165" s="227"/>
      <c r="X165" s="237" t="e">
        <f>s1inv[[#This Row],[Cost at End of Period]]+s1inv[[#This Row],[Unrealized Appreciation]]-ABS(s1inv[[#This Row],[(Unrealized Depreciation)]])</f>
        <v>#VALUE!</v>
      </c>
      <c r="Y165" s="238">
        <v>0</v>
      </c>
      <c r="Z165" s="238"/>
      <c r="AA165" s="239" t="str">
        <f>IFERROR((s1inv[[#This Row],[SBA Reported Value (B)]]+s1inv[[#This Row],[Cum. Cash Proceeds (D)]])/s1inv[[#This Row],[Total Cash Invested (A)]],"")</f>
        <v/>
      </c>
      <c r="AB165" s="240"/>
      <c r="AC165" s="239" t="str">
        <f>IFERROR((s1inv[[#This Row],[GAAP Reported Value (C)]]+s1inv[[#This Row],[Cum. Cash Proceeds (D)]])/s1inv[[#This Row],[Total Cash Invested (A)]],"")</f>
        <v/>
      </c>
      <c r="AD165" s="240"/>
      <c r="AE165" s="241" t="str">
        <f>IF(IFERROR(VLOOKUP(s1inv[[#This Row],[Portfolio Company Name]],s11cumperf[],4,FALSE),"")="","",(IFERROR(VLOOKUP(s1inv[[#This Row],[Portfolio Company Name]],s11cumperf[],4,FALSE),"")))</f>
        <v/>
      </c>
    </row>
    <row r="166" spans="1:31" s="242" customFormat="1" x14ac:dyDescent="0.35">
      <c r="A166" s="223" t="s">
        <v>243</v>
      </c>
      <c r="B166" s="224" t="str">
        <f>IF(IFERROR(VLOOKUP(s1inv[[#This Row],[Portfolio Company Name]],s11cumperf[],2,FALSE),"")="","",(IFERROR(VLOOKUP(s1inv[[#This Row],[Portfolio Company Name]],s11cumperf[],2,FALSE),"")))</f>
        <v/>
      </c>
      <c r="C166" s="694"/>
      <c r="D166" s="225"/>
      <c r="E166" s="226"/>
      <c r="F166" s="227"/>
      <c r="G166" s="228"/>
      <c r="H166" s="229"/>
      <c r="I166" s="230"/>
      <c r="J166" s="231"/>
      <c r="K166" s="232"/>
      <c r="L166" s="227"/>
      <c r="M166" s="233"/>
      <c r="N166" s="238"/>
      <c r="O166" s="234"/>
      <c r="P166" s="235" t="e">
        <f>IF(s1inv[[#This Row],[Schedule 1c Reference Number]]="",0,SUMIF(sched1c[Reference ID],s1inv[[#This Row],[Employer ID]]&amp;"-"&amp;s1inv[[#This Row],[Schedule 1c Reference Number]],sched1c[Change to Cost]))</f>
        <v>#VALUE!</v>
      </c>
      <c r="Q166" s="233"/>
      <c r="R166" s="235" t="e">
        <f>s1inv[[#This Row],[Cost at Beginning Period]]+s1inv[[#This Row],[Addition/
Deduction]]</f>
        <v>#VALUE!</v>
      </c>
      <c r="S166" s="233"/>
      <c r="T166" s="236"/>
      <c r="U166" s="233"/>
      <c r="V166" s="225"/>
      <c r="W166" s="227"/>
      <c r="X166" s="237" t="e">
        <f>s1inv[[#This Row],[Cost at End of Period]]+s1inv[[#This Row],[Unrealized Appreciation]]-ABS(s1inv[[#This Row],[(Unrealized Depreciation)]])</f>
        <v>#VALUE!</v>
      </c>
      <c r="Y166" s="238">
        <v>0</v>
      </c>
      <c r="Z166" s="238"/>
      <c r="AA166" s="239" t="str">
        <f>IFERROR((s1inv[[#This Row],[SBA Reported Value (B)]]+s1inv[[#This Row],[Cum. Cash Proceeds (D)]])/s1inv[[#This Row],[Total Cash Invested (A)]],"")</f>
        <v/>
      </c>
      <c r="AB166" s="240"/>
      <c r="AC166" s="239" t="str">
        <f>IFERROR((s1inv[[#This Row],[GAAP Reported Value (C)]]+s1inv[[#This Row],[Cum. Cash Proceeds (D)]])/s1inv[[#This Row],[Total Cash Invested (A)]],"")</f>
        <v/>
      </c>
      <c r="AD166" s="240"/>
      <c r="AE166" s="241" t="str">
        <f>IF(IFERROR(VLOOKUP(s1inv[[#This Row],[Portfolio Company Name]],s11cumperf[],4,FALSE),"")="","",(IFERROR(VLOOKUP(s1inv[[#This Row],[Portfolio Company Name]],s11cumperf[],4,FALSE),"")))</f>
        <v/>
      </c>
    </row>
    <row r="167" spans="1:31" s="242" customFormat="1" x14ac:dyDescent="0.35">
      <c r="A167" s="223" t="s">
        <v>243</v>
      </c>
      <c r="B167" s="224" t="str">
        <f>IF(IFERROR(VLOOKUP(s1inv[[#This Row],[Portfolio Company Name]],s11cumperf[],2,FALSE),"")="","",(IFERROR(VLOOKUP(s1inv[[#This Row],[Portfolio Company Name]],s11cumperf[],2,FALSE),"")))</f>
        <v/>
      </c>
      <c r="C167" s="694"/>
      <c r="D167" s="225"/>
      <c r="E167" s="226"/>
      <c r="F167" s="227"/>
      <c r="G167" s="228"/>
      <c r="H167" s="229"/>
      <c r="I167" s="230"/>
      <c r="J167" s="231"/>
      <c r="K167" s="232"/>
      <c r="L167" s="227"/>
      <c r="M167" s="233"/>
      <c r="N167" s="238"/>
      <c r="O167" s="234"/>
      <c r="P167" s="235" t="e">
        <f>IF(s1inv[[#This Row],[Schedule 1c Reference Number]]="",0,SUMIF(sched1c[Reference ID],s1inv[[#This Row],[Employer ID]]&amp;"-"&amp;s1inv[[#This Row],[Schedule 1c Reference Number]],sched1c[Change to Cost]))</f>
        <v>#VALUE!</v>
      </c>
      <c r="Q167" s="233"/>
      <c r="R167" s="235" t="e">
        <f>s1inv[[#This Row],[Cost at Beginning Period]]+s1inv[[#This Row],[Addition/
Deduction]]</f>
        <v>#VALUE!</v>
      </c>
      <c r="S167" s="233"/>
      <c r="T167" s="236"/>
      <c r="U167" s="233"/>
      <c r="V167" s="225"/>
      <c r="W167" s="227"/>
      <c r="X167" s="237" t="e">
        <f>s1inv[[#This Row],[Cost at End of Period]]+s1inv[[#This Row],[Unrealized Appreciation]]-ABS(s1inv[[#This Row],[(Unrealized Depreciation)]])</f>
        <v>#VALUE!</v>
      </c>
      <c r="Y167" s="238">
        <v>0</v>
      </c>
      <c r="Z167" s="238"/>
      <c r="AA167" s="239" t="str">
        <f>IFERROR((s1inv[[#This Row],[SBA Reported Value (B)]]+s1inv[[#This Row],[Cum. Cash Proceeds (D)]])/s1inv[[#This Row],[Total Cash Invested (A)]],"")</f>
        <v/>
      </c>
      <c r="AB167" s="240"/>
      <c r="AC167" s="239" t="str">
        <f>IFERROR((s1inv[[#This Row],[GAAP Reported Value (C)]]+s1inv[[#This Row],[Cum. Cash Proceeds (D)]])/s1inv[[#This Row],[Total Cash Invested (A)]],"")</f>
        <v/>
      </c>
      <c r="AD167" s="240"/>
      <c r="AE167" s="241" t="str">
        <f>IF(IFERROR(VLOOKUP(s1inv[[#This Row],[Portfolio Company Name]],s11cumperf[],4,FALSE),"")="","",(IFERROR(VLOOKUP(s1inv[[#This Row],[Portfolio Company Name]],s11cumperf[],4,FALSE),"")))</f>
        <v/>
      </c>
    </row>
    <row r="168" spans="1:31" s="242" customFormat="1" x14ac:dyDescent="0.35">
      <c r="A168" s="223" t="s">
        <v>243</v>
      </c>
      <c r="B168" s="224" t="str">
        <f>IF(IFERROR(VLOOKUP(s1inv[[#This Row],[Portfolio Company Name]],s11cumperf[],2,FALSE),"")="","",(IFERROR(VLOOKUP(s1inv[[#This Row],[Portfolio Company Name]],s11cumperf[],2,FALSE),"")))</f>
        <v/>
      </c>
      <c r="C168" s="694"/>
      <c r="D168" s="225"/>
      <c r="E168" s="226"/>
      <c r="F168" s="227"/>
      <c r="G168" s="228"/>
      <c r="H168" s="229"/>
      <c r="I168" s="230"/>
      <c r="J168" s="231"/>
      <c r="K168" s="232"/>
      <c r="L168" s="227"/>
      <c r="M168" s="233"/>
      <c r="N168" s="238"/>
      <c r="O168" s="234"/>
      <c r="P168" s="235" t="e">
        <f>IF(s1inv[[#This Row],[Schedule 1c Reference Number]]="",0,SUMIF(sched1c[Reference ID],s1inv[[#This Row],[Employer ID]]&amp;"-"&amp;s1inv[[#This Row],[Schedule 1c Reference Number]],sched1c[Change to Cost]))</f>
        <v>#VALUE!</v>
      </c>
      <c r="Q168" s="233"/>
      <c r="R168" s="235" t="e">
        <f>s1inv[[#This Row],[Cost at Beginning Period]]+s1inv[[#This Row],[Addition/
Deduction]]</f>
        <v>#VALUE!</v>
      </c>
      <c r="S168" s="233"/>
      <c r="T168" s="236"/>
      <c r="U168" s="233"/>
      <c r="V168" s="225"/>
      <c r="W168" s="227"/>
      <c r="X168" s="237" t="e">
        <f>s1inv[[#This Row],[Cost at End of Period]]+s1inv[[#This Row],[Unrealized Appreciation]]-ABS(s1inv[[#This Row],[(Unrealized Depreciation)]])</f>
        <v>#VALUE!</v>
      </c>
      <c r="Y168" s="238">
        <v>0</v>
      </c>
      <c r="Z168" s="238"/>
      <c r="AA168" s="239" t="str">
        <f>IFERROR((s1inv[[#This Row],[SBA Reported Value (B)]]+s1inv[[#This Row],[Cum. Cash Proceeds (D)]])/s1inv[[#This Row],[Total Cash Invested (A)]],"")</f>
        <v/>
      </c>
      <c r="AB168" s="240"/>
      <c r="AC168" s="239" t="str">
        <f>IFERROR((s1inv[[#This Row],[GAAP Reported Value (C)]]+s1inv[[#This Row],[Cum. Cash Proceeds (D)]])/s1inv[[#This Row],[Total Cash Invested (A)]],"")</f>
        <v/>
      </c>
      <c r="AD168" s="240"/>
      <c r="AE168" s="241" t="str">
        <f>IF(IFERROR(VLOOKUP(s1inv[[#This Row],[Portfolio Company Name]],s11cumperf[],4,FALSE),"")="","",(IFERROR(VLOOKUP(s1inv[[#This Row],[Portfolio Company Name]],s11cumperf[],4,FALSE),"")))</f>
        <v/>
      </c>
    </row>
    <row r="169" spans="1:31" s="242" customFormat="1" x14ac:dyDescent="0.35">
      <c r="A169" s="223" t="s">
        <v>243</v>
      </c>
      <c r="B169" s="224" t="str">
        <f>IF(IFERROR(VLOOKUP(s1inv[[#This Row],[Portfolio Company Name]],s11cumperf[],2,FALSE),"")="","",(IFERROR(VLOOKUP(s1inv[[#This Row],[Portfolio Company Name]],s11cumperf[],2,FALSE),"")))</f>
        <v/>
      </c>
      <c r="C169" s="694"/>
      <c r="D169" s="225"/>
      <c r="E169" s="226"/>
      <c r="F169" s="227"/>
      <c r="G169" s="228"/>
      <c r="H169" s="229"/>
      <c r="I169" s="230"/>
      <c r="J169" s="231"/>
      <c r="K169" s="232"/>
      <c r="L169" s="227"/>
      <c r="M169" s="233"/>
      <c r="N169" s="238"/>
      <c r="O169" s="234"/>
      <c r="P169" s="235" t="e">
        <f>IF(s1inv[[#This Row],[Schedule 1c Reference Number]]="",0,SUMIF(sched1c[Reference ID],s1inv[[#This Row],[Employer ID]]&amp;"-"&amp;s1inv[[#This Row],[Schedule 1c Reference Number]],sched1c[Change to Cost]))</f>
        <v>#VALUE!</v>
      </c>
      <c r="Q169" s="233"/>
      <c r="R169" s="235" t="e">
        <f>s1inv[[#This Row],[Cost at Beginning Period]]+s1inv[[#This Row],[Addition/
Deduction]]</f>
        <v>#VALUE!</v>
      </c>
      <c r="S169" s="233"/>
      <c r="T169" s="236"/>
      <c r="U169" s="233"/>
      <c r="V169" s="225"/>
      <c r="W169" s="227"/>
      <c r="X169" s="237" t="e">
        <f>s1inv[[#This Row],[Cost at End of Period]]+s1inv[[#This Row],[Unrealized Appreciation]]-ABS(s1inv[[#This Row],[(Unrealized Depreciation)]])</f>
        <v>#VALUE!</v>
      </c>
      <c r="Y169" s="238">
        <v>0</v>
      </c>
      <c r="Z169" s="238"/>
      <c r="AA169" s="239" t="str">
        <f>IFERROR((s1inv[[#This Row],[SBA Reported Value (B)]]+s1inv[[#This Row],[Cum. Cash Proceeds (D)]])/s1inv[[#This Row],[Total Cash Invested (A)]],"")</f>
        <v/>
      </c>
      <c r="AB169" s="240"/>
      <c r="AC169" s="239" t="str">
        <f>IFERROR((s1inv[[#This Row],[GAAP Reported Value (C)]]+s1inv[[#This Row],[Cum. Cash Proceeds (D)]])/s1inv[[#This Row],[Total Cash Invested (A)]],"")</f>
        <v/>
      </c>
      <c r="AD169" s="240"/>
      <c r="AE169" s="241" t="str">
        <f>IF(IFERROR(VLOOKUP(s1inv[[#This Row],[Portfolio Company Name]],s11cumperf[],4,FALSE),"")="","",(IFERROR(VLOOKUP(s1inv[[#This Row],[Portfolio Company Name]],s11cumperf[],4,FALSE),"")))</f>
        <v/>
      </c>
    </row>
    <row r="170" spans="1:31" s="242" customFormat="1" x14ac:dyDescent="0.35">
      <c r="A170" s="223" t="s">
        <v>243</v>
      </c>
      <c r="B170" s="224" t="str">
        <f>IF(IFERROR(VLOOKUP(s1inv[[#This Row],[Portfolio Company Name]],s11cumperf[],2,FALSE),"")="","",(IFERROR(VLOOKUP(s1inv[[#This Row],[Portfolio Company Name]],s11cumperf[],2,FALSE),"")))</f>
        <v/>
      </c>
      <c r="C170" s="694"/>
      <c r="D170" s="225"/>
      <c r="E170" s="226"/>
      <c r="F170" s="227"/>
      <c r="G170" s="228"/>
      <c r="H170" s="229"/>
      <c r="I170" s="230"/>
      <c r="J170" s="231"/>
      <c r="K170" s="232"/>
      <c r="L170" s="227"/>
      <c r="M170" s="233"/>
      <c r="N170" s="238"/>
      <c r="O170" s="234"/>
      <c r="P170" s="235" t="e">
        <f>IF(s1inv[[#This Row],[Schedule 1c Reference Number]]="",0,SUMIF(sched1c[Reference ID],s1inv[[#This Row],[Employer ID]]&amp;"-"&amp;s1inv[[#This Row],[Schedule 1c Reference Number]],sched1c[Change to Cost]))</f>
        <v>#VALUE!</v>
      </c>
      <c r="Q170" s="233"/>
      <c r="R170" s="235" t="e">
        <f>s1inv[[#This Row],[Cost at Beginning Period]]+s1inv[[#This Row],[Addition/
Deduction]]</f>
        <v>#VALUE!</v>
      </c>
      <c r="S170" s="233"/>
      <c r="T170" s="236"/>
      <c r="U170" s="233"/>
      <c r="V170" s="225"/>
      <c r="W170" s="227"/>
      <c r="X170" s="237" t="e">
        <f>s1inv[[#This Row],[Cost at End of Period]]+s1inv[[#This Row],[Unrealized Appreciation]]-ABS(s1inv[[#This Row],[(Unrealized Depreciation)]])</f>
        <v>#VALUE!</v>
      </c>
      <c r="Y170" s="238">
        <v>0</v>
      </c>
      <c r="Z170" s="238"/>
      <c r="AA170" s="239" t="str">
        <f>IFERROR((s1inv[[#This Row],[SBA Reported Value (B)]]+s1inv[[#This Row],[Cum. Cash Proceeds (D)]])/s1inv[[#This Row],[Total Cash Invested (A)]],"")</f>
        <v/>
      </c>
      <c r="AB170" s="240"/>
      <c r="AC170" s="239" t="str">
        <f>IFERROR((s1inv[[#This Row],[GAAP Reported Value (C)]]+s1inv[[#This Row],[Cum. Cash Proceeds (D)]])/s1inv[[#This Row],[Total Cash Invested (A)]],"")</f>
        <v/>
      </c>
      <c r="AD170" s="240"/>
      <c r="AE170" s="241" t="str">
        <f>IF(IFERROR(VLOOKUP(s1inv[[#This Row],[Portfolio Company Name]],s11cumperf[],4,FALSE),"")="","",(IFERROR(VLOOKUP(s1inv[[#This Row],[Portfolio Company Name]],s11cumperf[],4,FALSE),"")))</f>
        <v/>
      </c>
    </row>
    <row r="171" spans="1:31" s="242" customFormat="1" x14ac:dyDescent="0.35">
      <c r="A171" s="223" t="s">
        <v>243</v>
      </c>
      <c r="B171" s="224" t="str">
        <f>IF(IFERROR(VLOOKUP(s1inv[[#This Row],[Portfolio Company Name]],s11cumperf[],2,FALSE),"")="","",(IFERROR(VLOOKUP(s1inv[[#This Row],[Portfolio Company Name]],s11cumperf[],2,FALSE),"")))</f>
        <v/>
      </c>
      <c r="C171" s="694"/>
      <c r="D171" s="225"/>
      <c r="E171" s="226"/>
      <c r="F171" s="227"/>
      <c r="G171" s="228"/>
      <c r="H171" s="229"/>
      <c r="I171" s="230"/>
      <c r="J171" s="231"/>
      <c r="K171" s="232"/>
      <c r="L171" s="227"/>
      <c r="M171" s="233"/>
      <c r="N171" s="238"/>
      <c r="O171" s="234"/>
      <c r="P171" s="235" t="e">
        <f>IF(s1inv[[#This Row],[Schedule 1c Reference Number]]="",0,SUMIF(sched1c[Reference ID],s1inv[[#This Row],[Employer ID]]&amp;"-"&amp;s1inv[[#This Row],[Schedule 1c Reference Number]],sched1c[Change to Cost]))</f>
        <v>#VALUE!</v>
      </c>
      <c r="Q171" s="233"/>
      <c r="R171" s="235" t="e">
        <f>s1inv[[#This Row],[Cost at Beginning Period]]+s1inv[[#This Row],[Addition/
Deduction]]</f>
        <v>#VALUE!</v>
      </c>
      <c r="S171" s="233"/>
      <c r="T171" s="236"/>
      <c r="U171" s="233"/>
      <c r="V171" s="225"/>
      <c r="W171" s="227"/>
      <c r="X171" s="237" t="e">
        <f>s1inv[[#This Row],[Cost at End of Period]]+s1inv[[#This Row],[Unrealized Appreciation]]-ABS(s1inv[[#This Row],[(Unrealized Depreciation)]])</f>
        <v>#VALUE!</v>
      </c>
      <c r="Y171" s="238">
        <v>0</v>
      </c>
      <c r="Z171" s="238"/>
      <c r="AA171" s="239" t="str">
        <f>IFERROR((s1inv[[#This Row],[SBA Reported Value (B)]]+s1inv[[#This Row],[Cum. Cash Proceeds (D)]])/s1inv[[#This Row],[Total Cash Invested (A)]],"")</f>
        <v/>
      </c>
      <c r="AB171" s="240"/>
      <c r="AC171" s="239" t="str">
        <f>IFERROR((s1inv[[#This Row],[GAAP Reported Value (C)]]+s1inv[[#This Row],[Cum. Cash Proceeds (D)]])/s1inv[[#This Row],[Total Cash Invested (A)]],"")</f>
        <v/>
      </c>
      <c r="AD171" s="240"/>
      <c r="AE171" s="241" t="str">
        <f>IF(IFERROR(VLOOKUP(s1inv[[#This Row],[Portfolio Company Name]],s11cumperf[],4,FALSE),"")="","",(IFERROR(VLOOKUP(s1inv[[#This Row],[Portfolio Company Name]],s11cumperf[],4,FALSE),"")))</f>
        <v/>
      </c>
    </row>
    <row r="172" spans="1:31" s="242" customFormat="1" x14ac:dyDescent="0.35">
      <c r="A172" s="223" t="s">
        <v>243</v>
      </c>
      <c r="B172" s="224" t="str">
        <f>IF(IFERROR(VLOOKUP(s1inv[[#This Row],[Portfolio Company Name]],s11cumperf[],2,FALSE),"")="","",(IFERROR(VLOOKUP(s1inv[[#This Row],[Portfolio Company Name]],s11cumperf[],2,FALSE),"")))</f>
        <v/>
      </c>
      <c r="C172" s="694"/>
      <c r="D172" s="225"/>
      <c r="E172" s="226"/>
      <c r="F172" s="227"/>
      <c r="G172" s="228"/>
      <c r="H172" s="229"/>
      <c r="I172" s="230"/>
      <c r="J172" s="231"/>
      <c r="K172" s="232"/>
      <c r="L172" s="227"/>
      <c r="M172" s="233"/>
      <c r="N172" s="238"/>
      <c r="O172" s="234"/>
      <c r="P172" s="235" t="e">
        <f>IF(s1inv[[#This Row],[Schedule 1c Reference Number]]="",0,SUMIF(sched1c[Reference ID],s1inv[[#This Row],[Employer ID]]&amp;"-"&amp;s1inv[[#This Row],[Schedule 1c Reference Number]],sched1c[Change to Cost]))</f>
        <v>#VALUE!</v>
      </c>
      <c r="Q172" s="233"/>
      <c r="R172" s="235" t="e">
        <f>s1inv[[#This Row],[Cost at Beginning Period]]+s1inv[[#This Row],[Addition/
Deduction]]</f>
        <v>#VALUE!</v>
      </c>
      <c r="S172" s="233"/>
      <c r="T172" s="236"/>
      <c r="U172" s="233"/>
      <c r="V172" s="225"/>
      <c r="W172" s="227"/>
      <c r="X172" s="237" t="e">
        <f>s1inv[[#This Row],[Cost at End of Period]]+s1inv[[#This Row],[Unrealized Appreciation]]-ABS(s1inv[[#This Row],[(Unrealized Depreciation)]])</f>
        <v>#VALUE!</v>
      </c>
      <c r="Y172" s="238">
        <v>0</v>
      </c>
      <c r="Z172" s="238"/>
      <c r="AA172" s="239" t="str">
        <f>IFERROR((s1inv[[#This Row],[SBA Reported Value (B)]]+s1inv[[#This Row],[Cum. Cash Proceeds (D)]])/s1inv[[#This Row],[Total Cash Invested (A)]],"")</f>
        <v/>
      </c>
      <c r="AB172" s="240"/>
      <c r="AC172" s="239" t="str">
        <f>IFERROR((s1inv[[#This Row],[GAAP Reported Value (C)]]+s1inv[[#This Row],[Cum. Cash Proceeds (D)]])/s1inv[[#This Row],[Total Cash Invested (A)]],"")</f>
        <v/>
      </c>
      <c r="AD172" s="240"/>
      <c r="AE172" s="241" t="str">
        <f>IF(IFERROR(VLOOKUP(s1inv[[#This Row],[Portfolio Company Name]],s11cumperf[],4,FALSE),"")="","",(IFERROR(VLOOKUP(s1inv[[#This Row],[Portfolio Company Name]],s11cumperf[],4,FALSE),"")))</f>
        <v/>
      </c>
    </row>
    <row r="173" spans="1:31" s="242" customFormat="1" x14ac:dyDescent="0.35">
      <c r="A173" s="223" t="s">
        <v>243</v>
      </c>
      <c r="B173" s="224" t="str">
        <f>IF(IFERROR(VLOOKUP(s1inv[[#This Row],[Portfolio Company Name]],s11cumperf[],2,FALSE),"")="","",(IFERROR(VLOOKUP(s1inv[[#This Row],[Portfolio Company Name]],s11cumperf[],2,FALSE),"")))</f>
        <v/>
      </c>
      <c r="C173" s="694"/>
      <c r="D173" s="225"/>
      <c r="E173" s="226"/>
      <c r="F173" s="227"/>
      <c r="G173" s="228"/>
      <c r="H173" s="229"/>
      <c r="I173" s="230"/>
      <c r="J173" s="231"/>
      <c r="K173" s="232"/>
      <c r="L173" s="227"/>
      <c r="M173" s="233"/>
      <c r="N173" s="238"/>
      <c r="O173" s="234"/>
      <c r="P173" s="235" t="e">
        <f>IF(s1inv[[#This Row],[Schedule 1c Reference Number]]="",0,SUMIF(sched1c[Reference ID],s1inv[[#This Row],[Employer ID]]&amp;"-"&amp;s1inv[[#This Row],[Schedule 1c Reference Number]],sched1c[Change to Cost]))</f>
        <v>#VALUE!</v>
      </c>
      <c r="Q173" s="233"/>
      <c r="R173" s="235" t="e">
        <f>s1inv[[#This Row],[Cost at Beginning Period]]+s1inv[[#This Row],[Addition/
Deduction]]</f>
        <v>#VALUE!</v>
      </c>
      <c r="S173" s="233"/>
      <c r="T173" s="236"/>
      <c r="U173" s="233"/>
      <c r="V173" s="225"/>
      <c r="W173" s="227"/>
      <c r="X173" s="237" t="e">
        <f>s1inv[[#This Row],[Cost at End of Period]]+s1inv[[#This Row],[Unrealized Appreciation]]-ABS(s1inv[[#This Row],[(Unrealized Depreciation)]])</f>
        <v>#VALUE!</v>
      </c>
      <c r="Y173" s="238">
        <v>0</v>
      </c>
      <c r="Z173" s="238"/>
      <c r="AA173" s="239" t="str">
        <f>IFERROR((s1inv[[#This Row],[SBA Reported Value (B)]]+s1inv[[#This Row],[Cum. Cash Proceeds (D)]])/s1inv[[#This Row],[Total Cash Invested (A)]],"")</f>
        <v/>
      </c>
      <c r="AB173" s="240"/>
      <c r="AC173" s="239" t="str">
        <f>IFERROR((s1inv[[#This Row],[GAAP Reported Value (C)]]+s1inv[[#This Row],[Cum. Cash Proceeds (D)]])/s1inv[[#This Row],[Total Cash Invested (A)]],"")</f>
        <v/>
      </c>
      <c r="AD173" s="240"/>
      <c r="AE173" s="241" t="str">
        <f>IF(IFERROR(VLOOKUP(s1inv[[#This Row],[Portfolio Company Name]],s11cumperf[],4,FALSE),"")="","",(IFERROR(VLOOKUP(s1inv[[#This Row],[Portfolio Company Name]],s11cumperf[],4,FALSE),"")))</f>
        <v/>
      </c>
    </row>
    <row r="174" spans="1:31" s="242" customFormat="1" x14ac:dyDescent="0.35">
      <c r="A174" s="223" t="s">
        <v>243</v>
      </c>
      <c r="B174" s="224" t="str">
        <f>IF(IFERROR(VLOOKUP(s1inv[[#This Row],[Portfolio Company Name]],s11cumperf[],2,FALSE),"")="","",(IFERROR(VLOOKUP(s1inv[[#This Row],[Portfolio Company Name]],s11cumperf[],2,FALSE),"")))</f>
        <v/>
      </c>
      <c r="C174" s="694"/>
      <c r="D174" s="225"/>
      <c r="E174" s="226"/>
      <c r="F174" s="227"/>
      <c r="G174" s="228"/>
      <c r="H174" s="229"/>
      <c r="I174" s="230"/>
      <c r="J174" s="231"/>
      <c r="K174" s="232"/>
      <c r="L174" s="227"/>
      <c r="M174" s="233"/>
      <c r="N174" s="238"/>
      <c r="O174" s="234"/>
      <c r="P174" s="235" t="e">
        <f>IF(s1inv[[#This Row],[Schedule 1c Reference Number]]="",0,SUMIF(sched1c[Reference ID],s1inv[[#This Row],[Employer ID]]&amp;"-"&amp;s1inv[[#This Row],[Schedule 1c Reference Number]],sched1c[Change to Cost]))</f>
        <v>#VALUE!</v>
      </c>
      <c r="Q174" s="233"/>
      <c r="R174" s="235" t="e">
        <f>s1inv[[#This Row],[Cost at Beginning Period]]+s1inv[[#This Row],[Addition/
Deduction]]</f>
        <v>#VALUE!</v>
      </c>
      <c r="S174" s="233"/>
      <c r="T174" s="236"/>
      <c r="U174" s="233"/>
      <c r="V174" s="225"/>
      <c r="W174" s="227"/>
      <c r="X174" s="237" t="e">
        <f>s1inv[[#This Row],[Cost at End of Period]]+s1inv[[#This Row],[Unrealized Appreciation]]-ABS(s1inv[[#This Row],[(Unrealized Depreciation)]])</f>
        <v>#VALUE!</v>
      </c>
      <c r="Y174" s="238">
        <v>0</v>
      </c>
      <c r="Z174" s="238"/>
      <c r="AA174" s="239" t="str">
        <f>IFERROR((s1inv[[#This Row],[SBA Reported Value (B)]]+s1inv[[#This Row],[Cum. Cash Proceeds (D)]])/s1inv[[#This Row],[Total Cash Invested (A)]],"")</f>
        <v/>
      </c>
      <c r="AB174" s="240"/>
      <c r="AC174" s="239" t="str">
        <f>IFERROR((s1inv[[#This Row],[GAAP Reported Value (C)]]+s1inv[[#This Row],[Cum. Cash Proceeds (D)]])/s1inv[[#This Row],[Total Cash Invested (A)]],"")</f>
        <v/>
      </c>
      <c r="AD174" s="240"/>
      <c r="AE174" s="241" t="str">
        <f>IF(IFERROR(VLOOKUP(s1inv[[#This Row],[Portfolio Company Name]],s11cumperf[],4,FALSE),"")="","",(IFERROR(VLOOKUP(s1inv[[#This Row],[Portfolio Company Name]],s11cumperf[],4,FALSE),"")))</f>
        <v/>
      </c>
    </row>
  </sheetData>
  <mergeCells count="7">
    <mergeCell ref="AA20:AB20"/>
    <mergeCell ref="AC20:AD20"/>
    <mergeCell ref="M6:Z6"/>
    <mergeCell ref="H1:W1"/>
    <mergeCell ref="H2:W2"/>
    <mergeCell ref="AA6:AB6"/>
    <mergeCell ref="AC6:AD6"/>
  </mergeCells>
  <phoneticPr fontId="2" type="noConversion"/>
  <dataValidations xWindow="253" yWindow="378" count="1">
    <dataValidation allowBlank="1" showInputMessage="1" showErrorMessage="1" prompt="Click on this link to go to Schedule 11 an enter company if it does not appear as selection." sqref="A20" xr:uid="{C6225DBC-B9B5-4FA7-A376-61D662A1A5C5}"/>
  </dataValidations>
  <hyperlinks>
    <hyperlink ref="A20" location="s11cumperf!A1" display="Portfolio companies must be first entered in Schedule 11.  " xr:uid="{7904F9B8-01BE-4319-B048-B20895FB7D90}"/>
    <hyperlink ref="O20" location="S1C!A1" display="*" xr:uid="{AFF17E5D-3A13-4882-88BD-97EB9D97ED9A}"/>
  </hyperlinks>
  <printOptions horizontalCentered="1"/>
  <pageMargins left="0.25" right="0.25" top="0.5" bottom="0.5" header="0.3" footer="0.3"/>
  <pageSetup scale="85" orientation="landscape" horizontalDpi="1200" verticalDpi="1200" r:id="rId1"/>
  <tableParts count="1">
    <tablePart r:id="rId2"/>
  </tableParts>
  <extLst>
    <ext xmlns:x14="http://schemas.microsoft.com/office/spreadsheetml/2009/9/main" uri="{CCE6A557-97BC-4b89-ADB6-D9C93CAAB3DF}">
      <x14:dataValidations xmlns:xm="http://schemas.microsoft.com/office/excel/2006/main" xWindow="253" yWindow="378" count="7">
        <x14:dataValidation type="list" allowBlank="1" showInputMessage="1" showErrorMessage="1" xr:uid="{ECDF1740-035C-4A4D-A174-82DC96E78DE6}">
          <x14:formula1>
            <xm:f>selection!$Y$17:$Y$18</xm:f>
          </x14:formula1>
          <xm:sqref>H22:H174</xm:sqref>
        </x14:dataValidation>
        <x14:dataValidation type="list" allowBlank="1" showInputMessage="1" showErrorMessage="1" xr:uid="{B5DEBE66-6442-4D14-9348-DBACC7731A32}">
          <x14:formula1>
            <xm:f>selection!$AC$17:$AC$18</xm:f>
          </x14:formula1>
          <xm:sqref>K22:K174</xm:sqref>
        </x14:dataValidation>
        <x14:dataValidation type="list" allowBlank="1" showInputMessage="1" showErrorMessage="1" xr:uid="{4D15F558-C18A-4A7C-9936-A67676BF7292}">
          <x14:formula1>
            <xm:f>selection!$BF$17:$BF$32</xm:f>
          </x14:formula1>
          <xm:sqref>E22:E174</xm:sqref>
        </x14:dataValidation>
        <x14:dataValidation type="list" allowBlank="1" showInputMessage="1" showErrorMessage="1" xr:uid="{B93E1626-C243-4DED-9911-54313853F3AB}">
          <x14:formula1>
            <xm:f>selection!$BI$17:$BI$22</xm:f>
          </x14:formula1>
          <xm:sqref>L22:L174</xm:sqref>
        </x14:dataValidation>
        <x14:dataValidation type="list" allowBlank="1" showInputMessage="1" showErrorMessage="1" xr:uid="{20B3ABD1-67C9-46D2-9605-B97DB45614B6}">
          <x14:formula1>
            <xm:f>S11cumperf!$A$18:$A$100</xm:f>
          </x14:formula1>
          <xm:sqref>A22:A174</xm:sqref>
        </x14:dataValidation>
        <x14:dataValidation type="list" allowBlank="1" showInputMessage="1" showErrorMessage="1" xr:uid="{B558617B-8E37-492C-913E-EE270D4D4FFB}">
          <x14:formula1>
            <xm:f>selection!$BC$17:$BC$25</xm:f>
          </x14:formula1>
          <xm:sqref>D22:D174</xm:sqref>
        </x14:dataValidation>
        <x14:dataValidation type="list" allowBlank="1" showInputMessage="1" showErrorMessage="1" xr:uid="{B73162C3-2E5A-4803-8B05-21549E390D6D}">
          <x14:formula1>
            <xm:f>selection!$AD$17:$AD$30</xm:f>
          </x14:formula1>
          <xm:sqref>C22:C174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EC2E1-EB4A-4730-B8CC-D7C117372DE8}">
  <sheetPr codeName="Sheet16"/>
  <dimension ref="A1:M50"/>
  <sheetViews>
    <sheetView workbookViewId="0">
      <selection activeCell="F28" sqref="F28"/>
    </sheetView>
  </sheetViews>
  <sheetFormatPr defaultColWidth="23.54296875" defaultRowHeight="10" x14ac:dyDescent="0.2"/>
  <cols>
    <col min="1" max="1" width="34.81640625" style="77" customWidth="1"/>
    <col min="2" max="8" width="12.81640625" style="77" customWidth="1"/>
    <col min="9" max="16384" width="23.54296875" style="77"/>
  </cols>
  <sheetData>
    <row r="1" spans="1:13" ht="15" customHeight="1" x14ac:dyDescent="0.2">
      <c r="A1" s="73" t="s">
        <v>2041</v>
      </c>
      <c r="B1" s="74"/>
      <c r="C1" s="75" t="s">
        <v>2042</v>
      </c>
      <c r="D1" s="74"/>
      <c r="E1" s="74"/>
      <c r="F1" s="74"/>
      <c r="G1" s="74"/>
      <c r="H1" s="76" t="str">
        <f>'1-Cover'!$G$1</f>
        <v>OMB Approval No. 3245-0063</v>
      </c>
    </row>
    <row r="2" spans="1:13" ht="15" customHeight="1" x14ac:dyDescent="0.2">
      <c r="A2" s="78"/>
      <c r="C2" s="79" t="s">
        <v>2043</v>
      </c>
      <c r="H2" s="80" t="str">
        <f>'1-Cover'!$G$2</f>
        <v>Expiration Date MM/DD/YYYY</v>
      </c>
    </row>
    <row r="3" spans="1:13" ht="15" customHeight="1" x14ac:dyDescent="0.2">
      <c r="A3" s="136"/>
      <c r="B3" s="82"/>
      <c r="C3" s="79" t="str">
        <f>"FOR "&amp;Number_of_Months&amp;" MONTH PERIOD ENDED: "&amp;TEXT(Form468Date,"MM/DD/YYYY")</f>
        <v>FOR  MONTH PERIOD ENDED: 01/00/1900</v>
      </c>
      <c r="D3" s="82"/>
      <c r="E3" s="82"/>
      <c r="F3" s="82"/>
      <c r="G3" s="82"/>
      <c r="H3" s="260"/>
    </row>
    <row r="4" spans="1:13" ht="15" customHeight="1" x14ac:dyDescent="0.2">
      <c r="A4" s="121" t="str">
        <f>"Name of License:  "&amp;sbicname</f>
        <v xml:space="preserve">Name of License:  </v>
      </c>
      <c r="B4" s="140">
        <f>S1Inv!B4</f>
        <v>0</v>
      </c>
      <c r="C4" s="140"/>
      <c r="D4" s="140"/>
      <c r="E4" s="140"/>
      <c r="F4" s="140"/>
      <c r="G4" s="140"/>
      <c r="H4" s="123" t="str">
        <f>"License no.:  "&amp;TEXT(licenseno,"00\/00\-0000")</f>
        <v>License no.:  00/00-0000</v>
      </c>
    </row>
    <row r="5" spans="1:13" s="266" customFormat="1" ht="15" customHeight="1" x14ac:dyDescent="0.2">
      <c r="A5" s="261"/>
      <c r="B5" s="262"/>
      <c r="C5" s="263"/>
      <c r="D5" s="261"/>
      <c r="E5" s="261"/>
      <c r="F5" s="261"/>
      <c r="G5" s="264"/>
      <c r="H5" s="265"/>
      <c r="I5" s="77"/>
      <c r="J5" s="77"/>
      <c r="K5" s="77"/>
      <c r="L5" s="77"/>
      <c r="M5" s="77"/>
    </row>
    <row r="6" spans="1:13" s="266" customFormat="1" ht="15" customHeight="1" x14ac:dyDescent="0.2">
      <c r="A6" s="267"/>
      <c r="B6" s="268"/>
      <c r="C6" s="268"/>
      <c r="D6" s="269"/>
      <c r="E6" s="269"/>
      <c r="F6" s="269"/>
      <c r="G6" s="270"/>
      <c r="H6" s="271"/>
      <c r="I6" s="77"/>
      <c r="J6" s="77"/>
      <c r="K6" s="77"/>
      <c r="L6" s="77"/>
      <c r="M6" s="77"/>
    </row>
    <row r="7" spans="1:13" ht="15" customHeight="1" x14ac:dyDescent="0.2">
      <c r="A7" s="272" t="s">
        <v>2042</v>
      </c>
      <c r="B7" s="273"/>
      <c r="C7" s="273"/>
      <c r="D7" s="273"/>
      <c r="E7" s="273"/>
      <c r="F7" s="273"/>
      <c r="G7" s="273"/>
      <c r="H7" s="274"/>
    </row>
    <row r="8" spans="1:13" s="79" customFormat="1" ht="15" customHeight="1" x14ac:dyDescent="0.2">
      <c r="A8" s="107" t="s">
        <v>159</v>
      </c>
      <c r="B8" s="275" t="s">
        <v>2044</v>
      </c>
      <c r="C8" s="275" t="s">
        <v>154</v>
      </c>
      <c r="D8" s="275" t="s">
        <v>2045</v>
      </c>
      <c r="E8" s="275" t="s">
        <v>2046</v>
      </c>
      <c r="F8" s="275" t="s">
        <v>199</v>
      </c>
      <c r="G8" s="275" t="s">
        <v>2047</v>
      </c>
      <c r="H8" s="275" t="s">
        <v>2048</v>
      </c>
    </row>
    <row r="9" spans="1:13" s="278" customFormat="1" ht="40.15" customHeight="1" x14ac:dyDescent="0.35">
      <c r="A9" s="276" t="s">
        <v>2049</v>
      </c>
      <c r="B9" s="277" t="s">
        <v>2050</v>
      </c>
      <c r="C9" s="277" t="s">
        <v>2051</v>
      </c>
      <c r="D9" s="277" t="s">
        <v>2009</v>
      </c>
      <c r="E9" s="277" t="s">
        <v>2052</v>
      </c>
      <c r="F9" s="277" t="s">
        <v>2053</v>
      </c>
      <c r="G9" s="259" t="s">
        <v>2054</v>
      </c>
      <c r="H9" s="259" t="s">
        <v>2055</v>
      </c>
    </row>
    <row r="10" spans="1:13" ht="15" customHeight="1" x14ac:dyDescent="0.2">
      <c r="A10" s="217" t="s">
        <v>2056</v>
      </c>
      <c r="B10" s="186">
        <f>S1Inv!N9</f>
        <v>0</v>
      </c>
      <c r="C10" s="186">
        <f>S1Inv!P9</f>
        <v>0</v>
      </c>
      <c r="D10" s="186">
        <f>S1Inv!R9</f>
        <v>0</v>
      </c>
      <c r="E10" s="186">
        <f>S1Inv!S9</f>
        <v>0</v>
      </c>
      <c r="F10" s="186">
        <f>S1Inv!T9</f>
        <v>0</v>
      </c>
      <c r="G10" s="186">
        <f>S1Inv!X9</f>
        <v>0</v>
      </c>
      <c r="H10" s="186">
        <f>S1Inv!Y9</f>
        <v>0</v>
      </c>
    </row>
    <row r="11" spans="1:13" ht="15" customHeight="1" x14ac:dyDescent="0.2">
      <c r="A11" s="217" t="s">
        <v>2057</v>
      </c>
      <c r="B11" s="186">
        <f>S1Inv!N10</f>
        <v>0</v>
      </c>
      <c r="C11" s="186">
        <f>S1Inv!P10</f>
        <v>0</v>
      </c>
      <c r="D11" s="186">
        <f>S1Inv!R10</f>
        <v>0</v>
      </c>
      <c r="E11" s="186">
        <f>S1Inv!S10</f>
        <v>0</v>
      </c>
      <c r="F11" s="186">
        <f>S1Inv!T10</f>
        <v>0</v>
      </c>
      <c r="G11" s="186">
        <f>S1Inv!X10</f>
        <v>0</v>
      </c>
      <c r="H11" s="186">
        <f>S1Inv!Y10</f>
        <v>0</v>
      </c>
    </row>
    <row r="12" spans="1:13" ht="15" customHeight="1" x14ac:dyDescent="0.2">
      <c r="A12" s="217" t="s">
        <v>2058</v>
      </c>
      <c r="B12" s="186">
        <f>S1Inv!N11</f>
        <v>0</v>
      </c>
      <c r="C12" s="186">
        <f>S1Inv!P11</f>
        <v>0</v>
      </c>
      <c r="D12" s="186">
        <f>S1Inv!R11</f>
        <v>0</v>
      </c>
      <c r="E12" s="186">
        <f>S1Inv!S11</f>
        <v>0</v>
      </c>
      <c r="F12" s="186">
        <f>S1Inv!T11</f>
        <v>0</v>
      </c>
      <c r="G12" s="186">
        <f>S1Inv!X11</f>
        <v>0</v>
      </c>
      <c r="H12" s="186">
        <f>S1Inv!Y11</f>
        <v>0</v>
      </c>
    </row>
    <row r="13" spans="1:13" ht="15" customHeight="1" x14ac:dyDescent="0.2">
      <c r="A13" s="279" t="s">
        <v>2026</v>
      </c>
      <c r="B13" s="186">
        <f>S1Inv!N12</f>
        <v>0</v>
      </c>
      <c r="C13" s="186">
        <f>S1Inv!P12</f>
        <v>0</v>
      </c>
      <c r="D13" s="186">
        <f>S1Inv!R12</f>
        <v>0</v>
      </c>
      <c r="E13" s="186">
        <f>S1Inv!S12</f>
        <v>0</v>
      </c>
      <c r="F13" s="186">
        <f>S1Inv!T12</f>
        <v>0</v>
      </c>
      <c r="G13" s="186">
        <f>S1Inv!X12</f>
        <v>0</v>
      </c>
      <c r="H13" s="186">
        <f>S1Inv!Y12</f>
        <v>0</v>
      </c>
    </row>
    <row r="14" spans="1:13" ht="15" customHeight="1" x14ac:dyDescent="0.2">
      <c r="A14" s="217" t="s">
        <v>2059</v>
      </c>
      <c r="B14" s="186">
        <f>S1Inv!N13+S1Inv!N14</f>
        <v>0</v>
      </c>
      <c r="C14" s="186">
        <f>S1Inv!P13+S1Inv!P14</f>
        <v>0</v>
      </c>
      <c r="D14" s="186">
        <f>S1Inv!R13+S1Inv!R14</f>
        <v>0</v>
      </c>
      <c r="E14" s="186">
        <f>S1Inv!S13+S1Inv!S14</f>
        <v>0</v>
      </c>
      <c r="F14" s="186">
        <f>S1Inv!T13+S1Inv!T14</f>
        <v>0</v>
      </c>
      <c r="G14" s="186">
        <f>S1Inv!X13+S1Inv!X14</f>
        <v>0</v>
      </c>
      <c r="H14" s="186">
        <f>S1Inv!Y13+S1Inv!Y14</f>
        <v>0</v>
      </c>
    </row>
    <row r="15" spans="1:13" ht="15" customHeight="1" x14ac:dyDescent="0.2">
      <c r="A15" s="280" t="s">
        <v>2060</v>
      </c>
      <c r="B15" s="186">
        <f>S1Inv!N15</f>
        <v>0</v>
      </c>
      <c r="C15" s="186">
        <f>S1Inv!P15</f>
        <v>0</v>
      </c>
      <c r="D15" s="186">
        <f>S1Inv!R15</f>
        <v>0</v>
      </c>
      <c r="E15" s="186">
        <f>S1Inv!S15</f>
        <v>0</v>
      </c>
      <c r="F15" s="186">
        <f>S1Inv!T15</f>
        <v>0</v>
      </c>
      <c r="G15" s="186">
        <f>S1Inv!X15</f>
        <v>0</v>
      </c>
      <c r="H15" s="186">
        <f>S1Inv!Y15</f>
        <v>0</v>
      </c>
    </row>
    <row r="16" spans="1:13" ht="15" customHeight="1" x14ac:dyDescent="0.2">
      <c r="A16" s="217" t="s">
        <v>2061</v>
      </c>
      <c r="B16" s="186">
        <f>S1Inv!N16</f>
        <v>0</v>
      </c>
      <c r="C16" s="186">
        <f>S1Inv!P16</f>
        <v>0</v>
      </c>
      <c r="D16" s="186">
        <f>S1Inv!R16</f>
        <v>0</v>
      </c>
      <c r="E16" s="186">
        <f>S1Inv!S16</f>
        <v>0</v>
      </c>
      <c r="F16" s="186">
        <f>S1Inv!T16</f>
        <v>0</v>
      </c>
      <c r="G16" s="186">
        <f>S1Inv!X16</f>
        <v>0</v>
      </c>
      <c r="H16" s="186">
        <f>S1Inv!Y16</f>
        <v>0</v>
      </c>
    </row>
    <row r="17" spans="1:8" ht="15" customHeight="1" x14ac:dyDescent="0.2">
      <c r="A17" s="217" t="s">
        <v>2062</v>
      </c>
      <c r="B17" s="186">
        <f>S1Inv!N17</f>
        <v>0</v>
      </c>
      <c r="C17" s="186">
        <f>S1Inv!P17</f>
        <v>0</v>
      </c>
      <c r="D17" s="186">
        <f>S1Inv!R17</f>
        <v>0</v>
      </c>
      <c r="E17" s="186">
        <f>S1Inv!S17</f>
        <v>0</v>
      </c>
      <c r="F17" s="186">
        <f>S1Inv!T17</f>
        <v>0</v>
      </c>
      <c r="G17" s="186">
        <f>S1Inv!X17</f>
        <v>0</v>
      </c>
      <c r="H17" s="186">
        <f>S1Inv!Y17</f>
        <v>0</v>
      </c>
    </row>
    <row r="18" spans="1:8" ht="15" customHeight="1" x14ac:dyDescent="0.2">
      <c r="A18" s="279" t="s">
        <v>2063</v>
      </c>
      <c r="B18" s="186">
        <f>S1Inv!N18</f>
        <v>0</v>
      </c>
      <c r="C18" s="186">
        <f>S1Inv!P18</f>
        <v>0</v>
      </c>
      <c r="D18" s="186">
        <f>S1Inv!R18</f>
        <v>0</v>
      </c>
      <c r="E18" s="186">
        <f>S1Inv!S18</f>
        <v>0</v>
      </c>
      <c r="F18" s="186">
        <f>S1Inv!T18</f>
        <v>0</v>
      </c>
      <c r="G18" s="186">
        <f>S1Inv!X18</f>
        <v>0</v>
      </c>
      <c r="H18" s="186">
        <f>S1Inv!Y18</f>
        <v>0</v>
      </c>
    </row>
    <row r="19" spans="1:8" ht="15" customHeight="1" thickBot="1" x14ac:dyDescent="0.25">
      <c r="A19" s="281"/>
      <c r="B19" s="282"/>
      <c r="C19" s="282"/>
      <c r="D19" s="282"/>
      <c r="E19" s="282"/>
      <c r="F19" s="282"/>
      <c r="G19" s="282"/>
      <c r="H19" s="283"/>
    </row>
    <row r="20" spans="1:8" ht="15" customHeight="1" x14ac:dyDescent="0.2"/>
    <row r="21" spans="1:8" ht="15" customHeight="1" thickBot="1" x14ac:dyDescent="0.25"/>
    <row r="22" spans="1:8" ht="15" customHeight="1" thickTop="1" x14ac:dyDescent="0.2">
      <c r="A22" s="284"/>
      <c r="B22" s="285"/>
      <c r="C22" s="285"/>
      <c r="D22" s="285"/>
      <c r="E22" s="285"/>
      <c r="F22" s="285"/>
      <c r="G22" s="285"/>
      <c r="H22" s="286"/>
    </row>
    <row r="23" spans="1:8" ht="15" customHeight="1" x14ac:dyDescent="0.2">
      <c r="A23" s="287" t="s">
        <v>2043</v>
      </c>
      <c r="H23" s="288"/>
    </row>
    <row r="24" spans="1:8" ht="15" customHeight="1" x14ac:dyDescent="0.2">
      <c r="A24" s="289"/>
      <c r="H24" s="288"/>
    </row>
    <row r="25" spans="1:8" ht="15" customHeight="1" x14ac:dyDescent="0.2">
      <c r="A25" s="289" t="s">
        <v>2064</v>
      </c>
      <c r="G25" s="110"/>
      <c r="H25" s="288"/>
    </row>
    <row r="26" spans="1:8" ht="15" customHeight="1" x14ac:dyDescent="0.2">
      <c r="A26" s="289"/>
      <c r="H26" s="288"/>
    </row>
    <row r="27" spans="1:8" ht="15" hidden="1" customHeight="1" x14ac:dyDescent="0.2">
      <c r="A27" s="289"/>
      <c r="H27" s="288"/>
    </row>
    <row r="28" spans="1:8" ht="15" customHeight="1" x14ac:dyDescent="0.2">
      <c r="A28" s="289" t="s">
        <v>2065</v>
      </c>
      <c r="G28" s="110"/>
      <c r="H28" s="288"/>
    </row>
    <row r="29" spans="1:8" ht="15" customHeight="1" x14ac:dyDescent="0.2">
      <c r="A29" s="289"/>
      <c r="H29" s="288"/>
    </row>
    <row r="30" spans="1:8" ht="15" hidden="1" customHeight="1" x14ac:dyDescent="0.2">
      <c r="A30" s="289"/>
      <c r="H30" s="288"/>
    </row>
    <row r="31" spans="1:8" ht="15" customHeight="1" x14ac:dyDescent="0.2">
      <c r="A31" s="289" t="s">
        <v>2066</v>
      </c>
      <c r="G31" s="290" t="str">
        <f>IFERROR(G25/G28,"")</f>
        <v/>
      </c>
      <c r="H31" s="288"/>
    </row>
    <row r="32" spans="1:8" ht="15" customHeight="1" x14ac:dyDescent="0.2">
      <c r="A32" s="289"/>
      <c r="H32" s="288"/>
    </row>
    <row r="33" spans="1:8" ht="15" hidden="1" customHeight="1" x14ac:dyDescent="0.2">
      <c r="A33" s="289"/>
      <c r="H33" s="288"/>
    </row>
    <row r="34" spans="1:8" ht="15" customHeight="1" x14ac:dyDescent="0.2">
      <c r="A34" s="289" t="s">
        <v>2067</v>
      </c>
      <c r="H34" s="288"/>
    </row>
    <row r="35" spans="1:8" ht="15" customHeight="1" thickBot="1" x14ac:dyDescent="0.25">
      <c r="A35" s="291"/>
      <c r="B35" s="165"/>
      <c r="C35" s="165"/>
      <c r="D35" s="165"/>
      <c r="E35" s="165"/>
      <c r="F35" s="165"/>
      <c r="G35" s="165"/>
      <c r="H35" s="292"/>
    </row>
    <row r="36" spans="1:8" ht="15" customHeight="1" thickTop="1" x14ac:dyDescent="0.2"/>
    <row r="37" spans="1:8" ht="15" customHeight="1" x14ac:dyDescent="0.2"/>
    <row r="38" spans="1:8" ht="15" customHeight="1" x14ac:dyDescent="0.2"/>
    <row r="39" spans="1:8" ht="15" customHeight="1" x14ac:dyDescent="0.2"/>
    <row r="40" spans="1:8" ht="15" customHeight="1" x14ac:dyDescent="0.2"/>
    <row r="41" spans="1:8" ht="15" customHeight="1" x14ac:dyDescent="0.2"/>
    <row r="42" spans="1:8" ht="15" customHeight="1" x14ac:dyDescent="0.2"/>
    <row r="43" spans="1:8" ht="15" customHeight="1" x14ac:dyDescent="0.2"/>
    <row r="44" spans="1:8" ht="15" customHeight="1" x14ac:dyDescent="0.2"/>
    <row r="45" spans="1:8" ht="15" customHeight="1" x14ac:dyDescent="0.2"/>
    <row r="46" spans="1:8" ht="15" customHeight="1" x14ac:dyDescent="0.2"/>
    <row r="47" spans="1:8" ht="15" customHeight="1" x14ac:dyDescent="0.2"/>
    <row r="48" spans="1:8" ht="15" customHeight="1" x14ac:dyDescent="0.2"/>
    <row r="49" ht="15" customHeight="1" x14ac:dyDescent="0.2"/>
    <row r="50" ht="15" customHeight="1" x14ac:dyDescent="0.2"/>
  </sheetData>
  <pageMargins left="0.5" right="0.5" top="0.5" bottom="0.5" header="0.3" footer="0.3"/>
  <pageSetup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D4C22-CE22-4E7B-875A-3F305AA8AF3D}">
  <sheetPr codeName="Sheet17"/>
  <dimension ref="A1:K67"/>
  <sheetViews>
    <sheetView topLeftCell="A9" workbookViewId="0">
      <selection activeCell="I9" sqref="I9"/>
    </sheetView>
  </sheetViews>
  <sheetFormatPr defaultColWidth="23.54296875" defaultRowHeight="12" customHeight="1" x14ac:dyDescent="0.3"/>
  <cols>
    <col min="1" max="1" width="15.81640625" style="4" customWidth="1"/>
    <col min="2" max="2" width="8.81640625" style="4" customWidth="1"/>
    <col min="3" max="3" width="8.26953125" style="4" customWidth="1"/>
    <col min="4" max="5" width="10.1796875" style="4" customWidth="1"/>
    <col min="6" max="6" width="17.7265625" style="4" customWidth="1"/>
    <col min="7" max="7" width="12.54296875" style="4" customWidth="1"/>
    <col min="8" max="8" width="12.26953125" style="4" customWidth="1"/>
    <col min="9" max="9" width="19.453125" style="4" customWidth="1"/>
    <col min="10" max="16384" width="23.54296875" style="4"/>
  </cols>
  <sheetData>
    <row r="1" spans="1:11" ht="12" customHeight="1" x14ac:dyDescent="0.3">
      <c r="A1" s="40" t="s">
        <v>2068</v>
      </c>
      <c r="B1" s="33"/>
      <c r="C1" s="33"/>
      <c r="D1" s="33"/>
      <c r="E1" s="188" t="s">
        <v>2069</v>
      </c>
      <c r="F1" s="33"/>
      <c r="G1" s="187"/>
      <c r="H1" s="187"/>
      <c r="I1" s="35" t="str">
        <f>'1-Cover'!$G$1</f>
        <v>OMB Approval No. 3245-0063</v>
      </c>
    </row>
    <row r="2" spans="1:11" ht="12" customHeight="1" x14ac:dyDescent="0.3">
      <c r="A2" s="293"/>
      <c r="E2" s="294" t="str">
        <f>"FOR "&amp;Number_of_Months&amp;" MONTH PERIOD ENDED: "&amp;TEXT(Form468Date,"MM/DD/YYYY")</f>
        <v>FOR  MONTH PERIOD ENDED: 01/00/1900</v>
      </c>
      <c r="G2" s="30"/>
      <c r="H2" s="30"/>
      <c r="I2" s="10" t="str">
        <f>'1-Cover'!$G$2</f>
        <v>Expiration Date MM/DD/YYYY</v>
      </c>
    </row>
    <row r="3" spans="1:11" ht="12" customHeight="1" x14ac:dyDescent="0.3">
      <c r="A3" s="295"/>
      <c r="B3" s="296"/>
      <c r="C3" s="296"/>
      <c r="D3" s="296"/>
      <c r="E3" s="296"/>
      <c r="F3" s="5"/>
      <c r="G3" s="297"/>
      <c r="H3" s="298"/>
      <c r="I3" s="8"/>
    </row>
    <row r="4" spans="1:11" ht="12" customHeight="1" x14ac:dyDescent="0.3">
      <c r="A4" s="36" t="str">
        <f>"Name of License:  "&amp;sbicname</f>
        <v xml:space="preserve">Name of License:  </v>
      </c>
      <c r="B4" s="37">
        <f>S1AB!B4</f>
        <v>0</v>
      </c>
      <c r="C4" s="37"/>
      <c r="D4" s="37"/>
      <c r="E4" s="37"/>
      <c r="F4" s="38"/>
      <c r="G4" s="299"/>
      <c r="H4" s="38"/>
      <c r="I4" s="39" t="str">
        <f>"License no.:  "&amp;TEXT(licenseno,"00\/00\-0000")</f>
        <v>License no.:  00/00-0000</v>
      </c>
    </row>
    <row r="5" spans="1:11" ht="18" customHeight="1" x14ac:dyDescent="0.3">
      <c r="G5" s="2" t="s">
        <v>2070</v>
      </c>
      <c r="H5" s="2" t="s">
        <v>2071</v>
      </c>
      <c r="I5" s="2" t="s">
        <v>2072</v>
      </c>
      <c r="K5" s="17"/>
    </row>
    <row r="6" spans="1:11" x14ac:dyDescent="0.3">
      <c r="F6" s="16" t="s">
        <v>2026</v>
      </c>
      <c r="G6" s="44">
        <f>SUMIF(sched1c[Change to Cost],"&gt;0")</f>
        <v>0</v>
      </c>
      <c r="H6" s="44">
        <f>SUMIF(sched1c[Change to Cost],"&lt;0")</f>
        <v>0</v>
      </c>
      <c r="I6" s="44">
        <f>SUM(sched1c[Change to Cost])</f>
        <v>0</v>
      </c>
    </row>
    <row r="7" spans="1:11" x14ac:dyDescent="0.3"/>
    <row r="8" spans="1:11" s="7" customFormat="1" ht="12" customHeight="1" x14ac:dyDescent="0.3">
      <c r="A8" s="43" t="s">
        <v>159</v>
      </c>
      <c r="B8" s="43" t="s">
        <v>2044</v>
      </c>
      <c r="C8" s="43" t="s">
        <v>154</v>
      </c>
      <c r="D8" s="43" t="s">
        <v>2045</v>
      </c>
      <c r="E8" s="43" t="s">
        <v>2046</v>
      </c>
      <c r="F8" s="43" t="s">
        <v>199</v>
      </c>
      <c r="G8" s="43" t="s">
        <v>2047</v>
      </c>
      <c r="H8" s="43" t="s">
        <v>2048</v>
      </c>
      <c r="I8" s="43" t="s">
        <v>2073</v>
      </c>
    </row>
    <row r="9" spans="1:11" s="12" customFormat="1" ht="46.15" customHeight="1" x14ac:dyDescent="0.35">
      <c r="A9" s="45" t="s">
        <v>2029</v>
      </c>
      <c r="B9" s="45" t="s">
        <v>2030</v>
      </c>
      <c r="C9" s="45" t="s">
        <v>2074</v>
      </c>
      <c r="D9" s="45" t="s">
        <v>2075</v>
      </c>
      <c r="E9" s="45" t="s">
        <v>2076</v>
      </c>
      <c r="F9" s="45" t="s">
        <v>2077</v>
      </c>
      <c r="G9" s="45" t="s">
        <v>2078</v>
      </c>
      <c r="H9" s="45" t="s">
        <v>2079</v>
      </c>
      <c r="I9" s="45" t="s">
        <v>1706</v>
      </c>
    </row>
    <row r="10" spans="1:11" s="30" customFormat="1" ht="12" customHeight="1" x14ac:dyDescent="0.35">
      <c r="A10" s="41"/>
      <c r="B10" s="42" t="str">
        <f>IF(IFERROR(VLOOKUP(sched1c[[#This Row],[Portfolio Company Name]],s11cumperf[],2,FALSE),"")="","",(IFERROR(VLOOKUP(sched1c[[#This Row],[Portfolio Company Name]],s11cumperf[],2,FALSE),"")))</f>
        <v/>
      </c>
      <c r="C10" s="46"/>
      <c r="D10" s="47" t="str">
        <f>sched1c[[#This Row],[Employer ID]]&amp;"-"&amp;sched1c[[#This Row],[Reference Number]]</f>
        <v>-</v>
      </c>
      <c r="E10" s="48"/>
      <c r="F10" s="49"/>
      <c r="G10" s="49"/>
      <c r="H10" s="50">
        <f>IF(LEFT(sched1c[[#This Row],[Description of Addition / Deduction to Loan and Investment Cost]],1)="D",-ABS(sched1c[[#This Row],[Addition/ Deduction Amount]]),ABS(sched1c[[#This Row],[Addition/ Deduction Amount]]))</f>
        <v>0</v>
      </c>
      <c r="I10" s="51"/>
    </row>
    <row r="11" spans="1:11" s="30" customFormat="1" ht="12" customHeight="1" x14ac:dyDescent="0.35">
      <c r="A11" s="41" t="s">
        <v>243</v>
      </c>
      <c r="B11" s="42" t="str">
        <f>IF(IFERROR(VLOOKUP(sched1c[[#This Row],[Portfolio Company Name]],s11cumperf[],2,FALSE),"")="","",(IFERROR(VLOOKUP(sched1c[[#This Row],[Portfolio Company Name]],s11cumperf[],2,FALSE),"")))</f>
        <v/>
      </c>
      <c r="C11" s="46"/>
      <c r="D11" s="47" t="str">
        <f>sched1c[[#This Row],[Employer ID]]&amp;"-"&amp;sched1c[[#This Row],[Reference Number]]</f>
        <v>-</v>
      </c>
      <c r="E11" s="48"/>
      <c r="F11" s="49"/>
      <c r="G11" s="49"/>
      <c r="H11" s="50">
        <f>IF(LEFT(sched1c[[#This Row],[Description of Addition / Deduction to Loan and Investment Cost]],1)="D",-ABS(sched1c[[#This Row],[Addition/ Deduction Amount]]),ABS(sched1c[[#This Row],[Addition/ Deduction Amount]]))</f>
        <v>0</v>
      </c>
      <c r="I11" s="51"/>
    </row>
    <row r="12" spans="1:11" s="30" customFormat="1" ht="12" customHeight="1" x14ac:dyDescent="0.35">
      <c r="A12" s="41" t="s">
        <v>243</v>
      </c>
      <c r="B12" s="42" t="str">
        <f>IF(IFERROR(VLOOKUP(sched1c[[#This Row],[Portfolio Company Name]],s11cumperf[],2,FALSE),"")="","",(IFERROR(VLOOKUP(sched1c[[#This Row],[Portfolio Company Name]],s11cumperf[],2,FALSE),"")))</f>
        <v/>
      </c>
      <c r="C12" s="46"/>
      <c r="D12" s="47" t="str">
        <f>sched1c[[#This Row],[Employer ID]]&amp;"-"&amp;sched1c[[#This Row],[Reference Number]]</f>
        <v>-</v>
      </c>
      <c r="E12" s="48"/>
      <c r="F12" s="49"/>
      <c r="G12" s="49"/>
      <c r="H12" s="50">
        <f>IF(LEFT(sched1c[[#This Row],[Description of Addition / Deduction to Loan and Investment Cost]],1)="D",-ABS(sched1c[[#This Row],[Addition/ Deduction Amount]]),ABS(sched1c[[#This Row],[Addition/ Deduction Amount]]))</f>
        <v>0</v>
      </c>
      <c r="I12" s="51"/>
    </row>
    <row r="13" spans="1:11" s="30" customFormat="1" ht="12" customHeight="1" x14ac:dyDescent="0.35">
      <c r="A13" s="41" t="s">
        <v>243</v>
      </c>
      <c r="B13" s="42" t="str">
        <f>IF(IFERROR(VLOOKUP(sched1c[[#This Row],[Portfolio Company Name]],s11cumperf[],2,FALSE),"")="","",(IFERROR(VLOOKUP(sched1c[[#This Row],[Portfolio Company Name]],s11cumperf[],2,FALSE),"")))</f>
        <v/>
      </c>
      <c r="C13" s="46"/>
      <c r="D13" s="47" t="str">
        <f>sched1c[[#This Row],[Employer ID]]&amp;"-"&amp;sched1c[[#This Row],[Reference Number]]</f>
        <v>-</v>
      </c>
      <c r="E13" s="48"/>
      <c r="F13" s="49"/>
      <c r="G13" s="49"/>
      <c r="H13" s="50">
        <f>IF(LEFT(sched1c[[#This Row],[Description of Addition / Deduction to Loan and Investment Cost]],1)="D",-ABS(sched1c[[#This Row],[Addition/ Deduction Amount]]),ABS(sched1c[[#This Row],[Addition/ Deduction Amount]]))</f>
        <v>0</v>
      </c>
      <c r="I13" s="51"/>
    </row>
    <row r="14" spans="1:11" s="30" customFormat="1" ht="12" customHeight="1" x14ac:dyDescent="0.35">
      <c r="A14" s="41" t="s">
        <v>243</v>
      </c>
      <c r="B14" s="42" t="str">
        <f>IF(IFERROR(VLOOKUP(sched1c[[#This Row],[Portfolio Company Name]],s11cumperf[],2,FALSE),"")="","",(IFERROR(VLOOKUP(sched1c[[#This Row],[Portfolio Company Name]],s11cumperf[],2,FALSE),"")))</f>
        <v/>
      </c>
      <c r="C14" s="46"/>
      <c r="D14" s="47" t="str">
        <f>sched1c[[#This Row],[Employer ID]]&amp;"-"&amp;sched1c[[#This Row],[Reference Number]]</f>
        <v>-</v>
      </c>
      <c r="E14" s="48"/>
      <c r="F14" s="49"/>
      <c r="G14" s="49"/>
      <c r="H14" s="50">
        <f>IF(LEFT(sched1c[[#This Row],[Description of Addition / Deduction to Loan and Investment Cost]],1)="D",-ABS(sched1c[[#This Row],[Addition/ Deduction Amount]]),ABS(sched1c[[#This Row],[Addition/ Deduction Amount]]))</f>
        <v>0</v>
      </c>
      <c r="I14" s="51"/>
    </row>
    <row r="15" spans="1:11" s="30" customFormat="1" ht="12" customHeight="1" x14ac:dyDescent="0.35">
      <c r="A15" s="41" t="s">
        <v>243</v>
      </c>
      <c r="B15" s="42" t="str">
        <f>IF(IFERROR(VLOOKUP(sched1c[[#This Row],[Portfolio Company Name]],s11cumperf[],2,FALSE),"")="","",(IFERROR(VLOOKUP(sched1c[[#This Row],[Portfolio Company Name]],s11cumperf[],2,FALSE),"")))</f>
        <v/>
      </c>
      <c r="C15" s="46"/>
      <c r="D15" s="47" t="str">
        <f>sched1c[[#This Row],[Employer ID]]&amp;"-"&amp;sched1c[[#This Row],[Reference Number]]</f>
        <v>-</v>
      </c>
      <c r="E15" s="48"/>
      <c r="F15" s="49"/>
      <c r="G15" s="49"/>
      <c r="H15" s="50">
        <f>IF(LEFT(sched1c[[#This Row],[Description of Addition / Deduction to Loan and Investment Cost]],1)="D",-ABS(sched1c[[#This Row],[Addition/ Deduction Amount]]),ABS(sched1c[[#This Row],[Addition/ Deduction Amount]]))</f>
        <v>0</v>
      </c>
      <c r="I15" s="51"/>
    </row>
    <row r="16" spans="1:11" s="30" customFormat="1" ht="12" customHeight="1" x14ac:dyDescent="0.35">
      <c r="A16" s="41" t="s">
        <v>243</v>
      </c>
      <c r="B16" s="42" t="str">
        <f>IF(IFERROR(VLOOKUP(sched1c[[#This Row],[Portfolio Company Name]],s11cumperf[],2,FALSE),"")="","",(IFERROR(VLOOKUP(sched1c[[#This Row],[Portfolio Company Name]],s11cumperf[],2,FALSE),"")))</f>
        <v/>
      </c>
      <c r="C16" s="46"/>
      <c r="D16" s="47" t="str">
        <f>sched1c[[#This Row],[Employer ID]]&amp;"-"&amp;sched1c[[#This Row],[Reference Number]]</f>
        <v>-</v>
      </c>
      <c r="E16" s="48"/>
      <c r="F16" s="49"/>
      <c r="G16" s="49"/>
      <c r="H16" s="50">
        <f>IF(LEFT(sched1c[[#This Row],[Description of Addition / Deduction to Loan and Investment Cost]],1)="D",-ABS(sched1c[[#This Row],[Addition/ Deduction Amount]]),ABS(sched1c[[#This Row],[Addition/ Deduction Amount]]))</f>
        <v>0</v>
      </c>
      <c r="I16" s="51"/>
    </row>
    <row r="17" spans="1:9" s="30" customFormat="1" ht="12" customHeight="1" x14ac:dyDescent="0.35">
      <c r="A17" s="41" t="s">
        <v>243</v>
      </c>
      <c r="B17" s="42" t="str">
        <f>IF(IFERROR(VLOOKUP(sched1c[[#This Row],[Portfolio Company Name]],s11cumperf[],2,FALSE),"")="","",(IFERROR(VLOOKUP(sched1c[[#This Row],[Portfolio Company Name]],s11cumperf[],2,FALSE),"")))</f>
        <v/>
      </c>
      <c r="C17" s="46"/>
      <c r="D17" s="47" t="str">
        <f>sched1c[[#This Row],[Employer ID]]&amp;"-"&amp;sched1c[[#This Row],[Reference Number]]</f>
        <v>-</v>
      </c>
      <c r="E17" s="48"/>
      <c r="F17" s="49"/>
      <c r="G17" s="49"/>
      <c r="H17" s="50">
        <f>IF(LEFT(sched1c[[#This Row],[Description of Addition / Deduction to Loan and Investment Cost]],1)="D",-ABS(sched1c[[#This Row],[Addition/ Deduction Amount]]),ABS(sched1c[[#This Row],[Addition/ Deduction Amount]]))</f>
        <v>0</v>
      </c>
      <c r="I17" s="51"/>
    </row>
    <row r="18" spans="1:9" s="30" customFormat="1" ht="12" customHeight="1" x14ac:dyDescent="0.35">
      <c r="A18" s="41" t="s">
        <v>243</v>
      </c>
      <c r="B18" s="42" t="str">
        <f>IF(IFERROR(VLOOKUP(sched1c[[#This Row],[Portfolio Company Name]],s11cumperf[],2,FALSE),"")="","",(IFERROR(VLOOKUP(sched1c[[#This Row],[Portfolio Company Name]],s11cumperf[],2,FALSE),"")))</f>
        <v/>
      </c>
      <c r="C18" s="46"/>
      <c r="D18" s="47" t="str">
        <f>sched1c[[#This Row],[Employer ID]]&amp;"-"&amp;sched1c[[#This Row],[Reference Number]]</f>
        <v>-</v>
      </c>
      <c r="E18" s="48"/>
      <c r="F18" s="49"/>
      <c r="G18" s="49"/>
      <c r="H18" s="50">
        <f>IF(LEFT(sched1c[[#This Row],[Description of Addition / Deduction to Loan and Investment Cost]],1)="D",-ABS(sched1c[[#This Row],[Addition/ Deduction Amount]]),ABS(sched1c[[#This Row],[Addition/ Deduction Amount]]))</f>
        <v>0</v>
      </c>
      <c r="I18" s="51"/>
    </row>
    <row r="19" spans="1:9" s="30" customFormat="1" ht="12" customHeight="1" x14ac:dyDescent="0.35">
      <c r="A19" s="41" t="s">
        <v>243</v>
      </c>
      <c r="B19" s="42" t="str">
        <f>IF(IFERROR(VLOOKUP(sched1c[[#This Row],[Portfolio Company Name]],s11cumperf[],2,FALSE),"")="","",(IFERROR(VLOOKUP(sched1c[[#This Row],[Portfolio Company Name]],s11cumperf[],2,FALSE),"")))</f>
        <v/>
      </c>
      <c r="C19" s="46"/>
      <c r="D19" s="47" t="str">
        <f>sched1c[[#This Row],[Employer ID]]&amp;"-"&amp;sched1c[[#This Row],[Reference Number]]</f>
        <v>-</v>
      </c>
      <c r="E19" s="48"/>
      <c r="F19" s="49"/>
      <c r="G19" s="49"/>
      <c r="H19" s="50">
        <f>IF(LEFT(sched1c[[#This Row],[Description of Addition / Deduction to Loan and Investment Cost]],1)="D",-ABS(sched1c[[#This Row],[Addition/ Deduction Amount]]),ABS(sched1c[[#This Row],[Addition/ Deduction Amount]]))</f>
        <v>0</v>
      </c>
      <c r="I19" s="51"/>
    </row>
    <row r="20" spans="1:9" s="30" customFormat="1" ht="12" customHeight="1" x14ac:dyDescent="0.35">
      <c r="A20" s="41" t="s">
        <v>243</v>
      </c>
      <c r="B20" s="42" t="str">
        <f>IF(IFERROR(VLOOKUP(sched1c[[#This Row],[Portfolio Company Name]],s11cumperf[],2,FALSE),"")="","",(IFERROR(VLOOKUP(sched1c[[#This Row],[Portfolio Company Name]],s11cumperf[],2,FALSE),"")))</f>
        <v/>
      </c>
      <c r="C20" s="46"/>
      <c r="D20" s="47" t="str">
        <f>sched1c[[#This Row],[Employer ID]]&amp;"-"&amp;sched1c[[#This Row],[Reference Number]]</f>
        <v>-</v>
      </c>
      <c r="E20" s="48"/>
      <c r="F20" s="49"/>
      <c r="G20" s="49"/>
      <c r="H20" s="50">
        <f>IF(LEFT(sched1c[[#This Row],[Description of Addition / Deduction to Loan and Investment Cost]],1)="D",-ABS(sched1c[[#This Row],[Addition/ Deduction Amount]]),ABS(sched1c[[#This Row],[Addition/ Deduction Amount]]))</f>
        <v>0</v>
      </c>
      <c r="I20" s="51"/>
    </row>
    <row r="21" spans="1:9" s="30" customFormat="1" ht="12" customHeight="1" x14ac:dyDescent="0.35">
      <c r="A21" s="41" t="s">
        <v>243</v>
      </c>
      <c r="B21" s="42" t="str">
        <f>IF(IFERROR(VLOOKUP(sched1c[[#This Row],[Portfolio Company Name]],s11cumperf[],2,FALSE),"")="","",(IFERROR(VLOOKUP(sched1c[[#This Row],[Portfolio Company Name]],s11cumperf[],2,FALSE),"")))</f>
        <v/>
      </c>
      <c r="C21" s="46"/>
      <c r="D21" s="47" t="str">
        <f>sched1c[[#This Row],[Employer ID]]&amp;"-"&amp;sched1c[[#This Row],[Reference Number]]</f>
        <v>-</v>
      </c>
      <c r="E21" s="48"/>
      <c r="F21" s="49"/>
      <c r="G21" s="49"/>
      <c r="H21" s="50">
        <f>IF(LEFT(sched1c[[#This Row],[Description of Addition / Deduction to Loan and Investment Cost]],1)="D",-ABS(sched1c[[#This Row],[Addition/ Deduction Amount]]),ABS(sched1c[[#This Row],[Addition/ Deduction Amount]]))</f>
        <v>0</v>
      </c>
      <c r="I21" s="51"/>
    </row>
    <row r="22" spans="1:9" s="30" customFormat="1" ht="12" customHeight="1" x14ac:dyDescent="0.35">
      <c r="A22" s="41" t="s">
        <v>243</v>
      </c>
      <c r="B22" s="42" t="str">
        <f>IF(IFERROR(VLOOKUP(sched1c[[#This Row],[Portfolio Company Name]],s11cumperf[],2,FALSE),"")="","",(IFERROR(VLOOKUP(sched1c[[#This Row],[Portfolio Company Name]],s11cumperf[],2,FALSE),"")))</f>
        <v/>
      </c>
      <c r="C22" s="46"/>
      <c r="D22" s="47" t="str">
        <f>sched1c[[#This Row],[Employer ID]]&amp;"-"&amp;sched1c[[#This Row],[Reference Number]]</f>
        <v>-</v>
      </c>
      <c r="E22" s="48"/>
      <c r="F22" s="49"/>
      <c r="G22" s="49"/>
      <c r="H22" s="50">
        <f>IF(LEFT(sched1c[[#This Row],[Description of Addition / Deduction to Loan and Investment Cost]],1)="D",-ABS(sched1c[[#This Row],[Addition/ Deduction Amount]]),ABS(sched1c[[#This Row],[Addition/ Deduction Amount]]))</f>
        <v>0</v>
      </c>
      <c r="I22" s="51"/>
    </row>
    <row r="23" spans="1:9" s="30" customFormat="1" ht="12" customHeight="1" x14ac:dyDescent="0.35">
      <c r="A23" s="41" t="s">
        <v>243</v>
      </c>
      <c r="B23" s="42" t="str">
        <f>IF(IFERROR(VLOOKUP(sched1c[[#This Row],[Portfolio Company Name]],s11cumperf[],2,FALSE),"")="","",(IFERROR(VLOOKUP(sched1c[[#This Row],[Portfolio Company Name]],s11cumperf[],2,FALSE),"")))</f>
        <v/>
      </c>
      <c r="C23" s="46"/>
      <c r="D23" s="47" t="str">
        <f>sched1c[[#This Row],[Employer ID]]&amp;"-"&amp;sched1c[[#This Row],[Reference Number]]</f>
        <v>-</v>
      </c>
      <c r="E23" s="48"/>
      <c r="F23" s="49"/>
      <c r="G23" s="49"/>
      <c r="H23" s="50">
        <f>IF(LEFT(sched1c[[#This Row],[Description of Addition / Deduction to Loan and Investment Cost]],1)="D",-ABS(sched1c[[#This Row],[Addition/ Deduction Amount]]),ABS(sched1c[[#This Row],[Addition/ Deduction Amount]]))</f>
        <v>0</v>
      </c>
      <c r="I23" s="51"/>
    </row>
    <row r="24" spans="1:9" s="30" customFormat="1" ht="12" customHeight="1" x14ac:dyDescent="0.35">
      <c r="A24" s="41" t="s">
        <v>243</v>
      </c>
      <c r="B24" s="42" t="str">
        <f>IF(IFERROR(VLOOKUP(sched1c[[#This Row],[Portfolio Company Name]],s11cumperf[],2,FALSE),"")="","",(IFERROR(VLOOKUP(sched1c[[#This Row],[Portfolio Company Name]],s11cumperf[],2,FALSE),"")))</f>
        <v/>
      </c>
      <c r="C24" s="46"/>
      <c r="D24" s="47" t="str">
        <f>sched1c[[#This Row],[Employer ID]]&amp;"-"&amp;sched1c[[#This Row],[Reference Number]]</f>
        <v>-</v>
      </c>
      <c r="E24" s="48"/>
      <c r="F24" s="49"/>
      <c r="G24" s="49"/>
      <c r="H24" s="50">
        <f>IF(LEFT(sched1c[[#This Row],[Description of Addition / Deduction to Loan and Investment Cost]],1)="D",-ABS(sched1c[[#This Row],[Addition/ Deduction Amount]]),ABS(sched1c[[#This Row],[Addition/ Deduction Amount]]))</f>
        <v>0</v>
      </c>
      <c r="I24" s="51"/>
    </row>
    <row r="25" spans="1:9" s="30" customFormat="1" ht="12" customHeight="1" x14ac:dyDescent="0.35">
      <c r="A25" s="41" t="s">
        <v>243</v>
      </c>
      <c r="B25" s="42" t="str">
        <f>IF(IFERROR(VLOOKUP(sched1c[[#This Row],[Portfolio Company Name]],s11cumperf[],2,FALSE),"")="","",(IFERROR(VLOOKUP(sched1c[[#This Row],[Portfolio Company Name]],s11cumperf[],2,FALSE),"")))</f>
        <v/>
      </c>
      <c r="C25" s="46"/>
      <c r="D25" s="47" t="str">
        <f>sched1c[[#This Row],[Employer ID]]&amp;"-"&amp;sched1c[[#This Row],[Reference Number]]</f>
        <v>-</v>
      </c>
      <c r="E25" s="48"/>
      <c r="F25" s="49"/>
      <c r="G25" s="49"/>
      <c r="H25" s="50">
        <f>IF(LEFT(sched1c[[#This Row],[Description of Addition / Deduction to Loan and Investment Cost]],1)="D",-ABS(sched1c[[#This Row],[Addition/ Deduction Amount]]),ABS(sched1c[[#This Row],[Addition/ Deduction Amount]]))</f>
        <v>0</v>
      </c>
      <c r="I25" s="51"/>
    </row>
    <row r="26" spans="1:9" s="30" customFormat="1" ht="12" customHeight="1" x14ac:dyDescent="0.35">
      <c r="A26" s="41" t="s">
        <v>243</v>
      </c>
      <c r="B26" s="42" t="str">
        <f>IF(IFERROR(VLOOKUP(sched1c[[#This Row],[Portfolio Company Name]],s11cumperf[],2,FALSE),"")="","",(IFERROR(VLOOKUP(sched1c[[#This Row],[Portfolio Company Name]],s11cumperf[],2,FALSE),"")))</f>
        <v/>
      </c>
      <c r="C26" s="46"/>
      <c r="D26" s="47" t="str">
        <f>sched1c[[#This Row],[Employer ID]]&amp;"-"&amp;sched1c[[#This Row],[Reference Number]]</f>
        <v>-</v>
      </c>
      <c r="E26" s="48"/>
      <c r="F26" s="49"/>
      <c r="G26" s="49"/>
      <c r="H26" s="50">
        <f>IF(LEFT(sched1c[[#This Row],[Description of Addition / Deduction to Loan and Investment Cost]],1)="D",-ABS(sched1c[[#This Row],[Addition/ Deduction Amount]]),ABS(sched1c[[#This Row],[Addition/ Deduction Amount]]))</f>
        <v>0</v>
      </c>
      <c r="I26" s="51"/>
    </row>
    <row r="27" spans="1:9" s="30" customFormat="1" ht="12" customHeight="1" x14ac:dyDescent="0.35">
      <c r="A27" s="41" t="s">
        <v>243</v>
      </c>
      <c r="B27" s="42" t="str">
        <f>IF(IFERROR(VLOOKUP(sched1c[[#This Row],[Portfolio Company Name]],s11cumperf[],2,FALSE),"")="","",(IFERROR(VLOOKUP(sched1c[[#This Row],[Portfolio Company Name]],s11cumperf[],2,FALSE),"")))</f>
        <v/>
      </c>
      <c r="C27" s="46"/>
      <c r="D27" s="47" t="str">
        <f>sched1c[[#This Row],[Employer ID]]&amp;"-"&amp;sched1c[[#This Row],[Reference Number]]</f>
        <v>-</v>
      </c>
      <c r="E27" s="48"/>
      <c r="F27" s="49"/>
      <c r="G27" s="49"/>
      <c r="H27" s="50">
        <f>IF(LEFT(sched1c[[#This Row],[Description of Addition / Deduction to Loan and Investment Cost]],1)="D",-ABS(sched1c[[#This Row],[Addition/ Deduction Amount]]),ABS(sched1c[[#This Row],[Addition/ Deduction Amount]]))</f>
        <v>0</v>
      </c>
      <c r="I27" s="51"/>
    </row>
    <row r="28" spans="1:9" s="30" customFormat="1" ht="12" customHeight="1" x14ac:dyDescent="0.35">
      <c r="A28" s="41" t="s">
        <v>243</v>
      </c>
      <c r="B28" s="42" t="str">
        <f>IF(IFERROR(VLOOKUP(sched1c[[#This Row],[Portfolio Company Name]],s11cumperf[],2,FALSE),"")="","",(IFERROR(VLOOKUP(sched1c[[#This Row],[Portfolio Company Name]],s11cumperf[],2,FALSE),"")))</f>
        <v/>
      </c>
      <c r="C28" s="46"/>
      <c r="D28" s="47" t="str">
        <f>sched1c[[#This Row],[Employer ID]]&amp;"-"&amp;sched1c[[#This Row],[Reference Number]]</f>
        <v>-</v>
      </c>
      <c r="E28" s="48"/>
      <c r="F28" s="49"/>
      <c r="G28" s="49"/>
      <c r="H28" s="50">
        <f>IF(LEFT(sched1c[[#This Row],[Description of Addition / Deduction to Loan and Investment Cost]],1)="D",-ABS(sched1c[[#This Row],[Addition/ Deduction Amount]]),ABS(sched1c[[#This Row],[Addition/ Deduction Amount]]))</f>
        <v>0</v>
      </c>
      <c r="I28" s="51"/>
    </row>
    <row r="29" spans="1:9" s="30" customFormat="1" ht="12" customHeight="1" x14ac:dyDescent="0.35">
      <c r="A29" s="41" t="s">
        <v>243</v>
      </c>
      <c r="B29" s="42" t="str">
        <f>IF(IFERROR(VLOOKUP(sched1c[[#This Row],[Portfolio Company Name]],s11cumperf[],2,FALSE),"")="","",(IFERROR(VLOOKUP(sched1c[[#This Row],[Portfolio Company Name]],s11cumperf[],2,FALSE),"")))</f>
        <v/>
      </c>
      <c r="C29" s="46"/>
      <c r="D29" s="47" t="str">
        <f>sched1c[[#This Row],[Employer ID]]&amp;"-"&amp;sched1c[[#This Row],[Reference Number]]</f>
        <v>-</v>
      </c>
      <c r="E29" s="48"/>
      <c r="F29" s="49"/>
      <c r="G29" s="49"/>
      <c r="H29" s="50">
        <f>IF(LEFT(sched1c[[#This Row],[Description of Addition / Deduction to Loan and Investment Cost]],1)="D",-ABS(sched1c[[#This Row],[Addition/ Deduction Amount]]),ABS(sched1c[[#This Row],[Addition/ Deduction Amount]]))</f>
        <v>0</v>
      </c>
      <c r="I29" s="51"/>
    </row>
    <row r="30" spans="1:9" s="30" customFormat="1" ht="12" customHeight="1" x14ac:dyDescent="0.35">
      <c r="A30" s="41" t="s">
        <v>243</v>
      </c>
      <c r="B30" s="42" t="str">
        <f>IF(IFERROR(VLOOKUP(sched1c[[#This Row],[Portfolio Company Name]],s11cumperf[],2,FALSE),"")="","",(IFERROR(VLOOKUP(sched1c[[#This Row],[Portfolio Company Name]],s11cumperf[],2,FALSE),"")))</f>
        <v/>
      </c>
      <c r="C30" s="46"/>
      <c r="D30" s="47" t="str">
        <f>sched1c[[#This Row],[Employer ID]]&amp;"-"&amp;sched1c[[#This Row],[Reference Number]]</f>
        <v>-</v>
      </c>
      <c r="E30" s="48"/>
      <c r="F30" s="49"/>
      <c r="G30" s="49"/>
      <c r="H30" s="50">
        <f>IF(LEFT(sched1c[[#This Row],[Description of Addition / Deduction to Loan and Investment Cost]],1)="D",-ABS(sched1c[[#This Row],[Addition/ Deduction Amount]]),ABS(sched1c[[#This Row],[Addition/ Deduction Amount]]))</f>
        <v>0</v>
      </c>
      <c r="I30" s="51"/>
    </row>
    <row r="31" spans="1:9" s="30" customFormat="1" ht="12" customHeight="1" x14ac:dyDescent="0.35">
      <c r="A31" s="41" t="s">
        <v>243</v>
      </c>
      <c r="B31" s="42" t="str">
        <f>IF(IFERROR(VLOOKUP(sched1c[[#This Row],[Portfolio Company Name]],s11cumperf[],2,FALSE),"")="","",(IFERROR(VLOOKUP(sched1c[[#This Row],[Portfolio Company Name]],s11cumperf[],2,FALSE),"")))</f>
        <v/>
      </c>
      <c r="C31" s="46"/>
      <c r="D31" s="47" t="str">
        <f>sched1c[[#This Row],[Employer ID]]&amp;"-"&amp;sched1c[[#This Row],[Reference Number]]</f>
        <v>-</v>
      </c>
      <c r="E31" s="48"/>
      <c r="F31" s="49"/>
      <c r="G31" s="49"/>
      <c r="H31" s="50">
        <f>IF(LEFT(sched1c[[#This Row],[Description of Addition / Deduction to Loan and Investment Cost]],1)="D",-ABS(sched1c[[#This Row],[Addition/ Deduction Amount]]),ABS(sched1c[[#This Row],[Addition/ Deduction Amount]]))</f>
        <v>0</v>
      </c>
      <c r="I31" s="51"/>
    </row>
    <row r="32" spans="1:9" s="30" customFormat="1" ht="12" customHeight="1" x14ac:dyDescent="0.35">
      <c r="A32" s="41" t="s">
        <v>243</v>
      </c>
      <c r="B32" s="42" t="str">
        <f>IF(IFERROR(VLOOKUP(sched1c[[#This Row],[Portfolio Company Name]],s11cumperf[],2,FALSE),"")="","",(IFERROR(VLOOKUP(sched1c[[#This Row],[Portfolio Company Name]],s11cumperf[],2,FALSE),"")))</f>
        <v/>
      </c>
      <c r="C32" s="46"/>
      <c r="D32" s="47" t="str">
        <f>sched1c[[#This Row],[Employer ID]]&amp;"-"&amp;sched1c[[#This Row],[Reference Number]]</f>
        <v>-</v>
      </c>
      <c r="E32" s="48"/>
      <c r="F32" s="49"/>
      <c r="G32" s="49"/>
      <c r="H32" s="50">
        <f>IF(LEFT(sched1c[[#This Row],[Description of Addition / Deduction to Loan and Investment Cost]],1)="D",-ABS(sched1c[[#This Row],[Addition/ Deduction Amount]]),ABS(sched1c[[#This Row],[Addition/ Deduction Amount]]))</f>
        <v>0</v>
      </c>
      <c r="I32" s="51"/>
    </row>
    <row r="33" spans="1:9" s="30" customFormat="1" ht="12" customHeight="1" x14ac:dyDescent="0.35">
      <c r="A33" s="41" t="s">
        <v>243</v>
      </c>
      <c r="B33" s="42" t="str">
        <f>IF(IFERROR(VLOOKUP(sched1c[[#This Row],[Portfolio Company Name]],s11cumperf[],2,FALSE),"")="","",(IFERROR(VLOOKUP(sched1c[[#This Row],[Portfolio Company Name]],s11cumperf[],2,FALSE),"")))</f>
        <v/>
      </c>
      <c r="C33" s="46"/>
      <c r="D33" s="47" t="str">
        <f>sched1c[[#This Row],[Employer ID]]&amp;"-"&amp;sched1c[[#This Row],[Reference Number]]</f>
        <v>-</v>
      </c>
      <c r="E33" s="48"/>
      <c r="F33" s="49"/>
      <c r="G33" s="49"/>
      <c r="H33" s="50">
        <f>IF(LEFT(sched1c[[#This Row],[Description of Addition / Deduction to Loan and Investment Cost]],1)="D",-ABS(sched1c[[#This Row],[Addition/ Deduction Amount]]),ABS(sched1c[[#This Row],[Addition/ Deduction Amount]]))</f>
        <v>0</v>
      </c>
      <c r="I33" s="51"/>
    </row>
    <row r="34" spans="1:9" s="30" customFormat="1" ht="12" customHeight="1" x14ac:dyDescent="0.35">
      <c r="A34" s="41" t="s">
        <v>243</v>
      </c>
      <c r="B34" s="42" t="str">
        <f>IF(IFERROR(VLOOKUP(sched1c[[#This Row],[Portfolio Company Name]],s11cumperf[],2,FALSE),"")="","",(IFERROR(VLOOKUP(sched1c[[#This Row],[Portfolio Company Name]],s11cumperf[],2,FALSE),"")))</f>
        <v/>
      </c>
      <c r="C34" s="46"/>
      <c r="D34" s="47" t="str">
        <f>sched1c[[#This Row],[Employer ID]]&amp;"-"&amp;sched1c[[#This Row],[Reference Number]]</f>
        <v>-</v>
      </c>
      <c r="E34" s="48"/>
      <c r="F34" s="49"/>
      <c r="G34" s="49"/>
      <c r="H34" s="50">
        <f>IF(LEFT(sched1c[[#This Row],[Description of Addition / Deduction to Loan and Investment Cost]],1)="D",-ABS(sched1c[[#This Row],[Addition/ Deduction Amount]]),ABS(sched1c[[#This Row],[Addition/ Deduction Amount]]))</f>
        <v>0</v>
      </c>
      <c r="I34" s="51"/>
    </row>
    <row r="35" spans="1:9" s="30" customFormat="1" ht="12" customHeight="1" x14ac:dyDescent="0.35">
      <c r="A35" s="41" t="s">
        <v>243</v>
      </c>
      <c r="B35" s="42" t="str">
        <f>IF(IFERROR(VLOOKUP(sched1c[[#This Row],[Portfolio Company Name]],s11cumperf[],2,FALSE),"")="","",(IFERROR(VLOOKUP(sched1c[[#This Row],[Portfolio Company Name]],s11cumperf[],2,FALSE),"")))</f>
        <v/>
      </c>
      <c r="C35" s="46"/>
      <c r="D35" s="47" t="str">
        <f>sched1c[[#This Row],[Employer ID]]&amp;"-"&amp;sched1c[[#This Row],[Reference Number]]</f>
        <v>-</v>
      </c>
      <c r="E35" s="48"/>
      <c r="F35" s="49"/>
      <c r="G35" s="49"/>
      <c r="H35" s="50">
        <f>IF(LEFT(sched1c[[#This Row],[Description of Addition / Deduction to Loan and Investment Cost]],1)="D",-ABS(sched1c[[#This Row],[Addition/ Deduction Amount]]),ABS(sched1c[[#This Row],[Addition/ Deduction Amount]]))</f>
        <v>0</v>
      </c>
      <c r="I35" s="51"/>
    </row>
    <row r="36" spans="1:9" s="30" customFormat="1" ht="12" customHeight="1" x14ac:dyDescent="0.35">
      <c r="A36" s="41" t="s">
        <v>243</v>
      </c>
      <c r="B36" s="42" t="str">
        <f>IF(IFERROR(VLOOKUP(sched1c[[#This Row],[Portfolio Company Name]],s11cumperf[],2,FALSE),"")="","",(IFERROR(VLOOKUP(sched1c[[#This Row],[Portfolio Company Name]],s11cumperf[],2,FALSE),"")))</f>
        <v/>
      </c>
      <c r="C36" s="46"/>
      <c r="D36" s="47" t="str">
        <f>sched1c[[#This Row],[Employer ID]]&amp;"-"&amp;sched1c[[#This Row],[Reference Number]]</f>
        <v>-</v>
      </c>
      <c r="E36" s="48"/>
      <c r="F36" s="49"/>
      <c r="G36" s="49"/>
      <c r="H36" s="50">
        <f>IF(LEFT(sched1c[[#This Row],[Description of Addition / Deduction to Loan and Investment Cost]],1)="D",-ABS(sched1c[[#This Row],[Addition/ Deduction Amount]]),ABS(sched1c[[#This Row],[Addition/ Deduction Amount]]))</f>
        <v>0</v>
      </c>
      <c r="I36" s="51"/>
    </row>
    <row r="37" spans="1:9" s="30" customFormat="1" ht="12" customHeight="1" x14ac:dyDescent="0.35">
      <c r="A37" s="41" t="s">
        <v>243</v>
      </c>
      <c r="B37" s="42" t="str">
        <f>IF(IFERROR(VLOOKUP(sched1c[[#This Row],[Portfolio Company Name]],s11cumperf[],2,FALSE),"")="","",(IFERROR(VLOOKUP(sched1c[[#This Row],[Portfolio Company Name]],s11cumperf[],2,FALSE),"")))</f>
        <v/>
      </c>
      <c r="C37" s="46"/>
      <c r="D37" s="47" t="str">
        <f>sched1c[[#This Row],[Employer ID]]&amp;"-"&amp;sched1c[[#This Row],[Reference Number]]</f>
        <v>-</v>
      </c>
      <c r="E37" s="48"/>
      <c r="F37" s="49"/>
      <c r="G37" s="49"/>
      <c r="H37" s="50">
        <f>IF(LEFT(sched1c[[#This Row],[Description of Addition / Deduction to Loan and Investment Cost]],1)="D",-ABS(sched1c[[#This Row],[Addition/ Deduction Amount]]),ABS(sched1c[[#This Row],[Addition/ Deduction Amount]]))</f>
        <v>0</v>
      </c>
      <c r="I37" s="51"/>
    </row>
    <row r="38" spans="1:9" s="30" customFormat="1" ht="12" customHeight="1" x14ac:dyDescent="0.35">
      <c r="A38" s="41" t="s">
        <v>243</v>
      </c>
      <c r="B38" s="42" t="str">
        <f>IF(IFERROR(VLOOKUP(sched1c[[#This Row],[Portfolio Company Name]],s11cumperf[],2,FALSE),"")="","",(IFERROR(VLOOKUP(sched1c[[#This Row],[Portfolio Company Name]],s11cumperf[],2,FALSE),"")))</f>
        <v/>
      </c>
      <c r="C38" s="46"/>
      <c r="D38" s="47" t="str">
        <f>sched1c[[#This Row],[Employer ID]]&amp;"-"&amp;sched1c[[#This Row],[Reference Number]]</f>
        <v>-</v>
      </c>
      <c r="E38" s="48"/>
      <c r="F38" s="49"/>
      <c r="G38" s="49"/>
      <c r="H38" s="50">
        <f>IF(LEFT(sched1c[[#This Row],[Description of Addition / Deduction to Loan and Investment Cost]],1)="D",-ABS(sched1c[[#This Row],[Addition/ Deduction Amount]]),ABS(sched1c[[#This Row],[Addition/ Deduction Amount]]))</f>
        <v>0</v>
      </c>
      <c r="I38" s="51"/>
    </row>
    <row r="39" spans="1:9" s="30" customFormat="1" ht="12" customHeight="1" x14ac:dyDescent="0.35">
      <c r="A39" s="41" t="s">
        <v>243</v>
      </c>
      <c r="B39" s="42" t="str">
        <f>IF(IFERROR(VLOOKUP(sched1c[[#This Row],[Portfolio Company Name]],s11cumperf[],2,FALSE),"")="","",(IFERROR(VLOOKUP(sched1c[[#This Row],[Portfolio Company Name]],s11cumperf[],2,FALSE),"")))</f>
        <v/>
      </c>
      <c r="C39" s="46"/>
      <c r="D39" s="47" t="str">
        <f>sched1c[[#This Row],[Employer ID]]&amp;"-"&amp;sched1c[[#This Row],[Reference Number]]</f>
        <v>-</v>
      </c>
      <c r="E39" s="48"/>
      <c r="F39" s="49"/>
      <c r="G39" s="49"/>
      <c r="H39" s="50">
        <f>IF(LEFT(sched1c[[#This Row],[Description of Addition / Deduction to Loan and Investment Cost]],1)="D",-ABS(sched1c[[#This Row],[Addition/ Deduction Amount]]),ABS(sched1c[[#This Row],[Addition/ Deduction Amount]]))</f>
        <v>0</v>
      </c>
      <c r="I39" s="51"/>
    </row>
    <row r="40" spans="1:9" s="30" customFormat="1" ht="12" customHeight="1" x14ac:dyDescent="0.35">
      <c r="A40" s="41" t="s">
        <v>243</v>
      </c>
      <c r="B40" s="42" t="str">
        <f>IF(IFERROR(VLOOKUP(sched1c[[#This Row],[Portfolio Company Name]],s11cumperf[],2,FALSE),"")="","",(IFERROR(VLOOKUP(sched1c[[#This Row],[Portfolio Company Name]],s11cumperf[],2,FALSE),"")))</f>
        <v/>
      </c>
      <c r="C40" s="46"/>
      <c r="D40" s="47" t="str">
        <f>sched1c[[#This Row],[Employer ID]]&amp;"-"&amp;sched1c[[#This Row],[Reference Number]]</f>
        <v>-</v>
      </c>
      <c r="E40" s="48"/>
      <c r="F40" s="49"/>
      <c r="G40" s="49"/>
      <c r="H40" s="50">
        <f>IF(LEFT(sched1c[[#This Row],[Description of Addition / Deduction to Loan and Investment Cost]],1)="D",-ABS(sched1c[[#This Row],[Addition/ Deduction Amount]]),ABS(sched1c[[#This Row],[Addition/ Deduction Amount]]))</f>
        <v>0</v>
      </c>
      <c r="I40" s="51"/>
    </row>
    <row r="41" spans="1:9" s="30" customFormat="1" ht="12" customHeight="1" x14ac:dyDescent="0.35">
      <c r="A41" s="41" t="s">
        <v>243</v>
      </c>
      <c r="B41" s="42" t="str">
        <f>IF(IFERROR(VLOOKUP(sched1c[[#This Row],[Portfolio Company Name]],s11cumperf[],2,FALSE),"")="","",(IFERROR(VLOOKUP(sched1c[[#This Row],[Portfolio Company Name]],s11cumperf[],2,FALSE),"")))</f>
        <v/>
      </c>
      <c r="C41" s="46"/>
      <c r="D41" s="47" t="str">
        <f>sched1c[[#This Row],[Employer ID]]&amp;"-"&amp;sched1c[[#This Row],[Reference Number]]</f>
        <v>-</v>
      </c>
      <c r="E41" s="48"/>
      <c r="F41" s="49"/>
      <c r="G41" s="49"/>
      <c r="H41" s="50">
        <f>IF(LEFT(sched1c[[#This Row],[Description of Addition / Deduction to Loan and Investment Cost]],1)="D",-ABS(sched1c[[#This Row],[Addition/ Deduction Amount]]),ABS(sched1c[[#This Row],[Addition/ Deduction Amount]]))</f>
        <v>0</v>
      </c>
      <c r="I41" s="51"/>
    </row>
    <row r="42" spans="1:9" s="30" customFormat="1" ht="12" customHeight="1" x14ac:dyDescent="0.35">
      <c r="A42" s="41" t="s">
        <v>243</v>
      </c>
      <c r="B42" s="42" t="str">
        <f>IF(IFERROR(VLOOKUP(sched1c[[#This Row],[Portfolio Company Name]],s11cumperf[],2,FALSE),"")="","",(IFERROR(VLOOKUP(sched1c[[#This Row],[Portfolio Company Name]],s11cumperf[],2,FALSE),"")))</f>
        <v/>
      </c>
      <c r="C42" s="46"/>
      <c r="D42" s="47" t="str">
        <f>sched1c[[#This Row],[Employer ID]]&amp;"-"&amp;sched1c[[#This Row],[Reference Number]]</f>
        <v>-</v>
      </c>
      <c r="E42" s="48"/>
      <c r="F42" s="49"/>
      <c r="G42" s="49"/>
      <c r="H42" s="50">
        <f>IF(LEFT(sched1c[[#This Row],[Description of Addition / Deduction to Loan and Investment Cost]],1)="D",-ABS(sched1c[[#This Row],[Addition/ Deduction Amount]]),ABS(sched1c[[#This Row],[Addition/ Deduction Amount]]))</f>
        <v>0</v>
      </c>
      <c r="I42" s="51"/>
    </row>
    <row r="43" spans="1:9" s="30" customFormat="1" ht="12" customHeight="1" x14ac:dyDescent="0.35">
      <c r="A43" s="41" t="s">
        <v>243</v>
      </c>
      <c r="B43" s="42" t="str">
        <f>IF(IFERROR(VLOOKUP(sched1c[[#This Row],[Portfolio Company Name]],s11cumperf[],2,FALSE),"")="","",(IFERROR(VLOOKUP(sched1c[[#This Row],[Portfolio Company Name]],s11cumperf[],2,FALSE),"")))</f>
        <v/>
      </c>
      <c r="C43" s="46"/>
      <c r="D43" s="47" t="str">
        <f>sched1c[[#This Row],[Employer ID]]&amp;"-"&amp;sched1c[[#This Row],[Reference Number]]</f>
        <v>-</v>
      </c>
      <c r="E43" s="48"/>
      <c r="F43" s="49"/>
      <c r="G43" s="49"/>
      <c r="H43" s="50">
        <f>IF(LEFT(sched1c[[#This Row],[Description of Addition / Deduction to Loan and Investment Cost]],1)="D",-ABS(sched1c[[#This Row],[Addition/ Deduction Amount]]),ABS(sched1c[[#This Row],[Addition/ Deduction Amount]]))</f>
        <v>0</v>
      </c>
      <c r="I43" s="51"/>
    </row>
    <row r="44" spans="1:9" s="30" customFormat="1" ht="12" customHeight="1" x14ac:dyDescent="0.35">
      <c r="A44" s="41" t="s">
        <v>243</v>
      </c>
      <c r="B44" s="42" t="str">
        <f>IF(IFERROR(VLOOKUP(sched1c[[#This Row],[Portfolio Company Name]],s11cumperf[],2,FALSE),"")="","",(IFERROR(VLOOKUP(sched1c[[#This Row],[Portfolio Company Name]],s11cumperf[],2,FALSE),"")))</f>
        <v/>
      </c>
      <c r="C44" s="46"/>
      <c r="D44" s="47" t="str">
        <f>sched1c[[#This Row],[Employer ID]]&amp;"-"&amp;sched1c[[#This Row],[Reference Number]]</f>
        <v>-</v>
      </c>
      <c r="E44" s="48"/>
      <c r="F44" s="49"/>
      <c r="G44" s="49"/>
      <c r="H44" s="50">
        <f>IF(LEFT(sched1c[[#This Row],[Description of Addition / Deduction to Loan and Investment Cost]],1)="D",-ABS(sched1c[[#This Row],[Addition/ Deduction Amount]]),ABS(sched1c[[#This Row],[Addition/ Deduction Amount]]))</f>
        <v>0</v>
      </c>
      <c r="I44" s="51"/>
    </row>
    <row r="45" spans="1:9" s="30" customFormat="1" ht="12" customHeight="1" x14ac:dyDescent="0.35">
      <c r="A45" s="41" t="s">
        <v>243</v>
      </c>
      <c r="B45" s="42" t="str">
        <f>IF(IFERROR(VLOOKUP(sched1c[[#This Row],[Portfolio Company Name]],s11cumperf[],2,FALSE),"")="","",(IFERROR(VLOOKUP(sched1c[[#This Row],[Portfolio Company Name]],s11cumperf[],2,FALSE),"")))</f>
        <v/>
      </c>
      <c r="C45" s="46"/>
      <c r="D45" s="47" t="str">
        <f>sched1c[[#This Row],[Employer ID]]&amp;"-"&amp;sched1c[[#This Row],[Reference Number]]</f>
        <v>-</v>
      </c>
      <c r="E45" s="48"/>
      <c r="F45" s="49"/>
      <c r="G45" s="49"/>
      <c r="H45" s="50">
        <f>IF(LEFT(sched1c[[#This Row],[Description of Addition / Deduction to Loan and Investment Cost]],1)="D",-ABS(sched1c[[#This Row],[Addition/ Deduction Amount]]),ABS(sched1c[[#This Row],[Addition/ Deduction Amount]]))</f>
        <v>0</v>
      </c>
      <c r="I45" s="51"/>
    </row>
    <row r="46" spans="1:9" s="30" customFormat="1" ht="12" customHeight="1" x14ac:dyDescent="0.35">
      <c r="A46" s="41" t="s">
        <v>243</v>
      </c>
      <c r="B46" s="42" t="str">
        <f>IF(IFERROR(VLOOKUP(sched1c[[#This Row],[Portfolio Company Name]],s11cumperf[],2,FALSE),"")="","",(IFERROR(VLOOKUP(sched1c[[#This Row],[Portfolio Company Name]],s11cumperf[],2,FALSE),"")))</f>
        <v/>
      </c>
      <c r="C46" s="46"/>
      <c r="D46" s="47" t="str">
        <f>sched1c[[#This Row],[Employer ID]]&amp;"-"&amp;sched1c[[#This Row],[Reference Number]]</f>
        <v>-</v>
      </c>
      <c r="E46" s="48"/>
      <c r="F46" s="49"/>
      <c r="G46" s="49"/>
      <c r="H46" s="50">
        <f>IF(LEFT(sched1c[[#This Row],[Description of Addition / Deduction to Loan and Investment Cost]],1)="D",-ABS(sched1c[[#This Row],[Addition/ Deduction Amount]]),ABS(sched1c[[#This Row],[Addition/ Deduction Amount]]))</f>
        <v>0</v>
      </c>
      <c r="I46" s="51"/>
    </row>
    <row r="47" spans="1:9" s="30" customFormat="1" ht="12" customHeight="1" x14ac:dyDescent="0.35">
      <c r="A47" s="41" t="s">
        <v>243</v>
      </c>
      <c r="B47" s="42" t="str">
        <f>IF(IFERROR(VLOOKUP(sched1c[[#This Row],[Portfolio Company Name]],s11cumperf[],2,FALSE),"")="","",(IFERROR(VLOOKUP(sched1c[[#This Row],[Portfolio Company Name]],s11cumperf[],2,FALSE),"")))</f>
        <v/>
      </c>
      <c r="C47" s="46"/>
      <c r="D47" s="47" t="str">
        <f>sched1c[[#This Row],[Employer ID]]&amp;"-"&amp;sched1c[[#This Row],[Reference Number]]</f>
        <v>-</v>
      </c>
      <c r="E47" s="48"/>
      <c r="F47" s="49"/>
      <c r="G47" s="49"/>
      <c r="H47" s="50">
        <f>IF(LEFT(sched1c[[#This Row],[Description of Addition / Deduction to Loan and Investment Cost]],1)="D",-ABS(sched1c[[#This Row],[Addition/ Deduction Amount]]),ABS(sched1c[[#This Row],[Addition/ Deduction Amount]]))</f>
        <v>0</v>
      </c>
      <c r="I47" s="51"/>
    </row>
    <row r="48" spans="1:9" s="30" customFormat="1" ht="12" customHeight="1" x14ac:dyDescent="0.35">
      <c r="A48" s="41" t="s">
        <v>243</v>
      </c>
      <c r="B48" s="42" t="str">
        <f>IF(IFERROR(VLOOKUP(sched1c[[#This Row],[Portfolio Company Name]],s11cumperf[],2,FALSE),"")="","",(IFERROR(VLOOKUP(sched1c[[#This Row],[Portfolio Company Name]],s11cumperf[],2,FALSE),"")))</f>
        <v/>
      </c>
      <c r="C48" s="46"/>
      <c r="D48" s="47" t="str">
        <f>sched1c[[#This Row],[Employer ID]]&amp;"-"&amp;sched1c[[#This Row],[Reference Number]]</f>
        <v>-</v>
      </c>
      <c r="E48" s="48"/>
      <c r="F48" s="49"/>
      <c r="G48" s="49"/>
      <c r="H48" s="50">
        <f>IF(LEFT(sched1c[[#This Row],[Description of Addition / Deduction to Loan and Investment Cost]],1)="D",-ABS(sched1c[[#This Row],[Addition/ Deduction Amount]]),ABS(sched1c[[#This Row],[Addition/ Deduction Amount]]))</f>
        <v>0</v>
      </c>
      <c r="I48" s="51"/>
    </row>
    <row r="49" spans="1:9" s="30" customFormat="1" ht="12" customHeight="1" x14ac:dyDescent="0.35">
      <c r="A49" s="41" t="s">
        <v>243</v>
      </c>
      <c r="B49" s="42" t="str">
        <f>IF(IFERROR(VLOOKUP(sched1c[[#This Row],[Portfolio Company Name]],s11cumperf[],2,FALSE),"")="","",(IFERROR(VLOOKUP(sched1c[[#This Row],[Portfolio Company Name]],s11cumperf[],2,FALSE),"")))</f>
        <v/>
      </c>
      <c r="C49" s="46"/>
      <c r="D49" s="47" t="str">
        <f>sched1c[[#This Row],[Employer ID]]&amp;"-"&amp;sched1c[[#This Row],[Reference Number]]</f>
        <v>-</v>
      </c>
      <c r="E49" s="48"/>
      <c r="F49" s="49"/>
      <c r="G49" s="49"/>
      <c r="H49" s="50">
        <f>IF(LEFT(sched1c[[#This Row],[Description of Addition / Deduction to Loan and Investment Cost]],1)="D",-ABS(sched1c[[#This Row],[Addition/ Deduction Amount]]),ABS(sched1c[[#This Row],[Addition/ Deduction Amount]]))</f>
        <v>0</v>
      </c>
      <c r="I49" s="51"/>
    </row>
    <row r="50" spans="1:9" s="30" customFormat="1" ht="12" customHeight="1" x14ac:dyDescent="0.35">
      <c r="A50" s="41" t="s">
        <v>243</v>
      </c>
      <c r="B50" s="42" t="str">
        <f>IF(IFERROR(VLOOKUP(sched1c[[#This Row],[Portfolio Company Name]],s11cumperf[],2,FALSE),"")="","",(IFERROR(VLOOKUP(sched1c[[#This Row],[Portfolio Company Name]],s11cumperf[],2,FALSE),"")))</f>
        <v/>
      </c>
      <c r="C50" s="46"/>
      <c r="D50" s="47" t="str">
        <f>sched1c[[#This Row],[Employer ID]]&amp;"-"&amp;sched1c[[#This Row],[Reference Number]]</f>
        <v>-</v>
      </c>
      <c r="E50" s="48"/>
      <c r="F50" s="49"/>
      <c r="G50" s="49"/>
      <c r="H50" s="50">
        <f>IF(LEFT(sched1c[[#This Row],[Description of Addition / Deduction to Loan and Investment Cost]],1)="D",-ABS(sched1c[[#This Row],[Addition/ Deduction Amount]]),ABS(sched1c[[#This Row],[Addition/ Deduction Amount]]))</f>
        <v>0</v>
      </c>
      <c r="I50" s="51"/>
    </row>
    <row r="51" spans="1:9" s="30" customFormat="1" ht="12" customHeight="1" x14ac:dyDescent="0.35">
      <c r="A51" s="41" t="s">
        <v>243</v>
      </c>
      <c r="B51" s="42" t="str">
        <f>IF(IFERROR(VLOOKUP(sched1c[[#This Row],[Portfolio Company Name]],s11cumperf[],2,FALSE),"")="","",(IFERROR(VLOOKUP(sched1c[[#This Row],[Portfolio Company Name]],s11cumperf[],2,FALSE),"")))</f>
        <v/>
      </c>
      <c r="C51" s="46"/>
      <c r="D51" s="47" t="str">
        <f>sched1c[[#This Row],[Employer ID]]&amp;"-"&amp;sched1c[[#This Row],[Reference Number]]</f>
        <v>-</v>
      </c>
      <c r="E51" s="48"/>
      <c r="F51" s="49"/>
      <c r="G51" s="49"/>
      <c r="H51" s="50">
        <f>IF(LEFT(sched1c[[#This Row],[Description of Addition / Deduction to Loan and Investment Cost]],1)="D",-ABS(sched1c[[#This Row],[Addition/ Deduction Amount]]),ABS(sched1c[[#This Row],[Addition/ Deduction Amount]]))</f>
        <v>0</v>
      </c>
      <c r="I51" s="51"/>
    </row>
    <row r="52" spans="1:9" s="30" customFormat="1" ht="12" customHeight="1" x14ac:dyDescent="0.35">
      <c r="A52" s="41" t="s">
        <v>243</v>
      </c>
      <c r="B52" s="42" t="str">
        <f>IF(IFERROR(VLOOKUP(sched1c[[#This Row],[Portfolio Company Name]],s11cumperf[],2,FALSE),"")="","",(IFERROR(VLOOKUP(sched1c[[#This Row],[Portfolio Company Name]],s11cumperf[],2,FALSE),"")))</f>
        <v/>
      </c>
      <c r="C52" s="46"/>
      <c r="D52" s="47" t="str">
        <f>sched1c[[#This Row],[Employer ID]]&amp;"-"&amp;sched1c[[#This Row],[Reference Number]]</f>
        <v>-</v>
      </c>
      <c r="E52" s="48"/>
      <c r="F52" s="49"/>
      <c r="G52" s="49"/>
      <c r="H52" s="50">
        <f>IF(LEFT(sched1c[[#This Row],[Description of Addition / Deduction to Loan and Investment Cost]],1)="D",-ABS(sched1c[[#This Row],[Addition/ Deduction Amount]]),ABS(sched1c[[#This Row],[Addition/ Deduction Amount]]))</f>
        <v>0</v>
      </c>
      <c r="I52" s="51"/>
    </row>
    <row r="53" spans="1:9" s="30" customFormat="1" ht="12" customHeight="1" x14ac:dyDescent="0.35">
      <c r="A53" s="41" t="s">
        <v>243</v>
      </c>
      <c r="B53" s="42" t="str">
        <f>IF(IFERROR(VLOOKUP(sched1c[[#This Row],[Portfolio Company Name]],s11cumperf[],2,FALSE),"")="","",(IFERROR(VLOOKUP(sched1c[[#This Row],[Portfolio Company Name]],s11cumperf[],2,FALSE),"")))</f>
        <v/>
      </c>
      <c r="C53" s="46"/>
      <c r="D53" s="47" t="str">
        <f>sched1c[[#This Row],[Employer ID]]&amp;"-"&amp;sched1c[[#This Row],[Reference Number]]</f>
        <v>-</v>
      </c>
      <c r="E53" s="48"/>
      <c r="F53" s="49"/>
      <c r="G53" s="49"/>
      <c r="H53" s="50">
        <f>IF(LEFT(sched1c[[#This Row],[Description of Addition / Deduction to Loan and Investment Cost]],1)="D",-ABS(sched1c[[#This Row],[Addition/ Deduction Amount]]),ABS(sched1c[[#This Row],[Addition/ Deduction Amount]]))</f>
        <v>0</v>
      </c>
      <c r="I53" s="51"/>
    </row>
    <row r="54" spans="1:9" s="30" customFormat="1" ht="12" customHeight="1" x14ac:dyDescent="0.35">
      <c r="A54" s="41" t="s">
        <v>243</v>
      </c>
      <c r="B54" s="42" t="str">
        <f>IF(IFERROR(VLOOKUP(sched1c[[#This Row],[Portfolio Company Name]],s11cumperf[],2,FALSE),"")="","",(IFERROR(VLOOKUP(sched1c[[#This Row],[Portfolio Company Name]],s11cumperf[],2,FALSE),"")))</f>
        <v/>
      </c>
      <c r="C54" s="46"/>
      <c r="D54" s="47" t="str">
        <f>sched1c[[#This Row],[Employer ID]]&amp;"-"&amp;sched1c[[#This Row],[Reference Number]]</f>
        <v>-</v>
      </c>
      <c r="E54" s="48"/>
      <c r="F54" s="49"/>
      <c r="G54" s="49"/>
      <c r="H54" s="50">
        <f>IF(LEFT(sched1c[[#This Row],[Description of Addition / Deduction to Loan and Investment Cost]],1)="D",-ABS(sched1c[[#This Row],[Addition/ Deduction Amount]]),ABS(sched1c[[#This Row],[Addition/ Deduction Amount]]))</f>
        <v>0</v>
      </c>
      <c r="I54" s="51"/>
    </row>
    <row r="55" spans="1:9" s="30" customFormat="1" ht="12" customHeight="1" x14ac:dyDescent="0.35">
      <c r="A55" s="41" t="s">
        <v>243</v>
      </c>
      <c r="B55" s="42" t="str">
        <f>IF(IFERROR(VLOOKUP(sched1c[[#This Row],[Portfolio Company Name]],s11cumperf[],2,FALSE),"")="","",(IFERROR(VLOOKUP(sched1c[[#This Row],[Portfolio Company Name]],s11cumperf[],2,FALSE),"")))</f>
        <v/>
      </c>
      <c r="C55" s="46"/>
      <c r="D55" s="47" t="str">
        <f>sched1c[[#This Row],[Employer ID]]&amp;"-"&amp;sched1c[[#This Row],[Reference Number]]</f>
        <v>-</v>
      </c>
      <c r="E55" s="48"/>
      <c r="F55" s="49"/>
      <c r="G55" s="49"/>
      <c r="H55" s="50">
        <f>IF(LEFT(sched1c[[#This Row],[Description of Addition / Deduction to Loan and Investment Cost]],1)="D",-ABS(sched1c[[#This Row],[Addition/ Deduction Amount]]),ABS(sched1c[[#This Row],[Addition/ Deduction Amount]]))</f>
        <v>0</v>
      </c>
      <c r="I55" s="51"/>
    </row>
    <row r="56" spans="1:9" s="30" customFormat="1" ht="12" customHeight="1" x14ac:dyDescent="0.35">
      <c r="A56" s="41" t="s">
        <v>243</v>
      </c>
      <c r="B56" s="42" t="str">
        <f>IF(IFERROR(VLOOKUP(sched1c[[#This Row],[Portfolio Company Name]],s11cumperf[],2,FALSE),"")="","",(IFERROR(VLOOKUP(sched1c[[#This Row],[Portfolio Company Name]],s11cumperf[],2,FALSE),"")))</f>
        <v/>
      </c>
      <c r="C56" s="46"/>
      <c r="D56" s="47" t="str">
        <f>sched1c[[#This Row],[Employer ID]]&amp;"-"&amp;sched1c[[#This Row],[Reference Number]]</f>
        <v>-</v>
      </c>
      <c r="E56" s="48"/>
      <c r="F56" s="49"/>
      <c r="G56" s="49"/>
      <c r="H56" s="50">
        <f>IF(LEFT(sched1c[[#This Row],[Description of Addition / Deduction to Loan and Investment Cost]],1)="D",-ABS(sched1c[[#This Row],[Addition/ Deduction Amount]]),ABS(sched1c[[#This Row],[Addition/ Deduction Amount]]))</f>
        <v>0</v>
      </c>
      <c r="I56" s="51"/>
    </row>
    <row r="57" spans="1:9" s="30" customFormat="1" ht="12" customHeight="1" x14ac:dyDescent="0.35">
      <c r="A57" s="41" t="s">
        <v>243</v>
      </c>
      <c r="B57" s="42" t="str">
        <f>IF(IFERROR(VLOOKUP(sched1c[[#This Row],[Portfolio Company Name]],s11cumperf[],2,FALSE),"")="","",(IFERROR(VLOOKUP(sched1c[[#This Row],[Portfolio Company Name]],s11cumperf[],2,FALSE),"")))</f>
        <v/>
      </c>
      <c r="C57" s="46"/>
      <c r="D57" s="47" t="str">
        <f>sched1c[[#This Row],[Employer ID]]&amp;"-"&amp;sched1c[[#This Row],[Reference Number]]</f>
        <v>-</v>
      </c>
      <c r="E57" s="48"/>
      <c r="F57" s="49"/>
      <c r="G57" s="49"/>
      <c r="H57" s="50">
        <f>IF(LEFT(sched1c[[#This Row],[Description of Addition / Deduction to Loan and Investment Cost]],1)="D",-ABS(sched1c[[#This Row],[Addition/ Deduction Amount]]),ABS(sched1c[[#This Row],[Addition/ Deduction Amount]]))</f>
        <v>0</v>
      </c>
      <c r="I57" s="51"/>
    </row>
    <row r="58" spans="1:9" s="30" customFormat="1" ht="12" customHeight="1" x14ac:dyDescent="0.35">
      <c r="A58" s="41" t="s">
        <v>243</v>
      </c>
      <c r="B58" s="42" t="str">
        <f>IF(IFERROR(VLOOKUP(sched1c[[#This Row],[Portfolio Company Name]],s11cumperf[],2,FALSE),"")="","",(IFERROR(VLOOKUP(sched1c[[#This Row],[Portfolio Company Name]],s11cumperf[],2,FALSE),"")))</f>
        <v/>
      </c>
      <c r="C58" s="46"/>
      <c r="D58" s="47" t="str">
        <f>sched1c[[#This Row],[Employer ID]]&amp;"-"&amp;sched1c[[#This Row],[Reference Number]]</f>
        <v>-</v>
      </c>
      <c r="E58" s="48"/>
      <c r="F58" s="49"/>
      <c r="G58" s="49"/>
      <c r="H58" s="50">
        <f>IF(LEFT(sched1c[[#This Row],[Description of Addition / Deduction to Loan and Investment Cost]],1)="D",-ABS(sched1c[[#This Row],[Addition/ Deduction Amount]]),ABS(sched1c[[#This Row],[Addition/ Deduction Amount]]))</f>
        <v>0</v>
      </c>
      <c r="I58" s="51"/>
    </row>
    <row r="59" spans="1:9" s="30" customFormat="1" ht="12" customHeight="1" x14ac:dyDescent="0.35">
      <c r="A59" s="41" t="s">
        <v>243</v>
      </c>
      <c r="B59" s="42" t="str">
        <f>IF(IFERROR(VLOOKUP(sched1c[[#This Row],[Portfolio Company Name]],s11cumperf[],2,FALSE),"")="","",(IFERROR(VLOOKUP(sched1c[[#This Row],[Portfolio Company Name]],s11cumperf[],2,FALSE),"")))</f>
        <v/>
      </c>
      <c r="C59" s="46"/>
      <c r="D59" s="47" t="str">
        <f>sched1c[[#This Row],[Employer ID]]&amp;"-"&amp;sched1c[[#This Row],[Reference Number]]</f>
        <v>-</v>
      </c>
      <c r="E59" s="48"/>
      <c r="F59" s="49"/>
      <c r="G59" s="49"/>
      <c r="H59" s="50">
        <f>IF(LEFT(sched1c[[#This Row],[Description of Addition / Deduction to Loan and Investment Cost]],1)="D",-ABS(sched1c[[#This Row],[Addition/ Deduction Amount]]),ABS(sched1c[[#This Row],[Addition/ Deduction Amount]]))</f>
        <v>0</v>
      </c>
      <c r="I59" s="51"/>
    </row>
    <row r="60" spans="1:9" s="30" customFormat="1" ht="12" customHeight="1" x14ac:dyDescent="0.35">
      <c r="A60" s="41" t="s">
        <v>243</v>
      </c>
      <c r="B60" s="42" t="str">
        <f>IF(IFERROR(VLOOKUP(sched1c[[#This Row],[Portfolio Company Name]],s11cumperf[],2,FALSE),"")="","",(IFERROR(VLOOKUP(sched1c[[#This Row],[Portfolio Company Name]],s11cumperf[],2,FALSE),"")))</f>
        <v/>
      </c>
      <c r="C60" s="46"/>
      <c r="D60" s="47" t="str">
        <f>sched1c[[#This Row],[Employer ID]]&amp;"-"&amp;sched1c[[#This Row],[Reference Number]]</f>
        <v>-</v>
      </c>
      <c r="E60" s="48"/>
      <c r="F60" s="49"/>
      <c r="G60" s="49"/>
      <c r="H60" s="50">
        <f>IF(LEFT(sched1c[[#This Row],[Description of Addition / Deduction to Loan and Investment Cost]],1)="D",-ABS(sched1c[[#This Row],[Addition/ Deduction Amount]]),ABS(sched1c[[#This Row],[Addition/ Deduction Amount]]))</f>
        <v>0</v>
      </c>
      <c r="I60" s="51"/>
    </row>
    <row r="61" spans="1:9" s="30" customFormat="1" ht="12" customHeight="1" x14ac:dyDescent="0.35">
      <c r="A61" s="41" t="s">
        <v>243</v>
      </c>
      <c r="B61" s="42" t="str">
        <f>IF(IFERROR(VLOOKUP(sched1c[[#This Row],[Portfolio Company Name]],s11cumperf[],2,FALSE),"")="","",(IFERROR(VLOOKUP(sched1c[[#This Row],[Portfolio Company Name]],s11cumperf[],2,FALSE),"")))</f>
        <v/>
      </c>
      <c r="C61" s="46"/>
      <c r="D61" s="47" t="str">
        <f>sched1c[[#This Row],[Employer ID]]&amp;"-"&amp;sched1c[[#This Row],[Reference Number]]</f>
        <v>-</v>
      </c>
      <c r="E61" s="48"/>
      <c r="F61" s="49"/>
      <c r="G61" s="49"/>
      <c r="H61" s="50">
        <f>IF(LEFT(sched1c[[#This Row],[Description of Addition / Deduction to Loan and Investment Cost]],1)="D",-ABS(sched1c[[#This Row],[Addition/ Deduction Amount]]),ABS(sched1c[[#This Row],[Addition/ Deduction Amount]]))</f>
        <v>0</v>
      </c>
      <c r="I61" s="51"/>
    </row>
    <row r="62" spans="1:9" s="30" customFormat="1" ht="12" customHeight="1" x14ac:dyDescent="0.35">
      <c r="A62" s="41" t="s">
        <v>243</v>
      </c>
      <c r="B62" s="42" t="str">
        <f>IF(IFERROR(VLOOKUP(sched1c[[#This Row],[Portfolio Company Name]],s11cumperf[],2,FALSE),"")="","",(IFERROR(VLOOKUP(sched1c[[#This Row],[Portfolio Company Name]],s11cumperf[],2,FALSE),"")))</f>
        <v/>
      </c>
      <c r="C62" s="46"/>
      <c r="D62" s="47" t="str">
        <f>sched1c[[#This Row],[Employer ID]]&amp;"-"&amp;sched1c[[#This Row],[Reference Number]]</f>
        <v>-</v>
      </c>
      <c r="E62" s="48"/>
      <c r="F62" s="49"/>
      <c r="G62" s="49"/>
      <c r="H62" s="50">
        <f>IF(LEFT(sched1c[[#This Row],[Description of Addition / Deduction to Loan and Investment Cost]],1)="D",-ABS(sched1c[[#This Row],[Addition/ Deduction Amount]]),ABS(sched1c[[#This Row],[Addition/ Deduction Amount]]))</f>
        <v>0</v>
      </c>
      <c r="I62" s="51"/>
    </row>
    <row r="63" spans="1:9" s="30" customFormat="1" ht="12" customHeight="1" x14ac:dyDescent="0.35">
      <c r="A63" s="41" t="s">
        <v>243</v>
      </c>
      <c r="B63" s="42" t="str">
        <f>IF(IFERROR(VLOOKUP(sched1c[[#This Row],[Portfolio Company Name]],s11cumperf[],2,FALSE),"")="","",(IFERROR(VLOOKUP(sched1c[[#This Row],[Portfolio Company Name]],s11cumperf[],2,FALSE),"")))</f>
        <v/>
      </c>
      <c r="C63" s="46"/>
      <c r="D63" s="47" t="str">
        <f>sched1c[[#This Row],[Employer ID]]&amp;"-"&amp;sched1c[[#This Row],[Reference Number]]</f>
        <v>-</v>
      </c>
      <c r="E63" s="48"/>
      <c r="F63" s="49"/>
      <c r="G63" s="49"/>
      <c r="H63" s="50">
        <f>IF(LEFT(sched1c[[#This Row],[Description of Addition / Deduction to Loan and Investment Cost]],1)="D",-ABS(sched1c[[#This Row],[Addition/ Deduction Amount]]),ABS(sched1c[[#This Row],[Addition/ Deduction Amount]]))</f>
        <v>0</v>
      </c>
      <c r="I63" s="51"/>
    </row>
    <row r="64" spans="1:9" s="30" customFormat="1" ht="12" customHeight="1" x14ac:dyDescent="0.35">
      <c r="A64" s="41" t="s">
        <v>243</v>
      </c>
      <c r="B64" s="42" t="str">
        <f>IF(IFERROR(VLOOKUP(sched1c[[#This Row],[Portfolio Company Name]],s11cumperf[],2,FALSE),"")="","",(IFERROR(VLOOKUP(sched1c[[#This Row],[Portfolio Company Name]],s11cumperf[],2,FALSE),"")))</f>
        <v/>
      </c>
      <c r="C64" s="46"/>
      <c r="D64" s="47" t="str">
        <f>sched1c[[#This Row],[Employer ID]]&amp;"-"&amp;sched1c[[#This Row],[Reference Number]]</f>
        <v>-</v>
      </c>
      <c r="E64" s="48"/>
      <c r="F64" s="49"/>
      <c r="G64" s="49"/>
      <c r="H64" s="50">
        <f>IF(LEFT(sched1c[[#This Row],[Description of Addition / Deduction to Loan and Investment Cost]],1)="D",-ABS(sched1c[[#This Row],[Addition/ Deduction Amount]]),ABS(sched1c[[#This Row],[Addition/ Deduction Amount]]))</f>
        <v>0</v>
      </c>
      <c r="I64" s="51"/>
    </row>
    <row r="65" spans="1:9" s="30" customFormat="1" ht="12" customHeight="1" x14ac:dyDescent="0.35">
      <c r="A65" s="41" t="s">
        <v>243</v>
      </c>
      <c r="B65" s="42" t="str">
        <f>IF(IFERROR(VLOOKUP(sched1c[[#This Row],[Portfolio Company Name]],s11cumperf[],2,FALSE),"")="","",(IFERROR(VLOOKUP(sched1c[[#This Row],[Portfolio Company Name]],s11cumperf[],2,FALSE),"")))</f>
        <v/>
      </c>
      <c r="C65" s="46"/>
      <c r="D65" s="47" t="str">
        <f>sched1c[[#This Row],[Employer ID]]&amp;"-"&amp;sched1c[[#This Row],[Reference Number]]</f>
        <v>-</v>
      </c>
      <c r="E65" s="48"/>
      <c r="F65" s="49"/>
      <c r="G65" s="49"/>
      <c r="H65" s="50">
        <f>IF(LEFT(sched1c[[#This Row],[Description of Addition / Deduction to Loan and Investment Cost]],1)="D",-ABS(sched1c[[#This Row],[Addition/ Deduction Amount]]),ABS(sched1c[[#This Row],[Addition/ Deduction Amount]]))</f>
        <v>0</v>
      </c>
      <c r="I65" s="51"/>
    </row>
    <row r="66" spans="1:9" s="30" customFormat="1" ht="12" customHeight="1" x14ac:dyDescent="0.35">
      <c r="A66" s="41" t="s">
        <v>243</v>
      </c>
      <c r="B66" s="42" t="str">
        <f>IF(IFERROR(VLOOKUP(sched1c[[#This Row],[Portfolio Company Name]],s11cumperf[],2,FALSE),"")="","",(IFERROR(VLOOKUP(sched1c[[#This Row],[Portfolio Company Name]],s11cumperf[],2,FALSE),"")))</f>
        <v/>
      </c>
      <c r="C66" s="46"/>
      <c r="D66" s="47" t="str">
        <f>sched1c[[#This Row],[Employer ID]]&amp;"-"&amp;sched1c[[#This Row],[Reference Number]]</f>
        <v>-</v>
      </c>
      <c r="E66" s="48"/>
      <c r="F66" s="49"/>
      <c r="G66" s="49"/>
      <c r="H66" s="50">
        <f>IF(LEFT(sched1c[[#This Row],[Description of Addition / Deduction to Loan and Investment Cost]],1)="D",-ABS(sched1c[[#This Row],[Addition/ Deduction Amount]]),ABS(sched1c[[#This Row],[Addition/ Deduction Amount]]))</f>
        <v>0</v>
      </c>
      <c r="I66" s="51"/>
    </row>
    <row r="67" spans="1:9" s="30" customFormat="1" ht="12" customHeight="1" x14ac:dyDescent="0.35">
      <c r="A67" s="41" t="s">
        <v>243</v>
      </c>
      <c r="B67" s="42" t="str">
        <f>IF(IFERROR(VLOOKUP(sched1c[[#This Row],[Portfolio Company Name]],s11cumperf[],2,FALSE),"")="","",(IFERROR(VLOOKUP(sched1c[[#This Row],[Portfolio Company Name]],s11cumperf[],2,FALSE),"")))</f>
        <v/>
      </c>
      <c r="C67" s="46"/>
      <c r="D67" s="47" t="str">
        <f>sched1c[[#This Row],[Employer ID]]&amp;"-"&amp;sched1c[[#This Row],[Reference Number]]</f>
        <v>-</v>
      </c>
      <c r="E67" s="48"/>
      <c r="F67" s="49"/>
      <c r="G67" s="49"/>
      <c r="H67" s="50">
        <f>IF(LEFT(sched1c[[#This Row],[Description of Addition / Deduction to Loan and Investment Cost]],1)="D",-ABS(sched1c[[#This Row],[Addition/ Deduction Amount]]),ABS(sched1c[[#This Row],[Addition/ Deduction Amount]]))</f>
        <v>0</v>
      </c>
      <c r="I67" s="51"/>
    </row>
  </sheetData>
  <phoneticPr fontId="2" type="noConversion"/>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4BE7C80E-5DD0-4FA8-AB2C-59A48FD8DE94}">
          <x14:formula1>
            <xm:f>selection!$BR$17:$BR$27</xm:f>
          </x14:formula1>
          <xm:sqref>F10:F67</xm:sqref>
        </x14:dataValidation>
        <x14:dataValidation type="list" allowBlank="1" showInputMessage="1" showErrorMessage="1" xr:uid="{5B8B6C5F-9B1F-47EC-9075-699BE6FA58AD}">
          <x14:formula1>
            <xm:f>S11cumperf!$A$18:$A$100</xm:f>
          </x14:formula1>
          <xm:sqref>A10:A67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3C8F5-78DA-4E57-B6E3-AE53F8558AD3}">
  <sheetPr codeName="Sheet18"/>
  <dimension ref="A1:N36"/>
  <sheetViews>
    <sheetView workbookViewId="0">
      <selection activeCell="C10" sqref="C10"/>
    </sheetView>
  </sheetViews>
  <sheetFormatPr defaultColWidth="23.7265625" defaultRowHeight="12" customHeight="1" outlineLevelRow="1" x14ac:dyDescent="0.2"/>
  <cols>
    <col min="1" max="1" width="15.54296875" style="77" customWidth="1"/>
    <col min="2" max="2" width="9.6328125" style="77" customWidth="1"/>
    <col min="3" max="3" width="13" style="77" customWidth="1"/>
    <col min="4" max="4" width="10.08984375" style="79" customWidth="1"/>
    <col min="5" max="5" width="10.54296875" style="77" customWidth="1"/>
    <col min="6" max="11" width="9.36328125" style="77" customWidth="1"/>
    <col min="12" max="12" width="16.36328125" style="77" customWidth="1"/>
    <col min="13" max="13" width="13.7265625" style="77" customWidth="1"/>
    <col min="14" max="15" width="10" style="77" customWidth="1"/>
    <col min="16" max="16384" width="23.7265625" style="77"/>
  </cols>
  <sheetData>
    <row r="1" spans="1:14" ht="12" customHeight="1" x14ac:dyDescent="0.2">
      <c r="A1" s="73" t="s">
        <v>2080</v>
      </c>
      <c r="B1" s="74"/>
      <c r="C1" s="74"/>
      <c r="D1" s="74"/>
      <c r="E1" s="74"/>
      <c r="F1" s="74"/>
      <c r="G1" s="75" t="s">
        <v>2081</v>
      </c>
      <c r="H1" s="74"/>
      <c r="I1" s="74"/>
      <c r="J1" s="74"/>
      <c r="K1" s="74"/>
      <c r="L1" s="74"/>
      <c r="M1" s="74"/>
      <c r="N1" s="76" t="str">
        <f>'1-Cover'!$G$1</f>
        <v>OMB Approval No. 3245-0063</v>
      </c>
    </row>
    <row r="2" spans="1:14" ht="12" customHeight="1" x14ac:dyDescent="0.2">
      <c r="A2" s="78"/>
      <c r="D2" s="77"/>
      <c r="G2" s="79" t="str">
        <f>"FOR "&amp;Number_of_Months&amp;" MONTH PERIOD ENDED: "&amp;TEXT(Form468Date,"MM/DD/YYYY")</f>
        <v>FOR  MONTH PERIOD ENDED: 01/00/1900</v>
      </c>
      <c r="N2" s="80" t="str">
        <f>'1-Cover'!$G$2</f>
        <v>Expiration Date MM/DD/YYYY</v>
      </c>
    </row>
    <row r="3" spans="1:14" ht="12" customHeight="1" x14ac:dyDescent="0.2">
      <c r="A3" s="136"/>
      <c r="B3" s="137"/>
      <c r="C3" s="137"/>
      <c r="D3" s="137"/>
      <c r="E3" s="137"/>
      <c r="F3" s="137"/>
      <c r="G3" s="137"/>
      <c r="H3" s="137"/>
      <c r="I3" s="137"/>
      <c r="J3" s="137"/>
      <c r="K3" s="82"/>
      <c r="L3" s="82"/>
      <c r="M3" s="82"/>
      <c r="N3" s="139"/>
    </row>
    <row r="4" spans="1:14" ht="12" customHeight="1" x14ac:dyDescent="0.2">
      <c r="A4" s="121" t="str">
        <f>"Name of License:  "&amp;sbicname</f>
        <v xml:space="preserve">Name of License:  </v>
      </c>
      <c r="B4" s="122">
        <f>S1C!B4</f>
        <v>0</v>
      </c>
      <c r="C4" s="140"/>
      <c r="D4" s="140"/>
      <c r="E4" s="140"/>
      <c r="F4" s="140"/>
      <c r="G4" s="140"/>
      <c r="H4" s="140"/>
      <c r="I4" s="140"/>
      <c r="J4" s="140"/>
      <c r="K4" s="140"/>
      <c r="L4" s="140"/>
      <c r="M4" s="140"/>
      <c r="N4" s="123" t="str">
        <f>"License no.:  "&amp;TEXT(licenseno,"00\/00\-0000")</f>
        <v>License no.:  00/00-0000</v>
      </c>
    </row>
    <row r="5" spans="1:14" ht="18.75" customHeight="1" outlineLevel="1" x14ac:dyDescent="0.2">
      <c r="F5" s="318" t="s">
        <v>2082</v>
      </c>
      <c r="G5" s="318" t="s">
        <v>2083</v>
      </c>
      <c r="H5" s="318" t="s">
        <v>2084</v>
      </c>
      <c r="I5" s="319" t="s">
        <v>2085</v>
      </c>
      <c r="J5" s="319" t="s">
        <v>2086</v>
      </c>
      <c r="K5" s="319" t="s">
        <v>237</v>
      </c>
    </row>
    <row r="6" spans="1:14" ht="14.5" customHeight="1" outlineLevel="1" x14ac:dyDescent="0.2">
      <c r="A6" s="766" t="s">
        <v>2088</v>
      </c>
      <c r="B6" s="766"/>
      <c r="E6" s="150" t="s">
        <v>2087</v>
      </c>
      <c r="F6" s="323">
        <f>SUMIF(realgain[Transaction Date],"&gt;"&amp;priorqtr,realgain[Cost])</f>
        <v>0</v>
      </c>
      <c r="G6" s="323">
        <f>SUMIF(realgain[Transaction Date],"&gt;"&amp;priorqtr,realgain[Net Sales Price])</f>
        <v>0</v>
      </c>
      <c r="H6" s="323">
        <f>SUMIF(realgain[Transaction Date],"&gt;"&amp;priorqtr,realgain[Realized Gain/(Loss)])</f>
        <v>0</v>
      </c>
      <c r="I6" s="323">
        <f>SUMIF(realgain[Transaction Date],"&gt;"&amp;priorqtr,realgain[Cash])</f>
        <v>0</v>
      </c>
      <c r="J6" s="323">
        <f>SUMIF(realgain[Transaction Date],"&gt;"&amp;priorqtr,realgain[Note])</f>
        <v>0</v>
      </c>
      <c r="K6" s="323">
        <f>SUMIF(realgain[Transaction Date],"&gt;"&amp;priorqtr,realgain[Equity])</f>
        <v>0</v>
      </c>
    </row>
    <row r="7" spans="1:14" ht="12" customHeight="1" x14ac:dyDescent="0.2">
      <c r="A7" s="767"/>
      <c r="B7" s="767"/>
      <c r="E7" s="215" t="s">
        <v>2089</v>
      </c>
      <c r="F7" s="324">
        <f>SUM(realgain[Cost])</f>
        <v>0</v>
      </c>
      <c r="G7" s="324">
        <f>SUM(realgain[Net Sales Price])</f>
        <v>0</v>
      </c>
      <c r="H7" s="324">
        <f>SUM(realgain[Realized Gain/(Loss)])</f>
        <v>0</v>
      </c>
      <c r="I7" s="324">
        <f>SUM(realgain[Cash])</f>
        <v>0</v>
      </c>
      <c r="J7" s="324">
        <f>SUM(realgain[Note])</f>
        <v>0</v>
      </c>
      <c r="K7" s="324">
        <f>SUM(realgain[Equity])</f>
        <v>0</v>
      </c>
    </row>
    <row r="8" spans="1:14" s="79" customFormat="1" ht="12" customHeight="1" x14ac:dyDescent="0.2">
      <c r="A8" s="275" t="s">
        <v>159</v>
      </c>
      <c r="B8" s="275" t="s">
        <v>2044</v>
      </c>
      <c r="C8" s="275" t="s">
        <v>154</v>
      </c>
      <c r="D8" s="275" t="s">
        <v>2045</v>
      </c>
      <c r="E8" s="275" t="s">
        <v>2046</v>
      </c>
      <c r="F8" s="275" t="s">
        <v>199</v>
      </c>
      <c r="G8" s="275" t="s">
        <v>2047</v>
      </c>
      <c r="H8" s="275" t="s">
        <v>2048</v>
      </c>
      <c r="I8" s="275" t="s">
        <v>2073</v>
      </c>
      <c r="J8" s="275" t="s">
        <v>2090</v>
      </c>
      <c r="K8" s="275" t="s">
        <v>2091</v>
      </c>
      <c r="L8" s="275" t="s">
        <v>2092</v>
      </c>
      <c r="M8" s="275" t="s">
        <v>166</v>
      </c>
      <c r="N8" s="275" t="s">
        <v>196</v>
      </c>
    </row>
    <row r="9" spans="1:14" s="306" customFormat="1" ht="12" customHeight="1" x14ac:dyDescent="0.35">
      <c r="A9" s="301"/>
      <c r="B9" s="301"/>
      <c r="C9" s="302"/>
      <c r="D9" s="303"/>
      <c r="E9" s="304"/>
      <c r="F9" s="304"/>
      <c r="G9" s="304"/>
      <c r="H9" s="304"/>
      <c r="I9" s="763" t="s">
        <v>2093</v>
      </c>
      <c r="J9" s="764"/>
      <c r="K9" s="765"/>
      <c r="L9" s="761" t="s">
        <v>2094</v>
      </c>
      <c r="M9" s="762"/>
      <c r="N9" s="304"/>
    </row>
    <row r="10" spans="1:14" s="278" customFormat="1" ht="24" customHeight="1" x14ac:dyDescent="0.35">
      <c r="A10" s="253" t="s">
        <v>2029</v>
      </c>
      <c r="B10" s="320" t="s">
        <v>2030</v>
      </c>
      <c r="C10" s="321" t="s">
        <v>2032</v>
      </c>
      <c r="D10" s="322" t="s">
        <v>2076</v>
      </c>
      <c r="E10" s="320" t="s">
        <v>3561</v>
      </c>
      <c r="F10" s="320" t="s">
        <v>2082</v>
      </c>
      <c r="G10" s="320" t="s">
        <v>2083</v>
      </c>
      <c r="H10" s="320" t="s">
        <v>2084</v>
      </c>
      <c r="I10" s="319" t="s">
        <v>2085</v>
      </c>
      <c r="J10" s="319" t="s">
        <v>2086</v>
      </c>
      <c r="K10" s="319" t="s">
        <v>237</v>
      </c>
      <c r="L10" s="319" t="s">
        <v>2096</v>
      </c>
      <c r="M10" s="319" t="s">
        <v>2097</v>
      </c>
      <c r="N10" s="319" t="s">
        <v>85</v>
      </c>
    </row>
    <row r="11" spans="1:14" ht="12" customHeight="1" x14ac:dyDescent="0.2">
      <c r="A11" s="223" t="s">
        <v>243</v>
      </c>
      <c r="B11" s="309" t="str">
        <f>IF(IFERROR(VLOOKUP(realgain[[#This Row],[Portfolio Company Name]],s11cumperf[],2,FALSE),"")="","",(IFERROR(VLOOKUP(realgain[[#This Row],[Portfolio Company Name]],s11cumperf[],2,FALSE),"")))</f>
        <v/>
      </c>
      <c r="C11" s="310"/>
      <c r="D11" s="311"/>
      <c r="E11" s="312"/>
      <c r="F11" s="313"/>
      <c r="G11" s="313"/>
      <c r="H11" s="325">
        <f>IFERROR(IF(realgain[[#This Row],[Transaction Type2]]="Principal Repayment", 0,realgain[[#This Row],[Net Sales Price]]-realgain[[#This Row],[Cost]]),"")</f>
        <v>0</v>
      </c>
      <c r="I11" s="314"/>
      <c r="J11" s="314"/>
      <c r="K11" s="325">
        <f>realgain[[#This Row],[Net Sales Price]]-realgain[[#This Row],[Cash]]-realgain[[#This Row],[Note]]</f>
        <v>0</v>
      </c>
      <c r="L11" s="315"/>
      <c r="M11" s="316"/>
      <c r="N11" s="317"/>
    </row>
    <row r="12" spans="1:14" ht="12" customHeight="1" x14ac:dyDescent="0.2">
      <c r="A12" s="223" t="s">
        <v>243</v>
      </c>
      <c r="B12" s="309" t="str">
        <f>IF(IFERROR(VLOOKUP(realgain[[#This Row],[Portfolio Company Name]],s11cumperf[],2,FALSE),"")="","",(IFERROR(VLOOKUP(realgain[[#This Row],[Portfolio Company Name]],s11cumperf[],2,FALSE),"")))</f>
        <v/>
      </c>
      <c r="C12" s="310"/>
      <c r="D12" s="311"/>
      <c r="E12" s="312"/>
      <c r="F12" s="313"/>
      <c r="G12" s="313"/>
      <c r="H12" s="325">
        <f>IFERROR(IF(realgain[[#This Row],[Transaction Type2]]="Principal Repayment", 0,realgain[[#This Row],[Net Sales Price]]-realgain[[#This Row],[Cost]]),"")</f>
        <v>0</v>
      </c>
      <c r="I12" s="314"/>
      <c r="J12" s="314"/>
      <c r="K12" s="325">
        <f>realgain[[#This Row],[Net Sales Price]]-realgain[[#This Row],[Cash]]-realgain[[#This Row],[Note]]</f>
        <v>0</v>
      </c>
      <c r="L12" s="315"/>
      <c r="M12" s="316"/>
      <c r="N12" s="317"/>
    </row>
    <row r="13" spans="1:14" ht="12" customHeight="1" x14ac:dyDescent="0.2">
      <c r="A13" s="223" t="s">
        <v>243</v>
      </c>
      <c r="B13" s="309" t="str">
        <f>IF(IFERROR(VLOOKUP(realgain[[#This Row],[Portfolio Company Name]],s11cumperf[],2,FALSE),"")="","",(IFERROR(VLOOKUP(realgain[[#This Row],[Portfolio Company Name]],s11cumperf[],2,FALSE),"")))</f>
        <v/>
      </c>
      <c r="C13" s="310"/>
      <c r="D13" s="311"/>
      <c r="E13" s="312"/>
      <c r="F13" s="313"/>
      <c r="G13" s="313"/>
      <c r="H13" s="325">
        <f>IFERROR(IF(realgain[[#This Row],[Transaction Type2]]="Principal Repayment", 0,realgain[[#This Row],[Net Sales Price]]-realgain[[#This Row],[Cost]]),"")</f>
        <v>0</v>
      </c>
      <c r="I13" s="314"/>
      <c r="J13" s="314"/>
      <c r="K13" s="325">
        <f>realgain[[#This Row],[Net Sales Price]]-realgain[[#This Row],[Cash]]-realgain[[#This Row],[Note]]</f>
        <v>0</v>
      </c>
      <c r="L13" s="315"/>
      <c r="M13" s="316"/>
      <c r="N13" s="317"/>
    </row>
    <row r="14" spans="1:14" ht="12" customHeight="1" x14ac:dyDescent="0.2">
      <c r="A14" s="223" t="s">
        <v>243</v>
      </c>
      <c r="B14" s="309" t="str">
        <f>IF(IFERROR(VLOOKUP(realgain[[#This Row],[Portfolio Company Name]],s11cumperf[],2,FALSE),"")="","",(IFERROR(VLOOKUP(realgain[[#This Row],[Portfolio Company Name]],s11cumperf[],2,FALSE),"")))</f>
        <v/>
      </c>
      <c r="C14" s="310"/>
      <c r="D14" s="311"/>
      <c r="E14" s="312"/>
      <c r="F14" s="313"/>
      <c r="G14" s="313"/>
      <c r="H14" s="325">
        <f>IFERROR(IF(realgain[[#This Row],[Transaction Type2]]="Principal Repayment", 0,realgain[[#This Row],[Net Sales Price]]-realgain[[#This Row],[Cost]]),"")</f>
        <v>0</v>
      </c>
      <c r="I14" s="314"/>
      <c r="J14" s="314"/>
      <c r="K14" s="325">
        <f>realgain[[#This Row],[Net Sales Price]]-realgain[[#This Row],[Cash]]-realgain[[#This Row],[Note]]</f>
        <v>0</v>
      </c>
      <c r="L14" s="315"/>
      <c r="M14" s="316"/>
      <c r="N14" s="317"/>
    </row>
    <row r="15" spans="1:14" ht="12" customHeight="1" x14ac:dyDescent="0.2">
      <c r="A15" s="223" t="s">
        <v>243</v>
      </c>
      <c r="B15" s="309" t="str">
        <f>IF(IFERROR(VLOOKUP(realgain[[#This Row],[Portfolio Company Name]],s11cumperf[],2,FALSE),"")="","",(IFERROR(VLOOKUP(realgain[[#This Row],[Portfolio Company Name]],s11cumperf[],2,FALSE),"")))</f>
        <v/>
      </c>
      <c r="C15" s="310"/>
      <c r="D15" s="311"/>
      <c r="E15" s="312"/>
      <c r="F15" s="313"/>
      <c r="G15" s="313"/>
      <c r="H15" s="325">
        <f>IFERROR(IF(realgain[[#This Row],[Transaction Type2]]="Principal Repayment", 0,realgain[[#This Row],[Net Sales Price]]-realgain[[#This Row],[Cost]]),"")</f>
        <v>0</v>
      </c>
      <c r="I15" s="314"/>
      <c r="J15" s="314"/>
      <c r="K15" s="325">
        <f>realgain[[#This Row],[Net Sales Price]]-realgain[[#This Row],[Cash]]-realgain[[#This Row],[Note]]</f>
        <v>0</v>
      </c>
      <c r="L15" s="315"/>
      <c r="M15" s="316"/>
      <c r="N15" s="317"/>
    </row>
    <row r="16" spans="1:14" ht="12" customHeight="1" x14ac:dyDescent="0.2">
      <c r="A16" s="223" t="s">
        <v>243</v>
      </c>
      <c r="B16" s="309" t="str">
        <f>IF(IFERROR(VLOOKUP(realgain[[#This Row],[Portfolio Company Name]],s11cumperf[],2,FALSE),"")="","",(IFERROR(VLOOKUP(realgain[[#This Row],[Portfolio Company Name]],s11cumperf[],2,FALSE),"")))</f>
        <v/>
      </c>
      <c r="C16" s="310"/>
      <c r="D16" s="311"/>
      <c r="E16" s="312"/>
      <c r="F16" s="313"/>
      <c r="G16" s="313"/>
      <c r="H16" s="325">
        <f>IFERROR(IF(realgain[[#This Row],[Transaction Type2]]="Principal Repayment", 0,realgain[[#This Row],[Net Sales Price]]-realgain[[#This Row],[Cost]]),"")</f>
        <v>0</v>
      </c>
      <c r="I16" s="314"/>
      <c r="J16" s="314"/>
      <c r="K16" s="325">
        <f>realgain[[#This Row],[Net Sales Price]]-realgain[[#This Row],[Cash]]-realgain[[#This Row],[Note]]</f>
        <v>0</v>
      </c>
      <c r="L16" s="315"/>
      <c r="M16" s="316"/>
      <c r="N16" s="317"/>
    </row>
    <row r="17" spans="1:14" ht="12" customHeight="1" x14ac:dyDescent="0.2">
      <c r="A17" s="223" t="s">
        <v>243</v>
      </c>
      <c r="B17" s="309" t="str">
        <f>IF(IFERROR(VLOOKUP(realgain[[#This Row],[Portfolio Company Name]],s11cumperf[],2,FALSE),"")="","",(IFERROR(VLOOKUP(realgain[[#This Row],[Portfolio Company Name]],s11cumperf[],2,FALSE),"")))</f>
        <v/>
      </c>
      <c r="C17" s="310"/>
      <c r="D17" s="311"/>
      <c r="E17" s="312"/>
      <c r="F17" s="313"/>
      <c r="G17" s="313"/>
      <c r="H17" s="325">
        <f>IFERROR(IF(realgain[[#This Row],[Transaction Type2]]="Principal Repayment", 0,realgain[[#This Row],[Net Sales Price]]-realgain[[#This Row],[Cost]]),"")</f>
        <v>0</v>
      </c>
      <c r="I17" s="314"/>
      <c r="J17" s="314"/>
      <c r="K17" s="325">
        <f>realgain[[#This Row],[Net Sales Price]]-realgain[[#This Row],[Cash]]-realgain[[#This Row],[Note]]</f>
        <v>0</v>
      </c>
      <c r="L17" s="315"/>
      <c r="M17" s="316"/>
      <c r="N17" s="317"/>
    </row>
    <row r="18" spans="1:14" ht="12" customHeight="1" x14ac:dyDescent="0.2">
      <c r="A18" s="223" t="s">
        <v>243</v>
      </c>
      <c r="B18" s="309" t="str">
        <f>IF(IFERROR(VLOOKUP(realgain[[#This Row],[Portfolio Company Name]],s11cumperf[],2,FALSE),"")="","",(IFERROR(VLOOKUP(realgain[[#This Row],[Portfolio Company Name]],s11cumperf[],2,FALSE),"")))</f>
        <v/>
      </c>
      <c r="C18" s="310"/>
      <c r="D18" s="311"/>
      <c r="E18" s="312"/>
      <c r="F18" s="313"/>
      <c r="G18" s="313"/>
      <c r="H18" s="325">
        <f>IFERROR(IF(realgain[[#This Row],[Transaction Type2]]="Principal Repayment", 0,realgain[[#This Row],[Net Sales Price]]-realgain[[#This Row],[Cost]]),"")</f>
        <v>0</v>
      </c>
      <c r="I18" s="314"/>
      <c r="J18" s="314"/>
      <c r="K18" s="325">
        <f>realgain[[#This Row],[Net Sales Price]]-realgain[[#This Row],[Cash]]-realgain[[#This Row],[Note]]</f>
        <v>0</v>
      </c>
      <c r="L18" s="315"/>
      <c r="M18" s="316"/>
      <c r="N18" s="317"/>
    </row>
    <row r="19" spans="1:14" ht="12" customHeight="1" x14ac:dyDescent="0.2">
      <c r="A19" s="223" t="s">
        <v>243</v>
      </c>
      <c r="B19" s="309" t="str">
        <f>IF(IFERROR(VLOOKUP(realgain[[#This Row],[Portfolio Company Name]],s11cumperf[],2,FALSE),"")="","",(IFERROR(VLOOKUP(realgain[[#This Row],[Portfolio Company Name]],s11cumperf[],2,FALSE),"")))</f>
        <v/>
      </c>
      <c r="C19" s="310"/>
      <c r="D19" s="311"/>
      <c r="E19" s="312"/>
      <c r="F19" s="313"/>
      <c r="G19" s="313"/>
      <c r="H19" s="325">
        <f>IFERROR(IF(realgain[[#This Row],[Transaction Type2]]="Principal Repayment", 0,realgain[[#This Row],[Net Sales Price]]-realgain[[#This Row],[Cost]]),"")</f>
        <v>0</v>
      </c>
      <c r="I19" s="314"/>
      <c r="J19" s="314"/>
      <c r="K19" s="325">
        <f>realgain[[#This Row],[Net Sales Price]]-realgain[[#This Row],[Cash]]-realgain[[#This Row],[Note]]</f>
        <v>0</v>
      </c>
      <c r="L19" s="315"/>
      <c r="M19" s="316"/>
      <c r="N19" s="317"/>
    </row>
    <row r="20" spans="1:14" ht="12" customHeight="1" x14ac:dyDescent="0.2">
      <c r="A20" s="223" t="s">
        <v>243</v>
      </c>
      <c r="B20" s="309" t="str">
        <f>IF(IFERROR(VLOOKUP(realgain[[#This Row],[Portfolio Company Name]],s11cumperf[],2,FALSE),"")="","",(IFERROR(VLOOKUP(realgain[[#This Row],[Portfolio Company Name]],s11cumperf[],2,FALSE),"")))</f>
        <v/>
      </c>
      <c r="C20" s="310"/>
      <c r="D20" s="311"/>
      <c r="E20" s="312"/>
      <c r="F20" s="313"/>
      <c r="G20" s="313"/>
      <c r="H20" s="325">
        <f>IFERROR(IF(realgain[[#This Row],[Transaction Type2]]="Principal Repayment", 0,realgain[[#This Row],[Net Sales Price]]-realgain[[#This Row],[Cost]]),"")</f>
        <v>0</v>
      </c>
      <c r="I20" s="314"/>
      <c r="J20" s="314"/>
      <c r="K20" s="325">
        <f>realgain[[#This Row],[Net Sales Price]]-realgain[[#This Row],[Cash]]-realgain[[#This Row],[Note]]</f>
        <v>0</v>
      </c>
      <c r="L20" s="315"/>
      <c r="M20" s="316"/>
      <c r="N20" s="317"/>
    </row>
    <row r="21" spans="1:14" ht="12" customHeight="1" x14ac:dyDescent="0.2">
      <c r="A21" s="223" t="s">
        <v>243</v>
      </c>
      <c r="B21" s="309" t="str">
        <f>IF(IFERROR(VLOOKUP(realgain[[#This Row],[Portfolio Company Name]],s11cumperf[],2,FALSE),"")="","",(IFERROR(VLOOKUP(realgain[[#This Row],[Portfolio Company Name]],s11cumperf[],2,FALSE),"")))</f>
        <v/>
      </c>
      <c r="C21" s="310"/>
      <c r="D21" s="311"/>
      <c r="E21" s="312"/>
      <c r="F21" s="313"/>
      <c r="G21" s="313"/>
      <c r="H21" s="325">
        <f>IFERROR(IF(realgain[[#This Row],[Transaction Type2]]="Principal Repayment", 0,realgain[[#This Row],[Net Sales Price]]-realgain[[#This Row],[Cost]]),"")</f>
        <v>0</v>
      </c>
      <c r="I21" s="314"/>
      <c r="J21" s="314"/>
      <c r="K21" s="325">
        <f>realgain[[#This Row],[Net Sales Price]]-realgain[[#This Row],[Cash]]-realgain[[#This Row],[Note]]</f>
        <v>0</v>
      </c>
      <c r="L21" s="315"/>
      <c r="M21" s="316"/>
      <c r="N21" s="317"/>
    </row>
    <row r="22" spans="1:14" ht="12" customHeight="1" x14ac:dyDescent="0.2">
      <c r="A22" s="223" t="s">
        <v>243</v>
      </c>
      <c r="B22" s="309" t="str">
        <f>IF(IFERROR(VLOOKUP(realgain[[#This Row],[Portfolio Company Name]],s11cumperf[],2,FALSE),"")="","",(IFERROR(VLOOKUP(realgain[[#This Row],[Portfolio Company Name]],s11cumperf[],2,FALSE),"")))</f>
        <v/>
      </c>
      <c r="C22" s="310"/>
      <c r="D22" s="311"/>
      <c r="E22" s="312"/>
      <c r="F22" s="313"/>
      <c r="G22" s="313"/>
      <c r="H22" s="325">
        <f>IFERROR(IF(realgain[[#This Row],[Transaction Type2]]="Principal Repayment", 0,realgain[[#This Row],[Net Sales Price]]-realgain[[#This Row],[Cost]]),"")</f>
        <v>0</v>
      </c>
      <c r="I22" s="314"/>
      <c r="J22" s="314"/>
      <c r="K22" s="325">
        <f>realgain[[#This Row],[Net Sales Price]]-realgain[[#This Row],[Cash]]-realgain[[#This Row],[Note]]</f>
        <v>0</v>
      </c>
      <c r="L22" s="315"/>
      <c r="M22" s="316"/>
      <c r="N22" s="317"/>
    </row>
    <row r="23" spans="1:14" ht="12" customHeight="1" x14ac:dyDescent="0.2">
      <c r="A23" s="223" t="s">
        <v>243</v>
      </c>
      <c r="B23" s="309" t="str">
        <f>IF(IFERROR(VLOOKUP(realgain[[#This Row],[Portfolio Company Name]],s11cumperf[],2,FALSE),"")="","",(IFERROR(VLOOKUP(realgain[[#This Row],[Portfolio Company Name]],s11cumperf[],2,FALSE),"")))</f>
        <v/>
      </c>
      <c r="C23" s="310"/>
      <c r="D23" s="311"/>
      <c r="E23" s="312"/>
      <c r="F23" s="313"/>
      <c r="G23" s="313"/>
      <c r="H23" s="325">
        <f>IFERROR(IF(realgain[[#This Row],[Transaction Type2]]="Principal Repayment", 0,realgain[[#This Row],[Net Sales Price]]-realgain[[#This Row],[Cost]]),"")</f>
        <v>0</v>
      </c>
      <c r="I23" s="314"/>
      <c r="J23" s="314"/>
      <c r="K23" s="325">
        <f>realgain[[#This Row],[Net Sales Price]]-realgain[[#This Row],[Cash]]-realgain[[#This Row],[Note]]</f>
        <v>0</v>
      </c>
      <c r="L23" s="315"/>
      <c r="M23" s="316"/>
      <c r="N23" s="317"/>
    </row>
    <row r="24" spans="1:14" ht="12" customHeight="1" x14ac:dyDescent="0.2">
      <c r="A24" s="223" t="s">
        <v>243</v>
      </c>
      <c r="B24" s="309" t="str">
        <f>IF(IFERROR(VLOOKUP(realgain[[#This Row],[Portfolio Company Name]],s11cumperf[],2,FALSE),"")="","",(IFERROR(VLOOKUP(realgain[[#This Row],[Portfolio Company Name]],s11cumperf[],2,FALSE),"")))</f>
        <v/>
      </c>
      <c r="C24" s="310"/>
      <c r="D24" s="311"/>
      <c r="E24" s="312"/>
      <c r="F24" s="313"/>
      <c r="G24" s="313"/>
      <c r="H24" s="325">
        <f>IFERROR(IF(realgain[[#This Row],[Transaction Type2]]="Principal Repayment", 0,realgain[[#This Row],[Net Sales Price]]-realgain[[#This Row],[Cost]]),"")</f>
        <v>0</v>
      </c>
      <c r="I24" s="314"/>
      <c r="J24" s="314"/>
      <c r="K24" s="325">
        <f>realgain[[#This Row],[Net Sales Price]]-realgain[[#This Row],[Cash]]-realgain[[#This Row],[Note]]</f>
        <v>0</v>
      </c>
      <c r="L24" s="315"/>
      <c r="M24" s="316"/>
      <c r="N24" s="317"/>
    </row>
    <row r="25" spans="1:14" ht="12" customHeight="1" x14ac:dyDescent="0.2">
      <c r="A25" s="223" t="s">
        <v>243</v>
      </c>
      <c r="B25" s="309" t="str">
        <f>IF(IFERROR(VLOOKUP(realgain[[#This Row],[Portfolio Company Name]],s11cumperf[],2,FALSE),"")="","",(IFERROR(VLOOKUP(realgain[[#This Row],[Portfolio Company Name]],s11cumperf[],2,FALSE),"")))</f>
        <v/>
      </c>
      <c r="C25" s="310"/>
      <c r="D25" s="311"/>
      <c r="E25" s="312"/>
      <c r="F25" s="313"/>
      <c r="G25" s="313"/>
      <c r="H25" s="325">
        <f>IFERROR(IF(realgain[[#This Row],[Transaction Type2]]="Principal Repayment", 0,realgain[[#This Row],[Net Sales Price]]-realgain[[#This Row],[Cost]]),"")</f>
        <v>0</v>
      </c>
      <c r="I25" s="314"/>
      <c r="J25" s="314"/>
      <c r="K25" s="325">
        <f>realgain[[#This Row],[Net Sales Price]]-realgain[[#This Row],[Cash]]-realgain[[#This Row],[Note]]</f>
        <v>0</v>
      </c>
      <c r="L25" s="315"/>
      <c r="M25" s="316"/>
      <c r="N25" s="317"/>
    </row>
    <row r="26" spans="1:14" ht="12" customHeight="1" x14ac:dyDescent="0.2">
      <c r="A26" s="223" t="s">
        <v>243</v>
      </c>
      <c r="B26" s="309" t="str">
        <f>IF(IFERROR(VLOOKUP(realgain[[#This Row],[Portfolio Company Name]],s11cumperf[],2,FALSE),"")="","",(IFERROR(VLOOKUP(realgain[[#This Row],[Portfolio Company Name]],s11cumperf[],2,FALSE),"")))</f>
        <v/>
      </c>
      <c r="C26" s="310"/>
      <c r="D26" s="311"/>
      <c r="E26" s="312"/>
      <c r="F26" s="313"/>
      <c r="G26" s="313"/>
      <c r="H26" s="325">
        <f>IFERROR(IF(realgain[[#This Row],[Transaction Type2]]="Principal Repayment", 0,realgain[[#This Row],[Net Sales Price]]-realgain[[#This Row],[Cost]]),"")</f>
        <v>0</v>
      </c>
      <c r="I26" s="314"/>
      <c r="J26" s="314"/>
      <c r="K26" s="325">
        <f>realgain[[#This Row],[Net Sales Price]]-realgain[[#This Row],[Cash]]-realgain[[#This Row],[Note]]</f>
        <v>0</v>
      </c>
      <c r="L26" s="315"/>
      <c r="M26" s="316"/>
      <c r="N26" s="317"/>
    </row>
    <row r="27" spans="1:14" ht="12" customHeight="1" x14ac:dyDescent="0.2">
      <c r="A27" s="223" t="s">
        <v>243</v>
      </c>
      <c r="B27" s="309" t="str">
        <f>IF(IFERROR(VLOOKUP(realgain[[#This Row],[Portfolio Company Name]],s11cumperf[],2,FALSE),"")="","",(IFERROR(VLOOKUP(realgain[[#This Row],[Portfolio Company Name]],s11cumperf[],2,FALSE),"")))</f>
        <v/>
      </c>
      <c r="C27" s="310"/>
      <c r="D27" s="311"/>
      <c r="E27" s="312"/>
      <c r="F27" s="313"/>
      <c r="G27" s="313"/>
      <c r="H27" s="325">
        <f>IFERROR(IF(realgain[[#This Row],[Transaction Type2]]="Principal Repayment", 0,realgain[[#This Row],[Net Sales Price]]-realgain[[#This Row],[Cost]]),"")</f>
        <v>0</v>
      </c>
      <c r="I27" s="314"/>
      <c r="J27" s="314"/>
      <c r="K27" s="325">
        <f>realgain[[#This Row],[Net Sales Price]]-realgain[[#This Row],[Cash]]-realgain[[#This Row],[Note]]</f>
        <v>0</v>
      </c>
      <c r="L27" s="315"/>
      <c r="M27" s="316"/>
      <c r="N27" s="317"/>
    </row>
    <row r="28" spans="1:14" ht="12" customHeight="1" x14ac:dyDescent="0.2">
      <c r="A28" s="223" t="s">
        <v>243</v>
      </c>
      <c r="B28" s="309" t="str">
        <f>IF(IFERROR(VLOOKUP(realgain[[#This Row],[Portfolio Company Name]],s11cumperf[],2,FALSE),"")="","",(IFERROR(VLOOKUP(realgain[[#This Row],[Portfolio Company Name]],s11cumperf[],2,FALSE),"")))</f>
        <v/>
      </c>
      <c r="C28" s="310"/>
      <c r="D28" s="311"/>
      <c r="E28" s="312"/>
      <c r="F28" s="313"/>
      <c r="G28" s="313"/>
      <c r="H28" s="325">
        <f>IFERROR(IF(realgain[[#This Row],[Transaction Type2]]="Principal Repayment", 0,realgain[[#This Row],[Net Sales Price]]-realgain[[#This Row],[Cost]]),"")</f>
        <v>0</v>
      </c>
      <c r="I28" s="314"/>
      <c r="J28" s="314"/>
      <c r="K28" s="325">
        <f>realgain[[#This Row],[Net Sales Price]]-realgain[[#This Row],[Cash]]-realgain[[#This Row],[Note]]</f>
        <v>0</v>
      </c>
      <c r="L28" s="315"/>
      <c r="M28" s="316"/>
      <c r="N28" s="317"/>
    </row>
    <row r="29" spans="1:14" ht="12" customHeight="1" x14ac:dyDescent="0.2">
      <c r="A29" s="223" t="s">
        <v>243</v>
      </c>
      <c r="B29" s="309" t="str">
        <f>IF(IFERROR(VLOOKUP(realgain[[#This Row],[Portfolio Company Name]],s11cumperf[],2,FALSE),"")="","",(IFERROR(VLOOKUP(realgain[[#This Row],[Portfolio Company Name]],s11cumperf[],2,FALSE),"")))</f>
        <v/>
      </c>
      <c r="C29" s="310"/>
      <c r="D29" s="311"/>
      <c r="E29" s="312"/>
      <c r="F29" s="313"/>
      <c r="G29" s="313"/>
      <c r="H29" s="325">
        <f>IFERROR(IF(realgain[[#This Row],[Transaction Type2]]="Principal Repayment", 0,realgain[[#This Row],[Net Sales Price]]-realgain[[#This Row],[Cost]]),"")</f>
        <v>0</v>
      </c>
      <c r="I29" s="314"/>
      <c r="J29" s="314"/>
      <c r="K29" s="325">
        <f>realgain[[#This Row],[Net Sales Price]]-realgain[[#This Row],[Cash]]-realgain[[#This Row],[Note]]</f>
        <v>0</v>
      </c>
      <c r="L29" s="315"/>
      <c r="M29" s="316"/>
      <c r="N29" s="317"/>
    </row>
    <row r="30" spans="1:14" ht="12" customHeight="1" x14ac:dyDescent="0.2">
      <c r="A30" s="223" t="s">
        <v>243</v>
      </c>
      <c r="B30" s="309" t="str">
        <f>IF(IFERROR(VLOOKUP(realgain[[#This Row],[Portfolio Company Name]],s11cumperf[],2,FALSE),"")="","",(IFERROR(VLOOKUP(realgain[[#This Row],[Portfolio Company Name]],s11cumperf[],2,FALSE),"")))</f>
        <v/>
      </c>
      <c r="C30" s="310"/>
      <c r="D30" s="311"/>
      <c r="E30" s="312"/>
      <c r="F30" s="313"/>
      <c r="G30" s="313"/>
      <c r="H30" s="325">
        <f>IFERROR(IF(realgain[[#This Row],[Transaction Type2]]="Principal Repayment", 0,realgain[[#This Row],[Net Sales Price]]-realgain[[#This Row],[Cost]]),"")</f>
        <v>0</v>
      </c>
      <c r="I30" s="314"/>
      <c r="J30" s="314"/>
      <c r="K30" s="325">
        <f>realgain[[#This Row],[Net Sales Price]]-realgain[[#This Row],[Cash]]-realgain[[#This Row],[Note]]</f>
        <v>0</v>
      </c>
      <c r="L30" s="315"/>
      <c r="M30" s="316"/>
      <c r="N30" s="317"/>
    </row>
    <row r="31" spans="1:14" ht="12" customHeight="1" x14ac:dyDescent="0.2">
      <c r="A31" s="223" t="s">
        <v>243</v>
      </c>
      <c r="B31" s="309" t="str">
        <f>IF(IFERROR(VLOOKUP(realgain[[#This Row],[Portfolio Company Name]],s11cumperf[],2,FALSE),"")="","",(IFERROR(VLOOKUP(realgain[[#This Row],[Portfolio Company Name]],s11cumperf[],2,FALSE),"")))</f>
        <v/>
      </c>
      <c r="C31" s="310"/>
      <c r="D31" s="311"/>
      <c r="E31" s="312"/>
      <c r="F31" s="313"/>
      <c r="G31" s="313"/>
      <c r="H31" s="325">
        <f>IFERROR(IF(realgain[[#This Row],[Transaction Type2]]="Principal Repayment", 0,realgain[[#This Row],[Net Sales Price]]-realgain[[#This Row],[Cost]]),"")</f>
        <v>0</v>
      </c>
      <c r="I31" s="314"/>
      <c r="J31" s="314"/>
      <c r="K31" s="325">
        <f>realgain[[#This Row],[Net Sales Price]]-realgain[[#This Row],[Cash]]-realgain[[#This Row],[Note]]</f>
        <v>0</v>
      </c>
      <c r="L31" s="315"/>
      <c r="M31" s="316"/>
      <c r="N31" s="317"/>
    </row>
    <row r="32" spans="1:14" ht="12" customHeight="1" x14ac:dyDescent="0.2">
      <c r="A32" s="223" t="s">
        <v>243</v>
      </c>
      <c r="B32" s="309" t="str">
        <f>IF(IFERROR(VLOOKUP(realgain[[#This Row],[Portfolio Company Name]],s11cumperf[],2,FALSE),"")="","",(IFERROR(VLOOKUP(realgain[[#This Row],[Portfolio Company Name]],s11cumperf[],2,FALSE),"")))</f>
        <v/>
      </c>
      <c r="C32" s="310"/>
      <c r="D32" s="311"/>
      <c r="E32" s="312"/>
      <c r="F32" s="313"/>
      <c r="G32" s="313"/>
      <c r="H32" s="325">
        <f>IFERROR(IF(realgain[[#This Row],[Transaction Type2]]="Principal Repayment", 0,realgain[[#This Row],[Net Sales Price]]-realgain[[#This Row],[Cost]]),"")</f>
        <v>0</v>
      </c>
      <c r="I32" s="314"/>
      <c r="J32" s="314"/>
      <c r="K32" s="325">
        <f>realgain[[#This Row],[Net Sales Price]]-realgain[[#This Row],[Cash]]-realgain[[#This Row],[Note]]</f>
        <v>0</v>
      </c>
      <c r="L32" s="315"/>
      <c r="M32" s="316"/>
      <c r="N32" s="317"/>
    </row>
    <row r="33" spans="1:14" ht="12" customHeight="1" x14ac:dyDescent="0.2">
      <c r="A33" s="223" t="s">
        <v>243</v>
      </c>
      <c r="B33" s="309" t="str">
        <f>IF(IFERROR(VLOOKUP(realgain[[#This Row],[Portfolio Company Name]],s11cumperf[],2,FALSE),"")="","",(IFERROR(VLOOKUP(realgain[[#This Row],[Portfolio Company Name]],s11cumperf[],2,FALSE),"")))</f>
        <v/>
      </c>
      <c r="C33" s="310"/>
      <c r="D33" s="311"/>
      <c r="E33" s="312"/>
      <c r="F33" s="313"/>
      <c r="G33" s="313"/>
      <c r="H33" s="325">
        <f>IFERROR(IF(realgain[[#This Row],[Transaction Type2]]="Principal Repayment", 0,realgain[[#This Row],[Net Sales Price]]-realgain[[#This Row],[Cost]]),"")</f>
        <v>0</v>
      </c>
      <c r="I33" s="314"/>
      <c r="J33" s="314"/>
      <c r="K33" s="325">
        <f>realgain[[#This Row],[Net Sales Price]]-realgain[[#This Row],[Cash]]-realgain[[#This Row],[Note]]</f>
        <v>0</v>
      </c>
      <c r="L33" s="315"/>
      <c r="M33" s="316"/>
      <c r="N33" s="317"/>
    </row>
    <row r="34" spans="1:14" ht="12" customHeight="1" x14ac:dyDescent="0.2">
      <c r="A34" s="223" t="s">
        <v>243</v>
      </c>
      <c r="B34" s="309" t="str">
        <f>IF(IFERROR(VLOOKUP(realgain[[#This Row],[Portfolio Company Name]],s11cumperf[],2,FALSE),"")="","",(IFERROR(VLOOKUP(realgain[[#This Row],[Portfolio Company Name]],s11cumperf[],2,FALSE),"")))</f>
        <v/>
      </c>
      <c r="C34" s="310"/>
      <c r="D34" s="311"/>
      <c r="E34" s="312"/>
      <c r="F34" s="313"/>
      <c r="G34" s="313"/>
      <c r="H34" s="325">
        <f>IFERROR(IF(realgain[[#This Row],[Transaction Type2]]="Principal Repayment", 0,realgain[[#This Row],[Net Sales Price]]-realgain[[#This Row],[Cost]]),"")</f>
        <v>0</v>
      </c>
      <c r="I34" s="314"/>
      <c r="J34" s="314"/>
      <c r="K34" s="325">
        <f>realgain[[#This Row],[Net Sales Price]]-realgain[[#This Row],[Cash]]-realgain[[#This Row],[Note]]</f>
        <v>0</v>
      </c>
      <c r="L34" s="315"/>
      <c r="M34" s="316"/>
      <c r="N34" s="317"/>
    </row>
    <row r="35" spans="1:14" ht="12" customHeight="1" x14ac:dyDescent="0.2">
      <c r="A35" s="223" t="s">
        <v>243</v>
      </c>
      <c r="B35" s="309" t="str">
        <f>IF(IFERROR(VLOOKUP(realgain[[#This Row],[Portfolio Company Name]],s11cumperf[],2,FALSE),"")="","",(IFERROR(VLOOKUP(realgain[[#This Row],[Portfolio Company Name]],s11cumperf[],2,FALSE),"")))</f>
        <v/>
      </c>
      <c r="C35" s="310"/>
      <c r="D35" s="311"/>
      <c r="E35" s="312"/>
      <c r="F35" s="313"/>
      <c r="G35" s="313"/>
      <c r="H35" s="325">
        <f>IFERROR(IF(realgain[[#This Row],[Transaction Type2]]="Principal Repayment", 0,realgain[[#This Row],[Net Sales Price]]-realgain[[#This Row],[Cost]]),"")</f>
        <v>0</v>
      </c>
      <c r="I35" s="314"/>
      <c r="J35" s="314"/>
      <c r="K35" s="325">
        <f>realgain[[#This Row],[Net Sales Price]]-realgain[[#This Row],[Cash]]-realgain[[#This Row],[Note]]</f>
        <v>0</v>
      </c>
      <c r="L35" s="315"/>
      <c r="M35" s="316"/>
      <c r="N35" s="317"/>
    </row>
    <row r="36" spans="1:14" ht="12" customHeight="1" x14ac:dyDescent="0.2">
      <c r="A36" s="223" t="s">
        <v>243</v>
      </c>
      <c r="B36" s="309" t="str">
        <f>IF(IFERROR(VLOOKUP(realgain[[#This Row],[Portfolio Company Name]],s11cumperf[],2,FALSE),"")="","",(IFERROR(VLOOKUP(realgain[[#This Row],[Portfolio Company Name]],s11cumperf[],2,FALSE),"")))</f>
        <v/>
      </c>
      <c r="C36" s="310"/>
      <c r="D36" s="311"/>
      <c r="E36" s="312"/>
      <c r="F36" s="313"/>
      <c r="G36" s="313"/>
      <c r="H36" s="325">
        <f>IFERROR(IF(realgain[[#This Row],[Transaction Type2]]="Principal Repayment", 0,realgain[[#This Row],[Net Sales Price]]-realgain[[#This Row],[Cost]]),"")</f>
        <v>0</v>
      </c>
      <c r="I36" s="314"/>
      <c r="J36" s="314"/>
      <c r="K36" s="325">
        <f>realgain[[#This Row],[Net Sales Price]]-realgain[[#This Row],[Cash]]-realgain[[#This Row],[Note]]</f>
        <v>0</v>
      </c>
      <c r="L36" s="315"/>
      <c r="M36" s="316"/>
      <c r="N36" s="317"/>
    </row>
  </sheetData>
  <mergeCells count="3">
    <mergeCell ref="L9:M9"/>
    <mergeCell ref="I9:K9"/>
    <mergeCell ref="A6:B7"/>
  </mergeCells>
  <dataValidations count="1">
    <dataValidation operator="equal" allowBlank="1" showInputMessage="1" showErrorMessage="1" sqref="B11:B36" xr:uid="{B732E99A-99AC-4389-8269-0FE132CC94A5}"/>
  </dataValidations>
  <pageMargins left="0.25" right="0.25" top="0.5" bottom="0.5" header="0.3" footer="0.3"/>
  <pageSetup orientation="landscape" horizontalDpi="1200" verticalDpi="120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66FB386D-6CE2-463D-8985-F4D7ABA2EBBB}">
          <x14:formula1>
            <xm:f>selection!$BC$17:$BC$24</xm:f>
          </x14:formula1>
          <xm:sqref>C11:C36</xm:sqref>
        </x14:dataValidation>
        <x14:dataValidation type="list" allowBlank="1" showInputMessage="1" showErrorMessage="1" xr:uid="{A1AB722B-A0E8-42C9-B98F-FFF14E378D8F}">
          <x14:formula1>
            <xm:f>selection!$BU$17:$BU$21</xm:f>
          </x14:formula1>
          <xm:sqref>E11:E36</xm:sqref>
        </x14:dataValidation>
        <x14:dataValidation type="list" allowBlank="1" showInputMessage="1" showErrorMessage="1" xr:uid="{669C6498-71CD-4AD2-966F-7A52011BDD93}">
          <x14:formula1>
            <xm:f>S11cumperf!$A$18:$A$100</xm:f>
          </x14:formula1>
          <xm:sqref>A11:A36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1DB80-A318-465B-BC96-4928C37DEE1C}">
  <sheetPr codeName="Sheet19"/>
  <dimension ref="A1:H50"/>
  <sheetViews>
    <sheetView topLeftCell="D1" workbookViewId="0">
      <selection activeCell="L10" sqref="L10"/>
    </sheetView>
  </sheetViews>
  <sheetFormatPr defaultColWidth="23.54296875" defaultRowHeight="12" customHeight="1" outlineLevelRow="1" x14ac:dyDescent="0.2"/>
  <cols>
    <col min="1" max="1" width="23.1796875" style="77" customWidth="1"/>
    <col min="2" max="2" width="10.453125" style="77" customWidth="1"/>
    <col min="3" max="3" width="12.54296875" style="77" customWidth="1"/>
    <col min="4" max="4" width="12.453125" style="77" customWidth="1"/>
    <col min="5" max="5" width="11.26953125" style="77" customWidth="1"/>
    <col min="6" max="7" width="11.7265625" style="77" customWidth="1"/>
    <col min="8" max="8" width="19.7265625" style="77" customWidth="1"/>
    <col min="9" max="16384" width="23.54296875" style="77"/>
  </cols>
  <sheetData>
    <row r="1" spans="1:8" ht="12" customHeight="1" x14ac:dyDescent="0.2">
      <c r="A1" s="73" t="s">
        <v>2098</v>
      </c>
      <c r="B1" s="74"/>
      <c r="C1" s="759" t="s">
        <v>2099</v>
      </c>
      <c r="D1" s="759"/>
      <c r="E1" s="759"/>
      <c r="F1" s="244"/>
      <c r="G1" s="244"/>
      <c r="H1" s="76" t="str">
        <f>'1-Cover'!$G$1</f>
        <v>OMB Approval No. 3245-0063</v>
      </c>
    </row>
    <row r="2" spans="1:8" ht="12" customHeight="1" x14ac:dyDescent="0.2">
      <c r="A2" s="328"/>
      <c r="C2" s="768" t="str">
        <f>"FOR "&amp;Number_of_Months&amp;" MONTH PERIOD ENDED: "&amp;TEXT(Form468Date,"MM/DD/YYYY")</f>
        <v>FOR  MONTH PERIOD ENDED: 01/00/1900</v>
      </c>
      <c r="D2" s="768"/>
      <c r="E2" s="768"/>
      <c r="F2" s="242"/>
      <c r="G2" s="242"/>
      <c r="H2" s="80" t="str">
        <f>'1-Cover'!$G$2</f>
        <v>Expiration Date MM/DD/YYYY</v>
      </c>
    </row>
    <row r="3" spans="1:8" ht="12" customHeight="1" x14ac:dyDescent="0.2">
      <c r="A3" s="330"/>
      <c r="B3" s="331"/>
      <c r="C3" s="82"/>
      <c r="D3" s="332"/>
      <c r="E3" s="331"/>
      <c r="F3" s="331"/>
      <c r="G3" s="331"/>
      <c r="H3" s="139"/>
    </row>
    <row r="4" spans="1:8" ht="12" customHeight="1" x14ac:dyDescent="0.2">
      <c r="A4" s="121" t="str">
        <f>"Name of License:  "&amp;sbicname</f>
        <v xml:space="preserve">Name of License:  </v>
      </c>
      <c r="B4" s="122">
        <f>S2RG!B4</f>
        <v>0</v>
      </c>
      <c r="C4" s="140"/>
      <c r="D4" s="140"/>
      <c r="E4" s="140"/>
      <c r="F4" s="140"/>
      <c r="G4" s="140"/>
      <c r="H4" s="123" t="str">
        <f>"License no.:  "&amp;TEXT(licenseno,"00\/00\-0000")</f>
        <v>License no.:  00/00-0000</v>
      </c>
    </row>
    <row r="5" spans="1:8" ht="10" x14ac:dyDescent="0.2"/>
    <row r="6" spans="1:8" ht="30" outlineLevel="1" x14ac:dyDescent="0.2">
      <c r="D6" s="319" t="s">
        <v>2100</v>
      </c>
      <c r="E6" s="319" t="s">
        <v>2070</v>
      </c>
      <c r="F6" s="319" t="s">
        <v>2101</v>
      </c>
      <c r="G6" s="319" t="s">
        <v>2102</v>
      </c>
      <c r="H6" s="319" t="s">
        <v>3509</v>
      </c>
    </row>
    <row r="7" spans="1:8" ht="10" x14ac:dyDescent="0.2">
      <c r="C7" s="150" t="s">
        <v>2026</v>
      </c>
      <c r="D7" s="327">
        <f>SUM(noncash[Balance at Beginning of Period])</f>
        <v>0</v>
      </c>
      <c r="E7" s="327">
        <f>SUM(noncash[Additions])</f>
        <v>0</v>
      </c>
      <c r="F7" s="327">
        <f>SUM(noncash[Deductions / Collections])</f>
        <v>0</v>
      </c>
      <c r="G7" s="327">
        <f>SUM(noncash[Balance at End of Period])</f>
        <v>0</v>
      </c>
      <c r="H7" s="327">
        <f>SUM(noncash[Amount of "includible non-cash gains" for Capital Impairment])</f>
        <v>0</v>
      </c>
    </row>
    <row r="8" spans="1:8" ht="10" x14ac:dyDescent="0.2"/>
    <row r="9" spans="1:8" s="79" customFormat="1" ht="12" customHeight="1" x14ac:dyDescent="0.2">
      <c r="A9" s="275" t="s">
        <v>159</v>
      </c>
      <c r="B9" s="275" t="s">
        <v>2044</v>
      </c>
      <c r="C9" s="275" t="s">
        <v>154</v>
      </c>
      <c r="D9" s="275" t="s">
        <v>2045</v>
      </c>
      <c r="E9" s="275" t="s">
        <v>2046</v>
      </c>
      <c r="F9" s="275" t="s">
        <v>199</v>
      </c>
      <c r="G9" s="275" t="s">
        <v>2047</v>
      </c>
      <c r="H9" s="275" t="s">
        <v>2048</v>
      </c>
    </row>
    <row r="10" spans="1:8" s="278" customFormat="1" ht="46.15" customHeight="1" x14ac:dyDescent="0.35">
      <c r="A10" s="319" t="s">
        <v>2029</v>
      </c>
      <c r="B10" s="319" t="s">
        <v>2030</v>
      </c>
      <c r="C10" s="319" t="s">
        <v>2103</v>
      </c>
      <c r="D10" s="319" t="s">
        <v>2100</v>
      </c>
      <c r="E10" s="319" t="s">
        <v>2070</v>
      </c>
      <c r="F10" s="319" t="s">
        <v>2104</v>
      </c>
      <c r="G10" s="319" t="s">
        <v>2102</v>
      </c>
      <c r="H10" s="300" t="s">
        <v>3509</v>
      </c>
    </row>
    <row r="11" spans="1:8" ht="12" customHeight="1" x14ac:dyDescent="0.2">
      <c r="A11" s="223" t="s">
        <v>243</v>
      </c>
      <c r="B11" s="326" t="str">
        <f>IF(IFERROR(VLOOKUP(noncash[[#This Row],[Portfolio Company Name]],s11cumperf[],2,FALSE),"")="","",(IFERROR(VLOOKUP(noncash[[#This Row],[Portfolio Company Name]],s11cumperf[],2,FALSE),"")))</f>
        <v/>
      </c>
      <c r="C11" s="110"/>
      <c r="D11" s="334"/>
      <c r="E11" s="334"/>
      <c r="F11" s="334"/>
      <c r="G11" s="333">
        <f>noncash[[#This Row],[Balance at Beginning of Period]]+noncash[[#This Row],[Additions]]-ABS(noncash[[#This Row],[Deductions / Collections]])</f>
        <v>0</v>
      </c>
      <c r="H11" s="334"/>
    </row>
    <row r="12" spans="1:8" ht="12" customHeight="1" x14ac:dyDescent="0.2">
      <c r="A12" s="223" t="s">
        <v>243</v>
      </c>
      <c r="B12" s="326" t="str">
        <f>IF(IFERROR(VLOOKUP(noncash[[#This Row],[Portfolio Company Name]],s11cumperf[],2,FALSE),"")="","",(IFERROR(VLOOKUP(noncash[[#This Row],[Portfolio Company Name]],s11cumperf[],2,FALSE),"")))</f>
        <v/>
      </c>
      <c r="C12" s="110"/>
      <c r="D12" s="334"/>
      <c r="E12" s="334"/>
      <c r="F12" s="334"/>
      <c r="G12" s="333">
        <f>noncash[[#This Row],[Balance at Beginning of Period]]+noncash[[#This Row],[Additions]]-ABS(noncash[[#This Row],[Deductions / Collections]])</f>
        <v>0</v>
      </c>
      <c r="H12" s="334"/>
    </row>
    <row r="13" spans="1:8" ht="12" customHeight="1" x14ac:dyDescent="0.2">
      <c r="A13" s="223" t="s">
        <v>243</v>
      </c>
      <c r="B13" s="326" t="str">
        <f>IF(IFERROR(VLOOKUP(noncash[[#This Row],[Portfolio Company Name]],s11cumperf[],2,FALSE),"")="","",(IFERROR(VLOOKUP(noncash[[#This Row],[Portfolio Company Name]],s11cumperf[],2,FALSE),"")))</f>
        <v/>
      </c>
      <c r="C13" s="110"/>
      <c r="D13" s="334"/>
      <c r="E13" s="334"/>
      <c r="F13" s="334"/>
      <c r="G13" s="333">
        <f>noncash[[#This Row],[Balance at Beginning of Period]]+noncash[[#This Row],[Additions]]-ABS(noncash[[#This Row],[Deductions / Collections]])</f>
        <v>0</v>
      </c>
      <c r="H13" s="334"/>
    </row>
    <row r="14" spans="1:8" ht="12" customHeight="1" x14ac:dyDescent="0.2">
      <c r="A14" s="223" t="s">
        <v>243</v>
      </c>
      <c r="B14" s="326" t="str">
        <f>IF(IFERROR(VLOOKUP(noncash[[#This Row],[Portfolio Company Name]],s11cumperf[],2,FALSE),"")="","",(IFERROR(VLOOKUP(noncash[[#This Row],[Portfolio Company Name]],s11cumperf[],2,FALSE),"")))</f>
        <v/>
      </c>
      <c r="C14" s="110"/>
      <c r="D14" s="334"/>
      <c r="E14" s="334"/>
      <c r="F14" s="334"/>
      <c r="G14" s="333">
        <f>noncash[[#This Row],[Balance at Beginning of Period]]+noncash[[#This Row],[Additions]]-ABS(noncash[[#This Row],[Deductions / Collections]])</f>
        <v>0</v>
      </c>
      <c r="H14" s="334"/>
    </row>
    <row r="15" spans="1:8" ht="12" customHeight="1" x14ac:dyDescent="0.2">
      <c r="A15" s="223" t="s">
        <v>243</v>
      </c>
      <c r="B15" s="326" t="str">
        <f>IF(IFERROR(VLOOKUP(noncash[[#This Row],[Portfolio Company Name]],s11cumperf[],2,FALSE),"")="","",(IFERROR(VLOOKUP(noncash[[#This Row],[Portfolio Company Name]],s11cumperf[],2,FALSE),"")))</f>
        <v/>
      </c>
      <c r="C15" s="110"/>
      <c r="D15" s="334"/>
      <c r="E15" s="334"/>
      <c r="F15" s="334"/>
      <c r="G15" s="333">
        <f>noncash[[#This Row],[Balance at Beginning of Period]]+noncash[[#This Row],[Additions]]-ABS(noncash[[#This Row],[Deductions / Collections]])</f>
        <v>0</v>
      </c>
      <c r="H15" s="334"/>
    </row>
    <row r="16" spans="1:8" ht="12" customHeight="1" x14ac:dyDescent="0.2">
      <c r="A16" s="223" t="s">
        <v>243</v>
      </c>
      <c r="B16" s="326" t="str">
        <f>IF(IFERROR(VLOOKUP(noncash[[#This Row],[Portfolio Company Name]],s11cumperf[],2,FALSE),"")="","",(IFERROR(VLOOKUP(noncash[[#This Row],[Portfolio Company Name]],s11cumperf[],2,FALSE),"")))</f>
        <v/>
      </c>
      <c r="C16" s="110"/>
      <c r="D16" s="334"/>
      <c r="E16" s="334"/>
      <c r="F16" s="334"/>
      <c r="G16" s="333">
        <f>noncash[[#This Row],[Balance at Beginning of Period]]+noncash[[#This Row],[Additions]]-ABS(noncash[[#This Row],[Deductions / Collections]])</f>
        <v>0</v>
      </c>
      <c r="H16" s="334"/>
    </row>
    <row r="17" spans="1:8" ht="12" customHeight="1" x14ac:dyDescent="0.2">
      <c r="A17" s="223" t="s">
        <v>243</v>
      </c>
      <c r="B17" s="326" t="str">
        <f>IF(IFERROR(VLOOKUP(noncash[[#This Row],[Portfolio Company Name]],s11cumperf[],2,FALSE),"")="","",(IFERROR(VLOOKUP(noncash[[#This Row],[Portfolio Company Name]],s11cumperf[],2,FALSE),"")))</f>
        <v/>
      </c>
      <c r="C17" s="110"/>
      <c r="D17" s="334"/>
      <c r="E17" s="334"/>
      <c r="F17" s="334"/>
      <c r="G17" s="333">
        <f>noncash[[#This Row],[Balance at Beginning of Period]]+noncash[[#This Row],[Additions]]-ABS(noncash[[#This Row],[Deductions / Collections]])</f>
        <v>0</v>
      </c>
      <c r="H17" s="334"/>
    </row>
    <row r="18" spans="1:8" ht="12" customHeight="1" x14ac:dyDescent="0.2">
      <c r="A18" s="223" t="s">
        <v>243</v>
      </c>
      <c r="B18" s="326" t="str">
        <f>IF(IFERROR(VLOOKUP(noncash[[#This Row],[Portfolio Company Name]],s11cumperf[],2,FALSE),"")="","",(IFERROR(VLOOKUP(noncash[[#This Row],[Portfolio Company Name]],s11cumperf[],2,FALSE),"")))</f>
        <v/>
      </c>
      <c r="C18" s="110"/>
      <c r="D18" s="334"/>
      <c r="E18" s="334"/>
      <c r="F18" s="334"/>
      <c r="G18" s="333">
        <f>noncash[[#This Row],[Balance at Beginning of Period]]+noncash[[#This Row],[Additions]]-ABS(noncash[[#This Row],[Deductions / Collections]])</f>
        <v>0</v>
      </c>
      <c r="H18" s="334"/>
    </row>
    <row r="19" spans="1:8" ht="12" customHeight="1" x14ac:dyDescent="0.2">
      <c r="A19" s="223" t="s">
        <v>243</v>
      </c>
      <c r="B19" s="326" t="str">
        <f>IF(IFERROR(VLOOKUP(noncash[[#This Row],[Portfolio Company Name]],s11cumperf[],2,FALSE),"")="","",(IFERROR(VLOOKUP(noncash[[#This Row],[Portfolio Company Name]],s11cumperf[],2,FALSE),"")))</f>
        <v/>
      </c>
      <c r="C19" s="110"/>
      <c r="D19" s="334"/>
      <c r="E19" s="334"/>
      <c r="F19" s="334"/>
      <c r="G19" s="333">
        <f>noncash[[#This Row],[Balance at Beginning of Period]]+noncash[[#This Row],[Additions]]-ABS(noncash[[#This Row],[Deductions / Collections]])</f>
        <v>0</v>
      </c>
      <c r="H19" s="334"/>
    </row>
    <row r="20" spans="1:8" ht="12" customHeight="1" x14ac:dyDescent="0.2">
      <c r="A20" s="223" t="s">
        <v>243</v>
      </c>
      <c r="B20" s="326" t="str">
        <f>IF(IFERROR(VLOOKUP(noncash[[#This Row],[Portfolio Company Name]],s11cumperf[],2,FALSE),"")="","",(IFERROR(VLOOKUP(noncash[[#This Row],[Portfolio Company Name]],s11cumperf[],2,FALSE),"")))</f>
        <v/>
      </c>
      <c r="C20" s="110"/>
      <c r="D20" s="334"/>
      <c r="E20" s="334"/>
      <c r="F20" s="334"/>
      <c r="G20" s="333">
        <f>noncash[[#This Row],[Balance at Beginning of Period]]+noncash[[#This Row],[Additions]]-ABS(noncash[[#This Row],[Deductions / Collections]])</f>
        <v>0</v>
      </c>
      <c r="H20" s="334"/>
    </row>
    <row r="21" spans="1:8" ht="12" customHeight="1" x14ac:dyDescent="0.2">
      <c r="A21" s="223" t="s">
        <v>243</v>
      </c>
      <c r="B21" s="326" t="str">
        <f>IF(IFERROR(VLOOKUP(noncash[[#This Row],[Portfolio Company Name]],s11cumperf[],2,FALSE),"")="","",(IFERROR(VLOOKUP(noncash[[#This Row],[Portfolio Company Name]],s11cumperf[],2,FALSE),"")))</f>
        <v/>
      </c>
      <c r="C21" s="110"/>
      <c r="D21" s="334"/>
      <c r="E21" s="334"/>
      <c r="F21" s="334"/>
      <c r="G21" s="333">
        <f>noncash[[#This Row],[Balance at Beginning of Period]]+noncash[[#This Row],[Additions]]-ABS(noncash[[#This Row],[Deductions / Collections]])</f>
        <v>0</v>
      </c>
      <c r="H21" s="334"/>
    </row>
    <row r="22" spans="1:8" ht="12" customHeight="1" x14ac:dyDescent="0.2">
      <c r="A22" s="223" t="s">
        <v>243</v>
      </c>
      <c r="B22" s="326" t="str">
        <f>IF(IFERROR(VLOOKUP(noncash[[#This Row],[Portfolio Company Name]],s11cumperf[],2,FALSE),"")="","",(IFERROR(VLOOKUP(noncash[[#This Row],[Portfolio Company Name]],s11cumperf[],2,FALSE),"")))</f>
        <v/>
      </c>
      <c r="C22" s="110"/>
      <c r="D22" s="334"/>
      <c r="E22" s="334"/>
      <c r="F22" s="334"/>
      <c r="G22" s="333">
        <f>noncash[[#This Row],[Balance at Beginning of Period]]+noncash[[#This Row],[Additions]]-ABS(noncash[[#This Row],[Deductions / Collections]])</f>
        <v>0</v>
      </c>
      <c r="H22" s="334"/>
    </row>
    <row r="23" spans="1:8" ht="12" customHeight="1" x14ac:dyDescent="0.2">
      <c r="A23" s="223" t="s">
        <v>243</v>
      </c>
      <c r="B23" s="326" t="str">
        <f>IF(IFERROR(VLOOKUP(noncash[[#This Row],[Portfolio Company Name]],s11cumperf[],2,FALSE),"")="","",(IFERROR(VLOOKUP(noncash[[#This Row],[Portfolio Company Name]],s11cumperf[],2,FALSE),"")))</f>
        <v/>
      </c>
      <c r="C23" s="110"/>
      <c r="D23" s="334"/>
      <c r="E23" s="334"/>
      <c r="F23" s="334"/>
      <c r="G23" s="333">
        <f>noncash[[#This Row],[Balance at Beginning of Period]]+noncash[[#This Row],[Additions]]-ABS(noncash[[#This Row],[Deductions / Collections]])</f>
        <v>0</v>
      </c>
      <c r="H23" s="334"/>
    </row>
    <row r="24" spans="1:8" ht="12" customHeight="1" x14ac:dyDescent="0.2">
      <c r="A24" s="223" t="s">
        <v>243</v>
      </c>
      <c r="B24" s="326" t="str">
        <f>IF(IFERROR(VLOOKUP(noncash[[#This Row],[Portfolio Company Name]],s11cumperf[],2,FALSE),"")="","",(IFERROR(VLOOKUP(noncash[[#This Row],[Portfolio Company Name]],s11cumperf[],2,FALSE),"")))</f>
        <v/>
      </c>
      <c r="C24" s="110"/>
      <c r="D24" s="334"/>
      <c r="E24" s="334"/>
      <c r="F24" s="334"/>
      <c r="G24" s="333">
        <f>noncash[[#This Row],[Balance at Beginning of Period]]+noncash[[#This Row],[Additions]]-ABS(noncash[[#This Row],[Deductions / Collections]])</f>
        <v>0</v>
      </c>
      <c r="H24" s="334"/>
    </row>
    <row r="25" spans="1:8" ht="12" customHeight="1" x14ac:dyDescent="0.2">
      <c r="A25" s="223" t="s">
        <v>243</v>
      </c>
      <c r="B25" s="326" t="str">
        <f>IF(IFERROR(VLOOKUP(noncash[[#This Row],[Portfolio Company Name]],s11cumperf[],2,FALSE),"")="","",(IFERROR(VLOOKUP(noncash[[#This Row],[Portfolio Company Name]],s11cumperf[],2,FALSE),"")))</f>
        <v/>
      </c>
      <c r="C25" s="110"/>
      <c r="D25" s="334"/>
      <c r="E25" s="334"/>
      <c r="F25" s="334"/>
      <c r="G25" s="333">
        <f>noncash[[#This Row],[Balance at Beginning of Period]]+noncash[[#This Row],[Additions]]-ABS(noncash[[#This Row],[Deductions / Collections]])</f>
        <v>0</v>
      </c>
      <c r="H25" s="334"/>
    </row>
    <row r="26" spans="1:8" ht="12" customHeight="1" x14ac:dyDescent="0.2">
      <c r="A26" s="223" t="s">
        <v>243</v>
      </c>
      <c r="B26" s="326" t="str">
        <f>IF(IFERROR(VLOOKUP(noncash[[#This Row],[Portfolio Company Name]],s11cumperf[],2,FALSE),"")="","",(IFERROR(VLOOKUP(noncash[[#This Row],[Portfolio Company Name]],s11cumperf[],2,FALSE),"")))</f>
        <v/>
      </c>
      <c r="C26" s="110"/>
      <c r="D26" s="334"/>
      <c r="E26" s="334"/>
      <c r="F26" s="334"/>
      <c r="G26" s="333">
        <f>noncash[[#This Row],[Balance at Beginning of Period]]+noncash[[#This Row],[Additions]]-ABS(noncash[[#This Row],[Deductions / Collections]])</f>
        <v>0</v>
      </c>
      <c r="H26" s="334"/>
    </row>
    <row r="27" spans="1:8" ht="12" customHeight="1" x14ac:dyDescent="0.2">
      <c r="A27" s="223" t="s">
        <v>243</v>
      </c>
      <c r="B27" s="326" t="str">
        <f>IF(IFERROR(VLOOKUP(noncash[[#This Row],[Portfolio Company Name]],s11cumperf[],2,FALSE),"")="","",(IFERROR(VLOOKUP(noncash[[#This Row],[Portfolio Company Name]],s11cumperf[],2,FALSE),"")))</f>
        <v/>
      </c>
      <c r="C27" s="110"/>
      <c r="D27" s="334"/>
      <c r="E27" s="334"/>
      <c r="F27" s="334"/>
      <c r="G27" s="333">
        <f>noncash[[#This Row],[Balance at Beginning of Period]]+noncash[[#This Row],[Additions]]-ABS(noncash[[#This Row],[Deductions / Collections]])</f>
        <v>0</v>
      </c>
      <c r="H27" s="334"/>
    </row>
    <row r="28" spans="1:8" ht="12" customHeight="1" x14ac:dyDescent="0.2">
      <c r="A28" s="223" t="s">
        <v>243</v>
      </c>
      <c r="B28" s="326" t="str">
        <f>IF(IFERROR(VLOOKUP(noncash[[#This Row],[Portfolio Company Name]],s11cumperf[],2,FALSE),"")="","",(IFERROR(VLOOKUP(noncash[[#This Row],[Portfolio Company Name]],s11cumperf[],2,FALSE),"")))</f>
        <v/>
      </c>
      <c r="C28" s="110"/>
      <c r="D28" s="334"/>
      <c r="E28" s="334"/>
      <c r="F28" s="334"/>
      <c r="G28" s="333">
        <f>noncash[[#This Row],[Balance at Beginning of Period]]+noncash[[#This Row],[Additions]]-ABS(noncash[[#This Row],[Deductions / Collections]])</f>
        <v>0</v>
      </c>
      <c r="H28" s="334"/>
    </row>
    <row r="29" spans="1:8" ht="12" customHeight="1" x14ac:dyDescent="0.2">
      <c r="A29" s="223" t="s">
        <v>243</v>
      </c>
      <c r="B29" s="326" t="str">
        <f>IF(IFERROR(VLOOKUP(noncash[[#This Row],[Portfolio Company Name]],s11cumperf[],2,FALSE),"")="","",(IFERROR(VLOOKUP(noncash[[#This Row],[Portfolio Company Name]],s11cumperf[],2,FALSE),"")))</f>
        <v/>
      </c>
      <c r="C29" s="110"/>
      <c r="D29" s="334"/>
      <c r="E29" s="334"/>
      <c r="F29" s="334"/>
      <c r="G29" s="333">
        <f>noncash[[#This Row],[Balance at Beginning of Period]]+noncash[[#This Row],[Additions]]-ABS(noncash[[#This Row],[Deductions / Collections]])</f>
        <v>0</v>
      </c>
      <c r="H29" s="334"/>
    </row>
    <row r="30" spans="1:8" ht="12" customHeight="1" x14ac:dyDescent="0.2">
      <c r="A30" s="223" t="s">
        <v>243</v>
      </c>
      <c r="B30" s="326" t="str">
        <f>IF(IFERROR(VLOOKUP(noncash[[#This Row],[Portfolio Company Name]],s11cumperf[],2,FALSE),"")="","",(IFERROR(VLOOKUP(noncash[[#This Row],[Portfolio Company Name]],s11cumperf[],2,FALSE),"")))</f>
        <v/>
      </c>
      <c r="C30" s="110"/>
      <c r="D30" s="334"/>
      <c r="E30" s="334"/>
      <c r="F30" s="334"/>
      <c r="G30" s="333">
        <f>noncash[[#This Row],[Balance at Beginning of Period]]+noncash[[#This Row],[Additions]]-ABS(noncash[[#This Row],[Deductions / Collections]])</f>
        <v>0</v>
      </c>
      <c r="H30" s="334"/>
    </row>
    <row r="31" spans="1:8" ht="12" customHeight="1" x14ac:dyDescent="0.2">
      <c r="A31" s="223" t="s">
        <v>243</v>
      </c>
      <c r="B31" s="326" t="str">
        <f>IF(IFERROR(VLOOKUP(noncash[[#This Row],[Portfolio Company Name]],s11cumperf[],2,FALSE),"")="","",(IFERROR(VLOOKUP(noncash[[#This Row],[Portfolio Company Name]],s11cumperf[],2,FALSE),"")))</f>
        <v/>
      </c>
      <c r="C31" s="110"/>
      <c r="D31" s="334"/>
      <c r="E31" s="334"/>
      <c r="F31" s="334"/>
      <c r="G31" s="333">
        <f>noncash[[#This Row],[Balance at Beginning of Period]]+noncash[[#This Row],[Additions]]-ABS(noncash[[#This Row],[Deductions / Collections]])</f>
        <v>0</v>
      </c>
      <c r="H31" s="334"/>
    </row>
    <row r="32" spans="1:8" ht="12" customHeight="1" x14ac:dyDescent="0.2">
      <c r="A32" s="223" t="s">
        <v>243</v>
      </c>
      <c r="B32" s="326" t="str">
        <f>IF(IFERROR(VLOOKUP(noncash[[#This Row],[Portfolio Company Name]],s11cumperf[],2,FALSE),"")="","",(IFERROR(VLOOKUP(noncash[[#This Row],[Portfolio Company Name]],s11cumperf[],2,FALSE),"")))</f>
        <v/>
      </c>
      <c r="C32" s="110"/>
      <c r="D32" s="334"/>
      <c r="E32" s="334"/>
      <c r="F32" s="334"/>
      <c r="G32" s="333">
        <f>noncash[[#This Row],[Balance at Beginning of Period]]+noncash[[#This Row],[Additions]]-ABS(noncash[[#This Row],[Deductions / Collections]])</f>
        <v>0</v>
      </c>
      <c r="H32" s="334"/>
    </row>
    <row r="33" spans="1:8" ht="12" customHeight="1" x14ac:dyDescent="0.2">
      <c r="A33" s="223" t="s">
        <v>243</v>
      </c>
      <c r="B33" s="326" t="str">
        <f>IF(IFERROR(VLOOKUP(noncash[[#This Row],[Portfolio Company Name]],s11cumperf[],2,FALSE),"")="","",(IFERROR(VLOOKUP(noncash[[#This Row],[Portfolio Company Name]],s11cumperf[],2,FALSE),"")))</f>
        <v/>
      </c>
      <c r="C33" s="110"/>
      <c r="D33" s="334"/>
      <c r="E33" s="334"/>
      <c r="F33" s="334"/>
      <c r="G33" s="333">
        <f>noncash[[#This Row],[Balance at Beginning of Period]]+noncash[[#This Row],[Additions]]-ABS(noncash[[#This Row],[Deductions / Collections]])</f>
        <v>0</v>
      </c>
      <c r="H33" s="334"/>
    </row>
    <row r="34" spans="1:8" ht="12" customHeight="1" x14ac:dyDescent="0.2">
      <c r="A34" s="223" t="s">
        <v>243</v>
      </c>
      <c r="B34" s="326" t="str">
        <f>IF(IFERROR(VLOOKUP(noncash[[#This Row],[Portfolio Company Name]],s11cumperf[],2,FALSE),"")="","",(IFERROR(VLOOKUP(noncash[[#This Row],[Portfolio Company Name]],s11cumperf[],2,FALSE),"")))</f>
        <v/>
      </c>
      <c r="C34" s="110"/>
      <c r="D34" s="334"/>
      <c r="E34" s="334"/>
      <c r="F34" s="334"/>
      <c r="G34" s="333">
        <f>noncash[[#This Row],[Balance at Beginning of Period]]+noncash[[#This Row],[Additions]]-ABS(noncash[[#This Row],[Deductions / Collections]])</f>
        <v>0</v>
      </c>
      <c r="H34" s="334"/>
    </row>
    <row r="35" spans="1:8" ht="12" customHeight="1" x14ac:dyDescent="0.2">
      <c r="A35" s="223" t="s">
        <v>243</v>
      </c>
      <c r="B35" s="326" t="str">
        <f>IF(IFERROR(VLOOKUP(noncash[[#This Row],[Portfolio Company Name]],s11cumperf[],2,FALSE),"")="","",(IFERROR(VLOOKUP(noncash[[#This Row],[Portfolio Company Name]],s11cumperf[],2,FALSE),"")))</f>
        <v/>
      </c>
      <c r="C35" s="110"/>
      <c r="D35" s="334"/>
      <c r="E35" s="334"/>
      <c r="F35" s="334"/>
      <c r="G35" s="333">
        <f>noncash[[#This Row],[Balance at Beginning of Period]]+noncash[[#This Row],[Additions]]-ABS(noncash[[#This Row],[Deductions / Collections]])</f>
        <v>0</v>
      </c>
      <c r="H35" s="334"/>
    </row>
    <row r="36" spans="1:8" ht="12" customHeight="1" x14ac:dyDescent="0.2">
      <c r="A36" s="223" t="s">
        <v>243</v>
      </c>
      <c r="B36" s="326" t="str">
        <f>IF(IFERROR(VLOOKUP(noncash[[#This Row],[Portfolio Company Name]],s11cumperf[],2,FALSE),"")="","",(IFERROR(VLOOKUP(noncash[[#This Row],[Portfolio Company Name]],s11cumperf[],2,FALSE),"")))</f>
        <v/>
      </c>
      <c r="C36" s="110"/>
      <c r="D36" s="334"/>
      <c r="E36" s="334"/>
      <c r="F36" s="334"/>
      <c r="G36" s="333">
        <f>noncash[[#This Row],[Balance at Beginning of Period]]+noncash[[#This Row],[Additions]]-ABS(noncash[[#This Row],[Deductions / Collections]])</f>
        <v>0</v>
      </c>
      <c r="H36" s="334"/>
    </row>
    <row r="37" spans="1:8" ht="12" customHeight="1" x14ac:dyDescent="0.2">
      <c r="A37" s="223" t="s">
        <v>243</v>
      </c>
      <c r="B37" s="326" t="str">
        <f>IF(IFERROR(VLOOKUP(noncash[[#This Row],[Portfolio Company Name]],s11cumperf[],2,FALSE),"")="","",(IFERROR(VLOOKUP(noncash[[#This Row],[Portfolio Company Name]],s11cumperf[],2,FALSE),"")))</f>
        <v/>
      </c>
      <c r="C37" s="110"/>
      <c r="D37" s="334"/>
      <c r="E37" s="334"/>
      <c r="F37" s="334"/>
      <c r="G37" s="333">
        <f>noncash[[#This Row],[Balance at Beginning of Period]]+noncash[[#This Row],[Additions]]-ABS(noncash[[#This Row],[Deductions / Collections]])</f>
        <v>0</v>
      </c>
      <c r="H37" s="334"/>
    </row>
    <row r="38" spans="1:8" ht="12" customHeight="1" x14ac:dyDescent="0.2">
      <c r="A38" s="223" t="s">
        <v>243</v>
      </c>
      <c r="B38" s="326" t="str">
        <f>IF(IFERROR(VLOOKUP(noncash[[#This Row],[Portfolio Company Name]],s11cumperf[],2,FALSE),"")="","",(IFERROR(VLOOKUP(noncash[[#This Row],[Portfolio Company Name]],s11cumperf[],2,FALSE),"")))</f>
        <v/>
      </c>
      <c r="C38" s="110"/>
      <c r="D38" s="334"/>
      <c r="E38" s="334"/>
      <c r="F38" s="334"/>
      <c r="G38" s="333">
        <f>noncash[[#This Row],[Balance at Beginning of Period]]+noncash[[#This Row],[Additions]]-ABS(noncash[[#This Row],[Deductions / Collections]])</f>
        <v>0</v>
      </c>
      <c r="H38" s="334"/>
    </row>
    <row r="39" spans="1:8" ht="12" customHeight="1" x14ac:dyDescent="0.2">
      <c r="A39" s="223" t="s">
        <v>243</v>
      </c>
      <c r="B39" s="326" t="str">
        <f>IF(IFERROR(VLOOKUP(noncash[[#This Row],[Portfolio Company Name]],s11cumperf[],2,FALSE),"")="","",(IFERROR(VLOOKUP(noncash[[#This Row],[Portfolio Company Name]],s11cumperf[],2,FALSE),"")))</f>
        <v/>
      </c>
      <c r="C39" s="110"/>
      <c r="D39" s="334"/>
      <c r="E39" s="334"/>
      <c r="F39" s="334"/>
      <c r="G39" s="333">
        <f>noncash[[#This Row],[Balance at Beginning of Period]]+noncash[[#This Row],[Additions]]-ABS(noncash[[#This Row],[Deductions / Collections]])</f>
        <v>0</v>
      </c>
      <c r="H39" s="334"/>
    </row>
    <row r="40" spans="1:8" ht="12" customHeight="1" x14ac:dyDescent="0.2">
      <c r="A40" s="223" t="s">
        <v>243</v>
      </c>
      <c r="B40" s="326" t="str">
        <f>IF(IFERROR(VLOOKUP(noncash[[#This Row],[Portfolio Company Name]],s11cumperf[],2,FALSE),"")="","",(IFERROR(VLOOKUP(noncash[[#This Row],[Portfolio Company Name]],s11cumperf[],2,FALSE),"")))</f>
        <v/>
      </c>
      <c r="C40" s="110"/>
      <c r="D40" s="334"/>
      <c r="E40" s="334"/>
      <c r="F40" s="334"/>
      <c r="G40" s="333">
        <f>noncash[[#This Row],[Balance at Beginning of Period]]+noncash[[#This Row],[Additions]]-ABS(noncash[[#This Row],[Deductions / Collections]])</f>
        <v>0</v>
      </c>
      <c r="H40" s="334"/>
    </row>
    <row r="41" spans="1:8" ht="12" customHeight="1" x14ac:dyDescent="0.2">
      <c r="A41" s="223" t="s">
        <v>243</v>
      </c>
      <c r="B41" s="326" t="str">
        <f>IF(IFERROR(VLOOKUP(noncash[[#This Row],[Portfolio Company Name]],s11cumperf[],2,FALSE),"")="","",(IFERROR(VLOOKUP(noncash[[#This Row],[Portfolio Company Name]],s11cumperf[],2,FALSE),"")))</f>
        <v/>
      </c>
      <c r="C41" s="110"/>
      <c r="D41" s="334"/>
      <c r="E41" s="334"/>
      <c r="F41" s="334"/>
      <c r="G41" s="333">
        <f>noncash[[#This Row],[Balance at Beginning of Period]]+noncash[[#This Row],[Additions]]-ABS(noncash[[#This Row],[Deductions / Collections]])</f>
        <v>0</v>
      </c>
      <c r="H41" s="334"/>
    </row>
    <row r="42" spans="1:8" ht="12" customHeight="1" x14ac:dyDescent="0.2">
      <c r="A42" s="223" t="s">
        <v>243</v>
      </c>
      <c r="B42" s="326" t="str">
        <f>IF(IFERROR(VLOOKUP(noncash[[#This Row],[Portfolio Company Name]],s11cumperf[],2,FALSE),"")="","",(IFERROR(VLOOKUP(noncash[[#This Row],[Portfolio Company Name]],s11cumperf[],2,FALSE),"")))</f>
        <v/>
      </c>
      <c r="C42" s="110"/>
      <c r="D42" s="334"/>
      <c r="E42" s="334"/>
      <c r="F42" s="334"/>
      <c r="G42" s="333">
        <f>noncash[[#This Row],[Balance at Beginning of Period]]+noncash[[#This Row],[Additions]]-ABS(noncash[[#This Row],[Deductions / Collections]])</f>
        <v>0</v>
      </c>
      <c r="H42" s="334"/>
    </row>
    <row r="43" spans="1:8" ht="12" customHeight="1" x14ac:dyDescent="0.2">
      <c r="A43" s="223" t="s">
        <v>243</v>
      </c>
      <c r="B43" s="326" t="str">
        <f>IF(IFERROR(VLOOKUP(noncash[[#This Row],[Portfolio Company Name]],s11cumperf[],2,FALSE),"")="","",(IFERROR(VLOOKUP(noncash[[#This Row],[Portfolio Company Name]],s11cumperf[],2,FALSE),"")))</f>
        <v/>
      </c>
      <c r="C43" s="110"/>
      <c r="D43" s="334"/>
      <c r="E43" s="334"/>
      <c r="F43" s="334"/>
      <c r="G43" s="333">
        <f>noncash[[#This Row],[Balance at Beginning of Period]]+noncash[[#This Row],[Additions]]-ABS(noncash[[#This Row],[Deductions / Collections]])</f>
        <v>0</v>
      </c>
      <c r="H43" s="334"/>
    </row>
    <row r="44" spans="1:8" ht="12" customHeight="1" x14ac:dyDescent="0.2">
      <c r="A44" s="223" t="s">
        <v>243</v>
      </c>
      <c r="B44" s="326" t="str">
        <f>IF(IFERROR(VLOOKUP(noncash[[#This Row],[Portfolio Company Name]],s11cumperf[],2,FALSE),"")="","",(IFERROR(VLOOKUP(noncash[[#This Row],[Portfolio Company Name]],s11cumperf[],2,FALSE),"")))</f>
        <v/>
      </c>
      <c r="C44" s="110"/>
      <c r="D44" s="334"/>
      <c r="E44" s="334"/>
      <c r="F44" s="334"/>
      <c r="G44" s="333">
        <f>noncash[[#This Row],[Balance at Beginning of Period]]+noncash[[#This Row],[Additions]]-ABS(noncash[[#This Row],[Deductions / Collections]])</f>
        <v>0</v>
      </c>
      <c r="H44" s="334"/>
    </row>
    <row r="45" spans="1:8" ht="12" customHeight="1" x14ac:dyDescent="0.2">
      <c r="A45" s="223" t="s">
        <v>243</v>
      </c>
      <c r="B45" s="326" t="str">
        <f>IF(IFERROR(VLOOKUP(noncash[[#This Row],[Portfolio Company Name]],s11cumperf[],2,FALSE),"")="","",(IFERROR(VLOOKUP(noncash[[#This Row],[Portfolio Company Name]],s11cumperf[],2,FALSE),"")))</f>
        <v/>
      </c>
      <c r="C45" s="110"/>
      <c r="D45" s="334"/>
      <c r="E45" s="334"/>
      <c r="F45" s="334"/>
      <c r="G45" s="333">
        <f>noncash[[#This Row],[Balance at Beginning of Period]]+noncash[[#This Row],[Additions]]-ABS(noncash[[#This Row],[Deductions / Collections]])</f>
        <v>0</v>
      </c>
      <c r="H45" s="334"/>
    </row>
    <row r="46" spans="1:8" ht="12" customHeight="1" x14ac:dyDescent="0.2">
      <c r="A46" s="223" t="s">
        <v>243</v>
      </c>
      <c r="B46" s="326" t="str">
        <f>IF(IFERROR(VLOOKUP(noncash[[#This Row],[Portfolio Company Name]],s11cumperf[],2,FALSE),"")="","",(IFERROR(VLOOKUP(noncash[[#This Row],[Portfolio Company Name]],s11cumperf[],2,FALSE),"")))</f>
        <v/>
      </c>
      <c r="C46" s="110"/>
      <c r="D46" s="334"/>
      <c r="E46" s="334"/>
      <c r="F46" s="334"/>
      <c r="G46" s="333">
        <f>noncash[[#This Row],[Balance at Beginning of Period]]+noncash[[#This Row],[Additions]]-ABS(noncash[[#This Row],[Deductions / Collections]])</f>
        <v>0</v>
      </c>
      <c r="H46" s="334"/>
    </row>
    <row r="47" spans="1:8" ht="12" customHeight="1" x14ac:dyDescent="0.2">
      <c r="A47" s="223" t="s">
        <v>243</v>
      </c>
      <c r="B47" s="326" t="str">
        <f>IF(IFERROR(VLOOKUP(noncash[[#This Row],[Portfolio Company Name]],s11cumperf[],2,FALSE),"")="","",(IFERROR(VLOOKUP(noncash[[#This Row],[Portfolio Company Name]],s11cumperf[],2,FALSE),"")))</f>
        <v/>
      </c>
      <c r="C47" s="110"/>
      <c r="D47" s="334"/>
      <c r="E47" s="334"/>
      <c r="F47" s="334"/>
      <c r="G47" s="333">
        <f>noncash[[#This Row],[Balance at Beginning of Period]]+noncash[[#This Row],[Additions]]-ABS(noncash[[#This Row],[Deductions / Collections]])</f>
        <v>0</v>
      </c>
      <c r="H47" s="334"/>
    </row>
    <row r="48" spans="1:8" ht="12" customHeight="1" x14ac:dyDescent="0.2">
      <c r="A48" s="223" t="s">
        <v>243</v>
      </c>
      <c r="B48" s="326" t="str">
        <f>IF(IFERROR(VLOOKUP(noncash[[#This Row],[Portfolio Company Name]],s11cumperf[],2,FALSE),"")="","",(IFERROR(VLOOKUP(noncash[[#This Row],[Portfolio Company Name]],s11cumperf[],2,FALSE),"")))</f>
        <v/>
      </c>
      <c r="C48" s="110"/>
      <c r="D48" s="334"/>
      <c r="E48" s="334"/>
      <c r="F48" s="334"/>
      <c r="G48" s="333">
        <f>noncash[[#This Row],[Balance at Beginning of Period]]+noncash[[#This Row],[Additions]]-ABS(noncash[[#This Row],[Deductions / Collections]])</f>
        <v>0</v>
      </c>
      <c r="H48" s="334"/>
    </row>
    <row r="49" spans="1:8" ht="12" customHeight="1" x14ac:dyDescent="0.2">
      <c r="A49" s="223" t="s">
        <v>243</v>
      </c>
      <c r="B49" s="326" t="str">
        <f>IF(IFERROR(VLOOKUP(noncash[[#This Row],[Portfolio Company Name]],s11cumperf[],2,FALSE),"")="","",(IFERROR(VLOOKUP(noncash[[#This Row],[Portfolio Company Name]],s11cumperf[],2,FALSE),"")))</f>
        <v/>
      </c>
      <c r="C49" s="110"/>
      <c r="D49" s="334"/>
      <c r="E49" s="334"/>
      <c r="F49" s="334"/>
      <c r="G49" s="333">
        <f>noncash[[#This Row],[Balance at Beginning of Period]]+noncash[[#This Row],[Additions]]-ABS(noncash[[#This Row],[Deductions / Collections]])</f>
        <v>0</v>
      </c>
      <c r="H49" s="334"/>
    </row>
    <row r="50" spans="1:8" ht="12" customHeight="1" x14ac:dyDescent="0.2">
      <c r="A50" s="223" t="s">
        <v>243</v>
      </c>
      <c r="B50" s="326" t="str">
        <f>IF(IFERROR(VLOOKUP(noncash[[#This Row],[Portfolio Company Name]],s11cumperf[],2,FALSE),"")="","",(IFERROR(VLOOKUP(noncash[[#This Row],[Portfolio Company Name]],s11cumperf[],2,FALSE),"")))</f>
        <v/>
      </c>
      <c r="C50" s="110"/>
      <c r="D50" s="334"/>
      <c r="E50" s="334"/>
      <c r="F50" s="334"/>
      <c r="G50" s="333">
        <f>noncash[[#This Row],[Balance at Beginning of Period]]+noncash[[#This Row],[Additions]]-ABS(noncash[[#This Row],[Deductions / Collections]])</f>
        <v>0</v>
      </c>
      <c r="H50" s="334"/>
    </row>
  </sheetData>
  <mergeCells count="2">
    <mergeCell ref="C1:E1"/>
    <mergeCell ref="C2:E2"/>
  </mergeCells>
  <phoneticPr fontId="2" type="noConversion"/>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CF6A010-AF7A-4160-8505-6AB83FEE9ED2}">
          <x14:formula1>
            <xm:f>S11cumperf!$A$18:$A$100</xm:f>
          </x14:formula1>
          <xm:sqref>A11:A50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4B92E-D58F-4F2D-8697-BF389A4D1F7C}">
  <sheetPr codeName="Sheet20"/>
  <dimension ref="A1:L38"/>
  <sheetViews>
    <sheetView topLeftCell="A6" workbookViewId="0">
      <selection activeCell="H11" sqref="H11:L38"/>
    </sheetView>
  </sheetViews>
  <sheetFormatPr defaultColWidth="23.7265625" defaultRowHeight="13.15" customHeight="1" x14ac:dyDescent="0.2"/>
  <cols>
    <col min="1" max="1" width="20.7265625" style="77" customWidth="1"/>
    <col min="2" max="2" width="8.81640625" style="77" customWidth="1"/>
    <col min="3" max="3" width="10.7265625" style="77" customWidth="1"/>
    <col min="4" max="4" width="10" style="77" customWidth="1"/>
    <col min="5" max="5" width="7.7265625" style="77" customWidth="1"/>
    <col min="6" max="7" width="9.7265625" style="77" customWidth="1"/>
    <col min="8" max="9" width="9.26953125" style="77" customWidth="1"/>
    <col min="10" max="10" width="9.7265625" style="77" customWidth="1"/>
    <col min="11" max="11" width="9.26953125" style="77" customWidth="1"/>
    <col min="12" max="12" width="11.1796875" style="77" customWidth="1"/>
    <col min="13" max="14" width="10" style="77" customWidth="1"/>
    <col min="15" max="16384" width="23.7265625" style="77"/>
  </cols>
  <sheetData>
    <row r="1" spans="1:12" ht="13.15" customHeight="1" x14ac:dyDescent="0.2">
      <c r="A1" s="73" t="s">
        <v>2105</v>
      </c>
      <c r="B1" s="759" t="s">
        <v>2106</v>
      </c>
      <c r="C1" s="759"/>
      <c r="D1" s="759"/>
      <c r="E1" s="759"/>
      <c r="F1" s="759"/>
      <c r="G1" s="759"/>
      <c r="H1" s="759"/>
      <c r="I1" s="759"/>
      <c r="J1" s="759"/>
      <c r="K1" s="74"/>
      <c r="L1" s="76" t="str">
        <f>'1-Cover'!$G$1</f>
        <v>OMB Approval No. 3245-0063</v>
      </c>
    </row>
    <row r="2" spans="1:12" ht="13.15" customHeight="1" x14ac:dyDescent="0.2">
      <c r="A2" s="328"/>
      <c r="B2" s="768" t="str">
        <f>"FOR "&amp;Number_of_Months&amp;" MONTH PERIOD ENDED: "&amp;TEXT(Form468Date,"MM/DD/YYYY")</f>
        <v>FOR  MONTH PERIOD ENDED: 01/00/1900</v>
      </c>
      <c r="C2" s="768"/>
      <c r="D2" s="768"/>
      <c r="E2" s="768"/>
      <c r="F2" s="768"/>
      <c r="G2" s="768"/>
      <c r="H2" s="768"/>
      <c r="I2" s="768"/>
      <c r="J2" s="768"/>
      <c r="L2" s="80" t="str">
        <f>'1-Cover'!$G$2</f>
        <v>Expiration Date MM/DD/YYYY</v>
      </c>
    </row>
    <row r="3" spans="1:12" ht="13.15" customHeight="1" x14ac:dyDescent="0.2">
      <c r="A3" s="330"/>
      <c r="B3" s="332"/>
      <c r="C3" s="332"/>
      <c r="D3" s="332"/>
      <c r="E3" s="332"/>
      <c r="F3" s="332"/>
      <c r="G3" s="332"/>
      <c r="H3" s="332"/>
      <c r="I3" s="332"/>
      <c r="J3" s="332"/>
      <c r="K3" s="82"/>
      <c r="L3" s="139"/>
    </row>
    <row r="4" spans="1:12" ht="13.15" customHeight="1" x14ac:dyDescent="0.2">
      <c r="A4" s="121" t="str">
        <f>"Name of License:  "&amp;sbicname</f>
        <v xml:space="preserve">Name of License:  </v>
      </c>
      <c r="B4" s="122">
        <f>S3NC!B4</f>
        <v>0</v>
      </c>
      <c r="C4" s="140"/>
      <c r="D4" s="140"/>
      <c r="E4" s="140"/>
      <c r="F4" s="140"/>
      <c r="G4" s="140"/>
      <c r="H4" s="140"/>
      <c r="I4" s="140"/>
      <c r="J4" s="140"/>
      <c r="K4" s="140"/>
      <c r="L4" s="123" t="str">
        <f>"License no.:  "&amp;TEXT(licenseno,"00\/00\-0000")</f>
        <v>License no.:  00/00-0000</v>
      </c>
    </row>
    <row r="6" spans="1:12" ht="13.15" customHeight="1" x14ac:dyDescent="0.2">
      <c r="B6" s="150" t="s">
        <v>2026</v>
      </c>
      <c r="C6" s="157">
        <f>SUM(s4del[Outstanding Principal Balance])</f>
        <v>0</v>
      </c>
      <c r="D6" s="157">
        <f>SUM(s4del[Amount Past Due])</f>
        <v>0</v>
      </c>
      <c r="E6" s="115"/>
      <c r="F6" s="157">
        <f>SUM(s4del[[ Amount Past Due]])</f>
        <v>0</v>
      </c>
      <c r="G6" s="115"/>
      <c r="H6" s="115"/>
      <c r="I6" s="115"/>
      <c r="J6" s="157">
        <f>SUM(s4del[[Principal ]])</f>
        <v>0</v>
      </c>
      <c r="K6" s="157">
        <f>SUM(s4del[[Interest ]])</f>
        <v>0</v>
      </c>
      <c r="L6" s="157">
        <f>SUM(s4del[[Interest ]])</f>
        <v>0</v>
      </c>
    </row>
    <row r="7" spans="1:12" ht="13.15" customHeight="1" x14ac:dyDescent="0.2">
      <c r="A7" s="77" t="s">
        <v>2107</v>
      </c>
    </row>
    <row r="8" spans="1:12" s="79" customFormat="1" ht="13.15" customHeight="1" x14ac:dyDescent="0.2">
      <c r="A8" s="275" t="s">
        <v>159</v>
      </c>
      <c r="B8" s="275" t="s">
        <v>2044</v>
      </c>
      <c r="C8" s="275" t="s">
        <v>154</v>
      </c>
      <c r="D8" s="275" t="s">
        <v>2045</v>
      </c>
      <c r="E8" s="275" t="s">
        <v>2046</v>
      </c>
      <c r="F8" s="275" t="s">
        <v>199</v>
      </c>
      <c r="G8" s="275" t="s">
        <v>2047</v>
      </c>
      <c r="H8" s="275" t="s">
        <v>2048</v>
      </c>
      <c r="I8" s="275" t="s">
        <v>2073</v>
      </c>
      <c r="J8" s="275" t="s">
        <v>2090</v>
      </c>
      <c r="K8" s="275" t="s">
        <v>2091</v>
      </c>
      <c r="L8" s="275" t="s">
        <v>2092</v>
      </c>
    </row>
    <row r="9" spans="1:12" s="79" customFormat="1" ht="13.15" customHeight="1" x14ac:dyDescent="0.2">
      <c r="A9" s="335"/>
      <c r="B9" s="336"/>
      <c r="D9" s="769" t="s">
        <v>2108</v>
      </c>
      <c r="E9" s="770"/>
      <c r="F9" s="769" t="s">
        <v>2109</v>
      </c>
      <c r="G9" s="771"/>
      <c r="H9" s="769" t="s">
        <v>2110</v>
      </c>
      <c r="I9" s="770"/>
      <c r="J9" s="769" t="s">
        <v>2111</v>
      </c>
      <c r="K9" s="770"/>
      <c r="L9" s="337"/>
    </row>
    <row r="10" spans="1:12" s="278" customFormat="1" ht="39" customHeight="1" x14ac:dyDescent="0.35">
      <c r="A10" s="338" t="s">
        <v>2029</v>
      </c>
      <c r="B10" s="307" t="s">
        <v>2030</v>
      </c>
      <c r="C10" s="308" t="s">
        <v>2112</v>
      </c>
      <c r="D10" s="339" t="s">
        <v>2113</v>
      </c>
      <c r="E10" s="340" t="s">
        <v>2114</v>
      </c>
      <c r="F10" s="339" t="s">
        <v>2115</v>
      </c>
      <c r="G10" s="308" t="s">
        <v>2116</v>
      </c>
      <c r="H10" s="339" t="s">
        <v>2117</v>
      </c>
      <c r="I10" s="341" t="s">
        <v>2118</v>
      </c>
      <c r="J10" s="342" t="s">
        <v>2119</v>
      </c>
      <c r="K10" s="341" t="s">
        <v>2120</v>
      </c>
      <c r="L10" s="343" t="s">
        <v>2121</v>
      </c>
    </row>
    <row r="11" spans="1:12" ht="13.15" customHeight="1" x14ac:dyDescent="0.2">
      <c r="A11" s="223" t="s">
        <v>243</v>
      </c>
      <c r="B11" s="326" t="str">
        <f>IF(IFERROR(VLOOKUP(s4del[[#This Row],[Portfolio Company Name]],s11cumperf[],2,FALSE),"")="","",(IFERROR(VLOOKUP(s4del[[#This Row],[Portfolio Company Name]],s11cumperf[],2,FALSE),"")))</f>
        <v/>
      </c>
      <c r="C11" s="344"/>
      <c r="D11" s="347"/>
      <c r="E11" s="345"/>
      <c r="F11" s="347"/>
      <c r="G11" s="346"/>
      <c r="H11" s="347"/>
      <c r="I11" s="348"/>
      <c r="J11" s="347"/>
      <c r="K11" s="348"/>
      <c r="L11" s="349"/>
    </row>
    <row r="12" spans="1:12" ht="13.15" customHeight="1" x14ac:dyDescent="0.2">
      <c r="A12" s="223" t="s">
        <v>243</v>
      </c>
      <c r="B12" s="326" t="str">
        <f>IF(IFERROR(VLOOKUP(s4del[[#This Row],[Portfolio Company Name]],s11cumperf[],2,FALSE),"")="","",(IFERROR(VLOOKUP(s4del[[#This Row],[Portfolio Company Name]],s11cumperf[],2,FALSE),"")))</f>
        <v/>
      </c>
      <c r="C12" s="344"/>
      <c r="D12" s="347"/>
      <c r="E12" s="345"/>
      <c r="F12" s="347"/>
      <c r="G12" s="346"/>
      <c r="H12" s="347"/>
      <c r="I12" s="348"/>
      <c r="J12" s="347"/>
      <c r="K12" s="348"/>
      <c r="L12" s="349"/>
    </row>
    <row r="13" spans="1:12" ht="13.15" customHeight="1" x14ac:dyDescent="0.2">
      <c r="A13" s="223" t="s">
        <v>243</v>
      </c>
      <c r="B13" s="326" t="str">
        <f>IF(IFERROR(VLOOKUP(s4del[[#This Row],[Portfolio Company Name]],s11cumperf[],2,FALSE),"")="","",(IFERROR(VLOOKUP(s4del[[#This Row],[Portfolio Company Name]],s11cumperf[],2,FALSE),"")))</f>
        <v/>
      </c>
      <c r="C13" s="344"/>
      <c r="D13" s="347"/>
      <c r="E13" s="345"/>
      <c r="F13" s="347"/>
      <c r="G13" s="346"/>
      <c r="H13" s="347"/>
      <c r="I13" s="348"/>
      <c r="J13" s="347"/>
      <c r="K13" s="348"/>
      <c r="L13" s="349"/>
    </row>
    <row r="14" spans="1:12" ht="13.15" customHeight="1" x14ac:dyDescent="0.2">
      <c r="A14" s="223" t="s">
        <v>243</v>
      </c>
      <c r="B14" s="326" t="str">
        <f>IF(IFERROR(VLOOKUP(s4del[[#This Row],[Portfolio Company Name]],s11cumperf[],2,FALSE),"")="","",(IFERROR(VLOOKUP(s4del[[#This Row],[Portfolio Company Name]],s11cumperf[],2,FALSE),"")))</f>
        <v/>
      </c>
      <c r="C14" s="344"/>
      <c r="D14" s="347"/>
      <c r="E14" s="345"/>
      <c r="F14" s="347"/>
      <c r="G14" s="346"/>
      <c r="H14" s="347"/>
      <c r="I14" s="348"/>
      <c r="J14" s="347"/>
      <c r="K14" s="348"/>
      <c r="L14" s="349"/>
    </row>
    <row r="15" spans="1:12" ht="13.15" customHeight="1" x14ac:dyDescent="0.2">
      <c r="A15" s="223" t="s">
        <v>243</v>
      </c>
      <c r="B15" s="326" t="str">
        <f>IF(IFERROR(VLOOKUP(s4del[[#This Row],[Portfolio Company Name]],s11cumperf[],2,FALSE),"")="","",(IFERROR(VLOOKUP(s4del[[#This Row],[Portfolio Company Name]],s11cumperf[],2,FALSE),"")))</f>
        <v/>
      </c>
      <c r="C15" s="344"/>
      <c r="D15" s="347"/>
      <c r="E15" s="345"/>
      <c r="F15" s="347"/>
      <c r="G15" s="346"/>
      <c r="H15" s="347"/>
      <c r="I15" s="348"/>
      <c r="J15" s="347"/>
      <c r="K15" s="348"/>
      <c r="L15" s="349"/>
    </row>
    <row r="16" spans="1:12" ht="13.15" customHeight="1" x14ac:dyDescent="0.2">
      <c r="A16" s="223" t="s">
        <v>243</v>
      </c>
      <c r="B16" s="326" t="str">
        <f>IF(IFERROR(VLOOKUP(s4del[[#This Row],[Portfolio Company Name]],s11cumperf[],2,FALSE),"")="","",(IFERROR(VLOOKUP(s4del[[#This Row],[Portfolio Company Name]],s11cumperf[],2,FALSE),"")))</f>
        <v/>
      </c>
      <c r="C16" s="344"/>
      <c r="D16" s="347"/>
      <c r="E16" s="345"/>
      <c r="F16" s="347"/>
      <c r="G16" s="346"/>
      <c r="H16" s="347"/>
      <c r="I16" s="348"/>
      <c r="J16" s="347"/>
      <c r="K16" s="348"/>
      <c r="L16" s="349"/>
    </row>
    <row r="17" spans="1:12" ht="13.15" customHeight="1" x14ac:dyDescent="0.2">
      <c r="A17" s="223" t="s">
        <v>243</v>
      </c>
      <c r="B17" s="326" t="str">
        <f>IF(IFERROR(VLOOKUP(s4del[[#This Row],[Portfolio Company Name]],s11cumperf[],2,FALSE),"")="","",(IFERROR(VLOOKUP(s4del[[#This Row],[Portfolio Company Name]],s11cumperf[],2,FALSE),"")))</f>
        <v/>
      </c>
      <c r="C17" s="344"/>
      <c r="D17" s="347"/>
      <c r="E17" s="345"/>
      <c r="F17" s="347"/>
      <c r="G17" s="346"/>
      <c r="H17" s="347"/>
      <c r="I17" s="348"/>
      <c r="J17" s="347"/>
      <c r="K17" s="348"/>
      <c r="L17" s="349"/>
    </row>
    <row r="18" spans="1:12" ht="13.15" customHeight="1" x14ac:dyDescent="0.2">
      <c r="A18" s="223" t="s">
        <v>243</v>
      </c>
      <c r="B18" s="326" t="str">
        <f>IF(IFERROR(VLOOKUP(s4del[[#This Row],[Portfolio Company Name]],s11cumperf[],2,FALSE),"")="","",(IFERROR(VLOOKUP(s4del[[#This Row],[Portfolio Company Name]],s11cumperf[],2,FALSE),"")))</f>
        <v/>
      </c>
      <c r="C18" s="344"/>
      <c r="D18" s="347"/>
      <c r="E18" s="345"/>
      <c r="F18" s="347"/>
      <c r="G18" s="346"/>
      <c r="H18" s="347"/>
      <c r="I18" s="348"/>
      <c r="J18" s="347"/>
      <c r="K18" s="348"/>
      <c r="L18" s="349"/>
    </row>
    <row r="19" spans="1:12" ht="13.15" customHeight="1" x14ac:dyDescent="0.2">
      <c r="A19" s="223" t="s">
        <v>243</v>
      </c>
      <c r="B19" s="326" t="str">
        <f>IF(IFERROR(VLOOKUP(s4del[[#This Row],[Portfolio Company Name]],s11cumperf[],2,FALSE),"")="","",(IFERROR(VLOOKUP(s4del[[#This Row],[Portfolio Company Name]],s11cumperf[],2,FALSE),"")))</f>
        <v/>
      </c>
      <c r="C19" s="344"/>
      <c r="D19" s="347"/>
      <c r="E19" s="345"/>
      <c r="F19" s="347"/>
      <c r="G19" s="346"/>
      <c r="H19" s="347"/>
      <c r="I19" s="348"/>
      <c r="J19" s="347"/>
      <c r="K19" s="348"/>
      <c r="L19" s="349"/>
    </row>
    <row r="20" spans="1:12" ht="13.15" customHeight="1" x14ac:dyDescent="0.2">
      <c r="A20" s="223" t="s">
        <v>243</v>
      </c>
      <c r="B20" s="326" t="str">
        <f>IF(IFERROR(VLOOKUP(s4del[[#This Row],[Portfolio Company Name]],s11cumperf[],2,FALSE),"")="","",(IFERROR(VLOOKUP(s4del[[#This Row],[Portfolio Company Name]],s11cumperf[],2,FALSE),"")))</f>
        <v/>
      </c>
      <c r="C20" s="344"/>
      <c r="D20" s="347"/>
      <c r="E20" s="345"/>
      <c r="F20" s="347"/>
      <c r="G20" s="346"/>
      <c r="H20" s="347"/>
      <c r="I20" s="348"/>
      <c r="J20" s="347"/>
      <c r="K20" s="348"/>
      <c r="L20" s="349"/>
    </row>
    <row r="21" spans="1:12" ht="13.15" customHeight="1" x14ac:dyDescent="0.2">
      <c r="A21" s="223" t="s">
        <v>243</v>
      </c>
      <c r="B21" s="326" t="str">
        <f>IF(IFERROR(VLOOKUP(s4del[[#This Row],[Portfolio Company Name]],s11cumperf[],2,FALSE),"")="","",(IFERROR(VLOOKUP(s4del[[#This Row],[Portfolio Company Name]],s11cumperf[],2,FALSE),"")))</f>
        <v/>
      </c>
      <c r="C21" s="344"/>
      <c r="D21" s="347"/>
      <c r="E21" s="345"/>
      <c r="F21" s="347"/>
      <c r="G21" s="346"/>
      <c r="H21" s="347"/>
      <c r="I21" s="348"/>
      <c r="J21" s="347"/>
      <c r="K21" s="348"/>
      <c r="L21" s="349"/>
    </row>
    <row r="22" spans="1:12" ht="13.15" customHeight="1" x14ac:dyDescent="0.2">
      <c r="A22" s="223" t="s">
        <v>243</v>
      </c>
      <c r="B22" s="326" t="str">
        <f>IF(IFERROR(VLOOKUP(s4del[[#This Row],[Portfolio Company Name]],s11cumperf[],2,FALSE),"")="","",(IFERROR(VLOOKUP(s4del[[#This Row],[Portfolio Company Name]],s11cumperf[],2,FALSE),"")))</f>
        <v/>
      </c>
      <c r="C22" s="344"/>
      <c r="D22" s="347"/>
      <c r="E22" s="345"/>
      <c r="F22" s="347"/>
      <c r="G22" s="346"/>
      <c r="H22" s="347"/>
      <c r="I22" s="348"/>
      <c r="J22" s="347"/>
      <c r="K22" s="348"/>
      <c r="L22" s="349"/>
    </row>
    <row r="23" spans="1:12" ht="13.15" customHeight="1" x14ac:dyDescent="0.2">
      <c r="A23" s="223" t="s">
        <v>243</v>
      </c>
      <c r="B23" s="326" t="str">
        <f>IF(IFERROR(VLOOKUP(s4del[[#This Row],[Portfolio Company Name]],s11cumperf[],2,FALSE),"")="","",(IFERROR(VLOOKUP(s4del[[#This Row],[Portfolio Company Name]],s11cumperf[],2,FALSE),"")))</f>
        <v/>
      </c>
      <c r="C23" s="344"/>
      <c r="D23" s="347"/>
      <c r="E23" s="345"/>
      <c r="F23" s="347"/>
      <c r="G23" s="346"/>
      <c r="H23" s="347"/>
      <c r="I23" s="348"/>
      <c r="J23" s="347"/>
      <c r="K23" s="348"/>
      <c r="L23" s="349"/>
    </row>
    <row r="24" spans="1:12" ht="13.15" customHeight="1" x14ac:dyDescent="0.2">
      <c r="A24" s="223" t="s">
        <v>243</v>
      </c>
      <c r="B24" s="326" t="str">
        <f>IF(IFERROR(VLOOKUP(s4del[[#This Row],[Portfolio Company Name]],s11cumperf[],2,FALSE),"")="","",(IFERROR(VLOOKUP(s4del[[#This Row],[Portfolio Company Name]],s11cumperf[],2,FALSE),"")))</f>
        <v/>
      </c>
      <c r="C24" s="344"/>
      <c r="D24" s="347"/>
      <c r="E24" s="345"/>
      <c r="F24" s="347"/>
      <c r="G24" s="346"/>
      <c r="H24" s="347"/>
      <c r="I24" s="348"/>
      <c r="J24" s="347"/>
      <c r="K24" s="348"/>
      <c r="L24" s="349"/>
    </row>
    <row r="25" spans="1:12" ht="13.15" customHeight="1" x14ac:dyDescent="0.2">
      <c r="A25" s="223" t="s">
        <v>243</v>
      </c>
      <c r="B25" s="326" t="str">
        <f>IF(IFERROR(VLOOKUP(s4del[[#This Row],[Portfolio Company Name]],s11cumperf[],2,FALSE),"")="","",(IFERROR(VLOOKUP(s4del[[#This Row],[Portfolio Company Name]],s11cumperf[],2,FALSE),"")))</f>
        <v/>
      </c>
      <c r="C25" s="344"/>
      <c r="D25" s="347"/>
      <c r="E25" s="345"/>
      <c r="F25" s="347"/>
      <c r="G25" s="346"/>
      <c r="H25" s="347"/>
      <c r="I25" s="348"/>
      <c r="J25" s="347"/>
      <c r="K25" s="348"/>
      <c r="L25" s="349"/>
    </row>
    <row r="26" spans="1:12" ht="13.15" customHeight="1" x14ac:dyDescent="0.2">
      <c r="A26" s="223" t="s">
        <v>243</v>
      </c>
      <c r="B26" s="326" t="str">
        <f>IF(IFERROR(VLOOKUP(s4del[[#This Row],[Portfolio Company Name]],s11cumperf[],2,FALSE),"")="","",(IFERROR(VLOOKUP(s4del[[#This Row],[Portfolio Company Name]],s11cumperf[],2,FALSE),"")))</f>
        <v/>
      </c>
      <c r="C26" s="344"/>
      <c r="D26" s="347"/>
      <c r="E26" s="345"/>
      <c r="F26" s="347"/>
      <c r="G26" s="346"/>
      <c r="H26" s="347"/>
      <c r="I26" s="348"/>
      <c r="J26" s="347"/>
      <c r="K26" s="348"/>
      <c r="L26" s="349"/>
    </row>
    <row r="27" spans="1:12" ht="13.15" customHeight="1" x14ac:dyDescent="0.2">
      <c r="A27" s="223" t="s">
        <v>243</v>
      </c>
      <c r="B27" s="326" t="str">
        <f>IF(IFERROR(VLOOKUP(s4del[[#This Row],[Portfolio Company Name]],s11cumperf[],2,FALSE),"")="","",(IFERROR(VLOOKUP(s4del[[#This Row],[Portfolio Company Name]],s11cumperf[],2,FALSE),"")))</f>
        <v/>
      </c>
      <c r="C27" s="344"/>
      <c r="D27" s="347"/>
      <c r="E27" s="345"/>
      <c r="F27" s="347"/>
      <c r="G27" s="346"/>
      <c r="H27" s="347"/>
      <c r="I27" s="348"/>
      <c r="J27" s="347"/>
      <c r="K27" s="348"/>
      <c r="L27" s="349"/>
    </row>
    <row r="28" spans="1:12" ht="13.15" customHeight="1" x14ac:dyDescent="0.2">
      <c r="A28" s="223" t="s">
        <v>243</v>
      </c>
      <c r="B28" s="326" t="str">
        <f>IF(IFERROR(VLOOKUP(s4del[[#This Row],[Portfolio Company Name]],s11cumperf[],2,FALSE),"")="","",(IFERROR(VLOOKUP(s4del[[#This Row],[Portfolio Company Name]],s11cumperf[],2,FALSE),"")))</f>
        <v/>
      </c>
      <c r="C28" s="344"/>
      <c r="D28" s="347"/>
      <c r="E28" s="345"/>
      <c r="F28" s="347"/>
      <c r="G28" s="346"/>
      <c r="H28" s="347"/>
      <c r="I28" s="348"/>
      <c r="J28" s="347"/>
      <c r="K28" s="348"/>
      <c r="L28" s="349"/>
    </row>
    <row r="29" spans="1:12" ht="13.15" customHeight="1" x14ac:dyDescent="0.2">
      <c r="A29" s="223" t="s">
        <v>243</v>
      </c>
      <c r="B29" s="326" t="str">
        <f>IF(IFERROR(VLOOKUP(s4del[[#This Row],[Portfolio Company Name]],s11cumperf[],2,FALSE),"")="","",(IFERROR(VLOOKUP(s4del[[#This Row],[Portfolio Company Name]],s11cumperf[],2,FALSE),"")))</f>
        <v/>
      </c>
      <c r="C29" s="344"/>
      <c r="D29" s="347"/>
      <c r="E29" s="345"/>
      <c r="F29" s="347"/>
      <c r="G29" s="346"/>
      <c r="H29" s="347"/>
      <c r="I29" s="348"/>
      <c r="J29" s="347"/>
      <c r="K29" s="348"/>
      <c r="L29" s="349"/>
    </row>
    <row r="30" spans="1:12" ht="13.15" customHeight="1" x14ac:dyDescent="0.2">
      <c r="A30" s="223" t="s">
        <v>243</v>
      </c>
      <c r="B30" s="326" t="str">
        <f>IF(IFERROR(VLOOKUP(s4del[[#This Row],[Portfolio Company Name]],s11cumperf[],2,FALSE),"")="","",(IFERROR(VLOOKUP(s4del[[#This Row],[Portfolio Company Name]],s11cumperf[],2,FALSE),"")))</f>
        <v/>
      </c>
      <c r="C30" s="344"/>
      <c r="D30" s="347"/>
      <c r="E30" s="345"/>
      <c r="F30" s="347"/>
      <c r="G30" s="346"/>
      <c r="H30" s="347"/>
      <c r="I30" s="348"/>
      <c r="J30" s="347"/>
      <c r="K30" s="348"/>
      <c r="L30" s="349"/>
    </row>
    <row r="31" spans="1:12" ht="13.15" customHeight="1" x14ac:dyDescent="0.2">
      <c r="A31" s="223" t="s">
        <v>243</v>
      </c>
      <c r="B31" s="326" t="str">
        <f>IF(IFERROR(VLOOKUP(s4del[[#This Row],[Portfolio Company Name]],s11cumperf[],2,FALSE),"")="","",(IFERROR(VLOOKUP(s4del[[#This Row],[Portfolio Company Name]],s11cumperf[],2,FALSE),"")))</f>
        <v/>
      </c>
      <c r="C31" s="344"/>
      <c r="D31" s="347"/>
      <c r="E31" s="345"/>
      <c r="F31" s="347"/>
      <c r="G31" s="346"/>
      <c r="H31" s="347"/>
      <c r="I31" s="348"/>
      <c r="J31" s="347"/>
      <c r="K31" s="348"/>
      <c r="L31" s="349"/>
    </row>
    <row r="32" spans="1:12" ht="13.15" customHeight="1" x14ac:dyDescent="0.2">
      <c r="A32" s="223" t="s">
        <v>243</v>
      </c>
      <c r="B32" s="326" t="str">
        <f>IF(IFERROR(VLOOKUP(s4del[[#This Row],[Portfolio Company Name]],s11cumperf[],2,FALSE),"")="","",(IFERROR(VLOOKUP(s4del[[#This Row],[Portfolio Company Name]],s11cumperf[],2,FALSE),"")))</f>
        <v/>
      </c>
      <c r="C32" s="344"/>
      <c r="D32" s="347"/>
      <c r="E32" s="345"/>
      <c r="F32" s="347"/>
      <c r="G32" s="346"/>
      <c r="H32" s="347"/>
      <c r="I32" s="348"/>
      <c r="J32" s="347"/>
      <c r="K32" s="348"/>
      <c r="L32" s="349"/>
    </row>
    <row r="33" spans="1:12" ht="13.15" customHeight="1" x14ac:dyDescent="0.2">
      <c r="A33" s="223" t="s">
        <v>243</v>
      </c>
      <c r="B33" s="326" t="str">
        <f>IF(IFERROR(VLOOKUP(s4del[[#This Row],[Portfolio Company Name]],s11cumperf[],2,FALSE),"")="","",(IFERROR(VLOOKUP(s4del[[#This Row],[Portfolio Company Name]],s11cumperf[],2,FALSE),"")))</f>
        <v/>
      </c>
      <c r="C33" s="344"/>
      <c r="D33" s="347"/>
      <c r="E33" s="345"/>
      <c r="F33" s="347"/>
      <c r="G33" s="346"/>
      <c r="H33" s="347"/>
      <c r="I33" s="348"/>
      <c r="J33" s="347"/>
      <c r="K33" s="348"/>
      <c r="L33" s="349"/>
    </row>
    <row r="34" spans="1:12" ht="13.15" customHeight="1" x14ac:dyDescent="0.2">
      <c r="A34" s="223" t="s">
        <v>243</v>
      </c>
      <c r="B34" s="326" t="str">
        <f>IF(IFERROR(VLOOKUP(s4del[[#This Row],[Portfolio Company Name]],s11cumperf[],2,FALSE),"")="","",(IFERROR(VLOOKUP(s4del[[#This Row],[Portfolio Company Name]],s11cumperf[],2,FALSE),"")))</f>
        <v/>
      </c>
      <c r="C34" s="344"/>
      <c r="D34" s="347"/>
      <c r="E34" s="345"/>
      <c r="F34" s="347"/>
      <c r="G34" s="346"/>
      <c r="H34" s="347"/>
      <c r="I34" s="348"/>
      <c r="J34" s="347"/>
      <c r="K34" s="348"/>
      <c r="L34" s="349"/>
    </row>
    <row r="35" spans="1:12" ht="13.15" customHeight="1" x14ac:dyDescent="0.2">
      <c r="A35" s="223" t="s">
        <v>243</v>
      </c>
      <c r="B35" s="326" t="str">
        <f>IF(IFERROR(VLOOKUP(s4del[[#This Row],[Portfolio Company Name]],s11cumperf[],2,FALSE),"")="","",(IFERROR(VLOOKUP(s4del[[#This Row],[Portfolio Company Name]],s11cumperf[],2,FALSE),"")))</f>
        <v/>
      </c>
      <c r="C35" s="344"/>
      <c r="D35" s="347"/>
      <c r="E35" s="345"/>
      <c r="F35" s="347"/>
      <c r="G35" s="346"/>
      <c r="H35" s="347"/>
      <c r="I35" s="348"/>
      <c r="J35" s="347"/>
      <c r="K35" s="348"/>
      <c r="L35" s="349"/>
    </row>
    <row r="36" spans="1:12" ht="13.15" customHeight="1" x14ac:dyDescent="0.2">
      <c r="A36" s="223" t="s">
        <v>243</v>
      </c>
      <c r="B36" s="326" t="str">
        <f>IF(IFERROR(VLOOKUP(s4del[[#This Row],[Portfolio Company Name]],s11cumperf[],2,FALSE),"")="","",(IFERROR(VLOOKUP(s4del[[#This Row],[Portfolio Company Name]],s11cumperf[],2,FALSE),"")))</f>
        <v/>
      </c>
      <c r="C36" s="344"/>
      <c r="D36" s="347"/>
      <c r="E36" s="345"/>
      <c r="F36" s="347"/>
      <c r="G36" s="346"/>
      <c r="H36" s="347"/>
      <c r="I36" s="348"/>
      <c r="J36" s="347"/>
      <c r="K36" s="348"/>
      <c r="L36" s="349"/>
    </row>
    <row r="37" spans="1:12" ht="13.15" customHeight="1" x14ac:dyDescent="0.2">
      <c r="A37" s="223" t="s">
        <v>243</v>
      </c>
      <c r="B37" s="326" t="str">
        <f>IF(IFERROR(VLOOKUP(s4del[[#This Row],[Portfolio Company Name]],s11cumperf[],2,FALSE),"")="","",(IFERROR(VLOOKUP(s4del[[#This Row],[Portfolio Company Name]],s11cumperf[],2,FALSE),"")))</f>
        <v/>
      </c>
      <c r="C37" s="344"/>
      <c r="D37" s="347"/>
      <c r="E37" s="345"/>
      <c r="F37" s="347"/>
      <c r="G37" s="346"/>
      <c r="H37" s="347"/>
      <c r="I37" s="348"/>
      <c r="J37" s="347"/>
      <c r="K37" s="348"/>
      <c r="L37" s="349"/>
    </row>
    <row r="38" spans="1:12" ht="13.15" customHeight="1" x14ac:dyDescent="0.2">
      <c r="A38" s="223" t="s">
        <v>243</v>
      </c>
      <c r="B38" s="326" t="str">
        <f>IF(IFERROR(VLOOKUP(s4del[[#This Row],[Portfolio Company Name]],s11cumperf[],2,FALSE),"")="","",(IFERROR(VLOOKUP(s4del[[#This Row],[Portfolio Company Name]],s11cumperf[],2,FALSE),"")))</f>
        <v/>
      </c>
      <c r="C38" s="344"/>
      <c r="D38" s="347"/>
      <c r="E38" s="345"/>
      <c r="F38" s="347"/>
      <c r="G38" s="346"/>
      <c r="H38" s="347"/>
      <c r="I38" s="348"/>
      <c r="J38" s="347"/>
      <c r="K38" s="348"/>
      <c r="L38" s="349"/>
    </row>
  </sheetData>
  <mergeCells count="6">
    <mergeCell ref="D9:E9"/>
    <mergeCell ref="F9:G9"/>
    <mergeCell ref="H9:I9"/>
    <mergeCell ref="J9:K9"/>
    <mergeCell ref="B1:J1"/>
    <mergeCell ref="B2:J2"/>
  </mergeCells>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45AC85F-8405-4931-A4A3-4F82C57F04A4}">
          <x14:formula1>
            <xm:f>S11cumperf!$A$18:$A$100</xm:f>
          </x14:formula1>
          <xm:sqref>A11:A38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4CDD8-0FE3-4C68-B22C-065D854B5BE2}">
  <sheetPr codeName="Sheet13"/>
  <dimension ref="A1:Z30"/>
  <sheetViews>
    <sheetView workbookViewId="0">
      <selection activeCell="F11" sqref="F11"/>
    </sheetView>
  </sheetViews>
  <sheetFormatPr defaultColWidth="23.54296875" defaultRowHeight="10" x14ac:dyDescent="0.2"/>
  <cols>
    <col min="1" max="1" width="30.54296875" style="77" customWidth="1"/>
    <col min="2" max="3" width="16.1796875" style="77" customWidth="1"/>
    <col min="4" max="4" width="8" style="77" customWidth="1"/>
    <col min="5" max="5" width="9.26953125" style="77" customWidth="1"/>
    <col min="6" max="6" width="12.7265625" style="77" customWidth="1"/>
    <col min="7" max="7" width="11.81640625" style="77" customWidth="1"/>
    <col min="8" max="8" width="16.1796875" style="77" customWidth="1"/>
    <col min="9" max="10" width="15.54296875" style="77" customWidth="1"/>
    <col min="11" max="16384" width="23.54296875" style="77"/>
  </cols>
  <sheetData>
    <row r="1" spans="1:26" ht="14.65" customHeight="1" x14ac:dyDescent="0.2">
      <c r="A1" s="73" t="s">
        <v>2122</v>
      </c>
      <c r="B1" s="74"/>
      <c r="C1" s="303" t="s">
        <v>2123</v>
      </c>
      <c r="D1" s="350"/>
      <c r="E1" s="350"/>
      <c r="F1" s="350"/>
      <c r="G1" s="350"/>
      <c r="H1" s="351" t="str">
        <f>'1-Cover'!$G$1</f>
        <v>OMB Approval No. 3245-0063</v>
      </c>
    </row>
    <row r="2" spans="1:26" ht="12.4" customHeight="1" x14ac:dyDescent="0.2">
      <c r="A2" s="78"/>
      <c r="C2" s="306" t="str">
        <f>"FOR "&amp;Number_of_Months&amp;" MONTH PERIOD ENDED: "&amp;TEXT(Form468Date,"MM/DD/YYYY")</f>
        <v>FOR  MONTH PERIOD ENDED: 01/00/1900</v>
      </c>
      <c r="D2" s="352"/>
      <c r="E2" s="352"/>
      <c r="F2" s="352"/>
      <c r="G2" s="352"/>
      <c r="H2" s="353" t="str">
        <f>'1-Cover'!$G$2</f>
        <v>Expiration Date MM/DD/YYYY</v>
      </c>
    </row>
    <row r="3" spans="1:26" ht="12.4" customHeight="1" x14ac:dyDescent="0.2">
      <c r="A3" s="136"/>
      <c r="B3" s="82"/>
      <c r="C3" s="137"/>
      <c r="D3" s="137"/>
      <c r="E3" s="82"/>
      <c r="F3" s="82"/>
      <c r="G3" s="82"/>
      <c r="H3" s="139"/>
    </row>
    <row r="4" spans="1:26" x14ac:dyDescent="0.2">
      <c r="A4" s="121" t="str">
        <f>"Name of License:  "&amp;sbicname</f>
        <v xml:space="preserve">Name of License:  </v>
      </c>
      <c r="B4" s="122">
        <f>S4Del!B4</f>
        <v>0</v>
      </c>
      <c r="C4" s="140"/>
      <c r="D4" s="140"/>
      <c r="E4" s="140"/>
      <c r="F4" s="140"/>
      <c r="G4" s="140"/>
      <c r="H4" s="123" t="str">
        <f>"License no.:  "&amp;TEXT(licenseno,"00\/00\-0000")</f>
        <v>License no.:  00/00-0000</v>
      </c>
    </row>
    <row r="5" spans="1:26" ht="11.25" customHeight="1" x14ac:dyDescent="0.2"/>
    <row r="6" spans="1:26" x14ac:dyDescent="0.2">
      <c r="B6" s="150" t="s">
        <v>1941</v>
      </c>
      <c r="C6" s="157">
        <f>SUM(s5pccommit[Amount of Commitment])</f>
        <v>0</v>
      </c>
    </row>
    <row r="7" spans="1:26" ht="3.75" customHeight="1" x14ac:dyDescent="0.2"/>
    <row r="8" spans="1:26" s="79" customFormat="1" x14ac:dyDescent="0.2">
      <c r="A8" s="275" t="s">
        <v>159</v>
      </c>
      <c r="B8" s="275" t="s">
        <v>2044</v>
      </c>
      <c r="C8" s="275" t="s">
        <v>154</v>
      </c>
      <c r="D8" s="275" t="s">
        <v>2045</v>
      </c>
      <c r="E8" s="275" t="s">
        <v>2046</v>
      </c>
      <c r="F8" s="275" t="s">
        <v>199</v>
      </c>
      <c r="G8" s="275" t="s">
        <v>2047</v>
      </c>
      <c r="H8" s="275" t="s">
        <v>2048</v>
      </c>
    </row>
    <row r="9" spans="1:26" s="357" customFormat="1" ht="20" x14ac:dyDescent="0.2">
      <c r="A9" s="354" t="s">
        <v>2029</v>
      </c>
      <c r="B9" s="355" t="s">
        <v>2030</v>
      </c>
      <c r="C9" s="355" t="s">
        <v>2124</v>
      </c>
      <c r="D9" s="355" t="s">
        <v>2125</v>
      </c>
      <c r="E9" s="355" t="s">
        <v>2126</v>
      </c>
      <c r="F9" s="355" t="s">
        <v>142</v>
      </c>
      <c r="G9" s="356" t="s">
        <v>2031</v>
      </c>
      <c r="H9" s="356" t="s">
        <v>2127</v>
      </c>
      <c r="Z9" s="357" t="s">
        <v>242</v>
      </c>
    </row>
    <row r="10" spans="1:26" x14ac:dyDescent="0.2">
      <c r="A10" s="223" t="s">
        <v>243</v>
      </c>
      <c r="B10" s="326" t="str">
        <f>IF(IFERROR(VLOOKUP(s5pccommit[[#This Row],[Portfolio Company Name]],s11cumperf[],2,FALSE),"")="","",(IFERROR(VLOOKUP(s5pccommit[[#This Row],[Portfolio Company Name]],s11cumperf[],2,FALSE),"")))</f>
        <v/>
      </c>
      <c r="C10" s="334"/>
      <c r="D10" s="228"/>
      <c r="E10" s="358"/>
      <c r="F10" s="110"/>
      <c r="G10" s="359"/>
      <c r="H10" s="359"/>
    </row>
    <row r="11" spans="1:26" x14ac:dyDescent="0.2">
      <c r="A11" s="223" t="s">
        <v>243</v>
      </c>
      <c r="B11" s="326" t="str">
        <f>IF(IFERROR(VLOOKUP(s5pccommit[[#This Row],[Portfolio Company Name]],s11cumperf[],2,FALSE),"")="","",(IFERROR(VLOOKUP(s5pccommit[[#This Row],[Portfolio Company Name]],s11cumperf[],2,FALSE),"")))</f>
        <v/>
      </c>
      <c r="C11" s="334"/>
      <c r="D11" s="228"/>
      <c r="E11" s="358"/>
      <c r="F11" s="110"/>
      <c r="G11" s="359"/>
      <c r="H11" s="359"/>
    </row>
    <row r="12" spans="1:26" x14ac:dyDescent="0.2">
      <c r="A12" s="223" t="s">
        <v>243</v>
      </c>
      <c r="B12" s="326" t="str">
        <f>IF(IFERROR(VLOOKUP(s5pccommit[[#This Row],[Portfolio Company Name]],s11cumperf[],2,FALSE),"")="","",(IFERROR(VLOOKUP(s5pccommit[[#This Row],[Portfolio Company Name]],s11cumperf[],2,FALSE),"")))</f>
        <v/>
      </c>
      <c r="C12" s="334"/>
      <c r="D12" s="228"/>
      <c r="E12" s="358"/>
      <c r="F12" s="110"/>
      <c r="G12" s="359"/>
      <c r="H12" s="359"/>
    </row>
    <row r="13" spans="1:26" x14ac:dyDescent="0.2">
      <c r="A13" s="223" t="s">
        <v>243</v>
      </c>
      <c r="B13" s="326" t="str">
        <f>IF(IFERROR(VLOOKUP(s5pccommit[[#This Row],[Portfolio Company Name]],s11cumperf[],2,FALSE),"")="","",(IFERROR(VLOOKUP(s5pccommit[[#This Row],[Portfolio Company Name]],s11cumperf[],2,FALSE),"")))</f>
        <v/>
      </c>
      <c r="C13" s="334"/>
      <c r="D13" s="228"/>
      <c r="E13" s="358"/>
      <c r="F13" s="110"/>
      <c r="G13" s="359"/>
      <c r="H13" s="359"/>
    </row>
    <row r="14" spans="1:26" x14ac:dyDescent="0.2">
      <c r="A14" s="223" t="s">
        <v>243</v>
      </c>
      <c r="B14" s="326" t="str">
        <f>IF(IFERROR(VLOOKUP(s5pccommit[[#This Row],[Portfolio Company Name]],s11cumperf[],2,FALSE),"")="","",(IFERROR(VLOOKUP(s5pccommit[[#This Row],[Portfolio Company Name]],s11cumperf[],2,FALSE),"")))</f>
        <v/>
      </c>
      <c r="C14" s="334"/>
      <c r="D14" s="228"/>
      <c r="E14" s="358"/>
      <c r="F14" s="110"/>
      <c r="G14" s="359"/>
      <c r="H14" s="359"/>
    </row>
    <row r="15" spans="1:26" x14ac:dyDescent="0.2">
      <c r="A15" s="223" t="s">
        <v>243</v>
      </c>
      <c r="B15" s="326" t="str">
        <f>IF(IFERROR(VLOOKUP(s5pccommit[[#This Row],[Portfolio Company Name]],s11cumperf[],2,FALSE),"")="","",(IFERROR(VLOOKUP(s5pccommit[[#This Row],[Portfolio Company Name]],s11cumperf[],2,FALSE),"")))</f>
        <v/>
      </c>
      <c r="C15" s="334"/>
      <c r="D15" s="228"/>
      <c r="E15" s="358"/>
      <c r="F15" s="110"/>
      <c r="G15" s="359"/>
      <c r="H15" s="359"/>
    </row>
    <row r="16" spans="1:26" x14ac:dyDescent="0.2">
      <c r="A16" s="223" t="s">
        <v>243</v>
      </c>
      <c r="B16" s="326" t="str">
        <f>IF(IFERROR(VLOOKUP(s5pccommit[[#This Row],[Portfolio Company Name]],s11cumperf[],2,FALSE),"")="","",(IFERROR(VLOOKUP(s5pccommit[[#This Row],[Portfolio Company Name]],s11cumperf[],2,FALSE),"")))</f>
        <v/>
      </c>
      <c r="C16" s="334"/>
      <c r="D16" s="228"/>
      <c r="E16" s="358"/>
      <c r="F16" s="110"/>
      <c r="G16" s="359"/>
      <c r="H16" s="359"/>
    </row>
    <row r="17" spans="1:8" x14ac:dyDescent="0.2">
      <c r="A17" s="223" t="s">
        <v>243</v>
      </c>
      <c r="B17" s="326" t="str">
        <f>IF(IFERROR(VLOOKUP(s5pccommit[[#This Row],[Portfolio Company Name]],s11cumperf[],2,FALSE),"")="","",(IFERROR(VLOOKUP(s5pccommit[[#This Row],[Portfolio Company Name]],s11cumperf[],2,FALSE),"")))</f>
        <v/>
      </c>
      <c r="C17" s="334"/>
      <c r="D17" s="228"/>
      <c r="E17" s="358"/>
      <c r="F17" s="110"/>
      <c r="G17" s="359"/>
      <c r="H17" s="359"/>
    </row>
    <row r="18" spans="1:8" x14ac:dyDescent="0.2">
      <c r="A18" s="223" t="s">
        <v>243</v>
      </c>
      <c r="B18" s="326" t="str">
        <f>IF(IFERROR(VLOOKUP(s5pccommit[[#This Row],[Portfolio Company Name]],s11cumperf[],2,FALSE),"")="","",(IFERROR(VLOOKUP(s5pccommit[[#This Row],[Portfolio Company Name]],s11cumperf[],2,FALSE),"")))</f>
        <v/>
      </c>
      <c r="C18" s="334"/>
      <c r="D18" s="228"/>
      <c r="E18" s="358"/>
      <c r="F18" s="110"/>
      <c r="G18" s="359"/>
      <c r="H18" s="359"/>
    </row>
    <row r="19" spans="1:8" x14ac:dyDescent="0.2">
      <c r="A19" s="223" t="s">
        <v>243</v>
      </c>
      <c r="B19" s="326" t="str">
        <f>IF(IFERROR(VLOOKUP(s5pccommit[[#This Row],[Portfolio Company Name]],s11cumperf[],2,FALSE),"")="","",(IFERROR(VLOOKUP(s5pccommit[[#This Row],[Portfolio Company Name]],s11cumperf[],2,FALSE),"")))</f>
        <v/>
      </c>
      <c r="C19" s="334"/>
      <c r="D19" s="228"/>
      <c r="E19" s="358"/>
      <c r="F19" s="110"/>
      <c r="G19" s="359"/>
      <c r="H19" s="359"/>
    </row>
    <row r="20" spans="1:8" x14ac:dyDescent="0.2">
      <c r="A20" s="223" t="s">
        <v>243</v>
      </c>
      <c r="B20" s="326" t="str">
        <f>IF(IFERROR(VLOOKUP(s5pccommit[[#This Row],[Portfolio Company Name]],s11cumperf[],2,FALSE),"")="","",(IFERROR(VLOOKUP(s5pccommit[[#This Row],[Portfolio Company Name]],s11cumperf[],2,FALSE),"")))</f>
        <v/>
      </c>
      <c r="C20" s="334"/>
      <c r="D20" s="228"/>
      <c r="E20" s="358"/>
      <c r="F20" s="110"/>
      <c r="G20" s="359"/>
      <c r="H20" s="359"/>
    </row>
    <row r="21" spans="1:8" x14ac:dyDescent="0.2">
      <c r="A21" s="223" t="s">
        <v>243</v>
      </c>
      <c r="B21" s="326" t="str">
        <f>IF(IFERROR(VLOOKUP(s5pccommit[[#This Row],[Portfolio Company Name]],s11cumperf[],2,FALSE),"")="","",(IFERROR(VLOOKUP(s5pccommit[[#This Row],[Portfolio Company Name]],s11cumperf[],2,FALSE),"")))</f>
        <v/>
      </c>
      <c r="C21" s="334"/>
      <c r="D21" s="228"/>
      <c r="E21" s="358"/>
      <c r="F21" s="110"/>
      <c r="G21" s="359"/>
      <c r="H21" s="359"/>
    </row>
    <row r="22" spans="1:8" x14ac:dyDescent="0.2">
      <c r="A22" s="223" t="s">
        <v>243</v>
      </c>
      <c r="B22" s="326" t="str">
        <f>IF(IFERROR(VLOOKUP(s5pccommit[[#This Row],[Portfolio Company Name]],s11cumperf[],2,FALSE),"")="","",(IFERROR(VLOOKUP(s5pccommit[[#This Row],[Portfolio Company Name]],s11cumperf[],2,FALSE),"")))</f>
        <v/>
      </c>
      <c r="C22" s="334"/>
      <c r="D22" s="228"/>
      <c r="E22" s="358"/>
      <c r="F22" s="110"/>
      <c r="G22" s="359"/>
      <c r="H22" s="359"/>
    </row>
    <row r="23" spans="1:8" x14ac:dyDescent="0.2">
      <c r="A23" s="223" t="s">
        <v>243</v>
      </c>
      <c r="B23" s="326" t="str">
        <f>IF(IFERROR(VLOOKUP(s5pccommit[[#This Row],[Portfolio Company Name]],s11cumperf[],2,FALSE),"")="","",(IFERROR(VLOOKUP(s5pccommit[[#This Row],[Portfolio Company Name]],s11cumperf[],2,FALSE),"")))</f>
        <v/>
      </c>
      <c r="C23" s="334"/>
      <c r="D23" s="228"/>
      <c r="E23" s="358"/>
      <c r="F23" s="110"/>
      <c r="G23" s="359"/>
      <c r="H23" s="359"/>
    </row>
    <row r="24" spans="1:8" x14ac:dyDescent="0.2">
      <c r="A24" s="223" t="s">
        <v>243</v>
      </c>
      <c r="B24" s="326" t="str">
        <f>IF(IFERROR(VLOOKUP(s5pccommit[[#This Row],[Portfolio Company Name]],s11cumperf[],2,FALSE),"")="","",(IFERROR(VLOOKUP(s5pccommit[[#This Row],[Portfolio Company Name]],s11cumperf[],2,FALSE),"")))</f>
        <v/>
      </c>
      <c r="C24" s="334"/>
      <c r="D24" s="228"/>
      <c r="E24" s="358"/>
      <c r="F24" s="110"/>
      <c r="G24" s="359"/>
      <c r="H24" s="359"/>
    </row>
    <row r="25" spans="1:8" x14ac:dyDescent="0.2">
      <c r="A25" s="223" t="s">
        <v>243</v>
      </c>
      <c r="B25" s="326" t="str">
        <f>IF(IFERROR(VLOOKUP(s5pccommit[[#This Row],[Portfolio Company Name]],s11cumperf[],2,FALSE),"")="","",(IFERROR(VLOOKUP(s5pccommit[[#This Row],[Portfolio Company Name]],s11cumperf[],2,FALSE),"")))</f>
        <v/>
      </c>
      <c r="C25" s="334"/>
      <c r="D25" s="228"/>
      <c r="E25" s="358"/>
      <c r="F25" s="110"/>
      <c r="G25" s="359"/>
      <c r="H25" s="359"/>
    </row>
    <row r="26" spans="1:8" x14ac:dyDescent="0.2">
      <c r="A26" s="223" t="s">
        <v>243</v>
      </c>
      <c r="B26" s="326" t="str">
        <f>IF(IFERROR(VLOOKUP(s5pccommit[[#This Row],[Portfolio Company Name]],s11cumperf[],2,FALSE),"")="","",(IFERROR(VLOOKUP(s5pccommit[[#This Row],[Portfolio Company Name]],s11cumperf[],2,FALSE),"")))</f>
        <v/>
      </c>
      <c r="C26" s="334"/>
      <c r="D26" s="228"/>
      <c r="E26" s="358"/>
      <c r="F26" s="110"/>
      <c r="G26" s="359"/>
      <c r="H26" s="359"/>
    </row>
    <row r="27" spans="1:8" x14ac:dyDescent="0.2">
      <c r="A27" s="223" t="s">
        <v>243</v>
      </c>
      <c r="B27" s="326" t="str">
        <f>IF(IFERROR(VLOOKUP(s5pccommit[[#This Row],[Portfolio Company Name]],s11cumperf[],2,FALSE),"")="","",(IFERROR(VLOOKUP(s5pccommit[[#This Row],[Portfolio Company Name]],s11cumperf[],2,FALSE),"")))</f>
        <v/>
      </c>
      <c r="C27" s="334"/>
      <c r="D27" s="228"/>
      <c r="E27" s="358"/>
      <c r="F27" s="110"/>
      <c r="G27" s="359"/>
      <c r="H27" s="359"/>
    </row>
    <row r="28" spans="1:8" x14ac:dyDescent="0.2">
      <c r="A28" s="223" t="s">
        <v>243</v>
      </c>
      <c r="B28" s="326" t="str">
        <f>IF(IFERROR(VLOOKUP(s5pccommit[[#This Row],[Portfolio Company Name]],s11cumperf[],2,FALSE),"")="","",(IFERROR(VLOOKUP(s5pccommit[[#This Row],[Portfolio Company Name]],s11cumperf[],2,FALSE),"")))</f>
        <v/>
      </c>
      <c r="C28" s="334"/>
      <c r="D28" s="228"/>
      <c r="E28" s="358"/>
      <c r="F28" s="110"/>
      <c r="G28" s="359"/>
      <c r="H28" s="359"/>
    </row>
    <row r="29" spans="1:8" x14ac:dyDescent="0.2">
      <c r="A29" s="223" t="s">
        <v>243</v>
      </c>
      <c r="B29" s="326" t="str">
        <f>IF(IFERROR(VLOOKUP(s5pccommit[[#This Row],[Portfolio Company Name]],s11cumperf[],2,FALSE),"")="","",(IFERROR(VLOOKUP(s5pccommit[[#This Row],[Portfolio Company Name]],s11cumperf[],2,FALSE),"")))</f>
        <v/>
      </c>
      <c r="C29" s="334"/>
      <c r="D29" s="228"/>
      <c r="E29" s="358"/>
      <c r="F29" s="110"/>
      <c r="G29" s="359"/>
      <c r="H29" s="359"/>
    </row>
    <row r="30" spans="1:8" x14ac:dyDescent="0.2">
      <c r="A30" s="223" t="s">
        <v>243</v>
      </c>
      <c r="B30" s="326" t="str">
        <f>IF(IFERROR(VLOOKUP(s5pccommit[[#This Row],[Portfolio Company Name]],s11cumperf[],2,FALSE),"")="","",(IFERROR(VLOOKUP(s5pccommit[[#This Row],[Portfolio Company Name]],s11cumperf[],2,FALSE),"")))</f>
        <v/>
      </c>
      <c r="C30" s="334"/>
      <c r="D30" s="228"/>
      <c r="E30" s="358"/>
      <c r="F30" s="110"/>
      <c r="G30" s="359"/>
      <c r="H30" s="359"/>
    </row>
  </sheetData>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DC30B5CC-022B-4066-A3EE-12F6C87A131E}">
          <x14:formula1>
            <xm:f>selection!$BO$17:$BO$20</xm:f>
          </x14:formula1>
          <xm:sqref>H10:H30</xm:sqref>
        </x14:dataValidation>
        <x14:dataValidation type="list" allowBlank="1" showInputMessage="1" showErrorMessage="1" xr:uid="{E8EB52B0-24DB-4AE1-813A-DE1EE60C0E44}">
          <x14:formula1>
            <xm:f>selection!$BC$17:$BC$20</xm:f>
          </x14:formula1>
          <xm:sqref>F10:F30</xm:sqref>
        </x14:dataValidation>
        <x14:dataValidation type="list" allowBlank="1" showInputMessage="1" showErrorMessage="1" xr:uid="{243AF173-D06F-46D1-8240-2D05BAF0C444}">
          <x14:formula1>
            <xm:f>selection!$BF$17:$BF$30</xm:f>
          </x14:formula1>
          <xm:sqref>G10:G30</xm:sqref>
        </x14:dataValidation>
        <x14:dataValidation type="list" allowBlank="1" showInputMessage="1" showErrorMessage="1" xr:uid="{20ECBC62-A3CF-4666-B3F4-566D759890F2}">
          <x14:formula1>
            <xm:f>S11cumperf!$A$18:$A$100</xm:f>
          </x14:formula1>
          <xm:sqref>A10:A30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FA469-06FF-4B47-A810-78562A58A33F}">
  <sheetPr codeName="Sheet14"/>
  <dimension ref="A1:H25"/>
  <sheetViews>
    <sheetView workbookViewId="0">
      <selection activeCell="C10" sqref="C10:C25"/>
    </sheetView>
  </sheetViews>
  <sheetFormatPr defaultColWidth="23.7265625" defaultRowHeight="10" x14ac:dyDescent="0.2"/>
  <cols>
    <col min="1" max="1" width="27.7265625" style="77" customWidth="1"/>
    <col min="2" max="2" width="11.26953125" style="77" customWidth="1"/>
    <col min="3" max="3" width="10.81640625" style="77" customWidth="1"/>
    <col min="4" max="4" width="8.26953125" style="77" customWidth="1"/>
    <col min="5" max="5" width="9.7265625" style="77" customWidth="1"/>
    <col min="6" max="6" width="17.7265625" style="77" customWidth="1"/>
    <col min="7" max="7" width="16.6328125" style="77" customWidth="1"/>
    <col min="8" max="8" width="23" style="77" customWidth="1"/>
    <col min="9" max="16384" width="23.7265625" style="77"/>
  </cols>
  <sheetData>
    <row r="1" spans="1:8" ht="14.65" customHeight="1" x14ac:dyDescent="0.2">
      <c r="A1" s="73" t="s">
        <v>2128</v>
      </c>
      <c r="B1" s="759" t="s">
        <v>2129</v>
      </c>
      <c r="C1" s="759"/>
      <c r="D1" s="759"/>
      <c r="E1" s="759"/>
      <c r="F1" s="759"/>
      <c r="G1" s="759"/>
      <c r="H1" s="76" t="str">
        <f>'1-Cover'!$G$1</f>
        <v>OMB Approval No. 3245-0063</v>
      </c>
    </row>
    <row r="2" spans="1:8" ht="12.4" customHeight="1" x14ac:dyDescent="0.2">
      <c r="A2" s="78"/>
      <c r="B2" s="741" t="str">
        <f>"FOR "&amp;Number_of_Months&amp;" MONTH PERIOD ENDED: "&amp;TEXT(Form468Date,"MM/DD/YYYY")</f>
        <v>FOR  MONTH PERIOD ENDED: 01/00/1900</v>
      </c>
      <c r="C2" s="741"/>
      <c r="D2" s="741"/>
      <c r="E2" s="741"/>
      <c r="F2" s="741"/>
      <c r="G2" s="741"/>
      <c r="H2" s="80" t="str">
        <f>'1-Cover'!$G$2</f>
        <v>Expiration Date MM/DD/YYYY</v>
      </c>
    </row>
    <row r="3" spans="1:8" ht="12.4" customHeight="1" x14ac:dyDescent="0.2">
      <c r="A3" s="136"/>
      <c r="B3" s="82"/>
      <c r="C3" s="82"/>
      <c r="D3" s="137"/>
      <c r="E3" s="137"/>
      <c r="F3" s="82"/>
      <c r="G3" s="82"/>
      <c r="H3" s="139"/>
    </row>
    <row r="4" spans="1:8" x14ac:dyDescent="0.2">
      <c r="A4" s="121" t="str">
        <f>"Name of License:  "&amp;sbicname</f>
        <v xml:space="preserve">Name of License:  </v>
      </c>
      <c r="B4" s="122">
        <f>S5Commit!B4</f>
        <v>0</v>
      </c>
      <c r="C4" s="140"/>
      <c r="D4" s="140"/>
      <c r="E4" s="140"/>
      <c r="F4" s="140"/>
      <c r="G4" s="140"/>
      <c r="H4" s="123" t="str">
        <f>"License no.:  "&amp;TEXT(licenseno,"00\/00\-0000")</f>
        <v>License no.:  00/00-0000</v>
      </c>
    </row>
    <row r="5" spans="1:8" ht="5.5" customHeight="1" x14ac:dyDescent="0.2"/>
    <row r="6" spans="1:8" ht="14.25" customHeight="1" x14ac:dyDescent="0.2">
      <c r="A6" s="77" t="s">
        <v>1941</v>
      </c>
      <c r="B6" s="150"/>
      <c r="C6" s="157">
        <f>SUM(s6guar[Guarantee Amount])</f>
        <v>0</v>
      </c>
      <c r="H6" s="79"/>
    </row>
    <row r="7" spans="1:8" ht="6.75" customHeight="1" x14ac:dyDescent="0.2"/>
    <row r="8" spans="1:8" s="79" customFormat="1" ht="14.25" customHeight="1" x14ac:dyDescent="0.2">
      <c r="A8" s="360" t="s">
        <v>159</v>
      </c>
      <c r="B8" s="360" t="s">
        <v>2044</v>
      </c>
      <c r="C8" s="360" t="s">
        <v>154</v>
      </c>
      <c r="D8" s="360" t="s">
        <v>2045</v>
      </c>
      <c r="E8" s="360" t="s">
        <v>2046</v>
      </c>
      <c r="F8" s="360" t="s">
        <v>199</v>
      </c>
      <c r="G8" s="360" t="s">
        <v>2047</v>
      </c>
      <c r="H8" s="361" t="s">
        <v>2048</v>
      </c>
    </row>
    <row r="9" spans="1:8" s="278" customFormat="1" ht="40.15" customHeight="1" x14ac:dyDescent="0.35">
      <c r="A9" s="362" t="s">
        <v>2029</v>
      </c>
      <c r="B9" s="300" t="s">
        <v>2030</v>
      </c>
      <c r="C9" s="300" t="s">
        <v>2130</v>
      </c>
      <c r="D9" s="300" t="s">
        <v>2125</v>
      </c>
      <c r="E9" s="300" t="s">
        <v>2126</v>
      </c>
      <c r="F9" s="300" t="s">
        <v>2131</v>
      </c>
      <c r="G9" s="300" t="s">
        <v>3461</v>
      </c>
      <c r="H9" s="363" t="s">
        <v>3460</v>
      </c>
    </row>
    <row r="10" spans="1:8" x14ac:dyDescent="0.2">
      <c r="A10" s="223" t="s">
        <v>243</v>
      </c>
      <c r="B10" s="326" t="str">
        <f>IF(IFERROR(VLOOKUP(s6guar[[#This Row],[Portfolio Company Name]],s11cumperf[],2,FALSE),"")="","",(IFERROR(VLOOKUP(s6guar[[#This Row],[Portfolio Company Name]],s11cumperf[],2,FALSE),"")))</f>
        <v/>
      </c>
      <c r="C10" s="334"/>
      <c r="D10" s="358"/>
      <c r="E10" s="358"/>
      <c r="F10" s="110"/>
      <c r="G10" s="110"/>
      <c r="H10" s="364"/>
    </row>
    <row r="11" spans="1:8" x14ac:dyDescent="0.2">
      <c r="A11" s="223" t="s">
        <v>243</v>
      </c>
      <c r="B11" s="326" t="str">
        <f>IF(IFERROR(VLOOKUP(s6guar[[#This Row],[Portfolio Company Name]],s11cumperf[],2,FALSE),"")="","",(IFERROR(VLOOKUP(s6guar[[#This Row],[Portfolio Company Name]],s11cumperf[],2,FALSE),"")))</f>
        <v/>
      </c>
      <c r="C11" s="334"/>
      <c r="D11" s="358"/>
      <c r="E11" s="358"/>
      <c r="F11" s="110"/>
      <c r="G11" s="110"/>
      <c r="H11" s="364"/>
    </row>
    <row r="12" spans="1:8" x14ac:dyDescent="0.2">
      <c r="A12" s="223" t="s">
        <v>243</v>
      </c>
      <c r="B12" s="326" t="str">
        <f>IF(IFERROR(VLOOKUP(s6guar[[#This Row],[Portfolio Company Name]],s11cumperf[],2,FALSE),"")="","",(IFERROR(VLOOKUP(s6guar[[#This Row],[Portfolio Company Name]],s11cumperf[],2,FALSE),"")))</f>
        <v/>
      </c>
      <c r="C12" s="334"/>
      <c r="D12" s="358"/>
      <c r="E12" s="358"/>
      <c r="F12" s="110"/>
      <c r="G12" s="110"/>
      <c r="H12" s="364"/>
    </row>
    <row r="13" spans="1:8" x14ac:dyDescent="0.2">
      <c r="A13" s="223" t="s">
        <v>243</v>
      </c>
      <c r="B13" s="326" t="str">
        <f>IF(IFERROR(VLOOKUP(s6guar[[#This Row],[Portfolio Company Name]],s11cumperf[],2,FALSE),"")="","",(IFERROR(VLOOKUP(s6guar[[#This Row],[Portfolio Company Name]],s11cumperf[],2,FALSE),"")))</f>
        <v/>
      </c>
      <c r="C13" s="334"/>
      <c r="D13" s="358"/>
      <c r="E13" s="358"/>
      <c r="F13" s="110"/>
      <c r="G13" s="110"/>
      <c r="H13" s="364"/>
    </row>
    <row r="14" spans="1:8" x14ac:dyDescent="0.2">
      <c r="A14" s="223" t="s">
        <v>243</v>
      </c>
      <c r="B14" s="326" t="str">
        <f>IF(IFERROR(VLOOKUP(s6guar[[#This Row],[Portfolio Company Name]],s11cumperf[],2,FALSE),"")="","",(IFERROR(VLOOKUP(s6guar[[#This Row],[Portfolio Company Name]],s11cumperf[],2,FALSE),"")))</f>
        <v/>
      </c>
      <c r="C14" s="334"/>
      <c r="D14" s="358"/>
      <c r="E14" s="358"/>
      <c r="F14" s="110"/>
      <c r="G14" s="110"/>
      <c r="H14" s="364"/>
    </row>
    <row r="15" spans="1:8" x14ac:dyDescent="0.2">
      <c r="A15" s="223" t="s">
        <v>243</v>
      </c>
      <c r="B15" s="326" t="str">
        <f>IF(IFERROR(VLOOKUP(s6guar[[#This Row],[Portfolio Company Name]],s11cumperf[],2,FALSE),"")="","",(IFERROR(VLOOKUP(s6guar[[#This Row],[Portfolio Company Name]],s11cumperf[],2,FALSE),"")))</f>
        <v/>
      </c>
      <c r="C15" s="334"/>
      <c r="D15" s="358"/>
      <c r="E15" s="358"/>
      <c r="F15" s="110"/>
      <c r="G15" s="110"/>
      <c r="H15" s="364"/>
    </row>
    <row r="16" spans="1:8" x14ac:dyDescent="0.2">
      <c r="A16" s="223" t="s">
        <v>243</v>
      </c>
      <c r="B16" s="326" t="str">
        <f>IF(IFERROR(VLOOKUP(s6guar[[#This Row],[Portfolio Company Name]],s11cumperf[],2,FALSE),"")="","",(IFERROR(VLOOKUP(s6guar[[#This Row],[Portfolio Company Name]],s11cumperf[],2,FALSE),"")))</f>
        <v/>
      </c>
      <c r="C16" s="334"/>
      <c r="D16" s="358"/>
      <c r="E16" s="358"/>
      <c r="F16" s="110"/>
      <c r="G16" s="110"/>
      <c r="H16" s="364"/>
    </row>
    <row r="17" spans="1:8" x14ac:dyDescent="0.2">
      <c r="A17" s="223" t="s">
        <v>243</v>
      </c>
      <c r="B17" s="326" t="str">
        <f>IF(IFERROR(VLOOKUP(s6guar[[#This Row],[Portfolio Company Name]],s11cumperf[],2,FALSE),"")="","",(IFERROR(VLOOKUP(s6guar[[#This Row],[Portfolio Company Name]],s11cumperf[],2,FALSE),"")))</f>
        <v/>
      </c>
      <c r="C17" s="334"/>
      <c r="D17" s="358"/>
      <c r="E17" s="358"/>
      <c r="F17" s="110"/>
      <c r="G17" s="110"/>
      <c r="H17" s="364"/>
    </row>
    <row r="18" spans="1:8" x14ac:dyDescent="0.2">
      <c r="A18" s="223" t="s">
        <v>243</v>
      </c>
      <c r="B18" s="326" t="str">
        <f>IF(IFERROR(VLOOKUP(s6guar[[#This Row],[Portfolio Company Name]],s11cumperf[],2,FALSE),"")="","",(IFERROR(VLOOKUP(s6guar[[#This Row],[Portfolio Company Name]],s11cumperf[],2,FALSE),"")))</f>
        <v/>
      </c>
      <c r="C18" s="334"/>
      <c r="D18" s="358"/>
      <c r="E18" s="358"/>
      <c r="F18" s="110"/>
      <c r="G18" s="110"/>
      <c r="H18" s="364"/>
    </row>
    <row r="19" spans="1:8" x14ac:dyDescent="0.2">
      <c r="A19" s="223" t="s">
        <v>243</v>
      </c>
      <c r="B19" s="326" t="str">
        <f>IF(IFERROR(VLOOKUP(s6guar[[#This Row],[Portfolio Company Name]],s11cumperf[],2,FALSE),"")="","",(IFERROR(VLOOKUP(s6guar[[#This Row],[Portfolio Company Name]],s11cumperf[],2,FALSE),"")))</f>
        <v/>
      </c>
      <c r="C19" s="334"/>
      <c r="D19" s="358"/>
      <c r="E19" s="358"/>
      <c r="F19" s="110"/>
      <c r="G19" s="110"/>
      <c r="H19" s="364"/>
    </row>
    <row r="20" spans="1:8" x14ac:dyDescent="0.2">
      <c r="A20" s="223" t="s">
        <v>243</v>
      </c>
      <c r="B20" s="326" t="str">
        <f>IF(IFERROR(VLOOKUP(s6guar[[#This Row],[Portfolio Company Name]],s11cumperf[],2,FALSE),"")="","",(IFERROR(VLOOKUP(s6guar[[#This Row],[Portfolio Company Name]],s11cumperf[],2,FALSE),"")))</f>
        <v/>
      </c>
      <c r="C20" s="334"/>
      <c r="D20" s="358"/>
      <c r="E20" s="358"/>
      <c r="F20" s="110"/>
      <c r="G20" s="110"/>
      <c r="H20" s="364"/>
    </row>
    <row r="21" spans="1:8" x14ac:dyDescent="0.2">
      <c r="A21" s="223" t="s">
        <v>243</v>
      </c>
      <c r="B21" s="326" t="str">
        <f>IF(IFERROR(VLOOKUP(s6guar[[#This Row],[Portfolio Company Name]],s11cumperf[],2,FALSE),"")="","",(IFERROR(VLOOKUP(s6guar[[#This Row],[Portfolio Company Name]],s11cumperf[],2,FALSE),"")))</f>
        <v/>
      </c>
      <c r="C21" s="334"/>
      <c r="D21" s="358"/>
      <c r="E21" s="358"/>
      <c r="F21" s="110"/>
      <c r="G21" s="110"/>
      <c r="H21" s="364"/>
    </row>
    <row r="22" spans="1:8" x14ac:dyDescent="0.2">
      <c r="A22" s="223" t="s">
        <v>243</v>
      </c>
      <c r="B22" s="326" t="str">
        <f>IF(IFERROR(VLOOKUP(s6guar[[#This Row],[Portfolio Company Name]],s11cumperf[],2,FALSE),"")="","",(IFERROR(VLOOKUP(s6guar[[#This Row],[Portfolio Company Name]],s11cumperf[],2,FALSE),"")))</f>
        <v/>
      </c>
      <c r="C22" s="334"/>
      <c r="D22" s="358"/>
      <c r="E22" s="358"/>
      <c r="F22" s="110"/>
      <c r="G22" s="110"/>
      <c r="H22" s="364"/>
    </row>
    <row r="23" spans="1:8" x14ac:dyDescent="0.2">
      <c r="A23" s="223" t="s">
        <v>243</v>
      </c>
      <c r="B23" s="326" t="str">
        <f>IF(IFERROR(VLOOKUP(s6guar[[#This Row],[Portfolio Company Name]],s11cumperf[],2,FALSE),"")="","",(IFERROR(VLOOKUP(s6guar[[#This Row],[Portfolio Company Name]],s11cumperf[],2,FALSE),"")))</f>
        <v/>
      </c>
      <c r="C23" s="334"/>
      <c r="D23" s="358"/>
      <c r="E23" s="358"/>
      <c r="F23" s="110"/>
      <c r="G23" s="110"/>
      <c r="H23" s="364"/>
    </row>
    <row r="24" spans="1:8" x14ac:dyDescent="0.2">
      <c r="A24" s="223" t="s">
        <v>243</v>
      </c>
      <c r="B24" s="326" t="str">
        <f>IF(IFERROR(VLOOKUP(s6guar[[#This Row],[Portfolio Company Name]],s11cumperf[],2,FALSE),"")="","",(IFERROR(VLOOKUP(s6guar[[#This Row],[Portfolio Company Name]],s11cumperf[],2,FALSE),"")))</f>
        <v/>
      </c>
      <c r="C24" s="334"/>
      <c r="D24" s="358"/>
      <c r="E24" s="358"/>
      <c r="F24" s="110"/>
      <c r="G24" s="110"/>
      <c r="H24" s="364"/>
    </row>
    <row r="25" spans="1:8" x14ac:dyDescent="0.2">
      <c r="A25" s="223" t="s">
        <v>243</v>
      </c>
      <c r="B25" s="326" t="str">
        <f>IF(IFERROR(VLOOKUP(s6guar[[#This Row],[Portfolio Company Name]],s11cumperf[],2,FALSE),"")="","",(IFERROR(VLOOKUP(s6guar[[#This Row],[Portfolio Company Name]],s11cumperf[],2,FALSE),"")))</f>
        <v/>
      </c>
      <c r="C25" s="334"/>
      <c r="D25" s="358"/>
      <c r="E25" s="358"/>
      <c r="F25" s="110"/>
      <c r="G25" s="110"/>
      <c r="H25" s="364"/>
    </row>
  </sheetData>
  <mergeCells count="2">
    <mergeCell ref="B2:G2"/>
    <mergeCell ref="B1:G1"/>
  </mergeCells>
  <pageMargins left="0.5" right="0.5" top="0.5" bottom="0.5" header="0.3" footer="0.3"/>
  <pageSetup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4EA0F770-5711-42EB-94B5-759C7A08DCF1}">
          <x14:formula1>
            <xm:f>S11cumperf!$A$18:$A$100</xm:f>
          </x14:formula1>
          <xm:sqref>A10:A25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5B8B0-74BD-42E4-B48C-5B2CDC474FAB}">
  <sheetPr codeName="Sheet21"/>
  <dimension ref="A1:N39"/>
  <sheetViews>
    <sheetView workbookViewId="0">
      <selection activeCell="O35" sqref="O35"/>
    </sheetView>
  </sheetViews>
  <sheetFormatPr defaultColWidth="8.7265625" defaultRowHeight="13.15" customHeight="1" x14ac:dyDescent="0.2"/>
  <cols>
    <col min="1" max="2" width="7.81640625" style="77" customWidth="1"/>
    <col min="3" max="3" width="5.54296875" style="77" customWidth="1"/>
    <col min="4" max="4" width="7.81640625" style="77" customWidth="1"/>
    <col min="5" max="5" width="8.54296875" style="77" customWidth="1"/>
    <col min="6" max="6" width="7.81640625" style="77" customWidth="1"/>
    <col min="7" max="7" width="5.26953125" style="77" customWidth="1"/>
    <col min="8" max="10" width="7.81640625" style="77" customWidth="1"/>
    <col min="11" max="11" width="7.26953125" style="77" customWidth="1"/>
    <col min="12" max="12" width="8.7265625" style="77" customWidth="1"/>
    <col min="13" max="16384" width="8.7265625" style="77"/>
  </cols>
  <sheetData>
    <row r="1" spans="1:14" ht="13.15" customHeight="1" x14ac:dyDescent="0.2">
      <c r="A1" s="73" t="s">
        <v>2132</v>
      </c>
      <c r="B1" s="74"/>
      <c r="C1" s="244"/>
      <c r="D1" s="244"/>
      <c r="E1" s="244"/>
      <c r="F1" s="303" t="s">
        <v>2133</v>
      </c>
      <c r="G1" s="244"/>
      <c r="H1" s="244"/>
      <c r="I1" s="244"/>
      <c r="J1" s="244"/>
      <c r="K1" s="74"/>
      <c r="L1" s="76" t="str">
        <f>'1-Cover'!$G$1</f>
        <v>OMB Approval No. 3245-0063</v>
      </c>
    </row>
    <row r="2" spans="1:14" ht="13.15" customHeight="1" x14ac:dyDescent="0.2">
      <c r="A2" s="328"/>
      <c r="C2" s="242"/>
      <c r="D2" s="242"/>
      <c r="E2" s="242"/>
      <c r="F2" s="329" t="str">
        <f>"FOR "&amp;Number_of_Months&amp;" MONTH PERIOD ENDED: "&amp;TEXT(Form468Date,"MM/DD/YYYY")</f>
        <v>FOR  MONTH PERIOD ENDED: 01/00/1900</v>
      </c>
      <c r="G2" s="242"/>
      <c r="H2" s="242"/>
      <c r="I2" s="242"/>
      <c r="J2" s="242"/>
      <c r="L2" s="80" t="str">
        <f>'1-Cover'!$G$2</f>
        <v>Expiration Date MM/DD/YYYY</v>
      </c>
    </row>
    <row r="3" spans="1:14" ht="13.15" customHeight="1" x14ac:dyDescent="0.2">
      <c r="A3" s="330"/>
      <c r="B3" s="82"/>
      <c r="C3" s="331"/>
      <c r="D3" s="331"/>
      <c r="E3" s="331"/>
      <c r="F3" s="365"/>
      <c r="G3" s="331"/>
      <c r="H3" s="331"/>
      <c r="I3" s="331"/>
      <c r="J3" s="331"/>
      <c r="K3" s="82"/>
      <c r="L3" s="366"/>
    </row>
    <row r="4" spans="1:14" ht="13.15" customHeight="1" x14ac:dyDescent="0.2">
      <c r="A4" s="121" t="str">
        <f>"Name of License:  "&amp;sbicname</f>
        <v xml:space="preserve">Name of License:  </v>
      </c>
      <c r="B4" s="122"/>
      <c r="C4" s="140">
        <f>S6Guar!B4</f>
        <v>0</v>
      </c>
      <c r="D4" s="140"/>
      <c r="E4" s="140"/>
      <c r="F4" s="140"/>
      <c r="G4" s="140"/>
      <c r="H4" s="140"/>
      <c r="I4" s="140"/>
      <c r="J4" s="140"/>
      <c r="K4" s="140"/>
      <c r="L4" s="123" t="str">
        <f>"License no.:  "&amp;TEXT(licenseno,"00\/00\-0000")</f>
        <v>License no.:  00/00-0000</v>
      </c>
    </row>
    <row r="5" spans="1:14" ht="13.15" customHeight="1" x14ac:dyDescent="0.2">
      <c r="K5" s="150"/>
    </row>
    <row r="6" spans="1:14" ht="13.15" customHeight="1" x14ac:dyDescent="0.2">
      <c r="F6" s="367" t="s">
        <v>2134</v>
      </c>
    </row>
    <row r="7" spans="1:14" ht="13.15" customHeight="1" x14ac:dyDescent="0.2">
      <c r="F7" s="367"/>
    </row>
    <row r="9" spans="1:14" ht="13.15" customHeight="1" x14ac:dyDescent="0.2">
      <c r="A9" s="198" t="s">
        <v>2135</v>
      </c>
    </row>
    <row r="10" spans="1:14" ht="13.15" customHeight="1" x14ac:dyDescent="0.2">
      <c r="N10" s="79"/>
    </row>
    <row r="11" spans="1:14" ht="13.15" customHeight="1" x14ac:dyDescent="0.2">
      <c r="A11" s="77" t="s">
        <v>63</v>
      </c>
      <c r="I11" s="742" t="s">
        <v>2136</v>
      </c>
      <c r="J11" s="742"/>
      <c r="K11" s="742" t="s">
        <v>2137</v>
      </c>
      <c r="L11" s="742"/>
      <c r="N11" s="79"/>
    </row>
    <row r="12" spans="1:14" ht="13.15" customHeight="1" x14ac:dyDescent="0.2">
      <c r="A12" s="717"/>
      <c r="B12" s="718"/>
      <c r="C12" s="718"/>
      <c r="D12" s="718"/>
      <c r="E12" s="718"/>
      <c r="F12" s="718"/>
      <c r="G12" s="718"/>
      <c r="H12" s="719"/>
      <c r="I12" s="774"/>
      <c r="J12" s="775"/>
      <c r="K12" s="776"/>
      <c r="L12" s="777"/>
      <c r="N12" s="79"/>
    </row>
    <row r="13" spans="1:14" ht="13.15" customHeight="1" x14ac:dyDescent="0.2">
      <c r="N13" s="79"/>
    </row>
    <row r="14" spans="1:14" ht="13.15" customHeight="1" x14ac:dyDescent="0.2">
      <c r="N14" s="79"/>
    </row>
    <row r="15" spans="1:14" ht="13.15" customHeight="1" x14ac:dyDescent="0.2">
      <c r="A15" s="198" t="s">
        <v>2138</v>
      </c>
    </row>
    <row r="17" spans="1:12" ht="13.15" customHeight="1" x14ac:dyDescent="0.2">
      <c r="A17" s="77" t="s">
        <v>2139</v>
      </c>
      <c r="I17" s="742" t="s">
        <v>2136</v>
      </c>
      <c r="J17" s="742"/>
      <c r="K17" s="742" t="s">
        <v>2137</v>
      </c>
      <c r="L17" s="742"/>
    </row>
    <row r="18" spans="1:12" ht="13.15" customHeight="1" x14ac:dyDescent="0.2">
      <c r="A18" s="717"/>
      <c r="B18" s="718"/>
      <c r="C18" s="718"/>
      <c r="D18" s="718"/>
      <c r="E18" s="718"/>
      <c r="F18" s="718"/>
      <c r="G18" s="718"/>
      <c r="H18" s="719"/>
      <c r="I18" s="774"/>
      <c r="J18" s="775"/>
      <c r="K18" s="776"/>
      <c r="L18" s="777"/>
    </row>
    <row r="21" spans="1:12" ht="13.15" customHeight="1" x14ac:dyDescent="0.2">
      <c r="A21" s="198" t="s">
        <v>2140</v>
      </c>
    </row>
    <row r="23" spans="1:12" ht="13.15" customHeight="1" x14ac:dyDescent="0.2">
      <c r="A23" s="77" t="s">
        <v>2139</v>
      </c>
      <c r="I23" s="742" t="s">
        <v>2136</v>
      </c>
      <c r="J23" s="742"/>
      <c r="K23" s="742" t="s">
        <v>2137</v>
      </c>
      <c r="L23" s="742"/>
    </row>
    <row r="24" spans="1:12" ht="13.15" customHeight="1" x14ac:dyDescent="0.2">
      <c r="A24" s="717"/>
      <c r="B24" s="718"/>
      <c r="C24" s="718"/>
      <c r="D24" s="718"/>
      <c r="E24" s="718"/>
      <c r="F24" s="718"/>
      <c r="G24" s="718"/>
      <c r="H24" s="719"/>
      <c r="I24" s="774"/>
      <c r="J24" s="775"/>
      <c r="K24" s="776"/>
      <c r="L24" s="777"/>
    </row>
    <row r="27" spans="1:12" ht="13.15" customHeight="1" x14ac:dyDescent="0.2">
      <c r="A27" s="198" t="s">
        <v>2141</v>
      </c>
    </row>
    <row r="29" spans="1:12" ht="13.15" customHeight="1" x14ac:dyDescent="0.2">
      <c r="A29" s="77" t="s">
        <v>2139</v>
      </c>
      <c r="I29" s="742" t="s">
        <v>2136</v>
      </c>
      <c r="J29" s="742"/>
      <c r="K29" s="742" t="s">
        <v>2137</v>
      </c>
      <c r="L29" s="742"/>
    </row>
    <row r="30" spans="1:12" ht="13.15" customHeight="1" x14ac:dyDescent="0.2">
      <c r="A30" s="717"/>
      <c r="B30" s="718"/>
      <c r="C30" s="718"/>
      <c r="D30" s="718"/>
      <c r="E30" s="718"/>
      <c r="F30" s="718"/>
      <c r="G30" s="718"/>
      <c r="H30" s="719"/>
      <c r="I30" s="774"/>
      <c r="J30" s="775"/>
      <c r="K30" s="776">
        <v>0</v>
      </c>
      <c r="L30" s="777"/>
    </row>
    <row r="33" spans="1:13" ht="13.15" customHeight="1" x14ac:dyDescent="0.2">
      <c r="A33" s="198" t="s">
        <v>2142</v>
      </c>
    </row>
    <row r="35" spans="1:13" ht="13.15" customHeight="1" x14ac:dyDescent="0.2">
      <c r="A35" s="77" t="s">
        <v>2143</v>
      </c>
      <c r="I35" s="742" t="s">
        <v>2136</v>
      </c>
      <c r="J35" s="742"/>
      <c r="K35" s="742" t="s">
        <v>2137</v>
      </c>
      <c r="L35" s="742"/>
    </row>
    <row r="36" spans="1:13" ht="13.15" customHeight="1" x14ac:dyDescent="0.2">
      <c r="A36" s="717"/>
      <c r="B36" s="718"/>
      <c r="C36" s="718"/>
      <c r="D36" s="718"/>
      <c r="E36" s="718"/>
      <c r="F36" s="718"/>
      <c r="G36" s="718"/>
      <c r="H36" s="719"/>
      <c r="I36" s="774"/>
      <c r="J36" s="775"/>
      <c r="K36" s="778"/>
      <c r="L36" s="779"/>
    </row>
    <row r="38" spans="1:13" ht="13.15" customHeight="1" x14ac:dyDescent="0.2">
      <c r="J38" s="215" t="s">
        <v>2144</v>
      </c>
      <c r="K38" s="772">
        <f>SUM(K12:L36)</f>
        <v>0</v>
      </c>
      <c r="L38" s="773"/>
    </row>
    <row r="39" spans="1:13" ht="13.15" customHeight="1" x14ac:dyDescent="0.2">
      <c r="J39" s="150" t="s">
        <v>2145</v>
      </c>
      <c r="K39" s="772">
        <f>'2&amp;3-Bal'!F40+'2&amp;3-Bal'!F41</f>
        <v>0</v>
      </c>
      <c r="L39" s="773"/>
      <c r="M39" s="368" t="s">
        <v>1734</v>
      </c>
    </row>
  </sheetData>
  <mergeCells count="27">
    <mergeCell ref="K36:L36"/>
    <mergeCell ref="K35:L35"/>
    <mergeCell ref="A12:H12"/>
    <mergeCell ref="A18:H18"/>
    <mergeCell ref="A24:H24"/>
    <mergeCell ref="A30:H30"/>
    <mergeCell ref="A36:H36"/>
    <mergeCell ref="I12:J12"/>
    <mergeCell ref="K12:L12"/>
    <mergeCell ref="I18:J18"/>
    <mergeCell ref="K18:L18"/>
    <mergeCell ref="K39:L39"/>
    <mergeCell ref="K38:L38"/>
    <mergeCell ref="K11:L11"/>
    <mergeCell ref="I11:J11"/>
    <mergeCell ref="I17:J17"/>
    <mergeCell ref="K17:L17"/>
    <mergeCell ref="I23:J23"/>
    <mergeCell ref="K23:L23"/>
    <mergeCell ref="I29:J29"/>
    <mergeCell ref="K29:L29"/>
    <mergeCell ref="I35:J35"/>
    <mergeCell ref="I24:J24"/>
    <mergeCell ref="K24:L24"/>
    <mergeCell ref="I30:J30"/>
    <mergeCell ref="K30:L30"/>
    <mergeCell ref="I36:J36"/>
  </mergeCells>
  <hyperlinks>
    <hyperlink ref="M39" location="cycash" display="*" xr:uid="{6A96D97B-031C-4A45-963B-52C6EA644F4B}"/>
  </hyperlinks>
  <pageMargins left="0.5" right="0.5" top="0.5" bottom="0.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746B8-6F5D-42D1-B26D-A1ACA643BD39}">
  <sheetPr codeName="Sheet27">
    <outlinePr summaryRight="0"/>
  </sheetPr>
  <dimension ref="A1:P41"/>
  <sheetViews>
    <sheetView workbookViewId="0">
      <selection activeCell="E11" sqref="E11"/>
    </sheetView>
  </sheetViews>
  <sheetFormatPr defaultColWidth="8.7265625" defaultRowHeight="10" outlineLevelCol="1" x14ac:dyDescent="0.2"/>
  <cols>
    <col min="1" max="1" width="2.453125" style="77" customWidth="1"/>
    <col min="2" max="3" width="2.81640625" style="77" customWidth="1"/>
    <col min="4" max="4" width="6.453125" style="77" customWidth="1"/>
    <col min="5" max="5" width="41.26953125" style="369" customWidth="1"/>
    <col min="6" max="6" width="13.54296875" style="84" customWidth="1"/>
    <col min="7" max="10" width="13.54296875" style="77" customWidth="1"/>
    <col min="11" max="11" width="2.1796875" style="77" customWidth="1" collapsed="1"/>
    <col min="12" max="12" width="12" style="77" hidden="1" customWidth="1" outlineLevel="1"/>
    <col min="13" max="16" width="13.81640625" style="77" hidden="1" customWidth="1" outlineLevel="1"/>
    <col min="17" max="17" width="0.26953125" style="77" customWidth="1"/>
    <col min="18" max="16384" width="8.7265625" style="77"/>
  </cols>
  <sheetData>
    <row r="1" spans="1:16" x14ac:dyDescent="0.2">
      <c r="K1" s="134" t="s">
        <v>2146</v>
      </c>
    </row>
    <row r="2" spans="1:16" s="373" customFormat="1" ht="13.15" customHeight="1" x14ac:dyDescent="0.35">
      <c r="A2" s="370" t="s">
        <v>2147</v>
      </c>
      <c r="B2" s="350"/>
      <c r="C2" s="371"/>
      <c r="D2" s="350"/>
      <c r="E2" s="350"/>
      <c r="F2" s="303" t="s">
        <v>2148</v>
      </c>
      <c r="G2" s="371"/>
      <c r="H2" s="371"/>
      <c r="I2" s="372"/>
      <c r="J2" s="351" t="str">
        <f>'1-Cover'!$G$1</f>
        <v>OMB Approval No. 3245-0063</v>
      </c>
      <c r="L2" s="371"/>
      <c r="M2" s="374" t="s">
        <v>2149</v>
      </c>
      <c r="N2" s="350"/>
      <c r="O2" s="350"/>
      <c r="P2" s="351" t="str">
        <f>'1-Cover'!$G$1</f>
        <v>OMB Approval No. 3245-0063</v>
      </c>
    </row>
    <row r="3" spans="1:16" s="352" customFormat="1" ht="13.15" customHeight="1" x14ac:dyDescent="0.35">
      <c r="A3" s="375"/>
      <c r="F3" s="306" t="str">
        <f>"FOR "&amp;Number_of_Months&amp;" MONTH PERIOD ENDED: "&amp;TEXT(Form468Date,"MM/DD/YYYY")</f>
        <v>FOR  MONTH PERIOD ENDED: 01/00/1900</v>
      </c>
      <c r="I3" s="376"/>
      <c r="J3" s="353" t="str">
        <f>'1-Cover'!$G$2</f>
        <v>Expiration Date MM/DD/YYYY</v>
      </c>
      <c r="M3" s="367" t="s">
        <v>2150</v>
      </c>
      <c r="P3" s="353" t="str">
        <f>'1-Cover'!$G$2</f>
        <v>Expiration Date MM/DD/YYYY</v>
      </c>
    </row>
    <row r="4" spans="1:16" s="352" customFormat="1" ht="13.15" customHeight="1" x14ac:dyDescent="0.35">
      <c r="A4" s="58" t="s">
        <v>3458</v>
      </c>
      <c r="B4" s="377"/>
      <c r="C4" s="365"/>
      <c r="D4" s="365"/>
      <c r="E4" s="365"/>
      <c r="F4" s="365"/>
      <c r="G4" s="365"/>
      <c r="H4" s="365"/>
      <c r="I4" s="378"/>
      <c r="J4" s="379"/>
      <c r="L4" s="378"/>
      <c r="M4" s="378"/>
      <c r="N4" s="380"/>
      <c r="O4" s="380"/>
      <c r="P4" s="381"/>
    </row>
    <row r="5" spans="1:16" s="352" customFormat="1" ht="13.15" customHeight="1" x14ac:dyDescent="0.2">
      <c r="A5" s="121" t="str">
        <f>"Name of License:  "&amp;sbicname</f>
        <v xml:space="preserve">Name of License:  </v>
      </c>
      <c r="B5" s="122"/>
      <c r="C5" s="140"/>
      <c r="D5" s="140"/>
      <c r="E5" s="140">
        <f>S7Cash!C4</f>
        <v>0</v>
      </c>
      <c r="F5" s="140"/>
      <c r="G5" s="140"/>
      <c r="H5" s="140"/>
      <c r="I5" s="140"/>
      <c r="J5" s="123" t="str">
        <f>"License no.:  "&amp;TEXT(licenseno,"00\/00\-0000")</f>
        <v>License no.:  00/00-0000</v>
      </c>
      <c r="L5" s="382"/>
      <c r="M5" s="382"/>
      <c r="N5" s="382"/>
      <c r="O5" s="383" t="s">
        <v>2151</v>
      </c>
      <c r="P5" s="384" t="str">
        <f>licenseno</f>
        <v>00000000</v>
      </c>
    </row>
    <row r="6" spans="1:16" s="352" customFormat="1" ht="13.15" customHeight="1" x14ac:dyDescent="0.35">
      <c r="E6" s="385"/>
      <c r="F6" s="376"/>
    </row>
    <row r="7" spans="1:16" s="352" customFormat="1" ht="13.15" customHeight="1" x14ac:dyDescent="0.35">
      <c r="A7" s="352" t="s">
        <v>2152</v>
      </c>
      <c r="F7" s="376"/>
    </row>
    <row r="8" spans="1:16" s="352" customFormat="1" ht="13.15" customHeight="1" x14ac:dyDescent="0.35">
      <c r="B8" s="386">
        <v>1</v>
      </c>
      <c r="C8" s="387" t="s">
        <v>3511</v>
      </c>
      <c r="F8" s="388"/>
      <c r="G8" s="385"/>
      <c r="H8" s="385"/>
      <c r="I8" s="385"/>
      <c r="L8" s="389">
        <f>F8</f>
        <v>0</v>
      </c>
    </row>
    <row r="9" spans="1:16" s="352" customFormat="1" ht="13.15" customHeight="1" x14ac:dyDescent="0.35">
      <c r="B9" s="386">
        <v>2</v>
      </c>
      <c r="C9" s="387" t="s">
        <v>3510</v>
      </c>
      <c r="F9" s="388"/>
      <c r="G9" s="385"/>
      <c r="H9" s="385"/>
      <c r="I9" s="385"/>
      <c r="L9" s="389">
        <f>F9</f>
        <v>0</v>
      </c>
    </row>
    <row r="10" spans="1:16" s="352" customFormat="1" ht="13.15" customHeight="1" x14ac:dyDescent="0.35">
      <c r="B10" s="386">
        <v>3</v>
      </c>
      <c r="C10" s="387" t="s">
        <v>2153</v>
      </c>
      <c r="F10" s="390">
        <f>IFERROR(F8/SUM(F8:F9),0)</f>
        <v>0</v>
      </c>
      <c r="G10" s="391"/>
      <c r="H10" s="391"/>
      <c r="L10" s="392">
        <f>sbapct</f>
        <v>0</v>
      </c>
    </row>
    <row r="11" spans="1:16" s="352" customFormat="1" ht="13.15" customHeight="1" x14ac:dyDescent="0.35">
      <c r="F11" s="376"/>
    </row>
    <row r="12" spans="1:16" s="352" customFormat="1" ht="13.15" customHeight="1" x14ac:dyDescent="0.35">
      <c r="A12" s="352" t="s">
        <v>2154</v>
      </c>
      <c r="B12" s="352" t="s">
        <v>2155</v>
      </c>
      <c r="E12" s="385"/>
      <c r="F12" s="393">
        <v>1</v>
      </c>
      <c r="G12" s="393">
        <v>2</v>
      </c>
      <c r="H12" s="393">
        <v>3</v>
      </c>
      <c r="I12" s="393">
        <v>4</v>
      </c>
      <c r="J12" s="393">
        <v>5</v>
      </c>
      <c r="L12" s="394">
        <v>6</v>
      </c>
      <c r="M12" s="394">
        <v>7</v>
      </c>
      <c r="N12" s="394">
        <v>8</v>
      </c>
      <c r="O12" s="394">
        <v>9</v>
      </c>
      <c r="P12" s="394">
        <v>10</v>
      </c>
    </row>
    <row r="13" spans="1:16" s="352" customFormat="1" ht="13.15" customHeight="1" x14ac:dyDescent="0.35">
      <c r="B13" s="386">
        <v>1</v>
      </c>
      <c r="C13" s="387" t="s">
        <v>2156</v>
      </c>
      <c r="D13" s="387"/>
      <c r="E13" s="385"/>
      <c r="F13" s="404"/>
      <c r="G13" s="404"/>
      <c r="H13" s="404"/>
      <c r="I13" s="404"/>
      <c r="J13" s="404"/>
      <c r="L13" s="395"/>
      <c r="M13" s="395"/>
      <c r="N13" s="395"/>
      <c r="O13" s="395"/>
      <c r="P13" s="395"/>
    </row>
    <row r="14" spans="1:16" s="352" customFormat="1" ht="13.15" customHeight="1" x14ac:dyDescent="0.35">
      <c r="B14" s="386">
        <v>2</v>
      </c>
      <c r="C14" s="387" t="s">
        <v>2157</v>
      </c>
      <c r="D14" s="387"/>
      <c r="E14" s="387"/>
      <c r="F14" s="405">
        <v>0</v>
      </c>
      <c r="G14" s="405"/>
      <c r="H14" s="405"/>
      <c r="I14" s="405"/>
      <c r="J14" s="405"/>
      <c r="L14" s="396"/>
      <c r="M14" s="396"/>
      <c r="N14" s="396"/>
      <c r="O14" s="396"/>
      <c r="P14" s="396"/>
    </row>
    <row r="15" spans="1:16" s="352" customFormat="1" ht="13.15" customHeight="1" x14ac:dyDescent="0.35">
      <c r="B15" s="386">
        <v>3</v>
      </c>
      <c r="C15" s="387" t="s">
        <v>2158</v>
      </c>
      <c r="D15" s="387"/>
      <c r="E15" s="387"/>
      <c r="F15" s="405">
        <v>0</v>
      </c>
      <c r="G15" s="405"/>
      <c r="H15" s="405"/>
      <c r="I15" s="405"/>
      <c r="J15" s="405"/>
      <c r="L15" s="396"/>
      <c r="M15" s="396"/>
      <c r="N15" s="396"/>
      <c r="O15" s="396"/>
      <c r="P15" s="396"/>
    </row>
    <row r="16" spans="1:16" s="352" customFormat="1" ht="13.15" customHeight="1" x14ac:dyDescent="0.35">
      <c r="B16" s="386">
        <v>4</v>
      </c>
      <c r="C16" s="387" t="s">
        <v>2159</v>
      </c>
      <c r="D16" s="387"/>
      <c r="E16" s="387"/>
      <c r="F16" s="405">
        <v>0</v>
      </c>
      <c r="G16" s="405"/>
      <c r="H16" s="405"/>
      <c r="I16" s="405"/>
      <c r="J16" s="405"/>
      <c r="L16" s="396"/>
      <c r="M16" s="396"/>
      <c r="N16" s="396"/>
      <c r="O16" s="396"/>
      <c r="P16" s="396"/>
    </row>
    <row r="17" spans="2:16" s="352" customFormat="1" ht="13.15" customHeight="1" x14ac:dyDescent="0.35">
      <c r="B17" s="386">
        <v>5</v>
      </c>
      <c r="C17" s="387" t="s">
        <v>2160</v>
      </c>
      <c r="D17" s="387"/>
      <c r="E17" s="387"/>
      <c r="F17" s="397"/>
      <c r="G17" s="397"/>
      <c r="H17" s="397"/>
      <c r="I17" s="397"/>
      <c r="J17" s="397"/>
      <c r="L17" s="397"/>
      <c r="M17" s="397"/>
      <c r="N17" s="397"/>
      <c r="O17" s="397"/>
      <c r="P17" s="397"/>
    </row>
    <row r="18" spans="2:16" s="352" customFormat="1" ht="13.15" customHeight="1" x14ac:dyDescent="0.35">
      <c r="C18" s="352" t="s">
        <v>1918</v>
      </c>
      <c r="D18" s="387" t="s">
        <v>2161</v>
      </c>
      <c r="E18" s="387"/>
      <c r="F18" s="406">
        <f t="shared" ref="F18:P18" si="0">IFERROR(F16*sbapct,"")</f>
        <v>0</v>
      </c>
      <c r="G18" s="406">
        <f t="shared" si="0"/>
        <v>0</v>
      </c>
      <c r="H18" s="406">
        <f t="shared" si="0"/>
        <v>0</v>
      </c>
      <c r="I18" s="406">
        <f t="shared" si="0"/>
        <v>0</v>
      </c>
      <c r="J18" s="406">
        <f t="shared" si="0"/>
        <v>0</v>
      </c>
      <c r="L18" s="398">
        <f t="shared" si="0"/>
        <v>0</v>
      </c>
      <c r="M18" s="398">
        <f t="shared" si="0"/>
        <v>0</v>
      </c>
      <c r="N18" s="398">
        <f t="shared" si="0"/>
        <v>0</v>
      </c>
      <c r="O18" s="398">
        <f t="shared" si="0"/>
        <v>0</v>
      </c>
      <c r="P18" s="398">
        <f t="shared" si="0"/>
        <v>0</v>
      </c>
    </row>
    <row r="19" spans="2:16" s="352" customFormat="1" ht="13.15" customHeight="1" x14ac:dyDescent="0.35">
      <c r="C19" s="352" t="s">
        <v>1919</v>
      </c>
      <c r="D19" s="387" t="s">
        <v>2162</v>
      </c>
      <c r="E19" s="387"/>
      <c r="F19" s="405">
        <v>0</v>
      </c>
      <c r="G19" s="405"/>
      <c r="H19" s="405"/>
      <c r="I19" s="405"/>
      <c r="J19" s="405"/>
      <c r="L19" s="396"/>
      <c r="M19" s="396"/>
      <c r="N19" s="396"/>
      <c r="O19" s="396"/>
      <c r="P19" s="396"/>
    </row>
    <row r="20" spans="2:16" s="352" customFormat="1" ht="13.15" customHeight="1" x14ac:dyDescent="0.35">
      <c r="C20" s="352" t="s">
        <v>1920</v>
      </c>
      <c r="D20" s="387" t="s">
        <v>2163</v>
      </c>
      <c r="E20" s="387"/>
      <c r="F20" s="406">
        <f>MIN(F19,F18)</f>
        <v>0</v>
      </c>
      <c r="G20" s="406">
        <f>MIN(G19,G18)</f>
        <v>0</v>
      </c>
      <c r="H20" s="406">
        <f>MIN(H19,H18)</f>
        <v>0</v>
      </c>
      <c r="I20" s="406">
        <f>MIN(I19,I18)</f>
        <v>0</v>
      </c>
      <c r="J20" s="406">
        <f>MIN(J19,J18)</f>
        <v>0</v>
      </c>
      <c r="L20" s="398">
        <f>MIN(L19,L18)</f>
        <v>0</v>
      </c>
      <c r="M20" s="398">
        <f>MIN(M19,M18)</f>
        <v>0</v>
      </c>
      <c r="N20" s="398">
        <f>MIN(N19,N18)</f>
        <v>0</v>
      </c>
      <c r="O20" s="398">
        <f>MIN(O19,O18)</f>
        <v>0</v>
      </c>
      <c r="P20" s="398">
        <f>MIN(P19,P18)</f>
        <v>0</v>
      </c>
    </row>
    <row r="21" spans="2:16" s="352" customFormat="1" ht="13.15" customHeight="1" x14ac:dyDescent="0.35">
      <c r="C21" s="352" t="s">
        <v>2164</v>
      </c>
      <c r="D21" s="387" t="s">
        <v>2165</v>
      </c>
      <c r="E21" s="387"/>
      <c r="F21" s="405">
        <v>0</v>
      </c>
      <c r="G21" s="405"/>
      <c r="H21" s="405"/>
      <c r="I21" s="405"/>
      <c r="J21" s="405"/>
      <c r="L21" s="396"/>
      <c r="M21" s="396"/>
      <c r="N21" s="396"/>
      <c r="O21" s="396"/>
      <c r="P21" s="396"/>
    </row>
    <row r="22" spans="2:16" s="352" customFormat="1" ht="13.15" customHeight="1" x14ac:dyDescent="0.35">
      <c r="C22" s="352" t="s">
        <v>2166</v>
      </c>
      <c r="D22" s="387" t="s">
        <v>2167</v>
      </c>
      <c r="E22" s="387"/>
      <c r="F22" s="406">
        <f>F19-F21</f>
        <v>0</v>
      </c>
      <c r="G22" s="406">
        <f>G19-G21</f>
        <v>0</v>
      </c>
      <c r="H22" s="406">
        <f>H19-H21</f>
        <v>0</v>
      </c>
      <c r="I22" s="406">
        <f>I19-I21</f>
        <v>0</v>
      </c>
      <c r="J22" s="406">
        <f>J19-J21</f>
        <v>0</v>
      </c>
      <c r="L22" s="398">
        <f>L19-L21</f>
        <v>0</v>
      </c>
      <c r="M22" s="398">
        <f>M19-M21</f>
        <v>0</v>
      </c>
      <c r="N22" s="398">
        <f>N19-N21</f>
        <v>0</v>
      </c>
      <c r="O22" s="398">
        <f>O19-O21</f>
        <v>0</v>
      </c>
      <c r="P22" s="398">
        <f>P19-P21</f>
        <v>0</v>
      </c>
    </row>
    <row r="23" spans="2:16" s="352" customFormat="1" ht="13.15" customHeight="1" x14ac:dyDescent="0.35">
      <c r="C23" s="352" t="s">
        <v>2168</v>
      </c>
      <c r="D23" s="387" t="s">
        <v>2169</v>
      </c>
      <c r="E23" s="387"/>
      <c r="F23" s="405">
        <v>0</v>
      </c>
      <c r="G23" s="405"/>
      <c r="H23" s="405"/>
      <c r="I23" s="405"/>
      <c r="J23" s="405"/>
      <c r="L23" s="396"/>
      <c r="M23" s="396"/>
      <c r="N23" s="396"/>
      <c r="O23" s="396"/>
      <c r="P23" s="396"/>
    </row>
    <row r="24" spans="2:16" s="352" customFormat="1" ht="13.15" customHeight="1" x14ac:dyDescent="0.35">
      <c r="C24" s="352" t="s">
        <v>2170</v>
      </c>
      <c r="D24" s="387" t="s">
        <v>2171</v>
      </c>
      <c r="E24" s="387"/>
      <c r="F24" s="406">
        <f>IFERROR(MIN(F23,MAX(F18-F21,0)),0)</f>
        <v>0</v>
      </c>
      <c r="G24" s="406">
        <f>IFERROR(MIN(G23,MAX(G18-G21,0)),0)</f>
        <v>0</v>
      </c>
      <c r="H24" s="406">
        <f>IFERROR(MIN(H23,MAX(H18-H21,0)),0)</f>
        <v>0</v>
      </c>
      <c r="I24" s="406">
        <f>IFERROR(MIN(I23,MAX(I18-I21,0)),0)</f>
        <v>0</v>
      </c>
      <c r="J24" s="406">
        <f>IFERROR(MIN(J23,MAX(J18-J21,0)),0)</f>
        <v>0</v>
      </c>
      <c r="L24" s="398">
        <f>IFERROR(MIN(L23,MAX(L18-L21,0)),0)</f>
        <v>0</v>
      </c>
      <c r="M24" s="398">
        <f>IFERROR(MIN(M23,MAX(M18-M21,0)),0)</f>
        <v>0</v>
      </c>
      <c r="N24" s="398">
        <f>IFERROR(MIN(N23,MAX(N18-N21,0)),0)</f>
        <v>0</v>
      </c>
      <c r="O24" s="398">
        <f>IFERROR(MIN(O23,MAX(O18-O21,0)),0)</f>
        <v>0</v>
      </c>
      <c r="P24" s="398">
        <f>IFERROR(MIN(P23,MAX(P18-P21,0)),0)</f>
        <v>0</v>
      </c>
    </row>
    <row r="25" spans="2:16" s="352" customFormat="1" ht="13.15" customHeight="1" x14ac:dyDescent="0.35">
      <c r="C25" s="352" t="s">
        <v>2172</v>
      </c>
      <c r="D25" s="387" t="s">
        <v>2173</v>
      </c>
      <c r="E25" s="387"/>
      <c r="F25" s="405">
        <v>0</v>
      </c>
      <c r="G25" s="405"/>
      <c r="H25" s="405"/>
      <c r="I25" s="405"/>
      <c r="J25" s="405"/>
      <c r="L25" s="396"/>
      <c r="M25" s="396"/>
      <c r="N25" s="396"/>
      <c r="O25" s="396"/>
      <c r="P25" s="396"/>
    </row>
    <row r="26" spans="2:16" s="352" customFormat="1" ht="13.15" customHeight="1" x14ac:dyDescent="0.35">
      <c r="C26" s="352" t="s">
        <v>2174</v>
      </c>
      <c r="D26" s="387" t="s">
        <v>2175</v>
      </c>
      <c r="E26" s="387"/>
      <c r="F26" s="406">
        <f>F23-F25</f>
        <v>0</v>
      </c>
      <c r="G26" s="406">
        <f>G23-G25</f>
        <v>0</v>
      </c>
      <c r="H26" s="406">
        <f>H23-H25</f>
        <v>0</v>
      </c>
      <c r="I26" s="406">
        <f>I23-I25</f>
        <v>0</v>
      </c>
      <c r="J26" s="406">
        <f>J23-J25</f>
        <v>0</v>
      </c>
      <c r="L26" s="398">
        <f>L23-L25</f>
        <v>0</v>
      </c>
      <c r="M26" s="398">
        <f>M23-M25</f>
        <v>0</v>
      </c>
      <c r="N26" s="398">
        <f>N23-N25</f>
        <v>0</v>
      </c>
      <c r="O26" s="398">
        <f>O23-O25</f>
        <v>0</v>
      </c>
      <c r="P26" s="398">
        <f>P23-P25</f>
        <v>0</v>
      </c>
    </row>
    <row r="27" spans="2:16" s="352" customFormat="1" ht="13.15" customHeight="1" x14ac:dyDescent="0.35">
      <c r="B27" s="386">
        <v>6</v>
      </c>
      <c r="C27" s="352" t="s">
        <v>2176</v>
      </c>
      <c r="E27" s="387"/>
      <c r="F27" s="397"/>
      <c r="G27" s="397"/>
      <c r="H27" s="397"/>
      <c r="I27" s="397"/>
      <c r="J27" s="397"/>
      <c r="L27" s="397"/>
      <c r="M27" s="397"/>
      <c r="N27" s="397"/>
      <c r="O27" s="397"/>
      <c r="P27" s="397"/>
    </row>
    <row r="28" spans="2:16" s="352" customFormat="1" ht="13.15" customHeight="1" x14ac:dyDescent="0.35">
      <c r="C28" s="352" t="s">
        <v>1918</v>
      </c>
      <c r="D28" s="387" t="s">
        <v>2177</v>
      </c>
      <c r="E28" s="385"/>
      <c r="F28" s="406">
        <f>F16-MAX(F21,F20)</f>
        <v>0</v>
      </c>
      <c r="G28" s="406">
        <f>G16-MAX(G21,G20)</f>
        <v>0</v>
      </c>
      <c r="H28" s="406">
        <f t="shared" ref="H28:P28" si="1">H16-MAX(H21,H20)</f>
        <v>0</v>
      </c>
      <c r="I28" s="406">
        <f t="shared" si="1"/>
        <v>0</v>
      </c>
      <c r="J28" s="406">
        <f t="shared" si="1"/>
        <v>0</v>
      </c>
      <c r="L28" s="398">
        <f t="shared" si="1"/>
        <v>0</v>
      </c>
      <c r="M28" s="398">
        <f t="shared" si="1"/>
        <v>0</v>
      </c>
      <c r="N28" s="398">
        <f t="shared" si="1"/>
        <v>0</v>
      </c>
      <c r="O28" s="398">
        <f t="shared" si="1"/>
        <v>0</v>
      </c>
      <c r="P28" s="398">
        <f t="shared" si="1"/>
        <v>0</v>
      </c>
    </row>
    <row r="29" spans="2:16" s="352" customFormat="1" ht="13.15" customHeight="1" x14ac:dyDescent="0.35">
      <c r="D29" s="399">
        <v>1</v>
      </c>
      <c r="E29" s="387" t="s">
        <v>2178</v>
      </c>
      <c r="F29" s="405">
        <v>0</v>
      </c>
      <c r="G29" s="405"/>
      <c r="H29" s="405"/>
      <c r="I29" s="405"/>
      <c r="J29" s="405"/>
      <c r="L29" s="396"/>
      <c r="M29" s="396"/>
      <c r="N29" s="396"/>
      <c r="O29" s="396"/>
      <c r="P29" s="396"/>
    </row>
    <row r="30" spans="2:16" s="352" customFormat="1" ht="13.15" customHeight="1" x14ac:dyDescent="0.35">
      <c r="D30" s="399">
        <v>2</v>
      </c>
      <c r="E30" s="387" t="s">
        <v>2179</v>
      </c>
      <c r="F30" s="407">
        <v>0</v>
      </c>
      <c r="G30" s="407"/>
      <c r="H30" s="407"/>
      <c r="I30" s="407"/>
      <c r="J30" s="407"/>
      <c r="L30" s="400"/>
      <c r="M30" s="400"/>
      <c r="N30" s="400"/>
      <c r="O30" s="400"/>
      <c r="P30" s="400"/>
    </row>
    <row r="31" spans="2:16" s="352" customFormat="1" ht="13.15" customHeight="1" x14ac:dyDescent="0.35">
      <c r="D31" s="399">
        <v>3</v>
      </c>
      <c r="E31" s="387" t="s">
        <v>2180</v>
      </c>
      <c r="F31" s="408">
        <f>F29-F30</f>
        <v>0</v>
      </c>
      <c r="G31" s="408">
        <f>G29-G30</f>
        <v>0</v>
      </c>
      <c r="H31" s="408">
        <f>H29-H30</f>
        <v>0</v>
      </c>
      <c r="I31" s="408">
        <f>I29-I30</f>
        <v>0</v>
      </c>
      <c r="J31" s="408">
        <f>J29-J30</f>
        <v>0</v>
      </c>
      <c r="L31" s="401">
        <f>L29-L30</f>
        <v>0</v>
      </c>
      <c r="M31" s="401">
        <f>M29-M30</f>
        <v>0</v>
      </c>
      <c r="N31" s="401">
        <f>N29-N30</f>
        <v>0</v>
      </c>
      <c r="O31" s="401">
        <f>O29-O30</f>
        <v>0</v>
      </c>
      <c r="P31" s="401">
        <f>P29-P30</f>
        <v>0</v>
      </c>
    </row>
    <row r="32" spans="2:16" s="352" customFormat="1" ht="13.15" customHeight="1" x14ac:dyDescent="0.35">
      <c r="C32" s="352" t="s">
        <v>2181</v>
      </c>
      <c r="D32" s="387" t="s">
        <v>2182</v>
      </c>
      <c r="E32" s="387"/>
      <c r="F32" s="397"/>
      <c r="G32" s="397"/>
      <c r="H32" s="397"/>
      <c r="I32" s="397"/>
      <c r="J32" s="397"/>
      <c r="L32" s="397"/>
      <c r="M32" s="397"/>
      <c r="N32" s="397"/>
      <c r="O32" s="397"/>
      <c r="P32" s="397"/>
    </row>
    <row r="33" spans="3:16" s="352" customFormat="1" ht="13.15" customHeight="1" x14ac:dyDescent="0.35">
      <c r="D33" s="399">
        <v>1</v>
      </c>
      <c r="E33" s="402" t="s">
        <v>2183</v>
      </c>
      <c r="F33" s="405">
        <v>0</v>
      </c>
      <c r="G33" s="405"/>
      <c r="H33" s="405"/>
      <c r="I33" s="405"/>
      <c r="J33" s="405"/>
      <c r="L33" s="396"/>
      <c r="M33" s="396"/>
      <c r="N33" s="396"/>
      <c r="O33" s="396"/>
      <c r="P33" s="396"/>
    </row>
    <row r="34" spans="3:16" s="352" customFormat="1" ht="13.15" customHeight="1" x14ac:dyDescent="0.35">
      <c r="D34" s="399">
        <v>2</v>
      </c>
      <c r="E34" s="402" t="s">
        <v>2184</v>
      </c>
      <c r="F34" s="405">
        <v>0</v>
      </c>
      <c r="G34" s="405"/>
      <c r="H34" s="405"/>
      <c r="I34" s="405"/>
      <c r="J34" s="405"/>
      <c r="L34" s="396"/>
      <c r="M34" s="396"/>
      <c r="N34" s="396"/>
      <c r="O34" s="396"/>
      <c r="P34" s="396"/>
    </row>
    <row r="35" spans="3:16" s="352" customFormat="1" ht="13.15" customHeight="1" x14ac:dyDescent="0.35">
      <c r="D35" s="399">
        <v>3</v>
      </c>
      <c r="E35" s="402" t="s">
        <v>2185</v>
      </c>
      <c r="F35" s="405">
        <v>0</v>
      </c>
      <c r="G35" s="405"/>
      <c r="H35" s="405"/>
      <c r="I35" s="405"/>
      <c r="J35" s="405"/>
      <c r="L35" s="396"/>
      <c r="M35" s="396"/>
      <c r="N35" s="396"/>
      <c r="O35" s="396"/>
      <c r="P35" s="396"/>
    </row>
    <row r="36" spans="3:16" s="352" customFormat="1" ht="13.15" customHeight="1" x14ac:dyDescent="0.35">
      <c r="D36" s="399">
        <v>4</v>
      </c>
      <c r="E36" s="402" t="s">
        <v>2186</v>
      </c>
      <c r="F36" s="406">
        <f>F33-F35</f>
        <v>0</v>
      </c>
      <c r="G36" s="406">
        <f>G33-G35</f>
        <v>0</v>
      </c>
      <c r="H36" s="406">
        <f>H33-H35</f>
        <v>0</v>
      </c>
      <c r="I36" s="406">
        <f>I33-I35</f>
        <v>0</v>
      </c>
      <c r="J36" s="406">
        <f>J33-J35</f>
        <v>0</v>
      </c>
      <c r="L36" s="398">
        <f>L33-L35</f>
        <v>0</v>
      </c>
      <c r="M36" s="398">
        <f>M33-M35</f>
        <v>0</v>
      </c>
      <c r="N36" s="398">
        <f>N33-N35</f>
        <v>0</v>
      </c>
      <c r="O36" s="398">
        <f>O33-O35</f>
        <v>0</v>
      </c>
      <c r="P36" s="398">
        <f>P33-P35</f>
        <v>0</v>
      </c>
    </row>
    <row r="37" spans="3:16" s="352" customFormat="1" ht="13.15" customHeight="1" x14ac:dyDescent="0.35">
      <c r="D37" s="399">
        <v>5</v>
      </c>
      <c r="E37" s="402" t="s">
        <v>2187</v>
      </c>
      <c r="F37" s="406">
        <f>F34-F35</f>
        <v>0</v>
      </c>
      <c r="G37" s="406">
        <f>G34-G35</f>
        <v>0</v>
      </c>
      <c r="H37" s="406">
        <f>H34-H35</f>
        <v>0</v>
      </c>
      <c r="I37" s="406">
        <f>I34-I35</f>
        <v>0</v>
      </c>
      <c r="J37" s="406">
        <f>J34-J35</f>
        <v>0</v>
      </c>
      <c r="L37" s="398">
        <f>L34-L35</f>
        <v>0</v>
      </c>
      <c r="M37" s="398">
        <f>M34-M35</f>
        <v>0</v>
      </c>
      <c r="N37" s="398">
        <f>N34-N35</f>
        <v>0</v>
      </c>
      <c r="O37" s="398">
        <f>O34-O35</f>
        <v>0</v>
      </c>
      <c r="P37" s="398">
        <f>P34-P35</f>
        <v>0</v>
      </c>
    </row>
    <row r="38" spans="3:16" s="352" customFormat="1" ht="13.15" customHeight="1" x14ac:dyDescent="0.35">
      <c r="C38" s="352" t="s">
        <v>2188</v>
      </c>
      <c r="E38" s="403"/>
      <c r="F38" s="406">
        <f>F29-F35</f>
        <v>0</v>
      </c>
      <c r="G38" s="406">
        <f>G29-G35</f>
        <v>0</v>
      </c>
      <c r="H38" s="406">
        <f>H29-H35</f>
        <v>0</v>
      </c>
      <c r="I38" s="406">
        <f>I29-I35</f>
        <v>0</v>
      </c>
      <c r="J38" s="406">
        <f>J29-J35</f>
        <v>0</v>
      </c>
      <c r="L38" s="398">
        <f>L29-L35</f>
        <v>0</v>
      </c>
      <c r="M38" s="398">
        <f>M29-M35</f>
        <v>0</v>
      </c>
      <c r="N38" s="398">
        <f>N29-N35</f>
        <v>0</v>
      </c>
      <c r="O38" s="398">
        <f>O29-O35</f>
        <v>0</v>
      </c>
      <c r="P38" s="398">
        <f>P29-P35</f>
        <v>0</v>
      </c>
    </row>
    <row r="39" spans="3:16" s="352" customFormat="1" ht="13.15" customHeight="1" x14ac:dyDescent="0.35">
      <c r="E39" s="385"/>
      <c r="F39" s="376"/>
    </row>
    <row r="40" spans="3:16" s="352" customFormat="1" ht="13.15" customHeight="1" x14ac:dyDescent="0.35">
      <c r="E40" s="385"/>
      <c r="F40" s="376"/>
    </row>
    <row r="41" spans="3:16" s="352" customFormat="1" ht="13.15" customHeight="1" x14ac:dyDescent="0.35">
      <c r="E41" s="385"/>
      <c r="F41" s="376"/>
    </row>
  </sheetData>
  <printOptions horizontalCentered="1" verticalCentered="1"/>
  <pageMargins left="0.5" right="0.5" top="0.5" bottom="0.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4E54B-D387-44A6-B631-F4A8D2708656}">
  <sheetPr codeName="Sheet3">
    <tabColor rgb="FFFF0000"/>
  </sheetPr>
  <dimension ref="A1:CI1028"/>
  <sheetViews>
    <sheetView topLeftCell="K14" workbookViewId="0">
      <selection activeCell="V32" sqref="V32"/>
    </sheetView>
  </sheetViews>
  <sheetFormatPr defaultColWidth="8.81640625" defaultRowHeight="11.5" outlineLevelRow="1" x14ac:dyDescent="0.25"/>
  <cols>
    <col min="1" max="1" width="11.81640625" style="685" bestFit="1" customWidth="1"/>
    <col min="2" max="2" width="1.1796875" style="671" customWidth="1"/>
    <col min="3" max="5" width="18.7265625" style="55" customWidth="1"/>
    <col min="6" max="6" width="9.26953125" style="55" customWidth="1"/>
    <col min="7" max="7" width="18.7265625" style="55" customWidth="1"/>
    <col min="8" max="8" width="17.7265625" style="55" customWidth="1"/>
    <col min="9" max="9" width="1.1796875" style="671" customWidth="1"/>
    <col min="10" max="10" width="22.54296875" style="55" bestFit="1" customWidth="1"/>
    <col min="11" max="11" width="10.7265625" style="55" bestFit="1" customWidth="1"/>
    <col min="12" max="12" width="1.1796875" style="671" customWidth="1"/>
    <col min="13" max="13" width="19.26953125" style="55" customWidth="1"/>
    <col min="14" max="14" width="8.81640625" style="55"/>
    <col min="15" max="15" width="1.1796875" style="671" customWidth="1"/>
    <col min="16" max="16" width="21.453125" style="55" bestFit="1" customWidth="1"/>
    <col min="17" max="17" width="8.81640625" style="55"/>
    <col min="18" max="18" width="1.1796875" style="671" customWidth="1"/>
    <col min="19" max="19" width="13.26953125" style="55" customWidth="1"/>
    <col min="20" max="20" width="18.26953125" style="55" customWidth="1"/>
    <col min="21" max="21" width="1.1796875" style="671" customWidth="1"/>
    <col min="22" max="22" width="29.26953125" style="55" bestFit="1" customWidth="1"/>
    <col min="23" max="23" width="8.81640625" style="55"/>
    <col min="24" max="24" width="1.1796875" style="671" customWidth="1"/>
    <col min="25" max="25" width="13.26953125" style="55" customWidth="1"/>
    <col min="26" max="26" width="12.453125" style="55" customWidth="1"/>
    <col min="27" max="27" width="8.81640625" style="55"/>
    <col min="28" max="28" width="1.1796875" style="671" customWidth="1"/>
    <col min="29" max="29" width="16.81640625" style="55" customWidth="1"/>
    <col min="30" max="30" width="23.1796875" style="55" customWidth="1"/>
    <col min="31" max="31" width="1.1796875" style="671" customWidth="1"/>
    <col min="32" max="32" width="19.26953125" style="55" customWidth="1"/>
    <col min="33" max="33" width="8.81640625" style="55"/>
    <col min="34" max="34" width="1.1796875" style="671" customWidth="1"/>
    <col min="35" max="36" width="15.1796875" style="55" customWidth="1"/>
    <col min="37" max="37" width="1.1796875" style="671" customWidth="1"/>
    <col min="38" max="38" width="10.26953125" style="55" customWidth="1"/>
    <col min="39" max="39" width="12" style="55" customWidth="1"/>
    <col min="40" max="40" width="1.1796875" style="671" customWidth="1"/>
    <col min="41" max="41" width="18.26953125" style="55" customWidth="1"/>
    <col min="42" max="42" width="8.81640625" style="55"/>
    <col min="43" max="43" width="1.1796875" style="671" customWidth="1"/>
    <col min="44" max="47" width="8.81640625" style="55"/>
    <col min="48" max="48" width="1.1796875" style="674" customWidth="1"/>
    <col min="49" max="50" width="9.81640625" style="55" customWidth="1"/>
    <col min="51" max="51" width="1.1796875" style="671" customWidth="1"/>
    <col min="52" max="52" width="8.81640625" style="55"/>
    <col min="53" max="53" width="12" style="55" customWidth="1"/>
    <col min="54" max="54" width="1.1796875" style="671" customWidth="1"/>
    <col min="55" max="56" width="8.81640625" style="55"/>
    <col min="57" max="57" width="1.1796875" style="671" customWidth="1"/>
    <col min="58" max="59" width="8.81640625" style="55"/>
    <col min="60" max="60" width="1.1796875" style="671" customWidth="1"/>
    <col min="61" max="61" width="16.1796875" style="55" customWidth="1"/>
    <col min="62" max="62" width="8.81640625" style="55"/>
    <col min="63" max="63" width="1.1796875" style="671" customWidth="1"/>
    <col min="64" max="64" width="8.81640625" style="55"/>
    <col min="65" max="65" width="9.7265625" style="55" customWidth="1"/>
    <col min="66" max="66" width="1.1796875" style="671" customWidth="1"/>
    <col min="67" max="67" width="11.81640625" style="55" customWidth="1"/>
    <col min="68" max="68" width="8.81640625" style="55"/>
    <col min="69" max="69" width="1.1796875" style="671" customWidth="1"/>
    <col min="70" max="70" width="21.453125" style="55" customWidth="1"/>
    <col min="71" max="71" width="8.81640625" style="55"/>
    <col min="72" max="72" width="1.1796875" style="671" customWidth="1"/>
    <col min="73" max="74" width="8.81640625" style="55"/>
    <col min="75" max="75" width="1.1796875" style="671" customWidth="1"/>
    <col min="76" max="76" width="8.81640625" style="55"/>
    <col min="77" max="77" width="16.453125" style="55" customWidth="1"/>
    <col min="78" max="78" width="1.1796875" style="671" customWidth="1"/>
    <col min="79" max="79" width="8.81640625" style="55"/>
    <col min="80" max="80" width="19.453125" style="55" bestFit="1" customWidth="1"/>
    <col min="81" max="81" width="23" style="55" customWidth="1"/>
    <col min="82" max="82" width="32.26953125" style="55" customWidth="1"/>
    <col min="83" max="83" width="35" style="55" bestFit="1" customWidth="1"/>
    <col min="84" max="85" width="8.81640625" style="55"/>
    <col min="86" max="86" width="23" style="55" bestFit="1" customWidth="1"/>
    <col min="87" max="16384" width="8.81640625" style="55"/>
  </cols>
  <sheetData>
    <row r="1" spans="1:87" s="669" customFormat="1" x14ac:dyDescent="0.25">
      <c r="A1" s="682" t="s">
        <v>37</v>
      </c>
      <c r="B1" s="682"/>
      <c r="C1" s="682"/>
      <c r="D1" s="682"/>
      <c r="E1" s="682"/>
      <c r="F1" s="682"/>
      <c r="G1" s="682"/>
      <c r="H1" s="682"/>
      <c r="I1" s="682"/>
      <c r="J1" s="682"/>
      <c r="L1" s="670"/>
      <c r="O1" s="670"/>
      <c r="R1" s="670"/>
      <c r="U1" s="670"/>
      <c r="X1" s="670"/>
      <c r="AB1" s="670"/>
      <c r="AE1" s="670"/>
      <c r="AH1" s="670"/>
      <c r="AK1" s="670"/>
      <c r="AN1" s="670"/>
      <c r="AQ1" s="670"/>
      <c r="AY1" s="670"/>
      <c r="BB1" s="670"/>
      <c r="BE1" s="670"/>
      <c r="BH1" s="670"/>
      <c r="BK1" s="670"/>
      <c r="BN1" s="670"/>
      <c r="BQ1" s="670"/>
      <c r="BT1" s="670"/>
      <c r="BW1" s="670"/>
      <c r="BZ1" s="670"/>
    </row>
    <row r="2" spans="1:87" s="657" customFormat="1" x14ac:dyDescent="0.35">
      <c r="A2" s="683"/>
      <c r="B2" s="671" t="s">
        <v>38</v>
      </c>
      <c r="I2" s="671" t="s">
        <v>38</v>
      </c>
      <c r="L2" s="671" t="s">
        <v>38</v>
      </c>
      <c r="O2" s="671" t="s">
        <v>38</v>
      </c>
      <c r="R2" s="671" t="s">
        <v>38</v>
      </c>
      <c r="U2" s="671" t="s">
        <v>38</v>
      </c>
      <c r="X2" s="671" t="s">
        <v>38</v>
      </c>
      <c r="AB2" s="671" t="s">
        <v>38</v>
      </c>
      <c r="AE2" s="671" t="s">
        <v>38</v>
      </c>
      <c r="AH2" s="671" t="s">
        <v>38</v>
      </c>
      <c r="AK2" s="671" t="s">
        <v>38</v>
      </c>
      <c r="AN2" s="671" t="s">
        <v>38</v>
      </c>
      <c r="AQ2" s="671" t="s">
        <v>38</v>
      </c>
      <c r="AV2" s="671"/>
      <c r="AY2" s="671" t="s">
        <v>38</v>
      </c>
      <c r="BB2" s="671" t="s">
        <v>38</v>
      </c>
      <c r="BE2" s="671" t="s">
        <v>38</v>
      </c>
      <c r="BH2" s="671" t="s">
        <v>38</v>
      </c>
      <c r="BK2" s="671" t="s">
        <v>38</v>
      </c>
      <c r="BN2" s="671" t="s">
        <v>38</v>
      </c>
      <c r="BQ2" s="671" t="s">
        <v>38</v>
      </c>
      <c r="BT2" s="671" t="s">
        <v>38</v>
      </c>
      <c r="BW2" s="671" t="s">
        <v>38</v>
      </c>
      <c r="BZ2" s="671" t="s">
        <v>38</v>
      </c>
    </row>
    <row r="3" spans="1:87" s="657" customFormat="1" ht="15" customHeight="1" x14ac:dyDescent="0.35">
      <c r="A3" s="683" t="s">
        <v>39</v>
      </c>
      <c r="B3" s="671" t="s">
        <v>38</v>
      </c>
      <c r="C3" s="700" t="s">
        <v>40</v>
      </c>
      <c r="D3" s="700"/>
      <c r="E3" s="700"/>
      <c r="F3" s="700"/>
      <c r="G3" s="700"/>
      <c r="H3" s="700"/>
      <c r="I3" s="671" t="s">
        <v>38</v>
      </c>
      <c r="J3" s="700" t="s">
        <v>41</v>
      </c>
      <c r="K3" s="700"/>
      <c r="L3" s="671" t="s">
        <v>38</v>
      </c>
      <c r="M3" s="700" t="s">
        <v>42</v>
      </c>
      <c r="N3" s="700"/>
      <c r="O3" s="671" t="s">
        <v>38</v>
      </c>
      <c r="P3" s="700" t="s">
        <v>43</v>
      </c>
      <c r="Q3" s="700"/>
      <c r="R3" s="671" t="s">
        <v>38</v>
      </c>
      <c r="S3" s="700" t="s">
        <v>44</v>
      </c>
      <c r="T3" s="700"/>
      <c r="U3" s="671" t="s">
        <v>38</v>
      </c>
      <c r="V3" s="700" t="s">
        <v>45</v>
      </c>
      <c r="W3" s="700"/>
      <c r="X3" s="671" t="s">
        <v>38</v>
      </c>
      <c r="Y3" s="702" t="s">
        <v>46</v>
      </c>
      <c r="Z3" s="702"/>
      <c r="AA3" s="702"/>
      <c r="AB3" s="671" t="s">
        <v>38</v>
      </c>
      <c r="AC3" s="700" t="s">
        <v>47</v>
      </c>
      <c r="AD3" s="700"/>
      <c r="AE3" s="671" t="s">
        <v>38</v>
      </c>
      <c r="AF3" s="700" t="s">
        <v>48</v>
      </c>
      <c r="AG3" s="700"/>
      <c r="AH3" s="671" t="s">
        <v>38</v>
      </c>
      <c r="AI3" s="700" t="s">
        <v>49</v>
      </c>
      <c r="AJ3" s="700"/>
      <c r="AK3" s="671" t="s">
        <v>38</v>
      </c>
      <c r="AL3" s="700" t="s">
        <v>50</v>
      </c>
      <c r="AM3" s="700"/>
      <c r="AN3" s="671" t="s">
        <v>38</v>
      </c>
      <c r="AO3" s="700" t="s">
        <v>51</v>
      </c>
      <c r="AP3" s="700"/>
      <c r="AQ3" s="671" t="s">
        <v>38</v>
      </c>
      <c r="AR3" s="700" t="s">
        <v>52</v>
      </c>
      <c r="AS3" s="700"/>
      <c r="AT3" s="700"/>
      <c r="AU3" s="700"/>
      <c r="AV3" s="671"/>
      <c r="AW3" s="700" t="s">
        <v>53</v>
      </c>
      <c r="AX3" s="700"/>
      <c r="AY3" s="671" t="s">
        <v>38</v>
      </c>
      <c r="AZ3" s="700" t="s">
        <v>54</v>
      </c>
      <c r="BA3" s="700"/>
      <c r="BB3" s="671" t="s">
        <v>38</v>
      </c>
      <c r="BC3" s="700" t="s">
        <v>55</v>
      </c>
      <c r="BD3" s="700"/>
      <c r="BE3" s="671" t="s">
        <v>38</v>
      </c>
      <c r="BF3" s="700" t="s">
        <v>56</v>
      </c>
      <c r="BG3" s="700"/>
      <c r="BH3" s="671" t="s">
        <v>38</v>
      </c>
      <c r="BI3" s="700" t="s">
        <v>57</v>
      </c>
      <c r="BJ3" s="700"/>
      <c r="BK3" s="671" t="s">
        <v>38</v>
      </c>
      <c r="BL3" s="700" t="s">
        <v>58</v>
      </c>
      <c r="BM3" s="700"/>
      <c r="BN3" s="671" t="s">
        <v>38</v>
      </c>
      <c r="BO3" s="700" t="s">
        <v>59</v>
      </c>
      <c r="BP3" s="700"/>
      <c r="BQ3" s="671" t="s">
        <v>38</v>
      </c>
      <c r="BR3" s="700" t="s">
        <v>60</v>
      </c>
      <c r="BS3" s="700"/>
      <c r="BT3" s="671" t="s">
        <v>38</v>
      </c>
      <c r="BU3" s="700" t="s">
        <v>61</v>
      </c>
      <c r="BV3" s="700"/>
      <c r="BW3" s="671" t="s">
        <v>38</v>
      </c>
      <c r="BX3" s="700" t="s">
        <v>58</v>
      </c>
      <c r="BY3" s="700"/>
      <c r="BZ3" s="671" t="s">
        <v>38</v>
      </c>
      <c r="CB3" s="700" t="s">
        <v>62</v>
      </c>
      <c r="CC3" s="700"/>
      <c r="CH3" s="700" t="s">
        <v>62</v>
      </c>
      <c r="CI3" s="700"/>
    </row>
    <row r="4" spans="1:87" s="657" customFormat="1" ht="47.5" customHeight="1" x14ac:dyDescent="0.35">
      <c r="A4" s="683" t="s">
        <v>63</v>
      </c>
      <c r="B4" s="671" t="s">
        <v>38</v>
      </c>
      <c r="C4" s="701" t="s">
        <v>64</v>
      </c>
      <c r="D4" s="701"/>
      <c r="E4" s="701"/>
      <c r="F4" s="701"/>
      <c r="G4" s="701"/>
      <c r="H4" s="701"/>
      <c r="I4" s="671" t="s">
        <v>38</v>
      </c>
      <c r="J4" s="701" t="s">
        <v>65</v>
      </c>
      <c r="K4" s="701"/>
      <c r="L4" s="671" t="s">
        <v>38</v>
      </c>
      <c r="M4" s="701" t="s">
        <v>66</v>
      </c>
      <c r="N4" s="701"/>
      <c r="O4" s="671" t="s">
        <v>38</v>
      </c>
      <c r="P4" s="701" t="s">
        <v>67</v>
      </c>
      <c r="Q4" s="701"/>
      <c r="R4" s="671" t="s">
        <v>38</v>
      </c>
      <c r="S4" s="701" t="s">
        <v>68</v>
      </c>
      <c r="T4" s="701"/>
      <c r="U4" s="671" t="s">
        <v>38</v>
      </c>
      <c r="V4" s="701" t="s">
        <v>69</v>
      </c>
      <c r="W4" s="701"/>
      <c r="X4" s="671" t="s">
        <v>38</v>
      </c>
      <c r="Y4" s="701" t="s">
        <v>70</v>
      </c>
      <c r="Z4" s="701"/>
      <c r="AA4" s="701"/>
      <c r="AB4" s="671" t="s">
        <v>38</v>
      </c>
      <c r="AC4" s="701" t="s">
        <v>71</v>
      </c>
      <c r="AD4" s="701"/>
      <c r="AE4" s="671" t="s">
        <v>38</v>
      </c>
      <c r="AF4" s="701" t="s">
        <v>72</v>
      </c>
      <c r="AG4" s="701"/>
      <c r="AH4" s="671" t="s">
        <v>38</v>
      </c>
      <c r="AI4" s="701" t="s">
        <v>72</v>
      </c>
      <c r="AJ4" s="701"/>
      <c r="AK4" s="671" t="s">
        <v>38</v>
      </c>
      <c r="AL4" s="701" t="s">
        <v>72</v>
      </c>
      <c r="AM4" s="701"/>
      <c r="AN4" s="671" t="s">
        <v>38</v>
      </c>
      <c r="AO4" s="701" t="s">
        <v>73</v>
      </c>
      <c r="AP4" s="701"/>
      <c r="AQ4" s="671" t="s">
        <v>38</v>
      </c>
      <c r="AR4" s="701" t="s">
        <v>74</v>
      </c>
      <c r="AS4" s="701"/>
      <c r="AT4" s="701"/>
      <c r="AU4" s="701"/>
      <c r="AV4" s="671"/>
      <c r="AW4" s="701" t="s">
        <v>75</v>
      </c>
      <c r="AX4" s="701"/>
      <c r="AY4" s="671" t="s">
        <v>38</v>
      </c>
      <c r="AZ4" s="701" t="s">
        <v>75</v>
      </c>
      <c r="BA4" s="701"/>
      <c r="BB4" s="671" t="s">
        <v>38</v>
      </c>
      <c r="BC4" s="701" t="s">
        <v>75</v>
      </c>
      <c r="BD4" s="701"/>
      <c r="BE4" s="671" t="s">
        <v>38</v>
      </c>
      <c r="BF4" s="701" t="s">
        <v>75</v>
      </c>
      <c r="BG4" s="701"/>
      <c r="BH4" s="671" t="s">
        <v>38</v>
      </c>
      <c r="BI4" s="701" t="s">
        <v>76</v>
      </c>
      <c r="BJ4" s="701"/>
      <c r="BK4" s="671" t="s">
        <v>38</v>
      </c>
      <c r="BL4" s="701" t="s">
        <v>76</v>
      </c>
      <c r="BM4" s="701"/>
      <c r="BN4" s="671" t="s">
        <v>38</v>
      </c>
      <c r="BO4" s="701" t="s">
        <v>77</v>
      </c>
      <c r="BP4" s="701"/>
      <c r="BQ4" s="671" t="s">
        <v>38</v>
      </c>
      <c r="BR4" s="701" t="s">
        <v>78</v>
      </c>
      <c r="BS4" s="701"/>
      <c r="BT4" s="671" t="s">
        <v>38</v>
      </c>
      <c r="BU4" s="701" t="s">
        <v>79</v>
      </c>
      <c r="BV4" s="701"/>
      <c r="BW4" s="671" t="s">
        <v>38</v>
      </c>
      <c r="BX4" s="701" t="s">
        <v>76</v>
      </c>
      <c r="BY4" s="701"/>
      <c r="BZ4" s="671" t="s">
        <v>38</v>
      </c>
      <c r="CB4" s="701" t="s">
        <v>80</v>
      </c>
      <c r="CC4" s="701"/>
      <c r="CH4" s="701" t="s">
        <v>81</v>
      </c>
      <c r="CI4" s="701"/>
    </row>
    <row r="5" spans="1:87" s="657" customFormat="1" x14ac:dyDescent="0.35">
      <c r="A5" s="683"/>
      <c r="B5" s="671" t="s">
        <v>38</v>
      </c>
      <c r="I5" s="671" t="s">
        <v>38</v>
      </c>
      <c r="L5" s="671" t="s">
        <v>38</v>
      </c>
      <c r="O5" s="671" t="s">
        <v>38</v>
      </c>
      <c r="R5" s="671" t="s">
        <v>38</v>
      </c>
      <c r="U5" s="671" t="s">
        <v>38</v>
      </c>
      <c r="X5" s="671" t="s">
        <v>38</v>
      </c>
      <c r="AB5" s="671" t="s">
        <v>38</v>
      </c>
      <c r="AE5" s="671" t="s">
        <v>38</v>
      </c>
      <c r="AH5" s="671" t="s">
        <v>38</v>
      </c>
      <c r="AK5" s="671" t="s">
        <v>38</v>
      </c>
      <c r="AN5" s="671" t="s">
        <v>38</v>
      </c>
      <c r="AQ5" s="671" t="s">
        <v>38</v>
      </c>
      <c r="AV5" s="671"/>
      <c r="AY5" s="671" t="s">
        <v>38</v>
      </c>
      <c r="BB5" s="671" t="s">
        <v>38</v>
      </c>
      <c r="BE5" s="671" t="s">
        <v>38</v>
      </c>
      <c r="BH5" s="671" t="s">
        <v>38</v>
      </c>
      <c r="BK5" s="671" t="s">
        <v>38</v>
      </c>
      <c r="BN5" s="671" t="s">
        <v>38</v>
      </c>
      <c r="BQ5" s="671" t="s">
        <v>38</v>
      </c>
      <c r="BT5" s="671" t="s">
        <v>38</v>
      </c>
      <c r="BW5" s="671" t="s">
        <v>38</v>
      </c>
      <c r="BZ5" s="671" t="s">
        <v>38</v>
      </c>
    </row>
    <row r="6" spans="1:87" s="657" customFormat="1" x14ac:dyDescent="0.35">
      <c r="A6" s="683" t="s">
        <v>82</v>
      </c>
      <c r="B6" s="671" t="s">
        <v>38</v>
      </c>
      <c r="C6" s="657" t="s">
        <v>83</v>
      </c>
      <c r="I6" s="671" t="s">
        <v>38</v>
      </c>
      <c r="J6" s="684" t="s">
        <v>84</v>
      </c>
      <c r="K6" s="684" t="s">
        <v>85</v>
      </c>
      <c r="L6" s="671" t="s">
        <v>38</v>
      </c>
      <c r="M6" s="684" t="s">
        <v>84</v>
      </c>
      <c r="N6" s="684" t="s">
        <v>85</v>
      </c>
      <c r="O6" s="671" t="s">
        <v>38</v>
      </c>
      <c r="P6" s="684" t="s">
        <v>84</v>
      </c>
      <c r="Q6" s="684" t="s">
        <v>85</v>
      </c>
      <c r="R6" s="671" t="s">
        <v>38</v>
      </c>
      <c r="S6" s="684" t="s">
        <v>84</v>
      </c>
      <c r="T6" s="684" t="s">
        <v>85</v>
      </c>
      <c r="U6" s="671" t="s">
        <v>38</v>
      </c>
      <c r="V6" s="684" t="s">
        <v>84</v>
      </c>
      <c r="W6" s="684" t="s">
        <v>85</v>
      </c>
      <c r="X6" s="671" t="s">
        <v>38</v>
      </c>
      <c r="Y6" s="684" t="s">
        <v>84</v>
      </c>
      <c r="Z6" s="684" t="s">
        <v>85</v>
      </c>
      <c r="AB6" s="671" t="s">
        <v>38</v>
      </c>
      <c r="AC6" s="684" t="s">
        <v>84</v>
      </c>
      <c r="AD6" s="684" t="s">
        <v>85</v>
      </c>
      <c r="AE6" s="671" t="s">
        <v>38</v>
      </c>
      <c r="AF6" s="684" t="s">
        <v>84</v>
      </c>
      <c r="AG6" s="684" t="s">
        <v>85</v>
      </c>
      <c r="AH6" s="671" t="s">
        <v>38</v>
      </c>
      <c r="AI6" s="684" t="s">
        <v>84</v>
      </c>
      <c r="AJ6" s="684" t="s">
        <v>85</v>
      </c>
      <c r="AK6" s="671" t="s">
        <v>38</v>
      </c>
      <c r="AL6" s="684" t="s">
        <v>84</v>
      </c>
      <c r="AM6" s="684" t="s">
        <v>85</v>
      </c>
      <c r="AN6" s="671" t="s">
        <v>38</v>
      </c>
      <c r="AO6" s="684" t="s">
        <v>84</v>
      </c>
      <c r="AP6" s="684" t="s">
        <v>85</v>
      </c>
      <c r="AQ6" s="671" t="s">
        <v>38</v>
      </c>
      <c r="AR6" s="684" t="s">
        <v>84</v>
      </c>
      <c r="AS6" s="684" t="s">
        <v>85</v>
      </c>
      <c r="AV6" s="671"/>
      <c r="AW6" s="684" t="s">
        <v>84</v>
      </c>
      <c r="AX6" s="684" t="s">
        <v>85</v>
      </c>
      <c r="AY6" s="671" t="s">
        <v>38</v>
      </c>
      <c r="AZ6" s="684" t="s">
        <v>84</v>
      </c>
      <c r="BA6" s="684" t="s">
        <v>85</v>
      </c>
      <c r="BB6" s="671" t="s">
        <v>38</v>
      </c>
      <c r="BC6" s="684" t="s">
        <v>84</v>
      </c>
      <c r="BD6" s="684" t="s">
        <v>85</v>
      </c>
      <c r="BE6" s="671" t="s">
        <v>38</v>
      </c>
      <c r="BF6" s="684" t="s">
        <v>84</v>
      </c>
      <c r="BG6" s="684" t="s">
        <v>85</v>
      </c>
      <c r="BH6" s="671" t="s">
        <v>38</v>
      </c>
      <c r="BI6" s="684" t="s">
        <v>84</v>
      </c>
      <c r="BJ6" s="684" t="s">
        <v>85</v>
      </c>
      <c r="BK6" s="671" t="s">
        <v>38</v>
      </c>
      <c r="BL6" s="684" t="s">
        <v>84</v>
      </c>
      <c r="BM6" s="684" t="s">
        <v>85</v>
      </c>
      <c r="BN6" s="671" t="s">
        <v>38</v>
      </c>
      <c r="BO6" s="684" t="s">
        <v>84</v>
      </c>
      <c r="BP6" s="684" t="s">
        <v>85</v>
      </c>
      <c r="BQ6" s="671" t="s">
        <v>38</v>
      </c>
      <c r="BR6" s="684" t="s">
        <v>84</v>
      </c>
      <c r="BS6" s="684" t="s">
        <v>85</v>
      </c>
      <c r="BT6" s="671" t="s">
        <v>38</v>
      </c>
      <c r="BU6" s="684" t="s">
        <v>84</v>
      </c>
      <c r="BV6" s="684" t="s">
        <v>85</v>
      </c>
      <c r="BW6" s="671" t="s">
        <v>38</v>
      </c>
      <c r="BX6" s="684" t="s">
        <v>84</v>
      </c>
      <c r="BY6" s="684" t="s">
        <v>85</v>
      </c>
      <c r="BZ6" s="671" t="s">
        <v>38</v>
      </c>
      <c r="CB6" s="684" t="s">
        <v>84</v>
      </c>
      <c r="CC6" s="684" t="s">
        <v>85</v>
      </c>
      <c r="CH6" s="684" t="s">
        <v>84</v>
      </c>
      <c r="CI6" s="684" t="s">
        <v>85</v>
      </c>
    </row>
    <row r="7" spans="1:87" s="657" customFormat="1" x14ac:dyDescent="0.35">
      <c r="A7" s="683"/>
      <c r="B7" s="671" t="s">
        <v>38</v>
      </c>
      <c r="I7" s="671" t="s">
        <v>38</v>
      </c>
      <c r="J7" s="672" t="s">
        <v>86</v>
      </c>
      <c r="K7" s="672"/>
      <c r="L7" s="671" t="s">
        <v>38</v>
      </c>
      <c r="M7" s="672" t="s">
        <v>86</v>
      </c>
      <c r="N7" s="672"/>
      <c r="O7" s="671" t="s">
        <v>38</v>
      </c>
      <c r="P7" s="672" t="s">
        <v>86</v>
      </c>
      <c r="Q7" s="672"/>
      <c r="R7" s="671" t="s">
        <v>38</v>
      </c>
      <c r="S7" s="672" t="s">
        <v>86</v>
      </c>
      <c r="T7" s="672" t="s">
        <v>87</v>
      </c>
      <c r="U7" s="671" t="s">
        <v>38</v>
      </c>
      <c r="V7" s="672" t="s">
        <v>86</v>
      </c>
      <c r="W7" s="672" t="s">
        <v>87</v>
      </c>
      <c r="X7" s="671" t="s">
        <v>38</v>
      </c>
      <c r="Y7" s="672" t="s">
        <v>86</v>
      </c>
      <c r="Z7" s="672" t="s">
        <v>88</v>
      </c>
      <c r="AB7" s="671" t="s">
        <v>38</v>
      </c>
      <c r="AC7" s="672" t="s">
        <v>89</v>
      </c>
      <c r="AD7" s="672" t="s">
        <v>90</v>
      </c>
      <c r="AE7" s="671" t="s">
        <v>38</v>
      </c>
      <c r="AF7" s="672" t="s">
        <v>86</v>
      </c>
      <c r="AG7" s="672"/>
      <c r="AH7" s="671" t="s">
        <v>38</v>
      </c>
      <c r="AI7" s="672" t="s">
        <v>86</v>
      </c>
      <c r="AJ7" s="672"/>
      <c r="AK7" s="671" t="s">
        <v>38</v>
      </c>
      <c r="AL7" s="672" t="s">
        <v>86</v>
      </c>
      <c r="AM7" s="672" t="s">
        <v>87</v>
      </c>
      <c r="AN7" s="671" t="s">
        <v>38</v>
      </c>
      <c r="AO7" s="672" t="s">
        <v>89</v>
      </c>
      <c r="AP7" s="672" t="s">
        <v>91</v>
      </c>
      <c r="AQ7" s="671" t="s">
        <v>38</v>
      </c>
      <c r="AR7" s="672" t="s">
        <v>92</v>
      </c>
      <c r="AS7" s="672" t="s">
        <v>93</v>
      </c>
      <c r="AV7" s="671"/>
      <c r="AW7" s="672" t="s">
        <v>94</v>
      </c>
      <c r="AX7" s="672" t="s">
        <v>95</v>
      </c>
      <c r="AY7" s="671" t="s">
        <v>38</v>
      </c>
      <c r="AZ7" s="672" t="s">
        <v>94</v>
      </c>
      <c r="BA7" s="672" t="s">
        <v>95</v>
      </c>
      <c r="BB7" s="671" t="s">
        <v>38</v>
      </c>
      <c r="BC7" s="672" t="s">
        <v>96</v>
      </c>
      <c r="BD7" s="672" t="s">
        <v>97</v>
      </c>
      <c r="BE7" s="671" t="s">
        <v>38</v>
      </c>
      <c r="BF7" s="672" t="s">
        <v>96</v>
      </c>
      <c r="BG7" s="672" t="s">
        <v>97</v>
      </c>
      <c r="BH7" s="671" t="s">
        <v>38</v>
      </c>
      <c r="BI7" s="672" t="s">
        <v>96</v>
      </c>
      <c r="BJ7" s="672" t="s">
        <v>97</v>
      </c>
      <c r="BK7" s="671" t="s">
        <v>38</v>
      </c>
      <c r="BL7" s="672" t="s">
        <v>92</v>
      </c>
      <c r="BM7" s="672"/>
      <c r="BN7" s="671" t="s">
        <v>38</v>
      </c>
      <c r="BO7" s="672" t="s">
        <v>98</v>
      </c>
      <c r="BP7" s="672"/>
      <c r="BQ7" s="671" t="s">
        <v>38</v>
      </c>
      <c r="BR7" s="672" t="s">
        <v>99</v>
      </c>
      <c r="BS7" s="672"/>
      <c r="BT7" s="671" t="s">
        <v>38</v>
      </c>
      <c r="BU7" s="672" t="s">
        <v>100</v>
      </c>
      <c r="BV7" s="672"/>
      <c r="BW7" s="671" t="s">
        <v>38</v>
      </c>
      <c r="BX7" s="672" t="s">
        <v>101</v>
      </c>
      <c r="BY7" s="672"/>
      <c r="BZ7" s="671" t="s">
        <v>38</v>
      </c>
      <c r="CB7" s="672" t="s">
        <v>102</v>
      </c>
      <c r="CC7" s="672"/>
      <c r="CH7" s="672" t="s">
        <v>86</v>
      </c>
      <c r="CI7" s="672"/>
    </row>
    <row r="8" spans="1:87" s="657" customFormat="1" x14ac:dyDescent="0.35">
      <c r="A8" s="683"/>
      <c r="B8" s="671" t="s">
        <v>38</v>
      </c>
      <c r="I8" s="671" t="s">
        <v>38</v>
      </c>
      <c r="J8" s="672"/>
      <c r="K8" s="672"/>
      <c r="L8" s="671" t="s">
        <v>38</v>
      </c>
      <c r="M8" s="672"/>
      <c r="N8" s="672"/>
      <c r="O8" s="671" t="s">
        <v>38</v>
      </c>
      <c r="P8" s="672"/>
      <c r="Q8" s="672"/>
      <c r="R8" s="671" t="s">
        <v>38</v>
      </c>
      <c r="S8" s="672" t="s">
        <v>92</v>
      </c>
      <c r="T8" s="672" t="s">
        <v>103</v>
      </c>
      <c r="U8" s="671" t="s">
        <v>38</v>
      </c>
      <c r="V8" s="672"/>
      <c r="W8" s="672"/>
      <c r="X8" s="671" t="s">
        <v>38</v>
      </c>
      <c r="Y8" s="672" t="s">
        <v>89</v>
      </c>
      <c r="Z8" s="672" t="s">
        <v>104</v>
      </c>
      <c r="AB8" s="671" t="s">
        <v>38</v>
      </c>
      <c r="AC8" s="672"/>
      <c r="AD8" s="672"/>
      <c r="AE8" s="671" t="s">
        <v>38</v>
      </c>
      <c r="AF8" s="672"/>
      <c r="AG8" s="672"/>
      <c r="AH8" s="671" t="s">
        <v>38</v>
      </c>
      <c r="AI8" s="672"/>
      <c r="AJ8" s="672"/>
      <c r="AK8" s="671" t="s">
        <v>38</v>
      </c>
      <c r="AL8" s="672"/>
      <c r="AM8" s="672"/>
      <c r="AN8" s="671" t="s">
        <v>38</v>
      </c>
      <c r="AO8" s="672"/>
      <c r="AP8" s="672"/>
      <c r="AQ8" s="671" t="s">
        <v>38</v>
      </c>
      <c r="AR8" s="672" t="s">
        <v>105</v>
      </c>
      <c r="AS8" s="672" t="s">
        <v>106</v>
      </c>
      <c r="AV8" s="671"/>
      <c r="AW8" s="672"/>
      <c r="AX8" s="672"/>
      <c r="AY8" s="671" t="s">
        <v>38</v>
      </c>
      <c r="AZ8" s="672"/>
      <c r="BA8" s="672"/>
      <c r="BB8" s="671" t="s">
        <v>38</v>
      </c>
      <c r="BC8" s="672" t="s">
        <v>98</v>
      </c>
      <c r="BD8" s="672" t="s">
        <v>107</v>
      </c>
      <c r="BE8" s="671" t="s">
        <v>38</v>
      </c>
      <c r="BF8" s="672" t="s">
        <v>98</v>
      </c>
      <c r="BG8" s="672" t="s">
        <v>107</v>
      </c>
      <c r="BH8" s="671" t="s">
        <v>38</v>
      </c>
      <c r="BI8" s="672"/>
      <c r="BJ8" s="672"/>
      <c r="BK8" s="671" t="s">
        <v>38</v>
      </c>
      <c r="BL8" s="672"/>
      <c r="BM8" s="672"/>
      <c r="BN8" s="671" t="s">
        <v>38</v>
      </c>
      <c r="BO8" s="672"/>
      <c r="BP8" s="672"/>
      <c r="BQ8" s="671" t="s">
        <v>38</v>
      </c>
      <c r="BR8" s="672"/>
      <c r="BS8" s="672"/>
      <c r="BT8" s="671" t="s">
        <v>38</v>
      </c>
      <c r="BU8" s="672" t="s">
        <v>108</v>
      </c>
      <c r="BV8" s="672"/>
      <c r="BW8" s="671" t="s">
        <v>38</v>
      </c>
      <c r="BX8" s="672"/>
      <c r="BY8" s="672"/>
      <c r="BZ8" s="671" t="s">
        <v>38</v>
      </c>
      <c r="CB8" s="672" t="s">
        <v>109</v>
      </c>
      <c r="CC8" s="672"/>
      <c r="CH8" s="672"/>
      <c r="CI8" s="672"/>
    </row>
    <row r="9" spans="1:87" s="657" customFormat="1" x14ac:dyDescent="0.35">
      <c r="A9" s="683"/>
      <c r="B9" s="671" t="s">
        <v>38</v>
      </c>
      <c r="I9" s="671" t="s">
        <v>38</v>
      </c>
      <c r="J9" s="672"/>
      <c r="K9" s="672"/>
      <c r="L9" s="671" t="s">
        <v>38</v>
      </c>
      <c r="M9" s="672"/>
      <c r="N9" s="672"/>
      <c r="O9" s="671" t="s">
        <v>38</v>
      </c>
      <c r="P9" s="672"/>
      <c r="Q9" s="672"/>
      <c r="R9" s="671" t="s">
        <v>38</v>
      </c>
      <c r="S9" s="672" t="s">
        <v>94</v>
      </c>
      <c r="T9" s="672" t="s">
        <v>110</v>
      </c>
      <c r="U9" s="671" t="s">
        <v>38</v>
      </c>
      <c r="V9" s="672"/>
      <c r="W9" s="672"/>
      <c r="X9" s="671" t="s">
        <v>38</v>
      </c>
      <c r="Y9" s="672" t="s">
        <v>94</v>
      </c>
      <c r="Z9" s="672" t="s">
        <v>111</v>
      </c>
      <c r="AB9" s="671" t="s">
        <v>38</v>
      </c>
      <c r="AC9" s="672"/>
      <c r="AD9" s="672"/>
      <c r="AE9" s="671" t="s">
        <v>38</v>
      </c>
      <c r="AF9" s="672"/>
      <c r="AG9" s="672"/>
      <c r="AH9" s="671" t="s">
        <v>38</v>
      </c>
      <c r="AI9" s="672"/>
      <c r="AJ9" s="672"/>
      <c r="AK9" s="671" t="s">
        <v>38</v>
      </c>
      <c r="AL9" s="672"/>
      <c r="AM9" s="672"/>
      <c r="AN9" s="671" t="s">
        <v>38</v>
      </c>
      <c r="AO9" s="672"/>
      <c r="AP9" s="672"/>
      <c r="AQ9" s="671" t="s">
        <v>38</v>
      </c>
      <c r="AR9" s="672"/>
      <c r="AS9" s="672"/>
      <c r="AV9" s="671"/>
      <c r="AW9" s="672"/>
      <c r="AX9" s="672"/>
      <c r="AY9" s="671" t="s">
        <v>38</v>
      </c>
      <c r="AZ9" s="672"/>
      <c r="BA9" s="672"/>
      <c r="BB9" s="671" t="s">
        <v>38</v>
      </c>
      <c r="BC9" s="672"/>
      <c r="BD9" s="672"/>
      <c r="BE9" s="671" t="s">
        <v>38</v>
      </c>
      <c r="BF9" s="672"/>
      <c r="BG9" s="672"/>
      <c r="BH9" s="671" t="s">
        <v>38</v>
      </c>
      <c r="BI9" s="672"/>
      <c r="BJ9" s="672"/>
      <c r="BK9" s="671" t="s">
        <v>38</v>
      </c>
      <c r="BL9" s="672"/>
      <c r="BM9" s="672"/>
      <c r="BN9" s="671" t="s">
        <v>38</v>
      </c>
      <c r="BO9" s="672"/>
      <c r="BP9" s="672"/>
      <c r="BQ9" s="671" t="s">
        <v>38</v>
      </c>
      <c r="BR9" s="672"/>
      <c r="BS9" s="672"/>
      <c r="BT9" s="671" t="s">
        <v>38</v>
      </c>
      <c r="BU9" s="672"/>
      <c r="BV9" s="672"/>
      <c r="BW9" s="671" t="s">
        <v>38</v>
      </c>
      <c r="BX9" s="672"/>
      <c r="BY9" s="672"/>
      <c r="BZ9" s="671" t="s">
        <v>38</v>
      </c>
      <c r="CB9" s="672" t="s">
        <v>112</v>
      </c>
      <c r="CC9" s="672"/>
      <c r="CH9" s="672"/>
      <c r="CI9" s="672"/>
    </row>
    <row r="10" spans="1:87" x14ac:dyDescent="0.25">
      <c r="B10" s="671" t="s">
        <v>38</v>
      </c>
      <c r="I10" s="671" t="s">
        <v>38</v>
      </c>
      <c r="J10" s="672"/>
      <c r="K10" s="673"/>
      <c r="L10" s="671" t="s">
        <v>38</v>
      </c>
      <c r="M10" s="672"/>
      <c r="N10" s="673"/>
      <c r="O10" s="671" t="s">
        <v>38</v>
      </c>
      <c r="P10" s="672"/>
      <c r="Q10" s="673"/>
      <c r="R10" s="671" t="s">
        <v>38</v>
      </c>
      <c r="S10" s="672"/>
      <c r="T10" s="673"/>
      <c r="U10" s="671" t="s">
        <v>38</v>
      </c>
      <c r="V10" s="672"/>
      <c r="W10" s="673"/>
      <c r="X10" s="671" t="s">
        <v>38</v>
      </c>
      <c r="Y10" s="672"/>
      <c r="Z10" s="673"/>
      <c r="AB10" s="671" t="s">
        <v>38</v>
      </c>
      <c r="AC10" s="672"/>
      <c r="AD10" s="673"/>
      <c r="AE10" s="671" t="s">
        <v>38</v>
      </c>
      <c r="AF10" s="672"/>
      <c r="AG10" s="673"/>
      <c r="AH10" s="671" t="s">
        <v>38</v>
      </c>
      <c r="AI10" s="672"/>
      <c r="AJ10" s="673"/>
      <c r="AK10" s="671" t="s">
        <v>38</v>
      </c>
      <c r="AL10" s="672"/>
      <c r="AM10" s="673"/>
      <c r="AN10" s="671" t="s">
        <v>38</v>
      </c>
      <c r="AO10" s="672"/>
      <c r="AP10" s="673"/>
      <c r="AQ10" s="671" t="s">
        <v>38</v>
      </c>
      <c r="AR10" s="672"/>
      <c r="AS10" s="673"/>
      <c r="AW10" s="672"/>
      <c r="AX10" s="673"/>
      <c r="AY10" s="671" t="s">
        <v>38</v>
      </c>
      <c r="AZ10" s="672"/>
      <c r="BA10" s="673"/>
      <c r="BB10" s="671" t="s">
        <v>38</v>
      </c>
      <c r="BC10" s="672"/>
      <c r="BD10" s="673"/>
      <c r="BE10" s="671" t="s">
        <v>38</v>
      </c>
      <c r="BF10" s="672"/>
      <c r="BG10" s="673"/>
      <c r="BH10" s="671" t="s">
        <v>38</v>
      </c>
      <c r="BI10" s="672"/>
      <c r="BJ10" s="673"/>
      <c r="BK10" s="671" t="s">
        <v>38</v>
      </c>
      <c r="BL10" s="672"/>
      <c r="BM10" s="673"/>
      <c r="BN10" s="671" t="s">
        <v>38</v>
      </c>
      <c r="BO10" s="672"/>
      <c r="BP10" s="673"/>
      <c r="BQ10" s="671" t="s">
        <v>38</v>
      </c>
      <c r="BR10" s="672"/>
      <c r="BS10" s="673"/>
      <c r="BT10" s="671" t="s">
        <v>38</v>
      </c>
      <c r="BU10" s="672"/>
      <c r="BV10" s="673"/>
      <c r="BW10" s="671" t="s">
        <v>38</v>
      </c>
      <c r="BX10" s="672"/>
      <c r="BY10" s="673"/>
      <c r="BZ10" s="671" t="s">
        <v>38</v>
      </c>
      <c r="CB10" s="672" t="s">
        <v>113</v>
      </c>
      <c r="CC10" s="673"/>
      <c r="CH10" s="672"/>
      <c r="CI10" s="673"/>
    </row>
    <row r="11" spans="1:87" outlineLevel="1" x14ac:dyDescent="0.25">
      <c r="B11" s="671" t="s">
        <v>38</v>
      </c>
      <c r="I11" s="671" t="s">
        <v>38</v>
      </c>
      <c r="J11" s="672"/>
      <c r="K11" s="673"/>
      <c r="L11" s="671" t="s">
        <v>38</v>
      </c>
      <c r="M11" s="672"/>
      <c r="N11" s="673"/>
      <c r="O11" s="671" t="s">
        <v>38</v>
      </c>
      <c r="P11" s="672"/>
      <c r="Q11" s="673"/>
      <c r="R11" s="671" t="s">
        <v>38</v>
      </c>
      <c r="S11" s="672"/>
      <c r="T11" s="673"/>
      <c r="U11" s="671" t="s">
        <v>38</v>
      </c>
      <c r="V11" s="672"/>
      <c r="W11" s="673"/>
      <c r="X11" s="671" t="s">
        <v>38</v>
      </c>
      <c r="Y11" s="672"/>
      <c r="Z11" s="673"/>
      <c r="AB11" s="671" t="s">
        <v>38</v>
      </c>
      <c r="AC11" s="672"/>
      <c r="AD11" s="673"/>
      <c r="AE11" s="671" t="s">
        <v>38</v>
      </c>
      <c r="AF11" s="672"/>
      <c r="AG11" s="673"/>
      <c r="AH11" s="671" t="s">
        <v>38</v>
      </c>
      <c r="AI11" s="672"/>
      <c r="AJ11" s="673"/>
      <c r="AK11" s="671" t="s">
        <v>38</v>
      </c>
      <c r="AL11" s="672"/>
      <c r="AM11" s="673"/>
      <c r="AN11" s="671" t="s">
        <v>38</v>
      </c>
      <c r="AO11" s="672"/>
      <c r="AP11" s="673"/>
      <c r="AQ11" s="671" t="s">
        <v>38</v>
      </c>
      <c r="AR11" s="672"/>
      <c r="AS11" s="673"/>
      <c r="AW11" s="672"/>
      <c r="AX11" s="673"/>
      <c r="AY11" s="671" t="s">
        <v>38</v>
      </c>
      <c r="AZ11" s="672"/>
      <c r="BA11" s="673"/>
      <c r="BB11" s="671" t="s">
        <v>38</v>
      </c>
      <c r="BC11" s="672"/>
      <c r="BD11" s="673"/>
      <c r="BE11" s="671" t="s">
        <v>38</v>
      </c>
      <c r="BF11" s="672"/>
      <c r="BG11" s="673"/>
      <c r="BH11" s="671" t="s">
        <v>38</v>
      </c>
      <c r="BI11" s="672"/>
      <c r="BJ11" s="673"/>
      <c r="BK11" s="671" t="s">
        <v>38</v>
      </c>
      <c r="BL11" s="672"/>
      <c r="BM11" s="673"/>
      <c r="BN11" s="671" t="s">
        <v>38</v>
      </c>
      <c r="BO11" s="672"/>
      <c r="BP11" s="673"/>
      <c r="BQ11" s="671" t="s">
        <v>38</v>
      </c>
      <c r="BR11" s="672"/>
      <c r="BS11" s="673"/>
      <c r="BT11" s="671" t="s">
        <v>38</v>
      </c>
      <c r="BU11" s="672"/>
      <c r="BV11" s="673"/>
      <c r="BW11" s="671" t="s">
        <v>38</v>
      </c>
      <c r="BX11" s="672"/>
      <c r="BY11" s="673"/>
      <c r="BZ11" s="671" t="s">
        <v>38</v>
      </c>
      <c r="CB11" s="672" t="s">
        <v>114</v>
      </c>
      <c r="CC11" s="673"/>
    </row>
    <row r="12" spans="1:87" outlineLevel="1" x14ac:dyDescent="0.25">
      <c r="B12" s="671" t="s">
        <v>38</v>
      </c>
      <c r="I12" s="671" t="s">
        <v>38</v>
      </c>
      <c r="J12" s="672"/>
      <c r="K12" s="673"/>
      <c r="L12" s="671" t="s">
        <v>38</v>
      </c>
      <c r="M12" s="672"/>
      <c r="N12" s="673"/>
      <c r="O12" s="671" t="s">
        <v>38</v>
      </c>
      <c r="P12" s="672"/>
      <c r="Q12" s="673"/>
      <c r="R12" s="671" t="s">
        <v>38</v>
      </c>
      <c r="S12" s="672"/>
      <c r="T12" s="673"/>
      <c r="U12" s="671" t="s">
        <v>38</v>
      </c>
      <c r="V12" s="672"/>
      <c r="W12" s="673"/>
      <c r="X12" s="671" t="s">
        <v>38</v>
      </c>
      <c r="Y12" s="672"/>
      <c r="Z12" s="673"/>
      <c r="AB12" s="671" t="s">
        <v>38</v>
      </c>
      <c r="AC12" s="672"/>
      <c r="AD12" s="673"/>
      <c r="AE12" s="671" t="s">
        <v>38</v>
      </c>
      <c r="AF12" s="672"/>
      <c r="AG12" s="673"/>
      <c r="AH12" s="671" t="s">
        <v>38</v>
      </c>
      <c r="AI12" s="672"/>
      <c r="AJ12" s="673"/>
      <c r="AK12" s="671" t="s">
        <v>38</v>
      </c>
      <c r="AL12" s="672"/>
      <c r="AM12" s="673"/>
      <c r="AN12" s="671" t="s">
        <v>38</v>
      </c>
      <c r="AO12" s="672"/>
      <c r="AP12" s="673"/>
      <c r="AQ12" s="671" t="s">
        <v>38</v>
      </c>
      <c r="AR12" s="672"/>
      <c r="AS12" s="673"/>
      <c r="AW12" s="672"/>
      <c r="AX12" s="673"/>
      <c r="AY12" s="671" t="s">
        <v>38</v>
      </c>
      <c r="AZ12" s="672"/>
      <c r="BA12" s="673"/>
      <c r="BB12" s="671" t="s">
        <v>38</v>
      </c>
      <c r="BC12" s="672"/>
      <c r="BD12" s="673"/>
      <c r="BE12" s="671" t="s">
        <v>38</v>
      </c>
      <c r="BF12" s="672"/>
      <c r="BG12" s="673"/>
      <c r="BH12" s="671" t="s">
        <v>38</v>
      </c>
      <c r="BI12" s="672"/>
      <c r="BJ12" s="673"/>
      <c r="BK12" s="671" t="s">
        <v>38</v>
      </c>
      <c r="BL12" s="672"/>
      <c r="BM12" s="673"/>
      <c r="BN12" s="671" t="s">
        <v>38</v>
      </c>
      <c r="BO12" s="672"/>
      <c r="BP12" s="673"/>
      <c r="BQ12" s="671" t="s">
        <v>38</v>
      </c>
      <c r="BR12" s="672"/>
      <c r="BS12" s="673"/>
      <c r="BT12" s="671" t="s">
        <v>38</v>
      </c>
      <c r="BU12" s="672"/>
      <c r="BV12" s="673"/>
      <c r="BW12" s="671" t="s">
        <v>38</v>
      </c>
      <c r="BX12" s="672"/>
      <c r="BY12" s="673"/>
      <c r="BZ12" s="671" t="s">
        <v>38</v>
      </c>
      <c r="CB12" s="672"/>
      <c r="CC12" s="673"/>
    </row>
    <row r="13" spans="1:87" outlineLevel="1" x14ac:dyDescent="0.25">
      <c r="B13" s="671" t="s">
        <v>38</v>
      </c>
      <c r="I13" s="671" t="s">
        <v>38</v>
      </c>
      <c r="J13" s="672"/>
      <c r="K13" s="673"/>
      <c r="L13" s="671" t="s">
        <v>38</v>
      </c>
      <c r="M13" s="672"/>
      <c r="N13" s="673"/>
      <c r="O13" s="671" t="s">
        <v>38</v>
      </c>
      <c r="P13" s="672"/>
      <c r="Q13" s="673"/>
      <c r="R13" s="671" t="s">
        <v>38</v>
      </c>
      <c r="S13" s="672"/>
      <c r="T13" s="673"/>
      <c r="U13" s="671" t="s">
        <v>38</v>
      </c>
      <c r="V13" s="672"/>
      <c r="W13" s="673"/>
      <c r="X13" s="671" t="s">
        <v>38</v>
      </c>
      <c r="Y13" s="672"/>
      <c r="Z13" s="673"/>
      <c r="AB13" s="671" t="s">
        <v>38</v>
      </c>
      <c r="AC13" s="672"/>
      <c r="AD13" s="673"/>
      <c r="AE13" s="671" t="s">
        <v>38</v>
      </c>
      <c r="AF13" s="672"/>
      <c r="AG13" s="673"/>
      <c r="AH13" s="671" t="s">
        <v>38</v>
      </c>
      <c r="AI13" s="672"/>
      <c r="AJ13" s="673"/>
      <c r="AK13" s="671" t="s">
        <v>38</v>
      </c>
      <c r="AL13" s="672"/>
      <c r="AM13" s="673"/>
      <c r="AN13" s="671" t="s">
        <v>38</v>
      </c>
      <c r="AO13" s="672"/>
      <c r="AP13" s="673"/>
      <c r="AQ13" s="671" t="s">
        <v>38</v>
      </c>
      <c r="AR13" s="672"/>
      <c r="AS13" s="673"/>
      <c r="AW13" s="672"/>
      <c r="AX13" s="673"/>
      <c r="AY13" s="671" t="s">
        <v>38</v>
      </c>
      <c r="AZ13" s="672"/>
      <c r="BA13" s="673"/>
      <c r="BB13" s="671" t="s">
        <v>38</v>
      </c>
      <c r="BC13" s="672"/>
      <c r="BD13" s="673"/>
      <c r="BE13" s="671" t="s">
        <v>38</v>
      </c>
      <c r="BF13" s="672"/>
      <c r="BG13" s="673"/>
      <c r="BH13" s="671" t="s">
        <v>38</v>
      </c>
      <c r="BI13" s="672"/>
      <c r="BJ13" s="673"/>
      <c r="BK13" s="671" t="s">
        <v>38</v>
      </c>
      <c r="BL13" s="672"/>
      <c r="BM13" s="673"/>
      <c r="BN13" s="671" t="s">
        <v>38</v>
      </c>
      <c r="BO13" s="672"/>
      <c r="BP13" s="673"/>
      <c r="BQ13" s="671" t="s">
        <v>38</v>
      </c>
      <c r="BR13" s="672"/>
      <c r="BS13" s="673"/>
      <c r="BT13" s="671" t="s">
        <v>38</v>
      </c>
      <c r="BU13" s="672"/>
      <c r="BV13" s="673"/>
      <c r="BW13" s="671" t="s">
        <v>38</v>
      </c>
      <c r="BX13" s="672"/>
      <c r="BY13" s="673"/>
      <c r="BZ13" s="671" t="s">
        <v>38</v>
      </c>
      <c r="CB13" s="672"/>
      <c r="CC13" s="673"/>
    </row>
    <row r="14" spans="1:87" outlineLevel="1" x14ac:dyDescent="0.25">
      <c r="B14" s="671" t="s">
        <v>38</v>
      </c>
      <c r="I14" s="671" t="s">
        <v>38</v>
      </c>
      <c r="J14" s="672"/>
      <c r="K14" s="673"/>
      <c r="L14" s="671" t="s">
        <v>38</v>
      </c>
      <c r="M14" s="672"/>
      <c r="N14" s="673"/>
      <c r="O14" s="671" t="s">
        <v>38</v>
      </c>
      <c r="P14" s="672"/>
      <c r="Q14" s="673"/>
      <c r="R14" s="671" t="s">
        <v>38</v>
      </c>
      <c r="S14" s="672"/>
      <c r="T14" s="673"/>
      <c r="U14" s="671" t="s">
        <v>38</v>
      </c>
      <c r="V14" s="672"/>
      <c r="W14" s="673"/>
      <c r="X14" s="671" t="s">
        <v>38</v>
      </c>
      <c r="Y14" s="672"/>
      <c r="Z14" s="673"/>
      <c r="AB14" s="671" t="s">
        <v>38</v>
      </c>
      <c r="AC14" s="672"/>
      <c r="AD14" s="673"/>
      <c r="AE14" s="671" t="s">
        <v>38</v>
      </c>
      <c r="AF14" s="672"/>
      <c r="AG14" s="673"/>
      <c r="AH14" s="671" t="s">
        <v>38</v>
      </c>
      <c r="AI14" s="672"/>
      <c r="AJ14" s="673"/>
      <c r="AK14" s="671" t="s">
        <v>38</v>
      </c>
      <c r="AL14" s="672"/>
      <c r="AM14" s="673"/>
      <c r="AN14" s="671" t="s">
        <v>38</v>
      </c>
      <c r="AO14" s="672"/>
      <c r="AP14" s="673"/>
      <c r="AQ14" s="671" t="s">
        <v>38</v>
      </c>
      <c r="AR14" s="672"/>
      <c r="AS14" s="673"/>
      <c r="AW14" s="672"/>
      <c r="AX14" s="673"/>
      <c r="AY14" s="671" t="s">
        <v>38</v>
      </c>
      <c r="AZ14" s="672"/>
      <c r="BA14" s="673"/>
      <c r="BB14" s="671" t="s">
        <v>38</v>
      </c>
      <c r="BC14" s="672"/>
      <c r="BD14" s="673"/>
      <c r="BE14" s="671" t="s">
        <v>38</v>
      </c>
      <c r="BF14" s="672"/>
      <c r="BG14" s="673"/>
      <c r="BH14" s="671" t="s">
        <v>38</v>
      </c>
      <c r="BI14" s="672"/>
      <c r="BJ14" s="673"/>
      <c r="BK14" s="671" t="s">
        <v>38</v>
      </c>
      <c r="BL14" s="672"/>
      <c r="BM14" s="673"/>
      <c r="BN14" s="671" t="s">
        <v>38</v>
      </c>
      <c r="BO14" s="672"/>
      <c r="BP14" s="673"/>
      <c r="BQ14" s="671" t="s">
        <v>38</v>
      </c>
      <c r="BR14" s="672"/>
      <c r="BS14" s="673"/>
      <c r="BT14" s="671" t="s">
        <v>38</v>
      </c>
      <c r="BU14" s="672"/>
      <c r="BV14" s="673"/>
      <c r="BW14" s="671" t="s">
        <v>38</v>
      </c>
      <c r="BX14" s="672"/>
      <c r="BY14" s="673"/>
      <c r="BZ14" s="671" t="s">
        <v>38</v>
      </c>
      <c r="CB14" s="672"/>
      <c r="CC14" s="673"/>
    </row>
    <row r="15" spans="1:87" s="674" customFormat="1" outlineLevel="1" x14ac:dyDescent="0.25">
      <c r="A15" s="686"/>
      <c r="B15" s="671" t="s">
        <v>38</v>
      </c>
      <c r="I15" s="671" t="s">
        <v>38</v>
      </c>
      <c r="L15" s="671" t="s">
        <v>38</v>
      </c>
      <c r="O15" s="671" t="s">
        <v>38</v>
      </c>
      <c r="R15" s="671" t="s">
        <v>38</v>
      </c>
      <c r="U15" s="671" t="s">
        <v>38</v>
      </c>
      <c r="X15" s="671" t="s">
        <v>38</v>
      </c>
      <c r="AB15" s="671" t="s">
        <v>38</v>
      </c>
      <c r="AE15" s="671" t="s">
        <v>38</v>
      </c>
      <c r="AH15" s="671" t="s">
        <v>38</v>
      </c>
      <c r="AK15" s="671" t="s">
        <v>38</v>
      </c>
      <c r="AN15" s="671" t="s">
        <v>38</v>
      </c>
      <c r="AQ15" s="671" t="s">
        <v>38</v>
      </c>
      <c r="AY15" s="671" t="s">
        <v>38</v>
      </c>
      <c r="BB15" s="671" t="s">
        <v>38</v>
      </c>
      <c r="BE15" s="671" t="s">
        <v>38</v>
      </c>
      <c r="BH15" s="671" t="s">
        <v>38</v>
      </c>
      <c r="BK15" s="671" t="s">
        <v>38</v>
      </c>
      <c r="BN15" s="671" t="s">
        <v>38</v>
      </c>
      <c r="BQ15" s="671" t="s">
        <v>38</v>
      </c>
      <c r="BT15" s="671" t="s">
        <v>38</v>
      </c>
      <c r="BW15" s="671" t="s">
        <v>38</v>
      </c>
      <c r="BZ15" s="671" t="s">
        <v>38</v>
      </c>
    </row>
    <row r="16" spans="1:87" x14ac:dyDescent="0.25">
      <c r="A16" s="685" t="s">
        <v>115</v>
      </c>
      <c r="B16" s="671" t="s">
        <v>38</v>
      </c>
      <c r="C16" s="687" t="s">
        <v>116</v>
      </c>
      <c r="D16" s="687" t="s">
        <v>63</v>
      </c>
      <c r="E16" s="687" t="s">
        <v>117</v>
      </c>
      <c r="F16" s="687" t="s">
        <v>118</v>
      </c>
      <c r="G16" s="687" t="s">
        <v>119</v>
      </c>
      <c r="H16" s="687" t="s">
        <v>120</v>
      </c>
      <c r="I16" s="671" t="s">
        <v>38</v>
      </c>
      <c r="J16" s="55" t="s">
        <v>121</v>
      </c>
      <c r="K16" s="55" t="s">
        <v>22</v>
      </c>
      <c r="L16" s="671" t="s">
        <v>38</v>
      </c>
      <c r="M16" s="55" t="s">
        <v>122</v>
      </c>
      <c r="N16" s="55" t="s">
        <v>123</v>
      </c>
      <c r="O16" s="671" t="s">
        <v>38</v>
      </c>
      <c r="P16" s="55" t="s">
        <v>124</v>
      </c>
      <c r="R16" s="671" t="s">
        <v>38</v>
      </c>
      <c r="S16" s="55" t="s">
        <v>125</v>
      </c>
      <c r="T16" s="55" t="s">
        <v>126</v>
      </c>
      <c r="U16" s="671" t="s">
        <v>38</v>
      </c>
      <c r="V16" s="55" t="s">
        <v>127</v>
      </c>
      <c r="W16" s="55" t="s">
        <v>3533</v>
      </c>
      <c r="X16" s="671" t="s">
        <v>38</v>
      </c>
      <c r="Y16" s="55" t="s">
        <v>128</v>
      </c>
      <c r="Z16" s="55" t="s">
        <v>129</v>
      </c>
      <c r="AA16" s="55" t="s">
        <v>130</v>
      </c>
      <c r="AB16" s="671" t="s">
        <v>38</v>
      </c>
      <c r="AC16" s="55" t="s">
        <v>131</v>
      </c>
      <c r="AD16" s="55" t="s">
        <v>3541</v>
      </c>
      <c r="AE16" s="671" t="s">
        <v>38</v>
      </c>
      <c r="AF16" s="55" t="s">
        <v>132</v>
      </c>
      <c r="AG16" s="55" t="s">
        <v>63</v>
      </c>
      <c r="AH16" s="671" t="s">
        <v>38</v>
      </c>
      <c r="AI16" s="55" t="s">
        <v>133</v>
      </c>
      <c r="AJ16" s="55" t="s">
        <v>85</v>
      </c>
      <c r="AK16" s="671" t="s">
        <v>38</v>
      </c>
      <c r="AL16" s="55" t="s">
        <v>134</v>
      </c>
      <c r="AM16" s="55" t="s">
        <v>85</v>
      </c>
      <c r="AN16" s="671" t="s">
        <v>38</v>
      </c>
      <c r="AO16" s="55" t="s">
        <v>135</v>
      </c>
      <c r="AP16" s="55" t="s">
        <v>85</v>
      </c>
      <c r="AQ16" s="671" t="s">
        <v>38</v>
      </c>
      <c r="AR16" s="55" t="s">
        <v>136</v>
      </c>
      <c r="AS16" s="55" t="s">
        <v>137</v>
      </c>
      <c r="AT16" s="55" t="s">
        <v>138</v>
      </c>
      <c r="AU16" s="55" t="s">
        <v>139</v>
      </c>
      <c r="AW16" s="55" t="s">
        <v>140</v>
      </c>
      <c r="AX16" s="55" t="s">
        <v>85</v>
      </c>
      <c r="AY16" s="671" t="s">
        <v>38</v>
      </c>
      <c r="AZ16" s="688" t="s">
        <v>141</v>
      </c>
      <c r="BA16" s="688" t="s">
        <v>142</v>
      </c>
      <c r="BB16" s="671" t="s">
        <v>38</v>
      </c>
      <c r="BC16" s="55" t="s">
        <v>2095</v>
      </c>
      <c r="BD16" s="55" t="s">
        <v>3539</v>
      </c>
      <c r="BE16" s="671" t="s">
        <v>38</v>
      </c>
      <c r="BF16" s="55" t="s">
        <v>2031</v>
      </c>
      <c r="BG16" s="55" t="s">
        <v>63</v>
      </c>
      <c r="BH16" s="671" t="s">
        <v>38</v>
      </c>
      <c r="BI16" s="55" t="s">
        <v>143</v>
      </c>
      <c r="BJ16" s="55" t="s">
        <v>144</v>
      </c>
      <c r="BK16" s="671" t="s">
        <v>38</v>
      </c>
      <c r="BL16" s="55" t="s">
        <v>145</v>
      </c>
      <c r="BM16" s="55" t="s">
        <v>63</v>
      </c>
      <c r="BN16" s="671" t="s">
        <v>38</v>
      </c>
      <c r="BO16" s="55" t="s">
        <v>146</v>
      </c>
      <c r="BP16" s="55" t="s">
        <v>63</v>
      </c>
      <c r="BQ16" s="671" t="s">
        <v>38</v>
      </c>
      <c r="BR16" s="55" t="s">
        <v>147</v>
      </c>
      <c r="BS16" s="55" t="s">
        <v>85</v>
      </c>
      <c r="BT16" s="671" t="s">
        <v>38</v>
      </c>
      <c r="BU16" s="55" t="s">
        <v>148</v>
      </c>
      <c r="BV16" s="55" t="s">
        <v>85</v>
      </c>
      <c r="BW16" s="671" t="s">
        <v>38</v>
      </c>
      <c r="BX16" s="55" t="s">
        <v>149</v>
      </c>
      <c r="BY16" s="55" t="s">
        <v>150</v>
      </c>
      <c r="BZ16" s="671" t="s">
        <v>38</v>
      </c>
      <c r="CA16" s="697" t="s">
        <v>3557</v>
      </c>
      <c r="CB16" s="55" t="s">
        <v>151</v>
      </c>
      <c r="CC16" s="55" t="s">
        <v>152</v>
      </c>
      <c r="CD16" s="55" t="s">
        <v>153</v>
      </c>
      <c r="CE16" s="55" t="s">
        <v>154</v>
      </c>
      <c r="CF16" s="55" t="s">
        <v>118</v>
      </c>
      <c r="CH16" s="689" t="s">
        <v>155</v>
      </c>
    </row>
    <row r="17" spans="2:86" x14ac:dyDescent="0.25">
      <c r="B17" s="671" t="s">
        <v>38</v>
      </c>
      <c r="C17" s="55" t="s">
        <v>123</v>
      </c>
      <c r="D17" s="55" t="s">
        <v>156</v>
      </c>
      <c r="E17" s="656" t="str">
        <f>LEFT('1-Cover'!D3,1)</f>
        <v>P</v>
      </c>
      <c r="F17" s="672" t="s">
        <v>86</v>
      </c>
      <c r="G17" s="664" t="s">
        <v>157</v>
      </c>
      <c r="H17" s="55">
        <v>1</v>
      </c>
      <c r="I17" s="671" t="s">
        <v>38</v>
      </c>
      <c r="J17" s="55" t="s">
        <v>158</v>
      </c>
      <c r="K17" s="55" t="s">
        <v>159</v>
      </c>
      <c r="L17" s="671" t="s">
        <v>38</v>
      </c>
      <c r="M17" s="55" t="s">
        <v>160</v>
      </c>
      <c r="N17" s="55" t="s">
        <v>153</v>
      </c>
      <c r="O17" s="671" t="s">
        <v>38</v>
      </c>
      <c r="P17" s="55" t="s">
        <v>161</v>
      </c>
      <c r="R17" s="671" t="s">
        <v>38</v>
      </c>
      <c r="S17" s="55" t="s">
        <v>162</v>
      </c>
      <c r="T17" s="55" t="s">
        <v>163</v>
      </c>
      <c r="U17" s="671" t="s">
        <v>38</v>
      </c>
      <c r="V17" s="55" t="s">
        <v>3515</v>
      </c>
      <c r="W17" s="55" t="s">
        <v>349</v>
      </c>
      <c r="X17" s="671" t="s">
        <v>38</v>
      </c>
      <c r="Y17" s="55" t="s">
        <v>164</v>
      </c>
      <c r="Z17" s="55" t="s">
        <v>165</v>
      </c>
      <c r="AB17" s="671" t="s">
        <v>38</v>
      </c>
      <c r="AD17" s="55" t="s">
        <v>3542</v>
      </c>
      <c r="AE17" s="671" t="s">
        <v>38</v>
      </c>
      <c r="AF17" s="55" t="s">
        <v>166</v>
      </c>
      <c r="AG17" s="55" t="s">
        <v>167</v>
      </c>
      <c r="AH17" s="671" t="s">
        <v>38</v>
      </c>
      <c r="AI17" s="657" t="s">
        <v>168</v>
      </c>
      <c r="AJ17" s="658" t="s">
        <v>169</v>
      </c>
      <c r="AK17" s="671" t="s">
        <v>38</v>
      </c>
      <c r="AL17" s="659" t="s">
        <v>170</v>
      </c>
      <c r="AM17" s="658" t="s">
        <v>171</v>
      </c>
      <c r="AN17" s="671" t="s">
        <v>38</v>
      </c>
      <c r="AO17" s="659" t="s">
        <v>172</v>
      </c>
      <c r="AP17" s="658"/>
      <c r="AQ17" s="671" t="s">
        <v>38</v>
      </c>
      <c r="AR17" s="656" t="str">
        <f>Select_naics2022[[#This Row],[2022 NAICS Code]]&amp;":  "&amp;Select_naics2022[[#This Row],[2022 NAICS Title]]</f>
        <v>111110:  Soybean Farming</v>
      </c>
      <c r="AS17" s="656">
        <v>111110</v>
      </c>
      <c r="AT17" s="656" t="s">
        <v>173</v>
      </c>
      <c r="AU17" s="656" t="str">
        <f>Select_naics2022[[#This Row],[2022 NAICS Title]]</f>
        <v>Soybean Farming</v>
      </c>
      <c r="AW17" s="656" t="s">
        <v>174</v>
      </c>
      <c r="AX17" s="656"/>
      <c r="AY17" s="671" t="s">
        <v>38</v>
      </c>
      <c r="AZ17" s="675" t="s">
        <v>175</v>
      </c>
      <c r="BA17" s="656" t="s">
        <v>176</v>
      </c>
      <c r="BB17" s="671" t="s">
        <v>38</v>
      </c>
      <c r="BC17" s="656" t="s">
        <v>176</v>
      </c>
      <c r="BD17" s="656"/>
      <c r="BE17" s="671" t="s">
        <v>38</v>
      </c>
      <c r="BF17" s="55" t="s">
        <v>177</v>
      </c>
      <c r="BH17" s="671" t="s">
        <v>38</v>
      </c>
      <c r="BI17" s="656" t="s">
        <v>178</v>
      </c>
      <c r="BJ17" s="656" t="s">
        <v>179</v>
      </c>
      <c r="BK17" s="671" t="s">
        <v>38</v>
      </c>
      <c r="BL17" s="55" t="s">
        <v>180</v>
      </c>
      <c r="BN17" s="671" t="s">
        <v>38</v>
      </c>
      <c r="BO17" s="55" t="s">
        <v>181</v>
      </c>
      <c r="BQ17" s="671" t="s">
        <v>38</v>
      </c>
      <c r="BT17" s="671" t="s">
        <v>38</v>
      </c>
      <c r="BU17" s="55" t="s">
        <v>182</v>
      </c>
      <c r="BW17" s="671" t="s">
        <v>38</v>
      </c>
      <c r="BX17" s="55" t="s">
        <v>183</v>
      </c>
      <c r="BY17" s="55" t="str">
        <f>LEFT(Select_RealizationStatus[[#This Row],[Realization Status]],1)</f>
        <v>U</v>
      </c>
      <c r="BZ17" s="671" t="s">
        <v>38</v>
      </c>
      <c r="CA17" s="695" t="s">
        <v>3558</v>
      </c>
      <c r="CB17" s="55" t="s">
        <v>184</v>
      </c>
      <c r="CC17" s="55" t="str">
        <f>TEXT(IF(formtype="P",FormTypeLabels[[#This Row],[P]],FormTypeLabels[[#This Row],[C]]),"")</f>
        <v>PARTNERS' CAPITAL</v>
      </c>
      <c r="CD17" s="55" t="s">
        <v>185</v>
      </c>
      <c r="CE17" s="55" t="s">
        <v>186</v>
      </c>
      <c r="CF17" s="672" t="s">
        <v>102</v>
      </c>
      <c r="CH17" s="676" t="s">
        <v>187</v>
      </c>
    </row>
    <row r="18" spans="2:86" x14ac:dyDescent="0.25">
      <c r="B18" s="671" t="s">
        <v>38</v>
      </c>
      <c r="C18" s="55" t="s">
        <v>22</v>
      </c>
      <c r="D18" s="55" t="s">
        <v>188</v>
      </c>
      <c r="E18" s="656" t="str">
        <f>LEFT('1-Cover'!$D$1,1)</f>
        <v>Q</v>
      </c>
      <c r="F18" s="672" t="s">
        <v>86</v>
      </c>
      <c r="G18" s="55" t="s">
        <v>189</v>
      </c>
      <c r="H18" s="55">
        <v>2</v>
      </c>
      <c r="I18" s="671" t="s">
        <v>38</v>
      </c>
      <c r="J18" s="55" t="s">
        <v>190</v>
      </c>
      <c r="K18" s="55" t="s">
        <v>191</v>
      </c>
      <c r="L18" s="671" t="s">
        <v>38</v>
      </c>
      <c r="M18" s="55" t="s">
        <v>192</v>
      </c>
      <c r="N18" s="55" t="s">
        <v>154</v>
      </c>
      <c r="O18" s="671" t="s">
        <v>38</v>
      </c>
      <c r="P18" s="55" t="s">
        <v>193</v>
      </c>
      <c r="R18" s="671" t="s">
        <v>38</v>
      </c>
      <c r="S18" s="55" t="s">
        <v>194</v>
      </c>
      <c r="T18" s="55" t="s">
        <v>195</v>
      </c>
      <c r="U18" s="671" t="s">
        <v>38</v>
      </c>
      <c r="V18" s="55" t="s">
        <v>3516</v>
      </c>
      <c r="W18" s="55" t="s">
        <v>3515</v>
      </c>
      <c r="X18" s="671" t="s">
        <v>38</v>
      </c>
      <c r="Y18" s="55" t="s">
        <v>196</v>
      </c>
      <c r="Z18" s="55" t="s">
        <v>197</v>
      </c>
      <c r="AB18" s="671" t="s">
        <v>38</v>
      </c>
      <c r="AC18" s="55" t="s">
        <v>198</v>
      </c>
      <c r="AD18" s="55" t="s">
        <v>3543</v>
      </c>
      <c r="AE18" s="671" t="s">
        <v>38</v>
      </c>
      <c r="AF18" s="55" t="s">
        <v>199</v>
      </c>
      <c r="AG18" s="55" t="s">
        <v>200</v>
      </c>
      <c r="AH18" s="671" t="s">
        <v>38</v>
      </c>
      <c r="AI18" s="657" t="s">
        <v>201</v>
      </c>
      <c r="AJ18" s="658" t="s">
        <v>202</v>
      </c>
      <c r="AK18" s="671" t="s">
        <v>38</v>
      </c>
      <c r="AL18" s="55" t="s">
        <v>203</v>
      </c>
      <c r="AM18" s="55" t="s">
        <v>204</v>
      </c>
      <c r="AN18" s="671" t="s">
        <v>38</v>
      </c>
      <c r="AO18" s="55" t="s">
        <v>205</v>
      </c>
      <c r="AQ18" s="671" t="s">
        <v>38</v>
      </c>
      <c r="AR18" s="656" t="str">
        <f>Select_naics2022[[#This Row],[2022 NAICS Code]]&amp;":  "&amp;Select_naics2022[[#This Row],[2022 NAICS Title]]</f>
        <v xml:space="preserve">111120:  Oilseed (except Soybean) Farming </v>
      </c>
      <c r="AS18" s="656">
        <v>111120</v>
      </c>
      <c r="AT18" s="656" t="s">
        <v>206</v>
      </c>
      <c r="AU18" s="656" t="str">
        <f>Select_naics2022[[#This Row],[2022 NAICS Title]]</f>
        <v xml:space="preserve">Oilseed (except Soybean) Farming </v>
      </c>
      <c r="AW18" s="656" t="s">
        <v>207</v>
      </c>
      <c r="AX18" s="656"/>
      <c r="AY18" s="671" t="s">
        <v>38</v>
      </c>
      <c r="AZ18" s="677" t="s">
        <v>3562</v>
      </c>
      <c r="BA18" s="656" t="s">
        <v>208</v>
      </c>
      <c r="BB18" s="671" t="s">
        <v>38</v>
      </c>
      <c r="BC18" s="656" t="s">
        <v>208</v>
      </c>
      <c r="BD18" s="656"/>
      <c r="BE18" s="671" t="s">
        <v>38</v>
      </c>
      <c r="BF18" s="55" t="s">
        <v>3501</v>
      </c>
      <c r="BH18" s="671" t="s">
        <v>38</v>
      </c>
      <c r="BI18" s="656" t="s">
        <v>209</v>
      </c>
      <c r="BJ18" s="656" t="s">
        <v>210</v>
      </c>
      <c r="BK18" s="671" t="s">
        <v>38</v>
      </c>
      <c r="BL18" s="55" t="s">
        <v>211</v>
      </c>
      <c r="BN18" s="671" t="s">
        <v>38</v>
      </c>
      <c r="BO18" s="55" t="s">
        <v>212</v>
      </c>
      <c r="BQ18" s="671" t="s">
        <v>38</v>
      </c>
      <c r="BR18" s="55" t="s">
        <v>213</v>
      </c>
      <c r="BT18" s="671" t="s">
        <v>38</v>
      </c>
      <c r="BU18" s="55" t="s">
        <v>214</v>
      </c>
      <c r="BW18" s="671" t="s">
        <v>38</v>
      </c>
      <c r="BX18" s="55" t="s">
        <v>215</v>
      </c>
      <c r="BY18" s="55" t="str">
        <f>LEFT(Select_RealizationStatus[[#This Row],[Realization Status]],1)</f>
        <v>P</v>
      </c>
      <c r="BZ18" s="671" t="s">
        <v>38</v>
      </c>
      <c r="CA18" s="696" t="s">
        <v>3559</v>
      </c>
      <c r="CB18" s="55" t="s">
        <v>216</v>
      </c>
      <c r="CC18" s="55" t="str">
        <f>TEXT(IF(formtype="P",FormTypeLabels[[#This Row],[P]],FormTypeLabels[[#This Row],[C]]),"")</f>
        <v>47 Private Partners' Contributed Capital</v>
      </c>
      <c r="CD18" s="69" t="s">
        <v>217</v>
      </c>
      <c r="CE18" s="660" t="s">
        <v>218</v>
      </c>
      <c r="CF18" s="672" t="s">
        <v>102</v>
      </c>
      <c r="CH18" s="678" t="s">
        <v>219</v>
      </c>
    </row>
    <row r="19" spans="2:86" x14ac:dyDescent="0.25">
      <c r="B19" s="671" t="s">
        <v>38</v>
      </c>
      <c r="C19" s="55" t="s">
        <v>220</v>
      </c>
      <c r="D19" s="55" t="s">
        <v>221</v>
      </c>
      <c r="E19" s="656" t="str">
        <f>TEXT(VALUE('1-Cover'!C8),"00000000")</f>
        <v>00000000</v>
      </c>
      <c r="F19" s="672" t="s">
        <v>86</v>
      </c>
      <c r="G19" s="55" t="s">
        <v>222</v>
      </c>
      <c r="H19" s="55">
        <v>3</v>
      </c>
      <c r="I19" s="671" t="s">
        <v>38</v>
      </c>
      <c r="L19" s="671" t="s">
        <v>38</v>
      </c>
      <c r="O19" s="671" t="s">
        <v>38</v>
      </c>
      <c r="P19" s="55" t="s">
        <v>223</v>
      </c>
      <c r="R19" s="671" t="s">
        <v>38</v>
      </c>
      <c r="S19" s="55" t="s">
        <v>224</v>
      </c>
      <c r="T19" s="55" t="s">
        <v>225</v>
      </c>
      <c r="U19" s="671" t="s">
        <v>38</v>
      </c>
      <c r="V19" s="55" t="s">
        <v>175</v>
      </c>
      <c r="W19" s="55" t="s">
        <v>3516</v>
      </c>
      <c r="X19" s="671" t="s">
        <v>38</v>
      </c>
      <c r="Y19" s="55" t="s">
        <v>226</v>
      </c>
      <c r="Z19" s="55" t="s">
        <v>226</v>
      </c>
      <c r="AA19" s="55" t="s">
        <v>227</v>
      </c>
      <c r="AB19" s="671" t="s">
        <v>38</v>
      </c>
      <c r="AD19" s="55" t="s">
        <v>3544</v>
      </c>
      <c r="AE19" s="671" t="s">
        <v>38</v>
      </c>
      <c r="AF19" s="55" t="s">
        <v>228</v>
      </c>
      <c r="AG19" s="55" t="s">
        <v>229</v>
      </c>
      <c r="AH19" s="671" t="s">
        <v>38</v>
      </c>
      <c r="AI19" s="657" t="s">
        <v>230</v>
      </c>
      <c r="AJ19" s="658" t="s">
        <v>231</v>
      </c>
      <c r="AK19" s="671" t="s">
        <v>38</v>
      </c>
      <c r="AL19" s="55" t="s">
        <v>226</v>
      </c>
      <c r="AM19" s="661" t="s">
        <v>232</v>
      </c>
      <c r="AN19" s="671" t="s">
        <v>38</v>
      </c>
      <c r="AO19" s="659" t="s">
        <v>233</v>
      </c>
      <c r="AP19" s="658"/>
      <c r="AQ19" s="671" t="s">
        <v>38</v>
      </c>
      <c r="AR19" s="656" t="str">
        <f>Select_naics2022[[#This Row],[2022 NAICS Code]]&amp;":  "&amp;Select_naics2022[[#This Row],[2022 NAICS Title]]</f>
        <v xml:space="preserve">111130:  Dry Pea and Bean Farming </v>
      </c>
      <c r="AS19" s="656">
        <v>111130</v>
      </c>
      <c r="AT19" s="656" t="s">
        <v>234</v>
      </c>
      <c r="AU19" s="656" t="str">
        <f>Select_naics2022[[#This Row],[2022 NAICS Title]]</f>
        <v xml:space="preserve">Dry Pea and Bean Farming </v>
      </c>
      <c r="AW19" s="656" t="s">
        <v>235</v>
      </c>
      <c r="AX19" s="656"/>
      <c r="AY19" s="671" t="s">
        <v>38</v>
      </c>
      <c r="AZ19" s="675" t="s">
        <v>236</v>
      </c>
      <c r="BA19" s="656" t="s">
        <v>237</v>
      </c>
      <c r="BB19" s="671" t="s">
        <v>38</v>
      </c>
      <c r="BC19" s="656" t="s">
        <v>237</v>
      </c>
      <c r="BD19" s="656"/>
      <c r="BE19" s="671" t="s">
        <v>38</v>
      </c>
      <c r="BF19" s="55" t="s">
        <v>238</v>
      </c>
      <c r="BH19" s="671" t="s">
        <v>38</v>
      </c>
      <c r="BI19" s="656" t="s">
        <v>239</v>
      </c>
      <c r="BJ19" s="656" t="s">
        <v>240</v>
      </c>
      <c r="BK19" s="671" t="s">
        <v>38</v>
      </c>
      <c r="BL19" s="55" t="s">
        <v>241</v>
      </c>
      <c r="BN19" s="671" t="s">
        <v>38</v>
      </c>
      <c r="BO19" s="55" t="s">
        <v>242</v>
      </c>
      <c r="BP19" s="55" t="s">
        <v>243</v>
      </c>
      <c r="BQ19" s="671" t="s">
        <v>38</v>
      </c>
      <c r="BR19" s="55" t="s">
        <v>244</v>
      </c>
      <c r="BT19" s="671" t="s">
        <v>38</v>
      </c>
      <c r="BU19" s="55" t="s">
        <v>245</v>
      </c>
      <c r="BW19" s="671" t="s">
        <v>38</v>
      </c>
      <c r="BX19" s="55" t="s">
        <v>246</v>
      </c>
      <c r="BY19" s="55" t="str">
        <f>LEFT(Select_RealizationStatus[[#This Row],[Realization Status]],1)</f>
        <v>F</v>
      </c>
      <c r="BZ19" s="671" t="s">
        <v>38</v>
      </c>
      <c r="CA19" s="695" t="s">
        <v>3560</v>
      </c>
      <c r="CB19" s="55" t="s">
        <v>247</v>
      </c>
      <c r="CC19" s="55" t="str">
        <f>TEXT(IF(formtype="P",FormTypeLabels[[#This Row],[P]],FormTypeLabels[[#This Row],[C]]),"")</f>
        <v>a. General Partners'</v>
      </c>
      <c r="CD19" s="68" t="s">
        <v>248</v>
      </c>
      <c r="CE19" s="662" t="s">
        <v>249</v>
      </c>
      <c r="CF19" s="672" t="s">
        <v>102</v>
      </c>
      <c r="CH19" s="676" t="s">
        <v>250</v>
      </c>
    </row>
    <row r="20" spans="2:86" x14ac:dyDescent="0.25">
      <c r="B20" s="671" t="s">
        <v>38</v>
      </c>
      <c r="C20" s="55" t="s">
        <v>251</v>
      </c>
      <c r="D20" s="55" t="s">
        <v>252</v>
      </c>
      <c r="E20" s="656" cm="1">
        <f t="array" ref="E20">sbicname</f>
        <v>0</v>
      </c>
      <c r="F20" s="672" t="s">
        <v>86</v>
      </c>
      <c r="G20" s="55" t="s">
        <v>253</v>
      </c>
      <c r="H20" s="55">
        <v>4</v>
      </c>
      <c r="I20" s="671" t="s">
        <v>38</v>
      </c>
      <c r="L20" s="671" t="s">
        <v>38</v>
      </c>
      <c r="O20" s="671" t="s">
        <v>38</v>
      </c>
      <c r="R20" s="671" t="s">
        <v>38</v>
      </c>
      <c r="S20" s="55" t="s">
        <v>254</v>
      </c>
      <c r="T20" s="55" t="s">
        <v>255</v>
      </c>
      <c r="U20" s="671" t="s">
        <v>38</v>
      </c>
      <c r="V20" s="55" t="s">
        <v>3517</v>
      </c>
      <c r="W20" s="55" t="s">
        <v>3534</v>
      </c>
      <c r="X20" s="671" t="s">
        <v>38</v>
      </c>
      <c r="AB20" s="671" t="s">
        <v>38</v>
      </c>
      <c r="AD20" s="55" t="s">
        <v>3545</v>
      </c>
      <c r="AE20" s="671" t="s">
        <v>38</v>
      </c>
      <c r="AF20" s="55" t="s">
        <v>226</v>
      </c>
      <c r="AG20" s="55" t="s">
        <v>226</v>
      </c>
      <c r="AH20" s="671" t="s">
        <v>38</v>
      </c>
      <c r="AI20" s="657" t="s">
        <v>256</v>
      </c>
      <c r="AJ20" s="658" t="s">
        <v>257</v>
      </c>
      <c r="AK20" s="671" t="s">
        <v>38</v>
      </c>
      <c r="AN20" s="671" t="s">
        <v>38</v>
      </c>
      <c r="AO20" s="55" t="s">
        <v>258</v>
      </c>
      <c r="AQ20" s="671" t="s">
        <v>38</v>
      </c>
      <c r="AR20" s="656" t="str">
        <f>Select_naics2022[[#This Row],[2022 NAICS Code]]&amp;":  "&amp;Select_naics2022[[#This Row],[2022 NAICS Title]]</f>
        <v>111140:  Wheat Farming</v>
      </c>
      <c r="AS20" s="656">
        <v>111140</v>
      </c>
      <c r="AT20" s="656" t="s">
        <v>259</v>
      </c>
      <c r="AU20" s="656" t="str">
        <f>Select_naics2022[[#This Row],[2022 NAICS Title]]</f>
        <v>Wheat Farming</v>
      </c>
      <c r="AW20" s="656" t="s">
        <v>260</v>
      </c>
      <c r="AX20" s="656"/>
      <c r="AY20" s="671" t="s">
        <v>38</v>
      </c>
      <c r="AZ20" s="677" t="s">
        <v>3527</v>
      </c>
      <c r="BA20" s="656" t="s">
        <v>262</v>
      </c>
      <c r="BB20" s="671" t="s">
        <v>38</v>
      </c>
      <c r="BC20" s="656" t="s">
        <v>262</v>
      </c>
      <c r="BD20" s="656"/>
      <c r="BE20" s="671" t="s">
        <v>38</v>
      </c>
      <c r="BF20" s="55" t="s">
        <v>3497</v>
      </c>
      <c r="BH20" s="671" t="s">
        <v>38</v>
      </c>
      <c r="BI20" s="656" t="s">
        <v>263</v>
      </c>
      <c r="BJ20" s="656" t="s">
        <v>264</v>
      </c>
      <c r="BK20" s="671" t="s">
        <v>38</v>
      </c>
      <c r="BN20" s="671" t="s">
        <v>38</v>
      </c>
      <c r="BO20" s="55" t="s">
        <v>265</v>
      </c>
      <c r="BQ20" s="671" t="s">
        <v>38</v>
      </c>
      <c r="BR20" s="55" t="s">
        <v>266</v>
      </c>
      <c r="BT20" s="671" t="s">
        <v>38</v>
      </c>
      <c r="BU20" s="55" t="s">
        <v>267</v>
      </c>
      <c r="BW20" s="671" t="s">
        <v>38</v>
      </c>
      <c r="BZ20" s="671" t="s">
        <v>38</v>
      </c>
      <c r="CB20" s="55" t="s">
        <v>268</v>
      </c>
      <c r="CC20" s="55" t="str">
        <f>TEXT(IF(formtype="P",FormTypeLabels[[#This Row],[P]],FormTypeLabels[[#This Row],[C]]),"")</f>
        <v>b. Limited Partners'</v>
      </c>
      <c r="CD20" s="68" t="s">
        <v>269</v>
      </c>
      <c r="CE20" s="662" t="s">
        <v>270</v>
      </c>
      <c r="CF20" s="672" t="s">
        <v>102</v>
      </c>
      <c r="CH20" s="678" t="s">
        <v>223</v>
      </c>
    </row>
    <row r="21" spans="2:86" x14ac:dyDescent="0.25">
      <c r="B21" s="671" t="s">
        <v>38</v>
      </c>
      <c r="C21" s="55" t="s">
        <v>271</v>
      </c>
      <c r="E21" s="656">
        <f>Number_of_Months</f>
        <v>0</v>
      </c>
      <c r="F21" s="673" t="s">
        <v>86</v>
      </c>
      <c r="G21" s="55" t="s">
        <v>272</v>
      </c>
      <c r="H21" s="55">
        <v>5</v>
      </c>
      <c r="I21" s="671" t="s">
        <v>38</v>
      </c>
      <c r="L21" s="671" t="s">
        <v>38</v>
      </c>
      <c r="O21" s="671" t="s">
        <v>38</v>
      </c>
      <c r="R21" s="671" t="s">
        <v>38</v>
      </c>
      <c r="S21" s="55" t="s">
        <v>273</v>
      </c>
      <c r="T21" s="55" t="s">
        <v>274</v>
      </c>
      <c r="U21" s="671" t="s">
        <v>38</v>
      </c>
      <c r="V21" s="55" t="s">
        <v>3518</v>
      </c>
      <c r="W21" s="55" t="s">
        <v>3535</v>
      </c>
      <c r="X21" s="671" t="s">
        <v>38</v>
      </c>
      <c r="AB21" s="671" t="s">
        <v>38</v>
      </c>
      <c r="AD21" s="55" t="s">
        <v>3546</v>
      </c>
      <c r="AE21" s="671" t="s">
        <v>38</v>
      </c>
      <c r="AH21" s="671" t="s">
        <v>38</v>
      </c>
      <c r="AI21" s="657" t="s">
        <v>275</v>
      </c>
      <c r="AJ21" s="658" t="s">
        <v>276</v>
      </c>
      <c r="AK21" s="671" t="s">
        <v>38</v>
      </c>
      <c r="AN21" s="671" t="s">
        <v>38</v>
      </c>
      <c r="AO21" s="659" t="s">
        <v>277</v>
      </c>
      <c r="AP21" s="658"/>
      <c r="AQ21" s="671" t="s">
        <v>38</v>
      </c>
      <c r="AR21" s="656" t="str">
        <f>Select_naics2022[[#This Row],[2022 NAICS Code]]&amp;":  "&amp;Select_naics2022[[#This Row],[2022 NAICS Title]]</f>
        <v xml:space="preserve">111150:  Corn Farming </v>
      </c>
      <c r="AS21" s="656">
        <v>111150</v>
      </c>
      <c r="AT21" s="656" t="s">
        <v>278</v>
      </c>
      <c r="AU21" s="656" t="str">
        <f>Select_naics2022[[#This Row],[2022 NAICS Title]]</f>
        <v xml:space="preserve">Corn Farming </v>
      </c>
      <c r="AW21" s="656" t="s">
        <v>279</v>
      </c>
      <c r="AX21" s="656"/>
      <c r="AY21" s="671" t="s">
        <v>38</v>
      </c>
      <c r="AZ21" s="675" t="s">
        <v>261</v>
      </c>
      <c r="BA21" s="675"/>
      <c r="BB21" s="671" t="s">
        <v>38</v>
      </c>
      <c r="BC21" s="656" t="s">
        <v>280</v>
      </c>
      <c r="BD21" s="656"/>
      <c r="BE21" s="671" t="s">
        <v>38</v>
      </c>
      <c r="BF21" s="55" t="s">
        <v>3556</v>
      </c>
      <c r="BH21" s="671" t="s">
        <v>38</v>
      </c>
      <c r="BI21" s="656" t="s">
        <v>281</v>
      </c>
      <c r="BJ21" s="656" t="s">
        <v>282</v>
      </c>
      <c r="BK21" s="671" t="s">
        <v>38</v>
      </c>
      <c r="BN21" s="671" t="s">
        <v>38</v>
      </c>
      <c r="BQ21" s="671" t="s">
        <v>38</v>
      </c>
      <c r="BR21" s="55" t="s">
        <v>283</v>
      </c>
      <c r="BT21" s="671" t="s">
        <v>38</v>
      </c>
      <c r="BU21" s="55" t="s">
        <v>223</v>
      </c>
      <c r="BW21" s="671" t="s">
        <v>38</v>
      </c>
      <c r="BZ21" s="671" t="s">
        <v>38</v>
      </c>
      <c r="CB21" s="55" t="s">
        <v>284</v>
      </c>
      <c r="CC21" s="55" t="str">
        <f>TEXT(IF(formtype="P",FormTypeLabels[[#This Row],[P]],FormTypeLabels[[#This Row],[C]]),"")</f>
        <v/>
      </c>
      <c r="CE21" s="662" t="s">
        <v>285</v>
      </c>
      <c r="CF21" s="672" t="s">
        <v>102</v>
      </c>
    </row>
    <row r="22" spans="2:86" x14ac:dyDescent="0.25">
      <c r="B22" s="671" t="s">
        <v>38</v>
      </c>
      <c r="C22" s="55" t="s">
        <v>286</v>
      </c>
      <c r="E22" s="656" t="str">
        <f>ReportType_Fulltext</f>
        <v>Quarterly Report</v>
      </c>
      <c r="F22" s="673" t="s">
        <v>86</v>
      </c>
      <c r="G22" s="55" t="s">
        <v>287</v>
      </c>
      <c r="H22" s="55">
        <v>6</v>
      </c>
      <c r="I22" s="671" t="s">
        <v>38</v>
      </c>
      <c r="L22" s="671" t="s">
        <v>38</v>
      </c>
      <c r="O22" s="671" t="s">
        <v>38</v>
      </c>
      <c r="R22" s="671" t="s">
        <v>38</v>
      </c>
      <c r="S22" s="55" t="s">
        <v>288</v>
      </c>
      <c r="T22" s="55" t="s">
        <v>289</v>
      </c>
      <c r="U22" s="671" t="s">
        <v>38</v>
      </c>
      <c r="V22" s="55" t="s">
        <v>292</v>
      </c>
      <c r="W22" s="55" t="s">
        <v>3536</v>
      </c>
      <c r="X22" s="671" t="s">
        <v>38</v>
      </c>
      <c r="AB22" s="671" t="s">
        <v>38</v>
      </c>
      <c r="AD22" s="55" t="s">
        <v>3547</v>
      </c>
      <c r="AE22" s="671" t="s">
        <v>38</v>
      </c>
      <c r="AH22" s="671" t="s">
        <v>38</v>
      </c>
      <c r="AI22" s="657" t="s">
        <v>226</v>
      </c>
      <c r="AJ22" s="658" t="s">
        <v>232</v>
      </c>
      <c r="AK22" s="671" t="s">
        <v>38</v>
      </c>
      <c r="AN22" s="671" t="s">
        <v>38</v>
      </c>
      <c r="AO22" s="55" t="s">
        <v>223</v>
      </c>
      <c r="AQ22" s="671" t="s">
        <v>38</v>
      </c>
      <c r="AR22" s="656" t="str">
        <f>Select_naics2022[[#This Row],[2022 NAICS Code]]&amp;":  "&amp;Select_naics2022[[#This Row],[2022 NAICS Title]]</f>
        <v>111160:  Rice Farming</v>
      </c>
      <c r="AS22" s="656">
        <v>111160</v>
      </c>
      <c r="AT22" s="656" t="s">
        <v>290</v>
      </c>
      <c r="AU22" s="656" t="str">
        <f>Select_naics2022[[#This Row],[2022 NAICS Title]]</f>
        <v>Rice Farming</v>
      </c>
      <c r="AW22" s="656" t="s">
        <v>291</v>
      </c>
      <c r="AX22" s="656"/>
      <c r="AY22" s="671" t="s">
        <v>38</v>
      </c>
      <c r="AZ22" s="677" t="s">
        <v>3563</v>
      </c>
      <c r="BA22" s="677"/>
      <c r="BB22" s="671" t="s">
        <v>38</v>
      </c>
      <c r="BC22" s="656" t="s">
        <v>293</v>
      </c>
      <c r="BD22" s="656"/>
      <c r="BE22" s="671" t="s">
        <v>38</v>
      </c>
      <c r="BF22" s="55" t="s">
        <v>3504</v>
      </c>
      <c r="BH22" s="671" t="s">
        <v>38</v>
      </c>
      <c r="BI22" s="656" t="s">
        <v>294</v>
      </c>
      <c r="BJ22" s="656" t="s">
        <v>295</v>
      </c>
      <c r="BK22" s="671" t="s">
        <v>38</v>
      </c>
      <c r="BN22" s="671" t="s">
        <v>38</v>
      </c>
      <c r="BQ22" s="671" t="s">
        <v>38</v>
      </c>
      <c r="BR22" s="55" t="s">
        <v>296</v>
      </c>
      <c r="BT22" s="671" t="s">
        <v>38</v>
      </c>
      <c r="BU22" s="55" t="s">
        <v>297</v>
      </c>
      <c r="BV22" s="55" t="s">
        <v>298</v>
      </c>
      <c r="BW22" s="671" t="s">
        <v>38</v>
      </c>
      <c r="BZ22" s="671" t="s">
        <v>38</v>
      </c>
      <c r="CB22" s="55" t="s">
        <v>299</v>
      </c>
      <c r="CC22" s="55" t="str">
        <f>TEXT(IF(formtype="P",FormTypeLabels[[#This Row],[P]],FormTypeLabels[[#This Row],[C]]),"")</f>
        <v>c. Total Private Partners' Contributed Capital</v>
      </c>
      <c r="CD22" s="68" t="s">
        <v>300</v>
      </c>
      <c r="CE22" s="662" t="s">
        <v>301</v>
      </c>
      <c r="CF22" s="672" t="s">
        <v>102</v>
      </c>
    </row>
    <row r="23" spans="2:86" x14ac:dyDescent="0.25">
      <c r="B23" s="671" t="s">
        <v>38</v>
      </c>
      <c r="C23" s="55" t="s">
        <v>302</v>
      </c>
      <c r="D23" s="55" t="s">
        <v>303</v>
      </c>
      <c r="E23" s="656" t="str">
        <f>LEFT(licenseno,2)&amp;"/"&amp;MID(licenseno,3,2)&amp;"-"&amp;RIGHT(licenseno,4)</f>
        <v>00/00-0000</v>
      </c>
      <c r="F23" s="673" t="s">
        <v>86</v>
      </c>
      <c r="G23" s="55" t="s">
        <v>222</v>
      </c>
      <c r="H23" s="55">
        <v>7</v>
      </c>
      <c r="I23" s="671" t="s">
        <v>38</v>
      </c>
      <c r="L23" s="671" t="s">
        <v>38</v>
      </c>
      <c r="O23" s="671" t="s">
        <v>38</v>
      </c>
      <c r="R23" s="671" t="s">
        <v>38</v>
      </c>
      <c r="S23" s="55" t="s">
        <v>304</v>
      </c>
      <c r="T23" s="55" t="s">
        <v>305</v>
      </c>
      <c r="U23" s="671" t="s">
        <v>38</v>
      </c>
      <c r="V23" s="55" t="s">
        <v>3519</v>
      </c>
      <c r="W23" s="55" t="s">
        <v>3537</v>
      </c>
      <c r="X23" s="671" t="s">
        <v>38</v>
      </c>
      <c r="AB23" s="671" t="s">
        <v>38</v>
      </c>
      <c r="AD23" s="55" t="s">
        <v>3548</v>
      </c>
      <c r="AE23" s="671" t="s">
        <v>38</v>
      </c>
      <c r="AH23" s="671" t="s">
        <v>38</v>
      </c>
      <c r="AK23" s="671" t="s">
        <v>38</v>
      </c>
      <c r="AN23" s="671" t="s">
        <v>38</v>
      </c>
      <c r="AQ23" s="671" t="s">
        <v>38</v>
      </c>
      <c r="AR23" s="656" t="str">
        <f>Select_naics2022[[#This Row],[2022 NAICS Code]]&amp;":  "&amp;Select_naics2022[[#This Row],[2022 NAICS Title]]</f>
        <v xml:space="preserve">111191:  Oilseed and Grain Combination Farming </v>
      </c>
      <c r="AS23" s="656">
        <v>111191</v>
      </c>
      <c r="AT23" s="656" t="s">
        <v>306</v>
      </c>
      <c r="AU23" s="656" t="str">
        <f>Select_naics2022[[#This Row],[2022 NAICS Title]]</f>
        <v xml:space="preserve">Oilseed and Grain Combination Farming </v>
      </c>
      <c r="AW23" s="656" t="s">
        <v>307</v>
      </c>
      <c r="AX23" s="656"/>
      <c r="AY23" s="671" t="s">
        <v>38</v>
      </c>
      <c r="AZ23" s="679" t="s">
        <v>308</v>
      </c>
      <c r="BA23" s="679"/>
      <c r="BB23" s="671" t="s">
        <v>38</v>
      </c>
      <c r="BC23" s="656" t="s">
        <v>309</v>
      </c>
      <c r="BD23" s="656"/>
      <c r="BE23" s="671" t="s">
        <v>38</v>
      </c>
      <c r="BF23" s="55" t="s">
        <v>3505</v>
      </c>
      <c r="BH23" s="671" t="s">
        <v>38</v>
      </c>
      <c r="BI23" s="656"/>
      <c r="BJ23" s="656"/>
      <c r="BK23" s="671" t="s">
        <v>38</v>
      </c>
      <c r="BN23" s="671" t="s">
        <v>38</v>
      </c>
      <c r="BQ23" s="671" t="s">
        <v>38</v>
      </c>
      <c r="BR23" s="55" t="s">
        <v>310</v>
      </c>
      <c r="BT23" s="671" t="s">
        <v>38</v>
      </c>
      <c r="BW23" s="671" t="s">
        <v>38</v>
      </c>
      <c r="BZ23" s="671" t="s">
        <v>38</v>
      </c>
      <c r="CB23" s="55" t="s">
        <v>311</v>
      </c>
      <c r="CC23" s="55" t="str">
        <f>TEXT(IF(formtype="P",FormTypeLabels[[#This Row],[P]],FormTypeLabels[[#This Row],[C]]),"")</f>
        <v xml:space="preserve">51 Undistributed Net Realized Earnings </v>
      </c>
      <c r="CD23" s="69" t="s">
        <v>312</v>
      </c>
      <c r="CE23" s="660" t="s">
        <v>312</v>
      </c>
      <c r="CF23" s="672" t="s">
        <v>102</v>
      </c>
    </row>
    <row r="24" spans="2:86" x14ac:dyDescent="0.25">
      <c r="B24" s="671" t="s">
        <v>38</v>
      </c>
      <c r="C24" s="55" t="s">
        <v>313</v>
      </c>
      <c r="D24" s="55" t="s">
        <v>314</v>
      </c>
      <c r="E24" s="663">
        <f>Form468Date</f>
        <v>0</v>
      </c>
      <c r="F24" s="672" t="s">
        <v>86</v>
      </c>
      <c r="G24" s="55" t="s">
        <v>315</v>
      </c>
      <c r="H24" s="55">
        <v>8</v>
      </c>
      <c r="I24" s="671" t="s">
        <v>38</v>
      </c>
      <c r="L24" s="671" t="s">
        <v>38</v>
      </c>
      <c r="O24" s="671" t="s">
        <v>38</v>
      </c>
      <c r="R24" s="671" t="s">
        <v>38</v>
      </c>
      <c r="S24" s="55" t="s">
        <v>316</v>
      </c>
      <c r="T24" s="55" t="s">
        <v>317</v>
      </c>
      <c r="U24" s="671" t="s">
        <v>38</v>
      </c>
      <c r="V24" s="55" t="s">
        <v>3520</v>
      </c>
      <c r="W24" s="55" t="s">
        <v>223</v>
      </c>
      <c r="X24" s="671" t="s">
        <v>38</v>
      </c>
      <c r="AB24" s="671" t="s">
        <v>38</v>
      </c>
      <c r="AD24" s="55" t="s">
        <v>3549</v>
      </c>
      <c r="AE24" s="671" t="s">
        <v>38</v>
      </c>
      <c r="AH24" s="671" t="s">
        <v>38</v>
      </c>
      <c r="AK24" s="671" t="s">
        <v>38</v>
      </c>
      <c r="AN24" s="671" t="s">
        <v>38</v>
      </c>
      <c r="AQ24" s="671" t="s">
        <v>38</v>
      </c>
      <c r="AR24" s="656" t="str">
        <f>Select_naics2022[[#This Row],[2022 NAICS Code]]&amp;":  "&amp;Select_naics2022[[#This Row],[2022 NAICS Title]]</f>
        <v xml:space="preserve">111199:  All Other Grain Farming </v>
      </c>
      <c r="AS24" s="656">
        <v>111199</v>
      </c>
      <c r="AT24" s="656" t="s">
        <v>318</v>
      </c>
      <c r="AU24" s="656" t="str">
        <f>Select_naics2022[[#This Row],[2022 NAICS Title]]</f>
        <v xml:space="preserve">All Other Grain Farming </v>
      </c>
      <c r="AW24" s="656" t="s">
        <v>319</v>
      </c>
      <c r="AX24" s="656"/>
      <c r="AY24" s="671" t="s">
        <v>38</v>
      </c>
      <c r="BB24" s="671" t="s">
        <v>38</v>
      </c>
      <c r="BC24" s="656" t="s">
        <v>320</v>
      </c>
      <c r="BD24" s="656"/>
      <c r="BE24" s="671" t="s">
        <v>38</v>
      </c>
      <c r="BF24" s="55" t="s">
        <v>3502</v>
      </c>
      <c r="BH24" s="671" t="s">
        <v>38</v>
      </c>
      <c r="BI24" s="656"/>
      <c r="BJ24" s="656"/>
      <c r="BK24" s="671" t="s">
        <v>38</v>
      </c>
      <c r="BN24" s="671" t="s">
        <v>38</v>
      </c>
      <c r="BQ24" s="671" t="s">
        <v>38</v>
      </c>
      <c r="BR24" s="55" t="s">
        <v>321</v>
      </c>
      <c r="BT24" s="671" t="s">
        <v>38</v>
      </c>
      <c r="BW24" s="671" t="s">
        <v>38</v>
      </c>
      <c r="BZ24" s="671" t="s">
        <v>38</v>
      </c>
      <c r="CB24" s="55" t="s">
        <v>322</v>
      </c>
      <c r="CC24" s="55" t="str">
        <f>TEXT(IF(formtype="P",FormTypeLabels[[#This Row],[P]],FormTypeLabels[[#This Row],[C]]),"")</f>
        <v/>
      </c>
      <c r="CD24" s="69"/>
      <c r="CE24" s="662" t="s">
        <v>323</v>
      </c>
      <c r="CF24" s="672" t="s">
        <v>102</v>
      </c>
    </row>
    <row r="25" spans="2:86" x14ac:dyDescent="0.25">
      <c r="B25" s="671" t="s">
        <v>38</v>
      </c>
      <c r="C25" s="55" t="s">
        <v>324</v>
      </c>
      <c r="D25" s="55" t="s">
        <v>325</v>
      </c>
      <c r="E25" s="663" t="e">
        <f>EOMONTH(Form468Date,-3)</f>
        <v>#NUM!</v>
      </c>
      <c r="F25" s="657" t="s">
        <v>86</v>
      </c>
      <c r="G25" s="664" t="s">
        <v>326</v>
      </c>
      <c r="H25" s="55">
        <v>9</v>
      </c>
      <c r="I25" s="671" t="s">
        <v>38</v>
      </c>
      <c r="L25" s="671" t="s">
        <v>38</v>
      </c>
      <c r="O25" s="671" t="s">
        <v>38</v>
      </c>
      <c r="R25" s="671" t="s">
        <v>38</v>
      </c>
      <c r="S25" s="55" t="s">
        <v>327</v>
      </c>
      <c r="T25" s="55" t="s">
        <v>328</v>
      </c>
      <c r="U25" s="671" t="s">
        <v>38</v>
      </c>
      <c r="V25" s="55" t="s">
        <v>3521</v>
      </c>
      <c r="X25" s="671" t="s">
        <v>38</v>
      </c>
      <c r="AB25" s="671" t="s">
        <v>38</v>
      </c>
      <c r="AD25" s="55" t="s">
        <v>3550</v>
      </c>
      <c r="AE25" s="671" t="s">
        <v>38</v>
      </c>
      <c r="AH25" s="671" t="s">
        <v>38</v>
      </c>
      <c r="AK25" s="671" t="s">
        <v>38</v>
      </c>
      <c r="AN25" s="671" t="s">
        <v>38</v>
      </c>
      <c r="AQ25" s="671" t="s">
        <v>38</v>
      </c>
      <c r="AR25" s="656" t="str">
        <f>Select_naics2022[[#This Row],[2022 NAICS Code]]&amp;":  "&amp;Select_naics2022[[#This Row],[2022 NAICS Title]]</f>
        <v xml:space="preserve">111211:  Potato Farming </v>
      </c>
      <c r="AS25" s="656">
        <v>111211</v>
      </c>
      <c r="AT25" s="656" t="s">
        <v>329</v>
      </c>
      <c r="AU25" s="656" t="str">
        <f>Select_naics2022[[#This Row],[2022 NAICS Title]]</f>
        <v xml:space="preserve">Potato Farming </v>
      </c>
      <c r="AW25" s="656" t="s">
        <v>330</v>
      </c>
      <c r="AX25" s="656"/>
      <c r="AY25" s="671" t="s">
        <v>38</v>
      </c>
      <c r="BB25" s="671" t="s">
        <v>38</v>
      </c>
      <c r="BC25" s="665" t="s">
        <v>223</v>
      </c>
      <c r="BD25" s="665"/>
      <c r="BE25" s="671" t="s">
        <v>38</v>
      </c>
      <c r="BF25" s="55" t="s">
        <v>3506</v>
      </c>
      <c r="BH25" s="671" t="s">
        <v>38</v>
      </c>
      <c r="BK25" s="671" t="s">
        <v>38</v>
      </c>
      <c r="BN25" s="671" t="s">
        <v>38</v>
      </c>
      <c r="BQ25" s="671" t="s">
        <v>38</v>
      </c>
      <c r="BR25" s="55" t="s">
        <v>331</v>
      </c>
      <c r="BT25" s="671" t="s">
        <v>38</v>
      </c>
      <c r="BW25" s="671" t="s">
        <v>38</v>
      </c>
      <c r="BZ25" s="671" t="s">
        <v>38</v>
      </c>
      <c r="CB25" s="55" t="s">
        <v>332</v>
      </c>
      <c r="CC25" s="55" t="str">
        <f>TEXT(IF(formtype="P",FormTypeLabels[[#This Row],[P]],FormTypeLabels[[#This Row],[C]]),"")</f>
        <v/>
      </c>
      <c r="CD25" s="69"/>
      <c r="CE25" s="662" t="s">
        <v>333</v>
      </c>
      <c r="CF25" s="672" t="s">
        <v>102</v>
      </c>
    </row>
    <row r="26" spans="2:86" x14ac:dyDescent="0.25">
      <c r="B26" s="671" t="s">
        <v>38</v>
      </c>
      <c r="C26" s="55" t="s">
        <v>334</v>
      </c>
      <c r="D26" s="55" t="s">
        <v>335</v>
      </c>
      <c r="E26" s="656">
        <f>VintageYr</f>
        <v>0</v>
      </c>
      <c r="F26" s="657" t="s">
        <v>86</v>
      </c>
      <c r="G26" s="55" t="s">
        <v>336</v>
      </c>
      <c r="H26" s="55">
        <v>10</v>
      </c>
      <c r="I26" s="671" t="s">
        <v>38</v>
      </c>
      <c r="L26" s="671" t="s">
        <v>38</v>
      </c>
      <c r="O26" s="671" t="s">
        <v>38</v>
      </c>
      <c r="R26" s="671" t="s">
        <v>38</v>
      </c>
      <c r="S26" s="55" t="s">
        <v>337</v>
      </c>
      <c r="T26" s="55" t="s">
        <v>338</v>
      </c>
      <c r="U26" s="671" t="s">
        <v>38</v>
      </c>
      <c r="V26" s="55" t="s">
        <v>3522</v>
      </c>
      <c r="X26" s="671" t="s">
        <v>38</v>
      </c>
      <c r="AB26" s="671" t="s">
        <v>38</v>
      </c>
      <c r="AD26" s="55" t="s">
        <v>3551</v>
      </c>
      <c r="AE26" s="671" t="s">
        <v>38</v>
      </c>
      <c r="AH26" s="671" t="s">
        <v>38</v>
      </c>
      <c r="AK26" s="671" t="s">
        <v>38</v>
      </c>
      <c r="AN26" s="671" t="s">
        <v>38</v>
      </c>
      <c r="AQ26" s="671" t="s">
        <v>38</v>
      </c>
      <c r="AR26" s="656" t="str">
        <f>Select_naics2022[[#This Row],[2022 NAICS Code]]&amp;":  "&amp;Select_naics2022[[#This Row],[2022 NAICS Title]]</f>
        <v xml:space="preserve">111219:  Other Vegetable (except Potato) and Melon Farming </v>
      </c>
      <c r="AS26" s="656">
        <v>111219</v>
      </c>
      <c r="AT26" s="656" t="s">
        <v>339</v>
      </c>
      <c r="AU26" s="656" t="str">
        <f>Select_naics2022[[#This Row],[2022 NAICS Title]]</f>
        <v xml:space="preserve">Other Vegetable (except Potato) and Melon Farming </v>
      </c>
      <c r="AW26" s="656" t="s">
        <v>340</v>
      </c>
      <c r="AX26" s="656"/>
      <c r="AY26" s="671" t="s">
        <v>38</v>
      </c>
      <c r="BB26" s="671" t="s">
        <v>38</v>
      </c>
      <c r="BE26" s="671" t="s">
        <v>38</v>
      </c>
      <c r="BF26" s="55" t="s">
        <v>3507</v>
      </c>
      <c r="BH26" s="671" t="s">
        <v>38</v>
      </c>
      <c r="BK26" s="671" t="s">
        <v>38</v>
      </c>
      <c r="BN26" s="671" t="s">
        <v>38</v>
      </c>
      <c r="BQ26" s="671" t="s">
        <v>38</v>
      </c>
      <c r="BR26" s="55" t="s">
        <v>341</v>
      </c>
      <c r="BT26" s="671" t="s">
        <v>38</v>
      </c>
      <c r="BW26" s="671" t="s">
        <v>38</v>
      </c>
      <c r="BZ26" s="671" t="s">
        <v>38</v>
      </c>
      <c r="CB26" s="55" t="s">
        <v>342</v>
      </c>
      <c r="CC26" s="55" t="str">
        <f>TEXT(IF(formtype="P",FormTypeLabels[[#This Row],[P]],FormTypeLabels[[#This Row],[C]]),"")</f>
        <v/>
      </c>
      <c r="CD26" s="69"/>
      <c r="CE26" s="662" t="s">
        <v>343</v>
      </c>
      <c r="CF26" s="672" t="s">
        <v>102</v>
      </c>
    </row>
    <row r="27" spans="2:86" x14ac:dyDescent="0.25">
      <c r="B27" s="671" t="s">
        <v>38</v>
      </c>
      <c r="C27" s="55" t="s">
        <v>344</v>
      </c>
      <c r="D27" s="55" t="s">
        <v>345</v>
      </c>
      <c r="E27" s="656" t="str" cm="1">
        <f t="array" ref="E27">ApprovedValuation</f>
        <v>SBA Valuation Guidelines</v>
      </c>
      <c r="F27" s="55" t="s">
        <v>86</v>
      </c>
      <c r="G27" s="55" t="s">
        <v>346</v>
      </c>
      <c r="H27" s="55">
        <v>11</v>
      </c>
      <c r="I27" s="671" t="s">
        <v>38</v>
      </c>
      <c r="L27" s="671" t="s">
        <v>38</v>
      </c>
      <c r="O27" s="671" t="s">
        <v>38</v>
      </c>
      <c r="R27" s="671" t="s">
        <v>38</v>
      </c>
      <c r="S27" s="55" t="s">
        <v>347</v>
      </c>
      <c r="T27" s="55" t="s">
        <v>348</v>
      </c>
      <c r="U27" s="671" t="s">
        <v>38</v>
      </c>
      <c r="V27" s="55" t="s">
        <v>3523</v>
      </c>
      <c r="X27" s="671" t="s">
        <v>38</v>
      </c>
      <c r="AB27" s="671" t="s">
        <v>38</v>
      </c>
      <c r="AD27" s="55" t="s">
        <v>3552</v>
      </c>
      <c r="AE27" s="671" t="s">
        <v>38</v>
      </c>
      <c r="AH27" s="671" t="s">
        <v>38</v>
      </c>
      <c r="AK27" s="671" t="s">
        <v>38</v>
      </c>
      <c r="AN27" s="671" t="s">
        <v>38</v>
      </c>
      <c r="AQ27" s="671" t="s">
        <v>38</v>
      </c>
      <c r="AR27" s="656" t="str">
        <f>Select_naics2022[[#This Row],[2022 NAICS Code]]&amp;":  "&amp;Select_naics2022[[#This Row],[2022 NAICS Title]]</f>
        <v>111310:  Orange Groves</v>
      </c>
      <c r="AS27" s="656">
        <v>111310</v>
      </c>
      <c r="AT27" s="656" t="s">
        <v>350</v>
      </c>
      <c r="AU27" s="656" t="str">
        <f>Select_naics2022[[#This Row],[2022 NAICS Title]]</f>
        <v>Orange Groves</v>
      </c>
      <c r="AW27" s="656" t="s">
        <v>351</v>
      </c>
      <c r="AX27" s="656"/>
      <c r="AY27" s="671" t="s">
        <v>38</v>
      </c>
      <c r="BB27" s="671" t="s">
        <v>38</v>
      </c>
      <c r="BE27" s="671" t="s">
        <v>38</v>
      </c>
      <c r="BF27" s="55" t="s">
        <v>3503</v>
      </c>
      <c r="BH27" s="671" t="s">
        <v>38</v>
      </c>
      <c r="BK27" s="671" t="s">
        <v>38</v>
      </c>
      <c r="BN27" s="671" t="s">
        <v>38</v>
      </c>
      <c r="BQ27" s="671" t="s">
        <v>38</v>
      </c>
      <c r="BR27" s="55" t="s">
        <v>352</v>
      </c>
      <c r="BT27" s="671" t="s">
        <v>38</v>
      </c>
      <c r="BW27" s="671" t="s">
        <v>38</v>
      </c>
      <c r="BZ27" s="671" t="s">
        <v>38</v>
      </c>
      <c r="CB27" s="55" t="s">
        <v>353</v>
      </c>
      <c r="CC27" s="55" t="str">
        <f>TEXT(IF(formtype="P",FormTypeLabels[[#This Row],[P]],FormTypeLabels[[#This Row],[C]]),"")</f>
        <v>53 TOTAL PARTNERS' CAPITAL (Sum of Lines 47c, 48, 49, and 52)</v>
      </c>
      <c r="CD27" s="55" t="s">
        <v>354</v>
      </c>
      <c r="CE27" s="690" t="s">
        <v>355</v>
      </c>
      <c r="CF27" s="672" t="s">
        <v>102</v>
      </c>
    </row>
    <row r="28" spans="2:86" x14ac:dyDescent="0.25">
      <c r="B28" s="671" t="s">
        <v>38</v>
      </c>
      <c r="C28" s="55" t="s">
        <v>356</v>
      </c>
      <c r="D28" s="55" t="s">
        <v>357</v>
      </c>
      <c r="E28" s="66" t="e" cm="1">
        <f t="array" ref="E28">sbicstate</f>
        <v>#N/A</v>
      </c>
      <c r="F28" s="55" t="s">
        <v>86</v>
      </c>
      <c r="G28" s="55" t="s">
        <v>358</v>
      </c>
      <c r="H28" s="55">
        <v>12</v>
      </c>
      <c r="I28" s="671" t="s">
        <v>38</v>
      </c>
      <c r="L28" s="671" t="s">
        <v>38</v>
      </c>
      <c r="O28" s="671" t="s">
        <v>38</v>
      </c>
      <c r="R28" s="671" t="s">
        <v>38</v>
      </c>
      <c r="S28" s="55" t="s">
        <v>359</v>
      </c>
      <c r="T28" s="55" t="s">
        <v>360</v>
      </c>
      <c r="U28" s="671" t="s">
        <v>38</v>
      </c>
      <c r="V28" s="55" t="s">
        <v>3524</v>
      </c>
      <c r="AB28" s="671" t="s">
        <v>38</v>
      </c>
      <c r="AD28" s="55" t="s">
        <v>3553</v>
      </c>
      <c r="AE28" s="671" t="s">
        <v>38</v>
      </c>
      <c r="AH28" s="671" t="s">
        <v>38</v>
      </c>
      <c r="AK28" s="671" t="s">
        <v>38</v>
      </c>
      <c r="AN28" s="671" t="s">
        <v>38</v>
      </c>
      <c r="AQ28" s="671" t="s">
        <v>38</v>
      </c>
      <c r="AR28" s="656" t="str">
        <f>Select_naics2022[[#This Row],[2022 NAICS Code]]&amp;":  "&amp;Select_naics2022[[#This Row],[2022 NAICS Title]]</f>
        <v xml:space="preserve">111320:  Citrus (except Orange) Groves </v>
      </c>
      <c r="AS28" s="656">
        <v>111320</v>
      </c>
      <c r="AT28" s="656" t="s">
        <v>361</v>
      </c>
      <c r="AU28" s="656" t="str">
        <f>Select_naics2022[[#This Row],[2022 NAICS Title]]</f>
        <v xml:space="preserve">Citrus (except Orange) Groves </v>
      </c>
      <c r="AW28" s="656" t="s">
        <v>362</v>
      </c>
      <c r="AX28" s="656"/>
      <c r="AY28" s="671" t="s">
        <v>38</v>
      </c>
      <c r="BB28" s="671" t="s">
        <v>38</v>
      </c>
      <c r="BE28" s="671" t="s">
        <v>38</v>
      </c>
      <c r="BF28" s="55" t="s">
        <v>3498</v>
      </c>
      <c r="BH28" s="671" t="s">
        <v>38</v>
      </c>
      <c r="BK28" s="671" t="s">
        <v>38</v>
      </c>
      <c r="BN28" s="671" t="s">
        <v>38</v>
      </c>
      <c r="BQ28" s="671" t="s">
        <v>38</v>
      </c>
      <c r="BT28" s="671" t="s">
        <v>38</v>
      </c>
      <c r="BW28" s="671" t="s">
        <v>38</v>
      </c>
      <c r="BZ28" s="671" t="s">
        <v>38</v>
      </c>
      <c r="CB28" s="55" t="s">
        <v>363</v>
      </c>
      <c r="CC28" s="55" t="str">
        <f>TEXT(IF(formtype="P",FormTypeLabels[[#This Row],[P]],FormTypeLabels[[#This Row],[C]]),"")</f>
        <v xml:space="preserve">52 Undistributed Realized Earnings (line 50 plus line 51) </v>
      </c>
      <c r="CD28" s="69" t="s">
        <v>364</v>
      </c>
      <c r="CE28" s="660" t="s">
        <v>365</v>
      </c>
      <c r="CF28" s="672" t="s">
        <v>102</v>
      </c>
    </row>
    <row r="29" spans="2:86" x14ac:dyDescent="0.25">
      <c r="B29" s="671" t="s">
        <v>38</v>
      </c>
      <c r="C29" s="55" t="s">
        <v>366</v>
      </c>
      <c r="D29" s="55" t="s">
        <v>367</v>
      </c>
      <c r="E29" s="656" t="str">
        <f>WindDown</f>
        <v>N</v>
      </c>
      <c r="F29" s="55" t="s">
        <v>86</v>
      </c>
      <c r="G29" s="55" t="s">
        <v>368</v>
      </c>
      <c r="H29" s="55">
        <v>13</v>
      </c>
      <c r="I29" s="671" t="s">
        <v>38</v>
      </c>
      <c r="L29" s="671" t="s">
        <v>38</v>
      </c>
      <c r="O29" s="671" t="s">
        <v>38</v>
      </c>
      <c r="R29" s="671" t="s">
        <v>38</v>
      </c>
      <c r="S29" s="55" t="s">
        <v>369</v>
      </c>
      <c r="T29" s="55" t="s">
        <v>370</v>
      </c>
      <c r="U29" s="671" t="s">
        <v>38</v>
      </c>
      <c r="V29" s="55" t="s">
        <v>3525</v>
      </c>
      <c r="AB29" s="671" t="s">
        <v>38</v>
      </c>
      <c r="AD29" s="55" t="s">
        <v>3554</v>
      </c>
      <c r="AE29" s="671" t="s">
        <v>38</v>
      </c>
      <c r="AH29" s="671" t="s">
        <v>38</v>
      </c>
      <c r="AK29" s="671" t="s">
        <v>38</v>
      </c>
      <c r="AN29" s="671" t="s">
        <v>38</v>
      </c>
      <c r="AQ29" s="671" t="s">
        <v>38</v>
      </c>
      <c r="AR29" s="656" t="str">
        <f>Select_naics2022[[#This Row],[2022 NAICS Code]]&amp;":  "&amp;Select_naics2022[[#This Row],[2022 NAICS Title]]</f>
        <v xml:space="preserve">111331:  Apple Orchards </v>
      </c>
      <c r="AS29" s="656">
        <v>111331</v>
      </c>
      <c r="AT29" s="656" t="s">
        <v>371</v>
      </c>
      <c r="AU29" s="656" t="str">
        <f>Select_naics2022[[#This Row],[2022 NAICS Title]]</f>
        <v xml:space="preserve">Apple Orchards </v>
      </c>
      <c r="AW29" s="656" t="s">
        <v>372</v>
      </c>
      <c r="AX29" s="656"/>
      <c r="AY29" s="671" t="s">
        <v>38</v>
      </c>
      <c r="BB29" s="671" t="s">
        <v>38</v>
      </c>
      <c r="BE29" s="671" t="s">
        <v>38</v>
      </c>
      <c r="BF29" s="55" t="s">
        <v>3499</v>
      </c>
      <c r="BH29" s="671" t="s">
        <v>38</v>
      </c>
      <c r="BK29" s="671" t="s">
        <v>38</v>
      </c>
      <c r="BN29" s="671" t="s">
        <v>38</v>
      </c>
      <c r="BQ29" s="671" t="s">
        <v>38</v>
      </c>
      <c r="BT29" s="671" t="s">
        <v>38</v>
      </c>
      <c r="BW29" s="671" t="s">
        <v>38</v>
      </c>
      <c r="BZ29" s="671" t="s">
        <v>38</v>
      </c>
      <c r="CB29" s="55" t="s">
        <v>374</v>
      </c>
      <c r="CC29" s="55" t="str">
        <f>TEXT(IF(formtype="P",FormTypeLabels[[#This Row],[P]],FormTypeLabels[[#This Row],[C]]),"")</f>
        <v/>
      </c>
      <c r="CD29" s="69"/>
      <c r="CE29" s="660" t="s">
        <v>375</v>
      </c>
      <c r="CF29" s="672" t="s">
        <v>102</v>
      </c>
    </row>
    <row r="30" spans="2:86" x14ac:dyDescent="0.25">
      <c r="B30" s="671" t="s">
        <v>38</v>
      </c>
      <c r="C30" s="55" t="s">
        <v>127</v>
      </c>
      <c r="D30" s="55" t="s">
        <v>376</v>
      </c>
      <c r="E30" s="656">
        <f>Strategy</f>
        <v>0</v>
      </c>
      <c r="F30" s="55" t="s">
        <v>86</v>
      </c>
      <c r="G30" s="55" t="s">
        <v>377</v>
      </c>
      <c r="H30" s="55">
        <v>14</v>
      </c>
      <c r="I30" s="671" t="s">
        <v>38</v>
      </c>
      <c r="L30" s="671" t="s">
        <v>38</v>
      </c>
      <c r="O30" s="671" t="s">
        <v>38</v>
      </c>
      <c r="R30" s="671" t="s">
        <v>38</v>
      </c>
      <c r="S30" s="55" t="s">
        <v>378</v>
      </c>
      <c r="T30" s="55" t="s">
        <v>379</v>
      </c>
      <c r="U30" s="671" t="s">
        <v>38</v>
      </c>
      <c r="V30" s="55" t="s">
        <v>3526</v>
      </c>
      <c r="AB30" s="671" t="s">
        <v>38</v>
      </c>
      <c r="AD30" s="55" t="s">
        <v>3555</v>
      </c>
      <c r="AE30" s="671" t="s">
        <v>38</v>
      </c>
      <c r="AH30" s="671" t="s">
        <v>38</v>
      </c>
      <c r="AK30" s="671" t="s">
        <v>38</v>
      </c>
      <c r="AN30" s="671" t="s">
        <v>38</v>
      </c>
      <c r="AQ30" s="671" t="s">
        <v>38</v>
      </c>
      <c r="AR30" s="656" t="str">
        <f>Select_naics2022[[#This Row],[2022 NAICS Code]]&amp;":  "&amp;Select_naics2022[[#This Row],[2022 NAICS Title]]</f>
        <v xml:space="preserve">111332:  Grape Vineyards </v>
      </c>
      <c r="AS30" s="656">
        <v>111332</v>
      </c>
      <c r="AT30" s="656" t="s">
        <v>380</v>
      </c>
      <c r="AU30" s="656" t="str">
        <f>Select_naics2022[[#This Row],[2022 NAICS Title]]</f>
        <v xml:space="preserve">Grape Vineyards </v>
      </c>
      <c r="AW30" s="656" t="s">
        <v>381</v>
      </c>
      <c r="AX30" s="656"/>
      <c r="AY30" s="671" t="s">
        <v>38</v>
      </c>
      <c r="BB30" s="671" t="s">
        <v>38</v>
      </c>
      <c r="BE30" s="671" t="s">
        <v>38</v>
      </c>
      <c r="BF30" s="55" t="s">
        <v>3500</v>
      </c>
      <c r="BH30" s="671" t="s">
        <v>38</v>
      </c>
      <c r="BK30" s="671" t="s">
        <v>38</v>
      </c>
      <c r="BN30" s="671" t="s">
        <v>38</v>
      </c>
      <c r="BQ30" s="671" t="s">
        <v>38</v>
      </c>
      <c r="BT30" s="671" t="s">
        <v>38</v>
      </c>
      <c r="BW30" s="671" t="s">
        <v>38</v>
      </c>
      <c r="BZ30" s="671" t="s">
        <v>38</v>
      </c>
      <c r="CB30" s="55" t="s">
        <v>382</v>
      </c>
      <c r="CC30" s="55" t="str">
        <f>TEXT(IF(formtype="P",FormTypeLabels[[#This Row],[P]],FormTypeLabels[[#This Row],[C]]),"")</f>
        <v/>
      </c>
      <c r="CD30" s="69"/>
      <c r="CE30" s="660" t="s">
        <v>383</v>
      </c>
      <c r="CF30" s="672" t="s">
        <v>102</v>
      </c>
    </row>
    <row r="31" spans="2:86" x14ac:dyDescent="0.25">
      <c r="B31" s="671" t="s">
        <v>38</v>
      </c>
      <c r="C31" s="55" t="s">
        <v>384</v>
      </c>
      <c r="E31" s="680">
        <f>cy_unrealgainloss</f>
        <v>0</v>
      </c>
      <c r="F31" s="55" t="s">
        <v>102</v>
      </c>
      <c r="G31" s="55" t="s">
        <v>385</v>
      </c>
      <c r="I31" s="671" t="s">
        <v>38</v>
      </c>
      <c r="L31" s="671" t="s">
        <v>38</v>
      </c>
      <c r="O31" s="671" t="s">
        <v>38</v>
      </c>
      <c r="R31" s="671" t="s">
        <v>38</v>
      </c>
      <c r="S31" s="55" t="s">
        <v>386</v>
      </c>
      <c r="T31" s="55" t="s">
        <v>387</v>
      </c>
      <c r="U31" s="671" t="s">
        <v>38</v>
      </c>
      <c r="V31" s="55" t="s">
        <v>3527</v>
      </c>
      <c r="AB31" s="671" t="s">
        <v>38</v>
      </c>
      <c r="AE31" s="671" t="s">
        <v>38</v>
      </c>
      <c r="AH31" s="671" t="s">
        <v>38</v>
      </c>
      <c r="AK31" s="671" t="s">
        <v>38</v>
      </c>
      <c r="AN31" s="671" t="s">
        <v>38</v>
      </c>
      <c r="AQ31" s="671" t="s">
        <v>38</v>
      </c>
      <c r="AR31" s="656" t="str">
        <f>Select_naics2022[[#This Row],[2022 NAICS Code]]&amp;":  "&amp;Select_naics2022[[#This Row],[2022 NAICS Title]]</f>
        <v xml:space="preserve">111333:  Strawberry Farming </v>
      </c>
      <c r="AS31" s="656">
        <v>111333</v>
      </c>
      <c r="AT31" s="656" t="s">
        <v>388</v>
      </c>
      <c r="AU31" s="656" t="str">
        <f>Select_naics2022[[#This Row],[2022 NAICS Title]]</f>
        <v xml:space="preserve">Strawberry Farming </v>
      </c>
      <c r="AW31" s="656" t="s">
        <v>389</v>
      </c>
      <c r="AX31" s="656"/>
      <c r="AY31" s="671" t="s">
        <v>38</v>
      </c>
      <c r="BB31" s="671" t="s">
        <v>38</v>
      </c>
      <c r="BE31" s="671" t="s">
        <v>38</v>
      </c>
      <c r="BF31" s="55" t="s">
        <v>373</v>
      </c>
      <c r="BH31" s="671" t="s">
        <v>38</v>
      </c>
      <c r="BK31" s="671" t="s">
        <v>38</v>
      </c>
      <c r="BN31" s="671" t="s">
        <v>38</v>
      </c>
      <c r="BQ31" s="671" t="s">
        <v>38</v>
      </c>
      <c r="BT31" s="671" t="s">
        <v>38</v>
      </c>
      <c r="BW31" s="671" t="s">
        <v>38</v>
      </c>
      <c r="BZ31" s="671" t="s">
        <v>38</v>
      </c>
      <c r="CB31" s="55" t="s">
        <v>390</v>
      </c>
      <c r="CC31" s="55" t="str">
        <f>TEXT(IF(formtype="P",FormTypeLabels[[#This Row],[P]],FormTypeLabels[[#This Row],[C]]),"")</f>
        <v xml:space="preserve">14 Partners' Meetings </v>
      </c>
      <c r="CD31" s="69" t="s">
        <v>391</v>
      </c>
      <c r="CE31" s="660" t="s">
        <v>392</v>
      </c>
      <c r="CF31" s="672" t="s">
        <v>109</v>
      </c>
    </row>
    <row r="32" spans="2:86" x14ac:dyDescent="0.25">
      <c r="B32" s="671" t="s">
        <v>38</v>
      </c>
      <c r="C32" s="55" t="s">
        <v>393</v>
      </c>
      <c r="D32" s="55" t="s">
        <v>394</v>
      </c>
      <c r="E32" s="681">
        <f>cy_UNRE</f>
        <v>0</v>
      </c>
      <c r="F32" s="55" t="s">
        <v>102</v>
      </c>
      <c r="G32" s="55" t="s">
        <v>395</v>
      </c>
      <c r="I32" s="671" t="s">
        <v>38</v>
      </c>
      <c r="L32" s="671" t="s">
        <v>38</v>
      </c>
      <c r="O32" s="671" t="s">
        <v>38</v>
      </c>
      <c r="R32" s="671" t="s">
        <v>38</v>
      </c>
      <c r="S32" s="55" t="s">
        <v>396</v>
      </c>
      <c r="T32" s="55" t="s">
        <v>397</v>
      </c>
      <c r="U32" s="671" t="s">
        <v>38</v>
      </c>
      <c r="V32" s="55" t="s">
        <v>3528</v>
      </c>
      <c r="AB32" s="671" t="s">
        <v>38</v>
      </c>
      <c r="AE32" s="671" t="s">
        <v>38</v>
      </c>
      <c r="AH32" s="671" t="s">
        <v>38</v>
      </c>
      <c r="AK32" s="671" t="s">
        <v>38</v>
      </c>
      <c r="AN32" s="671" t="s">
        <v>38</v>
      </c>
      <c r="AQ32" s="671" t="s">
        <v>38</v>
      </c>
      <c r="AR32" s="656" t="str">
        <f>Select_naics2022[[#This Row],[2022 NAICS Code]]&amp;":  "&amp;Select_naics2022[[#This Row],[2022 NAICS Title]]</f>
        <v xml:space="preserve">111334:  Berry (except Strawberry) Farming </v>
      </c>
      <c r="AS32" s="656">
        <v>111334</v>
      </c>
      <c r="AT32" s="656" t="s">
        <v>398</v>
      </c>
      <c r="AU32" s="656" t="str">
        <f>Select_naics2022[[#This Row],[2022 NAICS Title]]</f>
        <v xml:space="preserve">Berry (except Strawberry) Farming </v>
      </c>
      <c r="AW32" s="656" t="s">
        <v>399</v>
      </c>
      <c r="AX32" s="656"/>
      <c r="AY32" s="671" t="s">
        <v>38</v>
      </c>
      <c r="BB32" s="671" t="s">
        <v>38</v>
      </c>
      <c r="BE32" s="671" t="s">
        <v>38</v>
      </c>
      <c r="BF32" s="55" t="s">
        <v>223</v>
      </c>
      <c r="BH32" s="671" t="s">
        <v>38</v>
      </c>
      <c r="BK32" s="671" t="s">
        <v>38</v>
      </c>
      <c r="BN32" s="671" t="s">
        <v>38</v>
      </c>
      <c r="BQ32" s="671" t="s">
        <v>38</v>
      </c>
      <c r="BT32" s="671" t="s">
        <v>38</v>
      </c>
      <c r="BW32" s="671" t="s">
        <v>38</v>
      </c>
      <c r="BZ32" s="671" t="s">
        <v>38</v>
      </c>
      <c r="CB32" s="55" t="s">
        <v>400</v>
      </c>
      <c r="CC32" s="55" t="str">
        <f>TEXT(IF(formtype="P",FormTypeLabels[[#This Row],[P]],FormTypeLabels[[#This Row],[C]]),"")</f>
        <v>26 NET INVESTMENT INCOME (LOSS)</v>
      </c>
      <c r="CD32" s="132" t="s">
        <v>401</v>
      </c>
      <c r="CE32" s="691" t="s">
        <v>402</v>
      </c>
      <c r="CF32" s="672" t="s">
        <v>109</v>
      </c>
    </row>
    <row r="33" spans="2:84" x14ac:dyDescent="0.25">
      <c r="B33" s="671" t="s">
        <v>38</v>
      </c>
      <c r="C33" s="55" t="s">
        <v>393</v>
      </c>
      <c r="E33" s="680">
        <f>cy_UNRE</f>
        <v>0</v>
      </c>
      <c r="F33" s="55" t="s">
        <v>102</v>
      </c>
      <c r="G33" s="55" t="s">
        <v>395</v>
      </c>
      <c r="I33" s="671" t="s">
        <v>38</v>
      </c>
      <c r="L33" s="671" t="s">
        <v>38</v>
      </c>
      <c r="O33" s="671" t="s">
        <v>38</v>
      </c>
      <c r="R33" s="671" t="s">
        <v>38</v>
      </c>
      <c r="S33" s="55" t="s">
        <v>403</v>
      </c>
      <c r="T33" s="55" t="s">
        <v>404</v>
      </c>
      <c r="U33" s="671" t="s">
        <v>38</v>
      </c>
      <c r="V33" s="55" t="s">
        <v>3529</v>
      </c>
      <c r="AB33" s="671" t="s">
        <v>38</v>
      </c>
      <c r="AE33" s="671" t="s">
        <v>38</v>
      </c>
      <c r="AH33" s="671" t="s">
        <v>38</v>
      </c>
      <c r="AK33" s="671" t="s">
        <v>38</v>
      </c>
      <c r="AN33" s="671" t="s">
        <v>38</v>
      </c>
      <c r="AQ33" s="671" t="s">
        <v>38</v>
      </c>
      <c r="AR33" s="656" t="str">
        <f>Select_naics2022[[#This Row],[2022 NAICS Code]]&amp;":  "&amp;Select_naics2022[[#This Row],[2022 NAICS Title]]</f>
        <v xml:space="preserve">111335:  Tree Nut Farming </v>
      </c>
      <c r="AS33" s="656">
        <v>111335</v>
      </c>
      <c r="AT33" s="656" t="s">
        <v>405</v>
      </c>
      <c r="AU33" s="656" t="str">
        <f>Select_naics2022[[#This Row],[2022 NAICS Title]]</f>
        <v xml:space="preserve">Tree Nut Farming </v>
      </c>
      <c r="AW33" s="656" t="s">
        <v>406</v>
      </c>
      <c r="AX33" s="656"/>
      <c r="AY33" s="671" t="s">
        <v>38</v>
      </c>
      <c r="BB33" s="671" t="s">
        <v>38</v>
      </c>
      <c r="BE33" s="671" t="s">
        <v>38</v>
      </c>
      <c r="BH33" s="671" t="s">
        <v>38</v>
      </c>
      <c r="BK33" s="671" t="s">
        <v>38</v>
      </c>
      <c r="BN33" s="671" t="s">
        <v>38</v>
      </c>
      <c r="BQ33" s="671" t="s">
        <v>38</v>
      </c>
      <c r="BT33" s="671" t="s">
        <v>38</v>
      </c>
      <c r="BW33" s="671" t="s">
        <v>38</v>
      </c>
      <c r="BZ33" s="671" t="s">
        <v>38</v>
      </c>
      <c r="CB33" s="55" t="s">
        <v>407</v>
      </c>
      <c r="CC33" s="55" t="str">
        <f>TEXT(IF(formtype="P",FormTypeLabels[[#This Row],[P]],FormTypeLabels[[#This Row],[C]]),"")</f>
        <v>27 NET REALIZED GAIN (LOSS) ON INVESTMENTS (1)</v>
      </c>
      <c r="CD33" s="69" t="s">
        <v>408</v>
      </c>
      <c r="CE33" s="660" t="s">
        <v>409</v>
      </c>
      <c r="CF33" s="672" t="s">
        <v>109</v>
      </c>
    </row>
    <row r="34" spans="2:84" x14ac:dyDescent="0.25">
      <c r="B34" s="671" t="s">
        <v>38</v>
      </c>
      <c r="C34" s="55" t="s">
        <v>410</v>
      </c>
      <c r="E34" s="681">
        <f>cytotpartcap</f>
        <v>0</v>
      </c>
      <c r="F34" s="55" t="s">
        <v>102</v>
      </c>
      <c r="G34" s="55" t="s">
        <v>411</v>
      </c>
      <c r="I34" s="671" t="s">
        <v>38</v>
      </c>
      <c r="L34" s="671" t="s">
        <v>38</v>
      </c>
      <c r="O34" s="671" t="s">
        <v>38</v>
      </c>
      <c r="R34" s="671" t="s">
        <v>38</v>
      </c>
      <c r="S34" s="55" t="s">
        <v>412</v>
      </c>
      <c r="T34" s="55" t="s">
        <v>413</v>
      </c>
      <c r="U34" s="671" t="s">
        <v>38</v>
      </c>
      <c r="V34" s="55" t="s">
        <v>3530</v>
      </c>
      <c r="AB34" s="671" t="s">
        <v>38</v>
      </c>
      <c r="AE34" s="671" t="s">
        <v>38</v>
      </c>
      <c r="AH34" s="671" t="s">
        <v>38</v>
      </c>
      <c r="AK34" s="671" t="s">
        <v>38</v>
      </c>
      <c r="AN34" s="671" t="s">
        <v>38</v>
      </c>
      <c r="AQ34" s="671" t="s">
        <v>38</v>
      </c>
      <c r="AR34" s="656" t="str">
        <f>Select_naics2022[[#This Row],[2022 NAICS Code]]&amp;":  "&amp;Select_naics2022[[#This Row],[2022 NAICS Title]]</f>
        <v xml:space="preserve">111336:  Fruit and Tree Nut Combination Farming </v>
      </c>
      <c r="AS34" s="656">
        <v>111336</v>
      </c>
      <c r="AT34" s="656" t="s">
        <v>414</v>
      </c>
      <c r="AU34" s="656" t="str">
        <f>Select_naics2022[[#This Row],[2022 NAICS Title]]</f>
        <v xml:space="preserve">Fruit and Tree Nut Combination Farming </v>
      </c>
      <c r="AW34" s="656" t="s">
        <v>415</v>
      </c>
      <c r="AX34" s="656"/>
      <c r="AY34" s="671" t="s">
        <v>38</v>
      </c>
      <c r="BB34" s="671" t="s">
        <v>38</v>
      </c>
      <c r="BE34" s="671" t="s">
        <v>38</v>
      </c>
      <c r="BH34" s="671" t="s">
        <v>38</v>
      </c>
      <c r="BK34" s="671" t="s">
        <v>38</v>
      </c>
      <c r="BN34" s="671" t="s">
        <v>38</v>
      </c>
      <c r="BQ34" s="671" t="s">
        <v>38</v>
      </c>
      <c r="BT34" s="671" t="s">
        <v>38</v>
      </c>
      <c r="BW34" s="671" t="s">
        <v>38</v>
      </c>
      <c r="BZ34" s="671" t="s">
        <v>38</v>
      </c>
      <c r="CB34" s="55" t="s">
        <v>416</v>
      </c>
      <c r="CC34" s="55" t="str">
        <f>TEXT(IF(formtype="P",FormTypeLabels[[#This Row],[P]],FormTypeLabels[[#This Row],[C]]),"")</f>
        <v/>
      </c>
      <c r="CD34" s="68"/>
      <c r="CE34" s="660" t="s">
        <v>417</v>
      </c>
      <c r="CF34" s="672" t="s">
        <v>109</v>
      </c>
    </row>
    <row r="35" spans="2:84" x14ac:dyDescent="0.25">
      <c r="B35" s="671" t="s">
        <v>38</v>
      </c>
      <c r="C35" s="55" t="s">
        <v>418</v>
      </c>
      <c r="E35" s="681">
        <f>cytotliabcap</f>
        <v>0</v>
      </c>
      <c r="F35" s="55" t="s">
        <v>102</v>
      </c>
      <c r="G35" s="55" t="s">
        <v>419</v>
      </c>
      <c r="I35" s="671" t="s">
        <v>38</v>
      </c>
      <c r="L35" s="671" t="s">
        <v>38</v>
      </c>
      <c r="O35" s="671" t="s">
        <v>38</v>
      </c>
      <c r="R35" s="671" t="s">
        <v>38</v>
      </c>
      <c r="S35" s="55" t="s">
        <v>420</v>
      </c>
      <c r="T35" s="55" t="s">
        <v>421</v>
      </c>
      <c r="U35" s="671" t="s">
        <v>38</v>
      </c>
      <c r="V35" s="55" t="s">
        <v>3531</v>
      </c>
      <c r="AB35" s="671" t="s">
        <v>38</v>
      </c>
      <c r="AE35" s="671" t="s">
        <v>38</v>
      </c>
      <c r="AH35" s="671" t="s">
        <v>38</v>
      </c>
      <c r="AK35" s="671" t="s">
        <v>38</v>
      </c>
      <c r="AN35" s="671" t="s">
        <v>38</v>
      </c>
      <c r="AQ35" s="671" t="s">
        <v>38</v>
      </c>
      <c r="AR35" s="656" t="str">
        <f>Select_naics2022[[#This Row],[2022 NAICS Code]]&amp;":  "&amp;Select_naics2022[[#This Row],[2022 NAICS Title]]</f>
        <v xml:space="preserve">111339:  Other Noncitrus Fruit Farming </v>
      </c>
      <c r="AS35" s="656">
        <v>111339</v>
      </c>
      <c r="AT35" s="656" t="s">
        <v>422</v>
      </c>
      <c r="AU35" s="656" t="str">
        <f>Select_naics2022[[#This Row],[2022 NAICS Title]]</f>
        <v xml:space="preserve">Other Noncitrus Fruit Farming </v>
      </c>
      <c r="AW35" s="656" t="s">
        <v>423</v>
      </c>
      <c r="AX35" s="656"/>
      <c r="AY35" s="671" t="s">
        <v>38</v>
      </c>
      <c r="BB35" s="671" t="s">
        <v>38</v>
      </c>
      <c r="BE35" s="671" t="s">
        <v>38</v>
      </c>
      <c r="BH35" s="671" t="s">
        <v>38</v>
      </c>
      <c r="BK35" s="671" t="s">
        <v>38</v>
      </c>
      <c r="BN35" s="671" t="s">
        <v>38</v>
      </c>
      <c r="BQ35" s="671" t="s">
        <v>38</v>
      </c>
      <c r="BT35" s="671" t="s">
        <v>38</v>
      </c>
      <c r="BW35" s="671" t="s">
        <v>38</v>
      </c>
      <c r="BZ35" s="671" t="s">
        <v>38</v>
      </c>
      <c r="CB35" s="55" t="s">
        <v>424</v>
      </c>
      <c r="CC35" s="55" t="str">
        <f>TEXT(IF(formtype="P",FormTypeLabels[[#This Row],[P]],FormTypeLabels[[#This Row],[C]]),"")</f>
        <v/>
      </c>
      <c r="CD35" s="68"/>
      <c r="CE35" s="660" t="s">
        <v>425</v>
      </c>
      <c r="CF35" s="672" t="s">
        <v>109</v>
      </c>
    </row>
    <row r="36" spans="2:84" x14ac:dyDescent="0.25">
      <c r="B36" s="671" t="s">
        <v>38</v>
      </c>
      <c r="C36" s="55" t="s">
        <v>426</v>
      </c>
      <c r="E36" s="680">
        <f>cycash</f>
        <v>0</v>
      </c>
      <c r="F36" s="55" t="s">
        <v>102</v>
      </c>
      <c r="G36" s="55" t="s">
        <v>427</v>
      </c>
      <c r="I36" s="671" t="s">
        <v>38</v>
      </c>
      <c r="L36" s="671" t="s">
        <v>38</v>
      </c>
      <c r="O36" s="671" t="s">
        <v>38</v>
      </c>
      <c r="R36" s="671" t="s">
        <v>38</v>
      </c>
      <c r="S36" s="55" t="s">
        <v>428</v>
      </c>
      <c r="T36" s="55" t="s">
        <v>429</v>
      </c>
      <c r="U36" s="671" t="s">
        <v>38</v>
      </c>
      <c r="V36" s="55" t="s">
        <v>3532</v>
      </c>
      <c r="AB36" s="671" t="s">
        <v>38</v>
      </c>
      <c r="AE36" s="671" t="s">
        <v>38</v>
      </c>
      <c r="AH36" s="671" t="s">
        <v>38</v>
      </c>
      <c r="AK36" s="671" t="s">
        <v>38</v>
      </c>
      <c r="AN36" s="671" t="s">
        <v>38</v>
      </c>
      <c r="AQ36" s="671" t="s">
        <v>38</v>
      </c>
      <c r="AR36" s="656" t="str">
        <f>Select_naics2022[[#This Row],[2022 NAICS Code]]&amp;":  "&amp;Select_naics2022[[#This Row],[2022 NAICS Title]]</f>
        <v xml:space="preserve">111411:  Mushroom Production </v>
      </c>
      <c r="AS36" s="656">
        <v>111411</v>
      </c>
      <c r="AT36" s="656" t="s">
        <v>430</v>
      </c>
      <c r="AU36" s="656" t="str">
        <f>Select_naics2022[[#This Row],[2022 NAICS Title]]</f>
        <v xml:space="preserve">Mushroom Production </v>
      </c>
      <c r="AW36" s="656" t="s">
        <v>431</v>
      </c>
      <c r="AX36" s="656"/>
      <c r="AY36" s="671" t="s">
        <v>38</v>
      </c>
      <c r="BB36" s="671" t="s">
        <v>38</v>
      </c>
      <c r="BE36" s="671" t="s">
        <v>38</v>
      </c>
      <c r="BH36" s="671" t="s">
        <v>38</v>
      </c>
      <c r="BK36" s="671" t="s">
        <v>38</v>
      </c>
      <c r="BN36" s="671" t="s">
        <v>38</v>
      </c>
      <c r="BQ36" s="671" t="s">
        <v>38</v>
      </c>
      <c r="BT36" s="671" t="s">
        <v>38</v>
      </c>
      <c r="BW36" s="671" t="s">
        <v>38</v>
      </c>
      <c r="BZ36" s="671" t="s">
        <v>38</v>
      </c>
      <c r="CB36" s="55" t="s">
        <v>432</v>
      </c>
      <c r="CC36" s="55" t="str">
        <f>TEXT(IF(formtype="P",FormTypeLabels[[#This Row],[P]],FormTypeLabels[[#This Row],[C]]),"")</f>
        <v xml:space="preserve">28 NET INCOME (LOSS) BEFORE NONRECURRING ITEMS </v>
      </c>
      <c r="CD36" s="69" t="s">
        <v>433</v>
      </c>
      <c r="CE36" s="660" t="s">
        <v>434</v>
      </c>
      <c r="CF36" s="672" t="s">
        <v>109</v>
      </c>
    </row>
    <row r="37" spans="2:84" x14ac:dyDescent="0.25">
      <c r="B37" s="671" t="s">
        <v>38</v>
      </c>
      <c r="C37" s="55" t="s">
        <v>435</v>
      </c>
      <c r="E37" s="680">
        <f>cyidle</f>
        <v>0</v>
      </c>
      <c r="F37" s="55" t="s">
        <v>102</v>
      </c>
      <c r="G37" s="55" t="s">
        <v>436</v>
      </c>
      <c r="I37" s="671" t="s">
        <v>38</v>
      </c>
      <c r="L37" s="671" t="s">
        <v>38</v>
      </c>
      <c r="O37" s="671" t="s">
        <v>38</v>
      </c>
      <c r="R37" s="671" t="s">
        <v>38</v>
      </c>
      <c r="S37" s="55" t="s">
        <v>437</v>
      </c>
      <c r="T37" s="55" t="s">
        <v>438</v>
      </c>
      <c r="U37" s="671" t="s">
        <v>38</v>
      </c>
      <c r="V37" s="55" t="s">
        <v>223</v>
      </c>
      <c r="X37" s="671" t="s">
        <v>38</v>
      </c>
      <c r="AB37" s="671" t="s">
        <v>38</v>
      </c>
      <c r="AE37" s="671" t="s">
        <v>38</v>
      </c>
      <c r="AH37" s="671" t="s">
        <v>38</v>
      </c>
      <c r="AK37" s="671" t="s">
        <v>38</v>
      </c>
      <c r="AN37" s="671" t="s">
        <v>38</v>
      </c>
      <c r="AQ37" s="671" t="s">
        <v>38</v>
      </c>
      <c r="AR37" s="656" t="str">
        <f>Select_naics2022[[#This Row],[2022 NAICS Code]]&amp;":  "&amp;Select_naics2022[[#This Row],[2022 NAICS Title]]</f>
        <v xml:space="preserve">111419:  Other Food Crops Grown Under Cover </v>
      </c>
      <c r="AS37" s="656">
        <v>111419</v>
      </c>
      <c r="AT37" s="656" t="s">
        <v>439</v>
      </c>
      <c r="AU37" s="656" t="str">
        <f>Select_naics2022[[#This Row],[2022 NAICS Title]]</f>
        <v xml:space="preserve">Other Food Crops Grown Under Cover </v>
      </c>
      <c r="AW37" s="656" t="s">
        <v>440</v>
      </c>
      <c r="AX37" s="656"/>
      <c r="AY37" s="671" t="s">
        <v>38</v>
      </c>
      <c r="BB37" s="671" t="s">
        <v>38</v>
      </c>
      <c r="BE37" s="671" t="s">
        <v>38</v>
      </c>
      <c r="BH37" s="671" t="s">
        <v>38</v>
      </c>
      <c r="BK37" s="671" t="s">
        <v>38</v>
      </c>
      <c r="BN37" s="671" t="s">
        <v>38</v>
      </c>
      <c r="BQ37" s="671" t="s">
        <v>38</v>
      </c>
      <c r="BT37" s="671" t="s">
        <v>38</v>
      </c>
      <c r="BW37" s="671" t="s">
        <v>38</v>
      </c>
      <c r="BZ37" s="671" t="s">
        <v>38</v>
      </c>
      <c r="CB37" s="55" t="s">
        <v>441</v>
      </c>
      <c r="CC37" s="55" t="str">
        <f>TEXT(IF(formtype="P",FormTypeLabels[[#This Row],[P]],FormTypeLabels[[#This Row],[C]]),"")</f>
        <v>13 Other Operating Cash Disbursements</v>
      </c>
      <c r="CD37" s="69" t="s">
        <v>442</v>
      </c>
      <c r="CE37" s="660" t="s">
        <v>443</v>
      </c>
      <c r="CF37" s="672" t="s">
        <v>112</v>
      </c>
    </row>
    <row r="38" spans="2:84" x14ac:dyDescent="0.25">
      <c r="B38" s="671" t="s">
        <v>38</v>
      </c>
      <c r="C38" s="55" t="s">
        <v>444</v>
      </c>
      <c r="E38" s="680">
        <f>cyintdivrec</f>
        <v>0</v>
      </c>
      <c r="F38" s="55" t="s">
        <v>102</v>
      </c>
      <c r="G38" s="55" t="s">
        <v>445</v>
      </c>
      <c r="I38" s="671" t="s">
        <v>38</v>
      </c>
      <c r="L38" s="671" t="s">
        <v>38</v>
      </c>
      <c r="O38" s="671" t="s">
        <v>38</v>
      </c>
      <c r="R38" s="671" t="s">
        <v>38</v>
      </c>
      <c r="S38" s="55" t="s">
        <v>446</v>
      </c>
      <c r="T38" s="55" t="s">
        <v>447</v>
      </c>
      <c r="U38" s="671" t="s">
        <v>38</v>
      </c>
      <c r="X38" s="671" t="s">
        <v>38</v>
      </c>
      <c r="AB38" s="671" t="s">
        <v>38</v>
      </c>
      <c r="AE38" s="671" t="s">
        <v>38</v>
      </c>
      <c r="AH38" s="671" t="s">
        <v>38</v>
      </c>
      <c r="AK38" s="671" t="s">
        <v>38</v>
      </c>
      <c r="AN38" s="671" t="s">
        <v>38</v>
      </c>
      <c r="AQ38" s="671" t="s">
        <v>38</v>
      </c>
      <c r="AR38" s="656" t="str">
        <f>Select_naics2022[[#This Row],[2022 NAICS Code]]&amp;":  "&amp;Select_naics2022[[#This Row],[2022 NAICS Title]]</f>
        <v xml:space="preserve">111421:  Nursery and Tree Production </v>
      </c>
      <c r="AS38" s="656">
        <v>111421</v>
      </c>
      <c r="AT38" s="656" t="s">
        <v>448</v>
      </c>
      <c r="AU38" s="656" t="str">
        <f>Select_naics2022[[#This Row],[2022 NAICS Title]]</f>
        <v xml:space="preserve">Nursery and Tree Production </v>
      </c>
      <c r="AW38" s="656" t="s">
        <v>223</v>
      </c>
      <c r="AX38" s="656"/>
      <c r="AY38" s="671" t="s">
        <v>38</v>
      </c>
      <c r="BB38" s="671" t="s">
        <v>38</v>
      </c>
      <c r="BE38" s="671" t="s">
        <v>38</v>
      </c>
      <c r="BH38" s="671" t="s">
        <v>38</v>
      </c>
      <c r="BK38" s="671" t="s">
        <v>38</v>
      </c>
      <c r="BN38" s="671" t="s">
        <v>38</v>
      </c>
      <c r="BQ38" s="671" t="s">
        <v>38</v>
      </c>
      <c r="BT38" s="671" t="s">
        <v>38</v>
      </c>
      <c r="BW38" s="671" t="s">
        <v>38</v>
      </c>
      <c r="BZ38" s="671" t="s">
        <v>38</v>
      </c>
      <c r="CB38" s="55" t="s">
        <v>449</v>
      </c>
      <c r="CC38" s="55" t="str">
        <f>TEXT(IF(formtype="P",FormTypeLabels[[#This Row],[P]],FormTypeLabels[[#This Row],[C]]),"")</f>
        <v/>
      </c>
      <c r="CE38" s="660" t="s">
        <v>450</v>
      </c>
      <c r="CF38" s="672" t="s">
        <v>113</v>
      </c>
    </row>
    <row r="39" spans="2:84" x14ac:dyDescent="0.25">
      <c r="B39" s="671" t="s">
        <v>38</v>
      </c>
      <c r="C39" s="55" t="s">
        <v>451</v>
      </c>
      <c r="E39" s="680">
        <f>cycurrentassets</f>
        <v>0</v>
      </c>
      <c r="F39" s="55" t="s">
        <v>102</v>
      </c>
      <c r="G39" s="55" t="s">
        <v>452</v>
      </c>
      <c r="I39" s="671" t="s">
        <v>38</v>
      </c>
      <c r="L39" s="671" t="s">
        <v>38</v>
      </c>
      <c r="O39" s="671" t="s">
        <v>38</v>
      </c>
      <c r="R39" s="671" t="s">
        <v>38</v>
      </c>
      <c r="S39" s="55" t="s">
        <v>453</v>
      </c>
      <c r="T39" s="55" t="s">
        <v>454</v>
      </c>
      <c r="U39" s="671" t="s">
        <v>38</v>
      </c>
      <c r="X39" s="671" t="s">
        <v>38</v>
      </c>
      <c r="AB39" s="671" t="s">
        <v>38</v>
      </c>
      <c r="AE39" s="671" t="s">
        <v>38</v>
      </c>
      <c r="AH39" s="671" t="s">
        <v>38</v>
      </c>
      <c r="AK39" s="671" t="s">
        <v>38</v>
      </c>
      <c r="AN39" s="671" t="s">
        <v>38</v>
      </c>
      <c r="AQ39" s="671" t="s">
        <v>38</v>
      </c>
      <c r="AR39" s="656" t="str">
        <f>Select_naics2022[[#This Row],[2022 NAICS Code]]&amp;":  "&amp;Select_naics2022[[#This Row],[2022 NAICS Title]]</f>
        <v xml:space="preserve">111422:  Floriculture Production </v>
      </c>
      <c r="AS39" s="656">
        <v>111422</v>
      </c>
      <c r="AT39" s="656" t="s">
        <v>455</v>
      </c>
      <c r="AU39" s="656" t="str">
        <f>Select_naics2022[[#This Row],[2022 NAICS Title]]</f>
        <v xml:space="preserve">Floriculture Production </v>
      </c>
      <c r="AY39" s="671" t="s">
        <v>38</v>
      </c>
      <c r="BB39" s="671" t="s">
        <v>38</v>
      </c>
      <c r="BE39" s="671" t="s">
        <v>38</v>
      </c>
      <c r="BH39" s="671" t="s">
        <v>38</v>
      </c>
      <c r="BK39" s="671" t="s">
        <v>38</v>
      </c>
      <c r="BN39" s="671" t="s">
        <v>38</v>
      </c>
      <c r="BQ39" s="671" t="s">
        <v>38</v>
      </c>
      <c r="BT39" s="671" t="s">
        <v>38</v>
      </c>
      <c r="BW39" s="671" t="s">
        <v>38</v>
      </c>
      <c r="BZ39" s="671" t="s">
        <v>38</v>
      </c>
      <c r="CB39" s="55" t="s">
        <v>456</v>
      </c>
      <c r="CC39" s="55" t="str">
        <f>TEXT(IF(formtype="P",FormTypeLabels[[#This Row],[P]],FormTypeLabels[[#This Row],[C]]),"")</f>
        <v>PART I. PRIVATE PARTNERS' CONTRIBUTED CAPITAL</v>
      </c>
      <c r="CD39" s="55" t="s">
        <v>457</v>
      </c>
      <c r="CE39" s="690" t="s">
        <v>458</v>
      </c>
      <c r="CF39" s="672" t="s">
        <v>113</v>
      </c>
    </row>
    <row r="40" spans="2:84" x14ac:dyDescent="0.25">
      <c r="B40" s="671" t="s">
        <v>38</v>
      </c>
      <c r="C40" s="55" t="s">
        <v>459</v>
      </c>
      <c r="E40" s="680">
        <f>cyotherassets</f>
        <v>0</v>
      </c>
      <c r="F40" s="55" t="s">
        <v>102</v>
      </c>
      <c r="G40" s="55" t="s">
        <v>460</v>
      </c>
      <c r="I40" s="671" t="s">
        <v>38</v>
      </c>
      <c r="L40" s="671" t="s">
        <v>38</v>
      </c>
      <c r="O40" s="671" t="s">
        <v>38</v>
      </c>
      <c r="R40" s="671" t="s">
        <v>38</v>
      </c>
      <c r="S40" s="55" t="s">
        <v>461</v>
      </c>
      <c r="T40" s="55" t="s">
        <v>462</v>
      </c>
      <c r="U40" s="671" t="s">
        <v>38</v>
      </c>
      <c r="X40" s="671" t="s">
        <v>38</v>
      </c>
      <c r="AB40" s="671" t="s">
        <v>38</v>
      </c>
      <c r="AE40" s="671" t="s">
        <v>38</v>
      </c>
      <c r="AH40" s="671" t="s">
        <v>38</v>
      </c>
      <c r="AK40" s="671" t="s">
        <v>38</v>
      </c>
      <c r="AN40" s="671" t="s">
        <v>38</v>
      </c>
      <c r="AQ40" s="671" t="s">
        <v>38</v>
      </c>
      <c r="AR40" s="656" t="str">
        <f>Select_naics2022[[#This Row],[2022 NAICS Code]]&amp;":  "&amp;Select_naics2022[[#This Row],[2022 NAICS Title]]</f>
        <v>111910:  Tobacco Farming</v>
      </c>
      <c r="AS40" s="656">
        <v>111910</v>
      </c>
      <c r="AT40" s="656" t="s">
        <v>463</v>
      </c>
      <c r="AU40" s="656" t="str">
        <f>Select_naics2022[[#This Row],[2022 NAICS Title]]</f>
        <v>Tobacco Farming</v>
      </c>
      <c r="AY40" s="671" t="s">
        <v>38</v>
      </c>
      <c r="BB40" s="671" t="s">
        <v>38</v>
      </c>
      <c r="BE40" s="671" t="s">
        <v>38</v>
      </c>
      <c r="BH40" s="671" t="s">
        <v>38</v>
      </c>
      <c r="BK40" s="671" t="s">
        <v>38</v>
      </c>
      <c r="BN40" s="671" t="s">
        <v>38</v>
      </c>
      <c r="BQ40" s="671" t="s">
        <v>38</v>
      </c>
      <c r="BT40" s="671" t="s">
        <v>38</v>
      </c>
      <c r="BW40" s="671" t="s">
        <v>38</v>
      </c>
      <c r="BZ40" s="671" t="s">
        <v>38</v>
      </c>
      <c r="CB40" s="55" t="s">
        <v>464</v>
      </c>
      <c r="CC40" s="55" t="str">
        <f>TEXT(IF(formtype="P",FormTypeLabels[[#This Row],[P]],FormTypeLabels[[#This Row],[C]]),"")</f>
        <v>a. Partnership interests issued for cash</v>
      </c>
      <c r="CD40" s="69" t="s">
        <v>465</v>
      </c>
      <c r="CE40" s="660" t="s">
        <v>466</v>
      </c>
      <c r="CF40" s="672" t="s">
        <v>113</v>
      </c>
    </row>
    <row r="41" spans="2:84" x14ac:dyDescent="0.25">
      <c r="B41" s="671" t="s">
        <v>38</v>
      </c>
      <c r="C41" s="55" t="s">
        <v>467</v>
      </c>
      <c r="E41" s="680">
        <f>cytotalassets</f>
        <v>0</v>
      </c>
      <c r="F41" s="55" t="s">
        <v>102</v>
      </c>
      <c r="G41" s="55" t="s">
        <v>468</v>
      </c>
      <c r="I41" s="671" t="s">
        <v>38</v>
      </c>
      <c r="L41" s="671" t="s">
        <v>38</v>
      </c>
      <c r="O41" s="671" t="s">
        <v>38</v>
      </c>
      <c r="R41" s="671" t="s">
        <v>38</v>
      </c>
      <c r="S41" s="55" t="s">
        <v>469</v>
      </c>
      <c r="T41" s="55" t="s">
        <v>470</v>
      </c>
      <c r="U41" s="671" t="s">
        <v>38</v>
      </c>
      <c r="X41" s="671" t="s">
        <v>38</v>
      </c>
      <c r="AB41" s="671" t="s">
        <v>38</v>
      </c>
      <c r="AE41" s="671" t="s">
        <v>38</v>
      </c>
      <c r="AH41" s="671" t="s">
        <v>38</v>
      </c>
      <c r="AK41" s="671" t="s">
        <v>38</v>
      </c>
      <c r="AN41" s="671" t="s">
        <v>38</v>
      </c>
      <c r="AQ41" s="671" t="s">
        <v>38</v>
      </c>
      <c r="AR41" s="656" t="str">
        <f>Select_naics2022[[#This Row],[2022 NAICS Code]]&amp;":  "&amp;Select_naics2022[[#This Row],[2022 NAICS Title]]</f>
        <v>111920:  Cotton Farming</v>
      </c>
      <c r="AS41" s="656">
        <v>111920</v>
      </c>
      <c r="AT41" s="656" t="s">
        <v>471</v>
      </c>
      <c r="AU41" s="656" t="str">
        <f>Select_naics2022[[#This Row],[2022 NAICS Title]]</f>
        <v>Cotton Farming</v>
      </c>
      <c r="AY41" s="671" t="s">
        <v>38</v>
      </c>
      <c r="BB41" s="671" t="s">
        <v>38</v>
      </c>
      <c r="BE41" s="671" t="s">
        <v>38</v>
      </c>
      <c r="BH41" s="671" t="s">
        <v>38</v>
      </c>
      <c r="BK41" s="671" t="s">
        <v>38</v>
      </c>
      <c r="BN41" s="671" t="s">
        <v>38</v>
      </c>
      <c r="BQ41" s="671" t="s">
        <v>38</v>
      </c>
      <c r="BT41" s="671" t="s">
        <v>38</v>
      </c>
      <c r="BW41" s="671" t="s">
        <v>38</v>
      </c>
      <c r="BZ41" s="671" t="s">
        <v>38</v>
      </c>
      <c r="CB41" s="55" t="s">
        <v>472</v>
      </c>
      <c r="CC41" s="55" t="str">
        <f>TEXT(IF(formtype="P",FormTypeLabels[[#This Row],[P]],FormTypeLabels[[#This Row],[C]]),"")</f>
        <v xml:space="preserve">b. Partnership interests issued for services rendered </v>
      </c>
      <c r="CD41" s="69" t="s">
        <v>473</v>
      </c>
      <c r="CE41" s="660" t="s">
        <v>474</v>
      </c>
      <c r="CF41" s="672" t="s">
        <v>113</v>
      </c>
    </row>
    <row r="42" spans="2:84" x14ac:dyDescent="0.25">
      <c r="B42" s="671" t="s">
        <v>38</v>
      </c>
      <c r="C42" s="55" t="s">
        <v>475</v>
      </c>
      <c r="E42" s="680">
        <f>cysbabal</f>
        <v>0</v>
      </c>
      <c r="F42" s="55" t="s">
        <v>102</v>
      </c>
      <c r="G42" s="55" t="s">
        <v>476</v>
      </c>
      <c r="I42" s="671" t="s">
        <v>38</v>
      </c>
      <c r="L42" s="671" t="s">
        <v>38</v>
      </c>
      <c r="O42" s="671" t="s">
        <v>38</v>
      </c>
      <c r="R42" s="671" t="s">
        <v>38</v>
      </c>
      <c r="S42" s="55" t="s">
        <v>477</v>
      </c>
      <c r="T42" s="55" t="s">
        <v>478</v>
      </c>
      <c r="U42" s="671" t="s">
        <v>38</v>
      </c>
      <c r="X42" s="671" t="s">
        <v>38</v>
      </c>
      <c r="AB42" s="671" t="s">
        <v>38</v>
      </c>
      <c r="AE42" s="671" t="s">
        <v>38</v>
      </c>
      <c r="AH42" s="671" t="s">
        <v>38</v>
      </c>
      <c r="AK42" s="671" t="s">
        <v>38</v>
      </c>
      <c r="AN42" s="671" t="s">
        <v>38</v>
      </c>
      <c r="AQ42" s="671" t="s">
        <v>38</v>
      </c>
      <c r="AR42" s="656" t="str">
        <f>Select_naics2022[[#This Row],[2022 NAICS Code]]&amp;":  "&amp;Select_naics2022[[#This Row],[2022 NAICS Title]]</f>
        <v>111930:  Sugarcane Farming</v>
      </c>
      <c r="AS42" s="656">
        <v>111930</v>
      </c>
      <c r="AT42" s="656" t="s">
        <v>479</v>
      </c>
      <c r="AU42" s="656" t="str">
        <f>Select_naics2022[[#This Row],[2022 NAICS Title]]</f>
        <v>Sugarcane Farming</v>
      </c>
      <c r="AY42" s="671" t="s">
        <v>38</v>
      </c>
      <c r="BB42" s="671" t="s">
        <v>38</v>
      </c>
      <c r="BE42" s="671" t="s">
        <v>38</v>
      </c>
      <c r="BH42" s="671" t="s">
        <v>38</v>
      </c>
      <c r="BK42" s="671" t="s">
        <v>38</v>
      </c>
      <c r="BN42" s="671" t="s">
        <v>38</v>
      </c>
      <c r="BQ42" s="671" t="s">
        <v>38</v>
      </c>
      <c r="BT42" s="671" t="s">
        <v>38</v>
      </c>
      <c r="BW42" s="671" t="s">
        <v>38</v>
      </c>
      <c r="BZ42" s="671" t="s">
        <v>38</v>
      </c>
      <c r="CB42" s="55" t="s">
        <v>480</v>
      </c>
      <c r="CC42" s="55" t="str">
        <f>TEXT(IF(formtype="P",FormTypeLabels[[#This Row],[P]],FormTypeLabels[[#This Row],[C]]),"")</f>
        <v xml:space="preserve">c. Partnership interests issued for contributed non-cash assets </v>
      </c>
      <c r="CD42" s="69" t="s">
        <v>481</v>
      </c>
      <c r="CE42" s="660" t="s">
        <v>482</v>
      </c>
      <c r="CF42" s="672" t="s">
        <v>113</v>
      </c>
    </row>
    <row r="43" spans="2:84" x14ac:dyDescent="0.25">
      <c r="B43" s="671" t="s">
        <v>38</v>
      </c>
      <c r="C43" s="55" t="s">
        <v>483</v>
      </c>
      <c r="E43" s="681">
        <f>cytotalLTLiab</f>
        <v>0</v>
      </c>
      <c r="F43" s="55" t="s">
        <v>102</v>
      </c>
      <c r="G43" s="55" t="s">
        <v>484</v>
      </c>
      <c r="I43" s="671" t="s">
        <v>38</v>
      </c>
      <c r="L43" s="671" t="s">
        <v>38</v>
      </c>
      <c r="O43" s="671" t="s">
        <v>38</v>
      </c>
      <c r="R43" s="671" t="s">
        <v>38</v>
      </c>
      <c r="S43" s="55" t="s">
        <v>485</v>
      </c>
      <c r="T43" s="55" t="s">
        <v>486</v>
      </c>
      <c r="U43" s="671" t="s">
        <v>38</v>
      </c>
      <c r="X43" s="671" t="s">
        <v>38</v>
      </c>
      <c r="AB43" s="671" t="s">
        <v>38</v>
      </c>
      <c r="AE43" s="671" t="s">
        <v>38</v>
      </c>
      <c r="AH43" s="671" t="s">
        <v>38</v>
      </c>
      <c r="AK43" s="671" t="s">
        <v>38</v>
      </c>
      <c r="AN43" s="671" t="s">
        <v>38</v>
      </c>
      <c r="AQ43" s="671" t="s">
        <v>38</v>
      </c>
      <c r="AR43" s="656" t="str">
        <f>Select_naics2022[[#This Row],[2022 NAICS Code]]&amp;":  "&amp;Select_naics2022[[#This Row],[2022 NAICS Title]]</f>
        <v xml:space="preserve">111940:  Hay Farming </v>
      </c>
      <c r="AS43" s="656">
        <v>111940</v>
      </c>
      <c r="AT43" s="656" t="s">
        <v>487</v>
      </c>
      <c r="AU43" s="656" t="str">
        <f>Select_naics2022[[#This Row],[2022 NAICS Title]]</f>
        <v xml:space="preserve">Hay Farming </v>
      </c>
      <c r="AY43" s="671" t="s">
        <v>38</v>
      </c>
      <c r="BB43" s="671" t="s">
        <v>38</v>
      </c>
      <c r="BE43" s="671" t="s">
        <v>38</v>
      </c>
      <c r="BH43" s="671" t="s">
        <v>38</v>
      </c>
      <c r="BK43" s="671" t="s">
        <v>38</v>
      </c>
      <c r="BN43" s="671" t="s">
        <v>38</v>
      </c>
      <c r="BQ43" s="671" t="s">
        <v>38</v>
      </c>
      <c r="BT43" s="671" t="s">
        <v>38</v>
      </c>
      <c r="BW43" s="671" t="s">
        <v>38</v>
      </c>
      <c r="BZ43" s="671" t="s">
        <v>38</v>
      </c>
      <c r="CB43" s="55" t="s">
        <v>488</v>
      </c>
      <c r="CC43" s="55" t="str">
        <f>TEXT(IF(formtype="P",FormTypeLabels[[#This Row],[P]],FormTypeLabels[[#This Row],[C]]),"")</f>
        <v/>
      </c>
      <c r="CE43" s="660" t="s">
        <v>489</v>
      </c>
      <c r="CF43" s="672" t="s">
        <v>113</v>
      </c>
    </row>
    <row r="44" spans="2:84" x14ac:dyDescent="0.25">
      <c r="B44" s="671" t="s">
        <v>38</v>
      </c>
      <c r="C44" s="55" t="s">
        <v>490</v>
      </c>
      <c r="E44" s="680">
        <f>cyaccountspayable</f>
        <v>0</v>
      </c>
      <c r="F44" s="55" t="s">
        <v>102</v>
      </c>
      <c r="G44" s="55" t="s">
        <v>491</v>
      </c>
      <c r="I44" s="671" t="s">
        <v>38</v>
      </c>
      <c r="K44" s="656"/>
      <c r="L44" s="671" t="s">
        <v>38</v>
      </c>
      <c r="O44" s="671" t="s">
        <v>38</v>
      </c>
      <c r="R44" s="671" t="s">
        <v>38</v>
      </c>
      <c r="S44" s="55" t="s">
        <v>492</v>
      </c>
      <c r="T44" s="55" t="s">
        <v>493</v>
      </c>
      <c r="U44" s="671" t="s">
        <v>38</v>
      </c>
      <c r="X44" s="671" t="s">
        <v>38</v>
      </c>
      <c r="AB44" s="671" t="s">
        <v>38</v>
      </c>
      <c r="AE44" s="671" t="s">
        <v>38</v>
      </c>
      <c r="AH44" s="671" t="s">
        <v>38</v>
      </c>
      <c r="AK44" s="671" t="s">
        <v>38</v>
      </c>
      <c r="AN44" s="671" t="s">
        <v>38</v>
      </c>
      <c r="AQ44" s="671" t="s">
        <v>38</v>
      </c>
      <c r="AR44" s="656" t="str">
        <f>Select_naics2022[[#This Row],[2022 NAICS Code]]&amp;":  "&amp;Select_naics2022[[#This Row],[2022 NAICS Title]]</f>
        <v xml:space="preserve">111991:  Sugar Beet Farming </v>
      </c>
      <c r="AS44" s="656">
        <v>111991</v>
      </c>
      <c r="AT44" s="656" t="s">
        <v>494</v>
      </c>
      <c r="AU44" s="656" t="str">
        <f>Select_naics2022[[#This Row],[2022 NAICS Title]]</f>
        <v xml:space="preserve">Sugar Beet Farming </v>
      </c>
      <c r="AY44" s="671" t="s">
        <v>38</v>
      </c>
      <c r="BB44" s="671" t="s">
        <v>38</v>
      </c>
      <c r="BE44" s="671" t="s">
        <v>38</v>
      </c>
      <c r="BH44" s="671" t="s">
        <v>38</v>
      </c>
      <c r="BK44" s="671" t="s">
        <v>38</v>
      </c>
      <c r="BN44" s="671" t="s">
        <v>38</v>
      </c>
      <c r="BQ44" s="671" t="s">
        <v>38</v>
      </c>
      <c r="BT44" s="671" t="s">
        <v>38</v>
      </c>
      <c r="BW44" s="671" t="s">
        <v>38</v>
      </c>
      <c r="BZ44" s="671" t="s">
        <v>38</v>
      </c>
      <c r="CB44" s="55" t="s">
        <v>495</v>
      </c>
      <c r="CC44" s="55" t="str">
        <f>TEXT(IF(formtype="P",FormTypeLabels[[#This Row],[P]],FormTypeLabels[[#This Row],[C]]),"")</f>
        <v xml:space="preserve">a. Liquidation of Partnership interests </v>
      </c>
      <c r="CD44" s="69" t="s">
        <v>496</v>
      </c>
      <c r="CE44" s="660" t="s">
        <v>497</v>
      </c>
      <c r="CF44" s="672" t="s">
        <v>113</v>
      </c>
    </row>
    <row r="45" spans="2:84" x14ac:dyDescent="0.25">
      <c r="B45" s="671" t="s">
        <v>38</v>
      </c>
      <c r="C45" s="55" t="s">
        <v>498</v>
      </c>
      <c r="E45" s="680">
        <f>cyaccruedintpay</f>
        <v>0</v>
      </c>
      <c r="F45" s="55" t="s">
        <v>102</v>
      </c>
      <c r="G45" s="55" t="s">
        <v>499</v>
      </c>
      <c r="I45" s="671" t="s">
        <v>38</v>
      </c>
      <c r="K45" s="656"/>
      <c r="L45" s="671" t="s">
        <v>38</v>
      </c>
      <c r="O45" s="671" t="s">
        <v>38</v>
      </c>
      <c r="R45" s="671" t="s">
        <v>38</v>
      </c>
      <c r="S45" s="55" t="s">
        <v>500</v>
      </c>
      <c r="T45" s="55" t="s">
        <v>501</v>
      </c>
      <c r="U45" s="671" t="s">
        <v>38</v>
      </c>
      <c r="X45" s="671" t="s">
        <v>38</v>
      </c>
      <c r="AB45" s="671" t="s">
        <v>38</v>
      </c>
      <c r="AE45" s="671" t="s">
        <v>38</v>
      </c>
      <c r="AH45" s="671" t="s">
        <v>38</v>
      </c>
      <c r="AK45" s="671" t="s">
        <v>38</v>
      </c>
      <c r="AN45" s="671" t="s">
        <v>38</v>
      </c>
      <c r="AQ45" s="671" t="s">
        <v>38</v>
      </c>
      <c r="AR45" s="656" t="str">
        <f>Select_naics2022[[#This Row],[2022 NAICS Code]]&amp;":  "&amp;Select_naics2022[[#This Row],[2022 NAICS Title]]</f>
        <v xml:space="preserve">111992:  Peanut Farming </v>
      </c>
      <c r="AS45" s="656">
        <v>111992</v>
      </c>
      <c r="AT45" s="656" t="s">
        <v>502</v>
      </c>
      <c r="AU45" s="656" t="str">
        <f>Select_naics2022[[#This Row],[2022 NAICS Title]]</f>
        <v xml:space="preserve">Peanut Farming </v>
      </c>
      <c r="AY45" s="671" t="s">
        <v>38</v>
      </c>
      <c r="BB45" s="671" t="s">
        <v>38</v>
      </c>
      <c r="BE45" s="671" t="s">
        <v>38</v>
      </c>
      <c r="BH45" s="671" t="s">
        <v>38</v>
      </c>
      <c r="BK45" s="671" t="s">
        <v>38</v>
      </c>
      <c r="BN45" s="671" t="s">
        <v>38</v>
      </c>
      <c r="BQ45" s="671" t="s">
        <v>38</v>
      </c>
      <c r="BT45" s="671" t="s">
        <v>38</v>
      </c>
      <c r="BW45" s="671" t="s">
        <v>38</v>
      </c>
      <c r="BZ45" s="671" t="s">
        <v>38</v>
      </c>
      <c r="CB45" s="55" t="s">
        <v>503</v>
      </c>
      <c r="CC45" s="55" t="str">
        <f>TEXT(IF(formtype="P",FormTypeLabels[[#This Row],[P]],FormTypeLabels[[#This Row],[C]]),"")</f>
        <v/>
      </c>
      <c r="CD45" s="69"/>
      <c r="CE45" s="660" t="s">
        <v>504</v>
      </c>
      <c r="CF45" s="672" t="s">
        <v>113</v>
      </c>
    </row>
    <row r="46" spans="2:84" x14ac:dyDescent="0.25">
      <c r="B46" s="671" t="s">
        <v>38</v>
      </c>
      <c r="C46" s="55" t="s">
        <v>505</v>
      </c>
      <c r="E46" s="680">
        <f>cyaccruedtaxpay</f>
        <v>0</v>
      </c>
      <c r="F46" s="55" t="s">
        <v>102</v>
      </c>
      <c r="G46" s="55" t="s">
        <v>506</v>
      </c>
      <c r="I46" s="671" t="s">
        <v>38</v>
      </c>
      <c r="K46" s="656"/>
      <c r="L46" s="671" t="s">
        <v>38</v>
      </c>
      <c r="O46" s="671" t="s">
        <v>38</v>
      </c>
      <c r="R46" s="671" t="s">
        <v>38</v>
      </c>
      <c r="S46" s="55" t="s">
        <v>507</v>
      </c>
      <c r="T46" s="55" t="s">
        <v>508</v>
      </c>
      <c r="U46" s="671" t="s">
        <v>38</v>
      </c>
      <c r="X46" s="671" t="s">
        <v>38</v>
      </c>
      <c r="AB46" s="671" t="s">
        <v>38</v>
      </c>
      <c r="AE46" s="671" t="s">
        <v>38</v>
      </c>
      <c r="AH46" s="671" t="s">
        <v>38</v>
      </c>
      <c r="AK46" s="671" t="s">
        <v>38</v>
      </c>
      <c r="AN46" s="671" t="s">
        <v>38</v>
      </c>
      <c r="AQ46" s="671" t="s">
        <v>38</v>
      </c>
      <c r="AR46" s="656" t="str">
        <f>Select_naics2022[[#This Row],[2022 NAICS Code]]&amp;":  "&amp;Select_naics2022[[#This Row],[2022 NAICS Title]]</f>
        <v xml:space="preserve">111998:  All Other Miscellaneous Crop Farming </v>
      </c>
      <c r="AS46" s="656">
        <v>111998</v>
      </c>
      <c r="AT46" s="656" t="s">
        <v>509</v>
      </c>
      <c r="AU46" s="656" t="str">
        <f>Select_naics2022[[#This Row],[2022 NAICS Title]]</f>
        <v xml:space="preserve">All Other Miscellaneous Crop Farming </v>
      </c>
      <c r="AY46" s="671" t="s">
        <v>38</v>
      </c>
      <c r="BB46" s="671" t="s">
        <v>38</v>
      </c>
      <c r="BE46" s="671" t="s">
        <v>38</v>
      </c>
      <c r="BH46" s="671" t="s">
        <v>38</v>
      </c>
      <c r="BK46" s="671" t="s">
        <v>38</v>
      </c>
      <c r="BN46" s="671" t="s">
        <v>38</v>
      </c>
      <c r="BQ46" s="671" t="s">
        <v>38</v>
      </c>
      <c r="BT46" s="671" t="s">
        <v>38</v>
      </c>
      <c r="BW46" s="671" t="s">
        <v>38</v>
      </c>
      <c r="BZ46" s="671" t="s">
        <v>38</v>
      </c>
      <c r="CB46" s="55" t="s">
        <v>510</v>
      </c>
      <c r="CC46" s="55" t="str">
        <f>TEXT(IF(formtype="P",FormTypeLabels[[#This Row],[P]],FormTypeLabels[[#This Row],[C]]),"")</f>
        <v/>
      </c>
      <c r="CD46" s="69"/>
      <c r="CE46" s="660" t="s">
        <v>511</v>
      </c>
      <c r="CF46" s="672" t="s">
        <v>113</v>
      </c>
    </row>
    <row r="47" spans="2:84" x14ac:dyDescent="0.25">
      <c r="B47" s="671" t="s">
        <v>38</v>
      </c>
      <c r="C47" s="55" t="s">
        <v>512</v>
      </c>
      <c r="E47" s="680">
        <f>cydistpay</f>
        <v>0</v>
      </c>
      <c r="F47" s="55" t="s">
        <v>102</v>
      </c>
      <c r="G47" s="55" t="s">
        <v>513</v>
      </c>
      <c r="I47" s="671" t="s">
        <v>38</v>
      </c>
      <c r="K47" s="656"/>
      <c r="L47" s="671" t="s">
        <v>38</v>
      </c>
      <c r="O47" s="671" t="s">
        <v>38</v>
      </c>
      <c r="R47" s="671" t="s">
        <v>38</v>
      </c>
      <c r="S47" s="55" t="s">
        <v>514</v>
      </c>
      <c r="T47" s="55" t="s">
        <v>515</v>
      </c>
      <c r="U47" s="671" t="s">
        <v>38</v>
      </c>
      <c r="X47" s="671" t="s">
        <v>38</v>
      </c>
      <c r="AB47" s="671" t="s">
        <v>38</v>
      </c>
      <c r="AE47" s="671" t="s">
        <v>38</v>
      </c>
      <c r="AH47" s="671" t="s">
        <v>38</v>
      </c>
      <c r="AK47" s="671" t="s">
        <v>38</v>
      </c>
      <c r="AN47" s="671" t="s">
        <v>38</v>
      </c>
      <c r="AQ47" s="671" t="s">
        <v>38</v>
      </c>
      <c r="AR47" s="656" t="str">
        <f>Select_naics2022[[#This Row],[2022 NAICS Code]]&amp;":  "&amp;Select_naics2022[[#This Row],[2022 NAICS Title]]</f>
        <v xml:space="preserve">112111:  Beef Cattle Ranching and Farming </v>
      </c>
      <c r="AS47" s="656">
        <v>112111</v>
      </c>
      <c r="AT47" s="656" t="s">
        <v>516</v>
      </c>
      <c r="AU47" s="656" t="str">
        <f>Select_naics2022[[#This Row],[2022 NAICS Title]]</f>
        <v xml:space="preserve">Beef Cattle Ranching and Farming </v>
      </c>
      <c r="AY47" s="671" t="s">
        <v>38</v>
      </c>
      <c r="BB47" s="671" t="s">
        <v>38</v>
      </c>
      <c r="BE47" s="671" t="s">
        <v>38</v>
      </c>
      <c r="BH47" s="671" t="s">
        <v>38</v>
      </c>
      <c r="BK47" s="671" t="s">
        <v>38</v>
      </c>
      <c r="BN47" s="671" t="s">
        <v>38</v>
      </c>
      <c r="BQ47" s="671" t="s">
        <v>38</v>
      </c>
      <c r="BT47" s="671" t="s">
        <v>38</v>
      </c>
      <c r="BW47" s="671" t="s">
        <v>38</v>
      </c>
      <c r="BZ47" s="671" t="s">
        <v>38</v>
      </c>
      <c r="CB47" s="55" t="s">
        <v>517</v>
      </c>
      <c r="CC47" s="55" t="str">
        <f>TEXT(IF(formtype="P",FormTypeLabels[[#This Row],[P]],FormTypeLabels[[#This Row],[C]]),"")</f>
        <v xml:space="preserve">b.Other debits (specify) </v>
      </c>
      <c r="CD47" s="69" t="s">
        <v>518</v>
      </c>
      <c r="CE47" s="660" t="s">
        <v>519</v>
      </c>
      <c r="CF47" s="672" t="s">
        <v>113</v>
      </c>
    </row>
    <row r="48" spans="2:84" x14ac:dyDescent="0.25">
      <c r="B48" s="671" t="s">
        <v>38</v>
      </c>
      <c r="C48" s="55" t="s">
        <v>520</v>
      </c>
      <c r="E48" s="680">
        <f>cyotherliab</f>
        <v>0</v>
      </c>
      <c r="F48" s="55" t="s">
        <v>102</v>
      </c>
      <c r="G48" s="55" t="s">
        <v>521</v>
      </c>
      <c r="I48" s="671" t="s">
        <v>38</v>
      </c>
      <c r="K48" s="656"/>
      <c r="L48" s="671" t="s">
        <v>38</v>
      </c>
      <c r="O48" s="671" t="s">
        <v>38</v>
      </c>
      <c r="R48" s="671" t="s">
        <v>38</v>
      </c>
      <c r="S48" s="55" t="s">
        <v>522</v>
      </c>
      <c r="T48" s="55" t="s">
        <v>523</v>
      </c>
      <c r="U48" s="671" t="s">
        <v>38</v>
      </c>
      <c r="X48" s="671" t="s">
        <v>38</v>
      </c>
      <c r="AB48" s="671" t="s">
        <v>38</v>
      </c>
      <c r="AE48" s="671" t="s">
        <v>38</v>
      </c>
      <c r="AH48" s="671" t="s">
        <v>38</v>
      </c>
      <c r="AK48" s="671" t="s">
        <v>38</v>
      </c>
      <c r="AN48" s="671" t="s">
        <v>38</v>
      </c>
      <c r="AQ48" s="671" t="s">
        <v>38</v>
      </c>
      <c r="AR48" s="656" t="str">
        <f>Select_naics2022[[#This Row],[2022 NAICS Code]]&amp;":  "&amp;Select_naics2022[[#This Row],[2022 NAICS Title]]</f>
        <v xml:space="preserve">112112:  Cattle Feedlots </v>
      </c>
      <c r="AS48" s="656">
        <v>112112</v>
      </c>
      <c r="AT48" s="656" t="s">
        <v>524</v>
      </c>
      <c r="AU48" s="656" t="str">
        <f>Select_naics2022[[#This Row],[2022 NAICS Title]]</f>
        <v xml:space="preserve">Cattle Feedlots </v>
      </c>
      <c r="AY48" s="671" t="s">
        <v>38</v>
      </c>
      <c r="BB48" s="671" t="s">
        <v>38</v>
      </c>
      <c r="BE48" s="671" t="s">
        <v>38</v>
      </c>
      <c r="BH48" s="671" t="s">
        <v>38</v>
      </c>
      <c r="BK48" s="671" t="s">
        <v>38</v>
      </c>
      <c r="BN48" s="671" t="s">
        <v>38</v>
      </c>
      <c r="BQ48" s="671" t="s">
        <v>38</v>
      </c>
      <c r="BT48" s="671" t="s">
        <v>38</v>
      </c>
      <c r="BW48" s="671" t="s">
        <v>38</v>
      </c>
      <c r="BZ48" s="671" t="s">
        <v>38</v>
      </c>
      <c r="CB48" s="55" t="s">
        <v>525</v>
      </c>
      <c r="CC48" s="55" t="str">
        <f>TEXT(IF(formtype="P",FormTypeLabels[[#This Row],[P]],FormTypeLabels[[#This Row],[C]]),"")</f>
        <v xml:space="preserve">a. Cash Distributions </v>
      </c>
      <c r="CD48" s="69" t="s">
        <v>526</v>
      </c>
      <c r="CE48" s="660" t="s">
        <v>527</v>
      </c>
      <c r="CF48" s="672" t="s">
        <v>113</v>
      </c>
    </row>
    <row r="49" spans="2:84" x14ac:dyDescent="0.25">
      <c r="B49" s="671" t="s">
        <v>38</v>
      </c>
      <c r="C49" s="55" t="s">
        <v>528</v>
      </c>
      <c r="E49" s="681">
        <f>cytotalliab</f>
        <v>0</v>
      </c>
      <c r="F49" s="55" t="s">
        <v>102</v>
      </c>
      <c r="G49" s="55" t="s">
        <v>529</v>
      </c>
      <c r="I49" s="671" t="s">
        <v>38</v>
      </c>
      <c r="K49" s="656"/>
      <c r="L49" s="671" t="s">
        <v>38</v>
      </c>
      <c r="O49" s="671" t="s">
        <v>38</v>
      </c>
      <c r="R49" s="671" t="s">
        <v>38</v>
      </c>
      <c r="S49" s="55" t="s">
        <v>530</v>
      </c>
      <c r="T49" s="55" t="s">
        <v>531</v>
      </c>
      <c r="U49" s="671" t="s">
        <v>38</v>
      </c>
      <c r="X49" s="671" t="s">
        <v>38</v>
      </c>
      <c r="AB49" s="671" t="s">
        <v>38</v>
      </c>
      <c r="AE49" s="671" t="s">
        <v>38</v>
      </c>
      <c r="AH49" s="671" t="s">
        <v>38</v>
      </c>
      <c r="AK49" s="671" t="s">
        <v>38</v>
      </c>
      <c r="AN49" s="671" t="s">
        <v>38</v>
      </c>
      <c r="AQ49" s="671" t="s">
        <v>38</v>
      </c>
      <c r="AR49" s="656" t="str">
        <f>Select_naics2022[[#This Row],[2022 NAICS Code]]&amp;":  "&amp;Select_naics2022[[#This Row],[2022 NAICS Title]]</f>
        <v>112120:  Dairy Cattle and Milk Production</v>
      </c>
      <c r="AS49" s="656">
        <v>112120</v>
      </c>
      <c r="AT49" s="656" t="s">
        <v>532</v>
      </c>
      <c r="AU49" s="656" t="str">
        <f>Select_naics2022[[#This Row],[2022 NAICS Title]]</f>
        <v>Dairy Cattle and Milk Production</v>
      </c>
      <c r="AY49" s="671" t="s">
        <v>38</v>
      </c>
      <c r="BB49" s="671" t="s">
        <v>38</v>
      </c>
      <c r="BE49" s="671" t="s">
        <v>38</v>
      </c>
      <c r="BH49" s="671" t="s">
        <v>38</v>
      </c>
      <c r="BK49" s="671" t="s">
        <v>38</v>
      </c>
      <c r="BN49" s="671" t="s">
        <v>38</v>
      </c>
      <c r="BQ49" s="671" t="s">
        <v>38</v>
      </c>
      <c r="BT49" s="671" t="s">
        <v>38</v>
      </c>
      <c r="BW49" s="671" t="s">
        <v>38</v>
      </c>
      <c r="BZ49" s="671" t="s">
        <v>38</v>
      </c>
      <c r="CB49" s="55" t="s">
        <v>533</v>
      </c>
      <c r="CC49" s="55" t="str">
        <f>TEXT(IF(formtype="P",FormTypeLabels[[#This Row],[P]],FormTypeLabels[[#This Row],[C]]),"")</f>
        <v xml:space="preserve">b. Distributions allocated but not paid </v>
      </c>
      <c r="CD49" s="69" t="s">
        <v>534</v>
      </c>
      <c r="CE49" s="660" t="s">
        <v>535</v>
      </c>
      <c r="CF49" s="672" t="s">
        <v>113</v>
      </c>
    </row>
    <row r="50" spans="2:84" x14ac:dyDescent="0.25">
      <c r="B50" s="671" t="s">
        <v>38</v>
      </c>
      <c r="C50" s="55" t="s">
        <v>536</v>
      </c>
      <c r="E50" s="680">
        <f>cyprivcapbal</f>
        <v>0</v>
      </c>
      <c r="F50" s="55" t="s">
        <v>102</v>
      </c>
      <c r="G50" s="55" t="s">
        <v>537</v>
      </c>
      <c r="I50" s="671" t="s">
        <v>38</v>
      </c>
      <c r="K50" s="656"/>
      <c r="L50" s="671" t="s">
        <v>38</v>
      </c>
      <c r="O50" s="671" t="s">
        <v>38</v>
      </c>
      <c r="R50" s="671" t="s">
        <v>38</v>
      </c>
      <c r="S50" s="55" t="s">
        <v>538</v>
      </c>
      <c r="T50" s="55" t="s">
        <v>539</v>
      </c>
      <c r="U50" s="671" t="s">
        <v>38</v>
      </c>
      <c r="X50" s="671" t="s">
        <v>38</v>
      </c>
      <c r="AB50" s="671" t="s">
        <v>38</v>
      </c>
      <c r="AE50" s="671" t="s">
        <v>38</v>
      </c>
      <c r="AH50" s="671" t="s">
        <v>38</v>
      </c>
      <c r="AK50" s="671" t="s">
        <v>38</v>
      </c>
      <c r="AN50" s="671" t="s">
        <v>38</v>
      </c>
      <c r="AQ50" s="671" t="s">
        <v>38</v>
      </c>
      <c r="AR50" s="656" t="str">
        <f>Select_naics2022[[#This Row],[2022 NAICS Code]]&amp;":  "&amp;Select_naics2022[[#This Row],[2022 NAICS Title]]</f>
        <v xml:space="preserve">112130:  Dual-Purpose Cattle Ranching and Farming </v>
      </c>
      <c r="AS50" s="656">
        <v>112130</v>
      </c>
      <c r="AT50" s="656" t="s">
        <v>540</v>
      </c>
      <c r="AU50" s="656" t="str">
        <f>Select_naics2022[[#This Row],[2022 NAICS Title]]</f>
        <v xml:space="preserve">Dual-Purpose Cattle Ranching and Farming </v>
      </c>
      <c r="AY50" s="671" t="s">
        <v>38</v>
      </c>
      <c r="BB50" s="671" t="s">
        <v>38</v>
      </c>
      <c r="BE50" s="671" t="s">
        <v>38</v>
      </c>
      <c r="BH50" s="671" t="s">
        <v>38</v>
      </c>
      <c r="BK50" s="671" t="s">
        <v>38</v>
      </c>
      <c r="BN50" s="671" t="s">
        <v>38</v>
      </c>
      <c r="BQ50" s="671" t="s">
        <v>38</v>
      </c>
      <c r="BT50" s="671" t="s">
        <v>38</v>
      </c>
      <c r="BW50" s="671" t="s">
        <v>38</v>
      </c>
      <c r="BZ50" s="671" t="s">
        <v>38</v>
      </c>
      <c r="CB50" s="55" t="s">
        <v>541</v>
      </c>
      <c r="CC50" s="55" t="str">
        <f>TEXT(IF(formtype="P",FormTypeLabels[[#This Row],[P]],FormTypeLabels[[#This Row],[C]]),"")</f>
        <v xml:space="preserve">c. In-Kind Distributions (at fair value) </v>
      </c>
      <c r="CD50" s="69" t="s">
        <v>542</v>
      </c>
      <c r="CE50" s="660" t="s">
        <v>543</v>
      </c>
      <c r="CF50" s="672" t="s">
        <v>113</v>
      </c>
    </row>
    <row r="51" spans="2:84" x14ac:dyDescent="0.25">
      <c r="B51" s="671" t="s">
        <v>38</v>
      </c>
      <c r="C51" s="55" t="s">
        <v>544</v>
      </c>
      <c r="E51" s="680" cm="1">
        <f t="array" ref="E51">PYTotalPartCap</f>
        <v>0</v>
      </c>
      <c r="F51" s="55" t="s">
        <v>102</v>
      </c>
      <c r="G51" s="55" t="s">
        <v>545</v>
      </c>
      <c r="I51" s="671" t="s">
        <v>38</v>
      </c>
      <c r="K51" s="656"/>
      <c r="L51" s="671" t="s">
        <v>38</v>
      </c>
      <c r="O51" s="671" t="s">
        <v>38</v>
      </c>
      <c r="R51" s="671" t="s">
        <v>38</v>
      </c>
      <c r="S51" s="55" t="s">
        <v>546</v>
      </c>
      <c r="T51" s="55" t="s">
        <v>547</v>
      </c>
      <c r="U51" s="671" t="s">
        <v>38</v>
      </c>
      <c r="X51" s="671" t="s">
        <v>38</v>
      </c>
      <c r="AB51" s="671" t="s">
        <v>38</v>
      </c>
      <c r="AE51" s="671" t="s">
        <v>38</v>
      </c>
      <c r="AH51" s="671" t="s">
        <v>38</v>
      </c>
      <c r="AK51" s="671" t="s">
        <v>38</v>
      </c>
      <c r="AN51" s="671" t="s">
        <v>38</v>
      </c>
      <c r="AQ51" s="671" t="s">
        <v>38</v>
      </c>
      <c r="AR51" s="656" t="str">
        <f>Select_naics2022[[#This Row],[2022 NAICS Code]]&amp;":  "&amp;Select_naics2022[[#This Row],[2022 NAICS Title]]</f>
        <v xml:space="preserve">112210:  Hog and Pig Farming </v>
      </c>
      <c r="AS51" s="656">
        <v>112210</v>
      </c>
      <c r="AT51" s="656" t="s">
        <v>548</v>
      </c>
      <c r="AU51" s="656" t="str">
        <f>Select_naics2022[[#This Row],[2022 NAICS Title]]</f>
        <v xml:space="preserve">Hog and Pig Farming </v>
      </c>
      <c r="AY51" s="671" t="s">
        <v>38</v>
      </c>
      <c r="BB51" s="671" t="s">
        <v>38</v>
      </c>
      <c r="BE51" s="671" t="s">
        <v>38</v>
      </c>
      <c r="BH51" s="671" t="s">
        <v>38</v>
      </c>
      <c r="BK51" s="671" t="s">
        <v>38</v>
      </c>
      <c r="BN51" s="671" t="s">
        <v>38</v>
      </c>
      <c r="BQ51" s="671" t="s">
        <v>38</v>
      </c>
      <c r="BT51" s="671" t="s">
        <v>38</v>
      </c>
      <c r="BW51" s="671" t="s">
        <v>38</v>
      </c>
      <c r="BZ51" s="671" t="s">
        <v>38</v>
      </c>
      <c r="CB51" s="55" t="s">
        <v>549</v>
      </c>
      <c r="CC51" s="55" t="str">
        <f>TEXT(IF(formtype="P",FormTypeLabels[[#This Row],[P]],FormTypeLabels[[#This Row],[C]]),"")</f>
        <v>Totals must agree with lines 50, 51, and 52, page 3</v>
      </c>
      <c r="CD51" s="692" t="s">
        <v>550</v>
      </c>
      <c r="CE51" s="666" t="s">
        <v>551</v>
      </c>
      <c r="CF51" s="672" t="s">
        <v>113</v>
      </c>
    </row>
    <row r="52" spans="2:84" x14ac:dyDescent="0.25">
      <c r="B52" s="671" t="s">
        <v>38</v>
      </c>
      <c r="C52" s="55" t="s">
        <v>552</v>
      </c>
      <c r="E52" s="680" cm="1">
        <f t="array" ref="E52">PYTotalLiabCap</f>
        <v>0</v>
      </c>
      <c r="F52" s="55" t="s">
        <v>102</v>
      </c>
      <c r="G52" s="55" t="s">
        <v>553</v>
      </c>
      <c r="I52" s="671" t="s">
        <v>38</v>
      </c>
      <c r="K52" s="656"/>
      <c r="L52" s="671" t="s">
        <v>38</v>
      </c>
      <c r="O52" s="671" t="s">
        <v>38</v>
      </c>
      <c r="R52" s="671" t="s">
        <v>38</v>
      </c>
      <c r="S52" s="55" t="s">
        <v>554</v>
      </c>
      <c r="T52" s="55" t="s">
        <v>555</v>
      </c>
      <c r="U52" s="671" t="s">
        <v>38</v>
      </c>
      <c r="X52" s="671" t="s">
        <v>38</v>
      </c>
      <c r="AB52" s="671" t="s">
        <v>38</v>
      </c>
      <c r="AE52" s="671" t="s">
        <v>38</v>
      </c>
      <c r="AH52" s="671" t="s">
        <v>38</v>
      </c>
      <c r="AK52" s="671" t="s">
        <v>38</v>
      </c>
      <c r="AN52" s="671" t="s">
        <v>38</v>
      </c>
      <c r="AQ52" s="671" t="s">
        <v>38</v>
      </c>
      <c r="AR52" s="656" t="str">
        <f>Select_naics2022[[#This Row],[2022 NAICS Code]]&amp;":  "&amp;Select_naics2022[[#This Row],[2022 NAICS Title]]</f>
        <v xml:space="preserve">112310:  Chicken Egg Production </v>
      </c>
      <c r="AS52" s="656">
        <v>112310</v>
      </c>
      <c r="AT52" s="656" t="s">
        <v>556</v>
      </c>
      <c r="AU52" s="656" t="str">
        <f>Select_naics2022[[#This Row],[2022 NAICS Title]]</f>
        <v xml:space="preserve">Chicken Egg Production </v>
      </c>
      <c r="AY52" s="671" t="s">
        <v>38</v>
      </c>
      <c r="BB52" s="671" t="s">
        <v>38</v>
      </c>
      <c r="BE52" s="671" t="s">
        <v>38</v>
      </c>
      <c r="BH52" s="671" t="s">
        <v>38</v>
      </c>
      <c r="BK52" s="671" t="s">
        <v>38</v>
      </c>
      <c r="BN52" s="671" t="s">
        <v>38</v>
      </c>
      <c r="BQ52" s="671" t="s">
        <v>38</v>
      </c>
      <c r="BT52" s="671" t="s">
        <v>38</v>
      </c>
      <c r="BW52" s="671" t="s">
        <v>38</v>
      </c>
      <c r="BZ52" s="671" t="s">
        <v>38</v>
      </c>
      <c r="CB52" s="55" t="s">
        <v>557</v>
      </c>
      <c r="CC52" s="55" t="str">
        <f>TEXT(IF(formtype="P",FormTypeLabels[[#This Row],[P]],FormTypeLabels[[#This Row],[C]]),"")</f>
        <v>1 Private Partners' Contributed Capital (line 47c, page 3)</v>
      </c>
      <c r="CD52" s="69" t="s">
        <v>558</v>
      </c>
      <c r="CE52" s="660" t="s">
        <v>559</v>
      </c>
      <c r="CF52" s="672" t="s">
        <v>114</v>
      </c>
    </row>
    <row r="53" spans="2:84" ht="15" customHeight="1" x14ac:dyDescent="0.25">
      <c r="B53" s="671" t="s">
        <v>38</v>
      </c>
      <c r="C53" s="55" t="s">
        <v>560</v>
      </c>
      <c r="E53" s="680">
        <f>pycash</f>
        <v>0</v>
      </c>
      <c r="F53" s="55" t="s">
        <v>102</v>
      </c>
      <c r="G53" s="55" t="s">
        <v>561</v>
      </c>
      <c r="I53" s="671" t="s">
        <v>38</v>
      </c>
      <c r="K53" s="656"/>
      <c r="L53" s="671" t="s">
        <v>38</v>
      </c>
      <c r="O53" s="671" t="s">
        <v>38</v>
      </c>
      <c r="R53" s="671" t="s">
        <v>38</v>
      </c>
      <c r="S53" s="55" t="s">
        <v>562</v>
      </c>
      <c r="T53" s="55" t="s">
        <v>563</v>
      </c>
      <c r="U53" s="671" t="s">
        <v>38</v>
      </c>
      <c r="X53" s="671" t="s">
        <v>38</v>
      </c>
      <c r="AB53" s="671" t="s">
        <v>38</v>
      </c>
      <c r="AE53" s="671" t="s">
        <v>38</v>
      </c>
      <c r="AH53" s="671" t="s">
        <v>38</v>
      </c>
      <c r="AK53" s="671" t="s">
        <v>38</v>
      </c>
      <c r="AN53" s="671" t="s">
        <v>38</v>
      </c>
      <c r="AQ53" s="671" t="s">
        <v>38</v>
      </c>
      <c r="AR53" s="656" t="str">
        <f>Select_naics2022[[#This Row],[2022 NAICS Code]]&amp;":  "&amp;Select_naics2022[[#This Row],[2022 NAICS Title]]</f>
        <v xml:space="preserve">112320:  Broilers and Other Meat Type Chicken Production </v>
      </c>
      <c r="AS53" s="656">
        <v>112320</v>
      </c>
      <c r="AT53" s="656" t="s">
        <v>3493</v>
      </c>
      <c r="AU53" s="656" t="str">
        <f>Select_naics2022[[#This Row],[2022 NAICS Title]]</f>
        <v xml:space="preserve">Broilers and Other Meat Type Chicken Production </v>
      </c>
      <c r="AY53" s="671" t="s">
        <v>38</v>
      </c>
      <c r="BB53" s="671" t="s">
        <v>38</v>
      </c>
      <c r="BE53" s="671" t="s">
        <v>38</v>
      </c>
      <c r="BH53" s="671" t="s">
        <v>38</v>
      </c>
      <c r="BK53" s="671" t="s">
        <v>38</v>
      </c>
      <c r="BN53" s="671" t="s">
        <v>38</v>
      </c>
      <c r="BQ53" s="671" t="s">
        <v>38</v>
      </c>
      <c r="BT53" s="671" t="s">
        <v>38</v>
      </c>
      <c r="BW53" s="671" t="s">
        <v>38</v>
      </c>
      <c r="BZ53" s="671" t="s">
        <v>38</v>
      </c>
      <c r="CB53" s="55" t="s">
        <v>564</v>
      </c>
      <c r="CC53" s="55" t="str">
        <f>TEXT(IF(formtype="P",FormTypeLabels[[#This Row],[P]],FormTypeLabels[[#This Row],[C]]),"")</f>
        <v>a. Unfunded binding commitments from Institutional Investors</v>
      </c>
      <c r="CD53" s="68" t="s">
        <v>565</v>
      </c>
      <c r="CE53" s="690" t="s">
        <v>566</v>
      </c>
      <c r="CF53" s="672" t="s">
        <v>114</v>
      </c>
    </row>
    <row r="54" spans="2:84" x14ac:dyDescent="0.25">
      <c r="B54" s="671" t="s">
        <v>38</v>
      </c>
      <c r="C54" s="55" t="s">
        <v>567</v>
      </c>
      <c r="E54" s="680">
        <f>pyidle</f>
        <v>0</v>
      </c>
      <c r="F54" s="55" t="s">
        <v>102</v>
      </c>
      <c r="G54" s="55" t="s">
        <v>568</v>
      </c>
      <c r="I54" s="671" t="s">
        <v>38</v>
      </c>
      <c r="K54" s="656"/>
      <c r="L54" s="671" t="s">
        <v>38</v>
      </c>
      <c r="O54" s="671" t="s">
        <v>38</v>
      </c>
      <c r="R54" s="671" t="s">
        <v>38</v>
      </c>
      <c r="S54" s="55" t="s">
        <v>569</v>
      </c>
      <c r="T54" s="55" t="s">
        <v>570</v>
      </c>
      <c r="U54" s="671" t="s">
        <v>38</v>
      </c>
      <c r="X54" s="671" t="s">
        <v>38</v>
      </c>
      <c r="AB54" s="671" t="s">
        <v>38</v>
      </c>
      <c r="AE54" s="671" t="s">
        <v>38</v>
      </c>
      <c r="AH54" s="671" t="s">
        <v>38</v>
      </c>
      <c r="AK54" s="671" t="s">
        <v>38</v>
      </c>
      <c r="AN54" s="671" t="s">
        <v>38</v>
      </c>
      <c r="AQ54" s="671" t="s">
        <v>38</v>
      </c>
      <c r="AR54" s="656" t="str">
        <f>Select_naics2022[[#This Row],[2022 NAICS Code]]&amp;":  "&amp;Select_naics2022[[#This Row],[2022 NAICS Title]]</f>
        <v>112330:  Turkey Production</v>
      </c>
      <c r="AS54" s="656">
        <v>112330</v>
      </c>
      <c r="AT54" s="656" t="s">
        <v>571</v>
      </c>
      <c r="AU54" s="656" t="str">
        <f>Select_naics2022[[#This Row],[2022 NAICS Title]]</f>
        <v>Turkey Production</v>
      </c>
      <c r="AY54" s="671" t="s">
        <v>38</v>
      </c>
      <c r="BB54" s="671" t="s">
        <v>38</v>
      </c>
      <c r="BE54" s="671" t="s">
        <v>38</v>
      </c>
      <c r="BH54" s="671" t="s">
        <v>38</v>
      </c>
      <c r="BK54" s="671" t="s">
        <v>38</v>
      </c>
      <c r="BN54" s="671" t="s">
        <v>38</v>
      </c>
      <c r="BQ54" s="671" t="s">
        <v>38</v>
      </c>
      <c r="BT54" s="671" t="s">
        <v>38</v>
      </c>
      <c r="BW54" s="671" t="s">
        <v>38</v>
      </c>
      <c r="BZ54" s="671" t="s">
        <v>38</v>
      </c>
      <c r="CB54" s="55" t="s">
        <v>572</v>
      </c>
      <c r="CC54" s="55" t="str">
        <f>TEXT(IF(formtype="P",FormTypeLabels[[#This Row],[P]],FormTypeLabels[[#This Row],[C]]),"")</f>
        <v>b. Waived management fees credited as capital contributions</v>
      </c>
      <c r="CD54" s="68" t="s">
        <v>573</v>
      </c>
      <c r="CE54" s="690"/>
      <c r="CF54" s="672" t="s">
        <v>114</v>
      </c>
    </row>
    <row r="55" spans="2:84" x14ac:dyDescent="0.25">
      <c r="B55" s="671" t="s">
        <v>38</v>
      </c>
      <c r="C55" s="55" t="s">
        <v>574</v>
      </c>
      <c r="E55" s="680">
        <f>pyintdivrec</f>
        <v>0</v>
      </c>
      <c r="F55" s="55" t="s">
        <v>102</v>
      </c>
      <c r="G55" s="55" t="s">
        <v>575</v>
      </c>
      <c r="I55" s="671" t="s">
        <v>38</v>
      </c>
      <c r="K55" s="656"/>
      <c r="L55" s="671" t="s">
        <v>38</v>
      </c>
      <c r="O55" s="671" t="s">
        <v>38</v>
      </c>
      <c r="R55" s="671" t="s">
        <v>38</v>
      </c>
      <c r="S55" s="55" t="s">
        <v>576</v>
      </c>
      <c r="T55" s="55" t="s">
        <v>577</v>
      </c>
      <c r="U55" s="671" t="s">
        <v>38</v>
      </c>
      <c r="X55" s="671" t="s">
        <v>38</v>
      </c>
      <c r="AB55" s="671" t="s">
        <v>38</v>
      </c>
      <c r="AE55" s="671" t="s">
        <v>38</v>
      </c>
      <c r="AH55" s="671" t="s">
        <v>38</v>
      </c>
      <c r="AK55" s="671" t="s">
        <v>38</v>
      </c>
      <c r="AN55" s="671" t="s">
        <v>38</v>
      </c>
      <c r="AQ55" s="671" t="s">
        <v>38</v>
      </c>
      <c r="AR55" s="656" t="str">
        <f>Select_naics2022[[#This Row],[2022 NAICS Code]]&amp;":  "&amp;Select_naics2022[[#This Row],[2022 NAICS Title]]</f>
        <v>112340:  Poultry Hatcheries</v>
      </c>
      <c r="AS55" s="656">
        <v>112340</v>
      </c>
      <c r="AT55" s="656" t="s">
        <v>578</v>
      </c>
      <c r="AU55" s="656" t="str">
        <f>Select_naics2022[[#This Row],[2022 NAICS Title]]</f>
        <v>Poultry Hatcheries</v>
      </c>
      <c r="AY55" s="671" t="s">
        <v>38</v>
      </c>
      <c r="BB55" s="671" t="s">
        <v>38</v>
      </c>
      <c r="BE55" s="671" t="s">
        <v>38</v>
      </c>
      <c r="BH55" s="671" t="s">
        <v>38</v>
      </c>
      <c r="BK55" s="671" t="s">
        <v>38</v>
      </c>
      <c r="BN55" s="671" t="s">
        <v>38</v>
      </c>
      <c r="BQ55" s="671" t="s">
        <v>38</v>
      </c>
      <c r="BT55" s="671" t="s">
        <v>38</v>
      </c>
      <c r="BW55" s="671" t="s">
        <v>38</v>
      </c>
      <c r="BZ55" s="671" t="s">
        <v>38</v>
      </c>
      <c r="CB55" s="55" t="s">
        <v>579</v>
      </c>
      <c r="CC55" s="55" t="str">
        <f>TEXT(IF(formtype="P",FormTypeLabels[[#This Row],[P]],FormTypeLabels[[#This Row],[C]]),"")</f>
        <v>c.  Total Additions (Sum of Line 2a and 2b)</v>
      </c>
      <c r="CD55" s="68" t="s">
        <v>580</v>
      </c>
      <c r="CE55" s="690"/>
      <c r="CF55" s="672" t="s">
        <v>114</v>
      </c>
    </row>
    <row r="56" spans="2:84" x14ac:dyDescent="0.25">
      <c r="B56" s="671" t="s">
        <v>38</v>
      </c>
      <c r="C56" s="55" t="s">
        <v>581</v>
      </c>
      <c r="E56" s="680">
        <f>pycurrentassets</f>
        <v>0</v>
      </c>
      <c r="F56" s="55" t="s">
        <v>102</v>
      </c>
      <c r="G56" s="55" t="s">
        <v>582</v>
      </c>
      <c r="I56" s="671" t="s">
        <v>38</v>
      </c>
      <c r="K56" s="656"/>
      <c r="L56" s="671" t="s">
        <v>38</v>
      </c>
      <c r="O56" s="671" t="s">
        <v>38</v>
      </c>
      <c r="R56" s="671" t="s">
        <v>38</v>
      </c>
      <c r="S56" s="55" t="s">
        <v>583</v>
      </c>
      <c r="T56" s="55" t="s">
        <v>584</v>
      </c>
      <c r="U56" s="671" t="s">
        <v>38</v>
      </c>
      <c r="X56" s="671" t="s">
        <v>38</v>
      </c>
      <c r="AB56" s="671" t="s">
        <v>38</v>
      </c>
      <c r="AE56" s="671" t="s">
        <v>38</v>
      </c>
      <c r="AH56" s="671" t="s">
        <v>38</v>
      </c>
      <c r="AK56" s="671" t="s">
        <v>38</v>
      </c>
      <c r="AN56" s="671" t="s">
        <v>38</v>
      </c>
      <c r="AQ56" s="671" t="s">
        <v>38</v>
      </c>
      <c r="AR56" s="656" t="str">
        <f>Select_naics2022[[#This Row],[2022 NAICS Code]]&amp;":  "&amp;Select_naics2022[[#This Row],[2022 NAICS Title]]</f>
        <v xml:space="preserve">112390:  Other Poultry Production </v>
      </c>
      <c r="AS56" s="656">
        <v>112390</v>
      </c>
      <c r="AT56" s="656" t="s">
        <v>585</v>
      </c>
      <c r="AU56" s="656" t="str">
        <f>Select_naics2022[[#This Row],[2022 NAICS Title]]</f>
        <v xml:space="preserve">Other Poultry Production </v>
      </c>
      <c r="AY56" s="671" t="s">
        <v>38</v>
      </c>
      <c r="BB56" s="671" t="s">
        <v>38</v>
      </c>
      <c r="BE56" s="671" t="s">
        <v>38</v>
      </c>
      <c r="BH56" s="671" t="s">
        <v>38</v>
      </c>
      <c r="BK56" s="671" t="s">
        <v>38</v>
      </c>
      <c r="BN56" s="671" t="s">
        <v>38</v>
      </c>
      <c r="BQ56" s="671" t="s">
        <v>38</v>
      </c>
      <c r="BT56" s="671" t="s">
        <v>38</v>
      </c>
      <c r="BW56" s="671" t="s">
        <v>38</v>
      </c>
      <c r="BZ56" s="671" t="s">
        <v>38</v>
      </c>
      <c r="CB56" s="55" t="s">
        <v>586</v>
      </c>
      <c r="CC56" s="55" t="str">
        <f>TEXT(IF(formtype="P",FormTypeLabels[[#This Row],[P]],FormTypeLabels[[#This Row],[C]]),"")</f>
        <v>b. Partnership interests Issued for Services</v>
      </c>
      <c r="CD56" s="68" t="s">
        <v>587</v>
      </c>
      <c r="CE56" s="662" t="s">
        <v>588</v>
      </c>
      <c r="CF56" s="672" t="s">
        <v>114</v>
      </c>
    </row>
    <row r="57" spans="2:84" x14ac:dyDescent="0.25">
      <c r="B57" s="671" t="s">
        <v>38</v>
      </c>
      <c r="C57" s="55" t="s">
        <v>589</v>
      </c>
      <c r="E57" s="680">
        <f>pyotherassets</f>
        <v>0</v>
      </c>
      <c r="F57" s="55" t="s">
        <v>102</v>
      </c>
      <c r="G57" s="55" t="s">
        <v>590</v>
      </c>
      <c r="I57" s="671" t="s">
        <v>38</v>
      </c>
      <c r="K57" s="656"/>
      <c r="L57" s="671" t="s">
        <v>38</v>
      </c>
      <c r="O57" s="671" t="s">
        <v>38</v>
      </c>
      <c r="R57" s="671" t="s">
        <v>38</v>
      </c>
      <c r="S57" s="55" t="s">
        <v>591</v>
      </c>
      <c r="T57" s="55" t="s">
        <v>592</v>
      </c>
      <c r="U57" s="671" t="s">
        <v>38</v>
      </c>
      <c r="X57" s="671" t="s">
        <v>38</v>
      </c>
      <c r="AB57" s="671" t="s">
        <v>38</v>
      </c>
      <c r="AE57" s="671" t="s">
        <v>38</v>
      </c>
      <c r="AH57" s="671" t="s">
        <v>38</v>
      </c>
      <c r="AK57" s="671" t="s">
        <v>38</v>
      </c>
      <c r="AN57" s="671" t="s">
        <v>38</v>
      </c>
      <c r="AQ57" s="671" t="s">
        <v>38</v>
      </c>
      <c r="AR57" s="656" t="str">
        <f>Select_naics2022[[#This Row],[2022 NAICS Code]]&amp;":  "&amp;Select_naics2022[[#This Row],[2022 NAICS Title]]</f>
        <v>112410:  Sheep Farming</v>
      </c>
      <c r="AS57" s="656">
        <v>112410</v>
      </c>
      <c r="AT57" s="656" t="s">
        <v>593</v>
      </c>
      <c r="AU57" s="656" t="str">
        <f>Select_naics2022[[#This Row],[2022 NAICS Title]]</f>
        <v>Sheep Farming</v>
      </c>
      <c r="AY57" s="671" t="s">
        <v>38</v>
      </c>
      <c r="BB57" s="671" t="s">
        <v>38</v>
      </c>
      <c r="BE57" s="671" t="s">
        <v>38</v>
      </c>
      <c r="BH57" s="671" t="s">
        <v>38</v>
      </c>
      <c r="BK57" s="671" t="s">
        <v>38</v>
      </c>
      <c r="BN57" s="671" t="s">
        <v>38</v>
      </c>
      <c r="BQ57" s="671" t="s">
        <v>38</v>
      </c>
      <c r="BT57" s="671" t="s">
        <v>38</v>
      </c>
      <c r="BW57" s="671" t="s">
        <v>38</v>
      </c>
      <c r="BZ57" s="671" t="s">
        <v>38</v>
      </c>
      <c r="CB57" s="55" t="s">
        <v>594</v>
      </c>
      <c r="CC57" s="55" t="str">
        <f>TEXT(IF(formtype="P",FormTypeLabels[[#This Row],[P]],FormTypeLabels[[#This Row],[C]]),"")</f>
        <v>c. Partnership interests Issued for Non-cash Assets</v>
      </c>
      <c r="CD57" s="68" t="s">
        <v>595</v>
      </c>
      <c r="CE57" s="662" t="s">
        <v>596</v>
      </c>
      <c r="CF57" s="672" t="s">
        <v>114</v>
      </c>
    </row>
    <row r="58" spans="2:84" x14ac:dyDescent="0.25">
      <c r="B58" s="671" t="s">
        <v>38</v>
      </c>
      <c r="C58" s="55" t="s">
        <v>597</v>
      </c>
      <c r="E58" s="680">
        <f>pytotalassets</f>
        <v>0</v>
      </c>
      <c r="F58" s="55" t="s">
        <v>102</v>
      </c>
      <c r="G58" s="55" t="s">
        <v>598</v>
      </c>
      <c r="I58" s="671" t="s">
        <v>38</v>
      </c>
      <c r="K58" s="656"/>
      <c r="L58" s="671" t="s">
        <v>38</v>
      </c>
      <c r="O58" s="671" t="s">
        <v>38</v>
      </c>
      <c r="R58" s="671" t="s">
        <v>38</v>
      </c>
      <c r="S58" s="55" t="s">
        <v>599</v>
      </c>
      <c r="T58" s="55" t="s">
        <v>600</v>
      </c>
      <c r="U58" s="671" t="s">
        <v>38</v>
      </c>
      <c r="X58" s="671" t="s">
        <v>38</v>
      </c>
      <c r="AB58" s="671" t="s">
        <v>38</v>
      </c>
      <c r="AE58" s="671" t="s">
        <v>38</v>
      </c>
      <c r="AH58" s="671" t="s">
        <v>38</v>
      </c>
      <c r="AK58" s="671" t="s">
        <v>38</v>
      </c>
      <c r="AN58" s="671" t="s">
        <v>38</v>
      </c>
      <c r="AQ58" s="671" t="s">
        <v>38</v>
      </c>
      <c r="AR58" s="656" t="str">
        <f>Select_naics2022[[#This Row],[2022 NAICS Code]]&amp;":  "&amp;Select_naics2022[[#This Row],[2022 NAICS Title]]</f>
        <v>112420:  Goat Farming</v>
      </c>
      <c r="AS58" s="656">
        <v>112420</v>
      </c>
      <c r="AT58" s="656" t="s">
        <v>601</v>
      </c>
      <c r="AU58" s="656" t="str">
        <f>Select_naics2022[[#This Row],[2022 NAICS Title]]</f>
        <v>Goat Farming</v>
      </c>
      <c r="AY58" s="671" t="s">
        <v>38</v>
      </c>
      <c r="BB58" s="671" t="s">
        <v>38</v>
      </c>
      <c r="BE58" s="671" t="s">
        <v>38</v>
      </c>
      <c r="BH58" s="671" t="s">
        <v>38</v>
      </c>
      <c r="BK58" s="671" t="s">
        <v>38</v>
      </c>
      <c r="BN58" s="671" t="s">
        <v>38</v>
      </c>
      <c r="BQ58" s="671" t="s">
        <v>38</v>
      </c>
      <c r="BT58" s="671" t="s">
        <v>38</v>
      </c>
      <c r="BW58" s="671" t="s">
        <v>38</v>
      </c>
      <c r="BZ58" s="671" t="s">
        <v>38</v>
      </c>
      <c r="CB58" s="55" t="s">
        <v>602</v>
      </c>
      <c r="CC58" s="55" t="str">
        <f>TEXT(IF(formtype="P",FormTypeLabels[[#This Row],[P]],FormTypeLabels[[#This Row],[C]]),"")</f>
        <v/>
      </c>
      <c r="CE58" s="667" t="s">
        <v>603</v>
      </c>
      <c r="CF58" s="672" t="s">
        <v>114</v>
      </c>
    </row>
    <row r="59" spans="2:84" x14ac:dyDescent="0.25">
      <c r="B59" s="671" t="s">
        <v>38</v>
      </c>
      <c r="C59" s="55" t="s">
        <v>604</v>
      </c>
      <c r="E59" s="680">
        <f>pysbabal</f>
        <v>0</v>
      </c>
      <c r="F59" s="55" t="s">
        <v>102</v>
      </c>
      <c r="G59" s="55" t="s">
        <v>605</v>
      </c>
      <c r="I59" s="671" t="s">
        <v>38</v>
      </c>
      <c r="K59" s="656"/>
      <c r="L59" s="671" t="s">
        <v>38</v>
      </c>
      <c r="O59" s="671" t="s">
        <v>38</v>
      </c>
      <c r="R59" s="671" t="s">
        <v>38</v>
      </c>
      <c r="S59" s="55" t="s">
        <v>606</v>
      </c>
      <c r="T59" s="55" t="s">
        <v>607</v>
      </c>
      <c r="U59" s="671" t="s">
        <v>38</v>
      </c>
      <c r="X59" s="671" t="s">
        <v>38</v>
      </c>
      <c r="AB59" s="671" t="s">
        <v>38</v>
      </c>
      <c r="AE59" s="671" t="s">
        <v>38</v>
      </c>
      <c r="AH59" s="671" t="s">
        <v>38</v>
      </c>
      <c r="AK59" s="671" t="s">
        <v>38</v>
      </c>
      <c r="AN59" s="671" t="s">
        <v>38</v>
      </c>
      <c r="AQ59" s="671" t="s">
        <v>38</v>
      </c>
      <c r="AR59" s="656" t="str">
        <f>Select_naics2022[[#This Row],[2022 NAICS Code]]&amp;":  "&amp;Select_naics2022[[#This Row],[2022 NAICS Title]]</f>
        <v xml:space="preserve">112511:  Finfish Farming and Fish Hatcheries </v>
      </c>
      <c r="AS59" s="656">
        <v>112511</v>
      </c>
      <c r="AT59" s="656" t="s">
        <v>608</v>
      </c>
      <c r="AU59" s="656" t="str">
        <f>Select_naics2022[[#This Row],[2022 NAICS Title]]</f>
        <v xml:space="preserve">Finfish Farming and Fish Hatcheries </v>
      </c>
      <c r="AY59" s="671" t="s">
        <v>38</v>
      </c>
      <c r="BB59" s="671" t="s">
        <v>38</v>
      </c>
      <c r="BE59" s="671" t="s">
        <v>38</v>
      </c>
      <c r="BH59" s="671" t="s">
        <v>38</v>
      </c>
      <c r="BK59" s="671" t="s">
        <v>38</v>
      </c>
      <c r="BN59" s="671" t="s">
        <v>38</v>
      </c>
      <c r="BQ59" s="671" t="s">
        <v>38</v>
      </c>
      <c r="BT59" s="671" t="s">
        <v>38</v>
      </c>
      <c r="BW59" s="671" t="s">
        <v>38</v>
      </c>
      <c r="BZ59" s="671" t="s">
        <v>38</v>
      </c>
      <c r="CB59" s="55" t="s">
        <v>609</v>
      </c>
      <c r="CC59" s="55" t="str">
        <f>TEXT(IF(formtype="P",FormTypeLabels[[#This Row],[P]],FormTypeLabels[[#This Row],[C]]),"")</f>
        <v>d. Other credits (specify)</v>
      </c>
      <c r="CD59" s="68" t="s">
        <v>610</v>
      </c>
      <c r="CE59" s="668" t="s">
        <v>611</v>
      </c>
      <c r="CF59" s="672" t="s">
        <v>114</v>
      </c>
    </row>
    <row r="60" spans="2:84" x14ac:dyDescent="0.25">
      <c r="B60" s="671" t="s">
        <v>38</v>
      </c>
      <c r="C60" s="55" t="s">
        <v>612</v>
      </c>
      <c r="E60" s="680">
        <f>pytotalLTliab</f>
        <v>0</v>
      </c>
      <c r="F60" s="55" t="s">
        <v>102</v>
      </c>
      <c r="G60" s="55" t="s">
        <v>613</v>
      </c>
      <c r="I60" s="671" t="s">
        <v>38</v>
      </c>
      <c r="K60" s="656"/>
      <c r="L60" s="671" t="s">
        <v>38</v>
      </c>
      <c r="O60" s="671" t="s">
        <v>38</v>
      </c>
      <c r="R60" s="671" t="s">
        <v>38</v>
      </c>
      <c r="S60" s="55" t="s">
        <v>614</v>
      </c>
      <c r="T60" s="55" t="s">
        <v>615</v>
      </c>
      <c r="U60" s="671" t="s">
        <v>38</v>
      </c>
      <c r="X60" s="671" t="s">
        <v>38</v>
      </c>
      <c r="AB60" s="671" t="s">
        <v>38</v>
      </c>
      <c r="AE60" s="671" t="s">
        <v>38</v>
      </c>
      <c r="AH60" s="671" t="s">
        <v>38</v>
      </c>
      <c r="AK60" s="671" t="s">
        <v>38</v>
      </c>
      <c r="AN60" s="671" t="s">
        <v>38</v>
      </c>
      <c r="AQ60" s="671" t="s">
        <v>38</v>
      </c>
      <c r="AR60" s="656" t="str">
        <f>Select_naics2022[[#This Row],[2022 NAICS Code]]&amp;":  "&amp;Select_naics2022[[#This Row],[2022 NAICS Title]]</f>
        <v xml:space="preserve">112512:  Shellfish Farming </v>
      </c>
      <c r="AS60" s="656">
        <v>112512</v>
      </c>
      <c r="AT60" s="656" t="s">
        <v>616</v>
      </c>
      <c r="AU60" s="656" t="str">
        <f>Select_naics2022[[#This Row],[2022 NAICS Title]]</f>
        <v xml:space="preserve">Shellfish Farming </v>
      </c>
      <c r="AY60" s="671" t="s">
        <v>38</v>
      </c>
      <c r="BB60" s="671" t="s">
        <v>38</v>
      </c>
      <c r="BE60" s="671" t="s">
        <v>38</v>
      </c>
      <c r="BH60" s="671" t="s">
        <v>38</v>
      </c>
      <c r="BK60" s="671" t="s">
        <v>38</v>
      </c>
      <c r="BN60" s="671" t="s">
        <v>38</v>
      </c>
      <c r="BQ60" s="671" t="s">
        <v>38</v>
      </c>
      <c r="BT60" s="671" t="s">
        <v>38</v>
      </c>
      <c r="BW60" s="671" t="s">
        <v>38</v>
      </c>
      <c r="BZ60" s="671" t="s">
        <v>38</v>
      </c>
    </row>
    <row r="61" spans="2:84" x14ac:dyDescent="0.25">
      <c r="B61" s="671" t="s">
        <v>38</v>
      </c>
      <c r="C61" s="55" t="s">
        <v>617</v>
      </c>
      <c r="E61" s="680">
        <f>pyaccountspayable</f>
        <v>0</v>
      </c>
      <c r="F61" s="55" t="s">
        <v>102</v>
      </c>
      <c r="G61" s="55" t="s">
        <v>618</v>
      </c>
      <c r="I61" s="671" t="s">
        <v>38</v>
      </c>
      <c r="K61" s="656"/>
      <c r="L61" s="671" t="s">
        <v>38</v>
      </c>
      <c r="O61" s="671" t="s">
        <v>38</v>
      </c>
      <c r="R61" s="671" t="s">
        <v>38</v>
      </c>
      <c r="S61" s="55" t="s">
        <v>619</v>
      </c>
      <c r="T61" s="55" t="s">
        <v>620</v>
      </c>
      <c r="U61" s="671" t="s">
        <v>38</v>
      </c>
      <c r="X61" s="671" t="s">
        <v>38</v>
      </c>
      <c r="AB61" s="671" t="s">
        <v>38</v>
      </c>
      <c r="AE61" s="671" t="s">
        <v>38</v>
      </c>
      <c r="AH61" s="671" t="s">
        <v>38</v>
      </c>
      <c r="AK61" s="671" t="s">
        <v>38</v>
      </c>
      <c r="AN61" s="671" t="s">
        <v>38</v>
      </c>
      <c r="AQ61" s="671" t="s">
        <v>38</v>
      </c>
      <c r="AR61" s="656" t="str">
        <f>Select_naics2022[[#This Row],[2022 NAICS Code]]&amp;":  "&amp;Select_naics2022[[#This Row],[2022 NAICS Title]]</f>
        <v xml:space="preserve">112519:  Other Aquaculture </v>
      </c>
      <c r="AS61" s="656">
        <v>112519</v>
      </c>
      <c r="AT61" s="656" t="s">
        <v>621</v>
      </c>
      <c r="AU61" s="656" t="str">
        <f>Select_naics2022[[#This Row],[2022 NAICS Title]]</f>
        <v xml:space="preserve">Other Aquaculture </v>
      </c>
      <c r="AY61" s="671" t="s">
        <v>38</v>
      </c>
      <c r="BB61" s="671" t="s">
        <v>38</v>
      </c>
      <c r="BE61" s="671" t="s">
        <v>38</v>
      </c>
      <c r="BH61" s="671" t="s">
        <v>38</v>
      </c>
      <c r="BK61" s="671" t="s">
        <v>38</v>
      </c>
      <c r="BN61" s="671" t="s">
        <v>38</v>
      </c>
      <c r="BQ61" s="671" t="s">
        <v>38</v>
      </c>
      <c r="BT61" s="671" t="s">
        <v>38</v>
      </c>
      <c r="BW61" s="671" t="s">
        <v>38</v>
      </c>
      <c r="BZ61" s="671" t="s">
        <v>38</v>
      </c>
    </row>
    <row r="62" spans="2:84" x14ac:dyDescent="0.25">
      <c r="B62" s="671" t="s">
        <v>38</v>
      </c>
      <c r="C62" s="55" t="s">
        <v>622</v>
      </c>
      <c r="E62" s="680">
        <f>pyaccruedintpay</f>
        <v>0</v>
      </c>
      <c r="F62" s="55" t="s">
        <v>102</v>
      </c>
      <c r="G62" s="55" t="s">
        <v>623</v>
      </c>
      <c r="I62" s="671" t="s">
        <v>38</v>
      </c>
      <c r="K62" s="656"/>
      <c r="L62" s="671" t="s">
        <v>38</v>
      </c>
      <c r="O62" s="671" t="s">
        <v>38</v>
      </c>
      <c r="R62" s="671" t="s">
        <v>38</v>
      </c>
      <c r="S62" s="55" t="s">
        <v>624</v>
      </c>
      <c r="T62" s="55" t="s">
        <v>625</v>
      </c>
      <c r="U62" s="671" t="s">
        <v>38</v>
      </c>
      <c r="X62" s="671" t="s">
        <v>38</v>
      </c>
      <c r="AB62" s="671" t="s">
        <v>38</v>
      </c>
      <c r="AE62" s="671" t="s">
        <v>38</v>
      </c>
      <c r="AH62" s="671" t="s">
        <v>38</v>
      </c>
      <c r="AK62" s="671" t="s">
        <v>38</v>
      </c>
      <c r="AN62" s="671" t="s">
        <v>38</v>
      </c>
      <c r="AQ62" s="671" t="s">
        <v>38</v>
      </c>
      <c r="AR62" s="656" t="str">
        <f>Select_naics2022[[#This Row],[2022 NAICS Code]]&amp;":  "&amp;Select_naics2022[[#This Row],[2022 NAICS Title]]</f>
        <v>112910:  Apiculture</v>
      </c>
      <c r="AS62" s="656">
        <v>112910</v>
      </c>
      <c r="AT62" s="656" t="s">
        <v>626</v>
      </c>
      <c r="AU62" s="656" t="str">
        <f>Select_naics2022[[#This Row],[2022 NAICS Title]]</f>
        <v>Apiculture</v>
      </c>
      <c r="AY62" s="671" t="s">
        <v>38</v>
      </c>
      <c r="BB62" s="671" t="s">
        <v>38</v>
      </c>
      <c r="BE62" s="671" t="s">
        <v>38</v>
      </c>
      <c r="BH62" s="671" t="s">
        <v>38</v>
      </c>
      <c r="BK62" s="671" t="s">
        <v>38</v>
      </c>
      <c r="BN62" s="671" t="s">
        <v>38</v>
      </c>
      <c r="BQ62" s="671" t="s">
        <v>38</v>
      </c>
      <c r="BT62" s="671" t="s">
        <v>38</v>
      </c>
      <c r="BW62" s="671" t="s">
        <v>38</v>
      </c>
      <c r="BZ62" s="671" t="s">
        <v>38</v>
      </c>
    </row>
    <row r="63" spans="2:84" x14ac:dyDescent="0.25">
      <c r="B63" s="671" t="s">
        <v>38</v>
      </c>
      <c r="C63" s="55" t="s">
        <v>627</v>
      </c>
      <c r="E63" s="680">
        <f>pyaccruedtaxpay</f>
        <v>0</v>
      </c>
      <c r="F63" s="55" t="s">
        <v>102</v>
      </c>
      <c r="G63" s="55" t="s">
        <v>628</v>
      </c>
      <c r="I63" s="671" t="s">
        <v>38</v>
      </c>
      <c r="K63" s="656"/>
      <c r="L63" s="671" t="s">
        <v>38</v>
      </c>
      <c r="O63" s="671" t="s">
        <v>38</v>
      </c>
      <c r="R63" s="671" t="s">
        <v>38</v>
      </c>
      <c r="S63" s="55" t="s">
        <v>629</v>
      </c>
      <c r="T63" s="55" t="s">
        <v>630</v>
      </c>
      <c r="U63" s="671" t="s">
        <v>38</v>
      </c>
      <c r="X63" s="671" t="s">
        <v>38</v>
      </c>
      <c r="AB63" s="671" t="s">
        <v>38</v>
      </c>
      <c r="AE63" s="671" t="s">
        <v>38</v>
      </c>
      <c r="AH63" s="671" t="s">
        <v>38</v>
      </c>
      <c r="AK63" s="671" t="s">
        <v>38</v>
      </c>
      <c r="AN63" s="671" t="s">
        <v>38</v>
      </c>
      <c r="AQ63" s="671" t="s">
        <v>38</v>
      </c>
      <c r="AR63" s="656" t="str">
        <f>Select_naics2022[[#This Row],[2022 NAICS Code]]&amp;":  "&amp;Select_naics2022[[#This Row],[2022 NAICS Title]]</f>
        <v>112920:  Horses and Other Equine Production</v>
      </c>
      <c r="AS63" s="656">
        <v>112920</v>
      </c>
      <c r="AT63" s="656" t="s">
        <v>631</v>
      </c>
      <c r="AU63" s="656" t="str">
        <f>Select_naics2022[[#This Row],[2022 NAICS Title]]</f>
        <v>Horses and Other Equine Production</v>
      </c>
      <c r="AY63" s="671" t="s">
        <v>38</v>
      </c>
      <c r="BB63" s="671" t="s">
        <v>38</v>
      </c>
      <c r="BE63" s="671" t="s">
        <v>38</v>
      </c>
      <c r="BH63" s="671" t="s">
        <v>38</v>
      </c>
      <c r="BK63" s="671" t="s">
        <v>38</v>
      </c>
      <c r="BN63" s="671" t="s">
        <v>38</v>
      </c>
      <c r="BQ63" s="671" t="s">
        <v>38</v>
      </c>
      <c r="BT63" s="671" t="s">
        <v>38</v>
      </c>
      <c r="BW63" s="671" t="s">
        <v>38</v>
      </c>
      <c r="BZ63" s="671" t="s">
        <v>38</v>
      </c>
    </row>
    <row r="64" spans="2:84" x14ac:dyDescent="0.25">
      <c r="B64" s="671" t="s">
        <v>38</v>
      </c>
      <c r="C64" s="55" t="s">
        <v>632</v>
      </c>
      <c r="E64" s="680">
        <f>pyFYEnd</f>
        <v>0</v>
      </c>
      <c r="F64" s="55" t="s">
        <v>102</v>
      </c>
      <c r="G64" s="55" t="s">
        <v>633</v>
      </c>
      <c r="I64" s="671" t="s">
        <v>38</v>
      </c>
      <c r="K64" s="656"/>
      <c r="L64" s="671" t="s">
        <v>38</v>
      </c>
      <c r="O64" s="671" t="s">
        <v>38</v>
      </c>
      <c r="R64" s="671" t="s">
        <v>38</v>
      </c>
      <c r="S64" s="55" t="s">
        <v>634</v>
      </c>
      <c r="T64" s="55" t="s">
        <v>635</v>
      </c>
      <c r="U64" s="671" t="s">
        <v>38</v>
      </c>
      <c r="X64" s="671" t="s">
        <v>38</v>
      </c>
      <c r="AB64" s="671" t="s">
        <v>38</v>
      </c>
      <c r="AE64" s="671" t="s">
        <v>38</v>
      </c>
      <c r="AH64" s="671" t="s">
        <v>38</v>
      </c>
      <c r="AK64" s="671" t="s">
        <v>38</v>
      </c>
      <c r="AN64" s="671" t="s">
        <v>38</v>
      </c>
      <c r="AQ64" s="671" t="s">
        <v>38</v>
      </c>
      <c r="AR64" s="656" t="str">
        <f>Select_naics2022[[#This Row],[2022 NAICS Code]]&amp;":  "&amp;Select_naics2022[[#This Row],[2022 NAICS Title]]</f>
        <v>112930:  Fur-Bearing Animal and Rabbit Production</v>
      </c>
      <c r="AS64" s="656">
        <v>112930</v>
      </c>
      <c r="AT64" s="656" t="s">
        <v>636</v>
      </c>
      <c r="AU64" s="656" t="str">
        <f>Select_naics2022[[#This Row],[2022 NAICS Title]]</f>
        <v>Fur-Bearing Animal and Rabbit Production</v>
      </c>
      <c r="AY64" s="671" t="s">
        <v>38</v>
      </c>
      <c r="BB64" s="671" t="s">
        <v>38</v>
      </c>
      <c r="BE64" s="671" t="s">
        <v>38</v>
      </c>
      <c r="BH64" s="671" t="s">
        <v>38</v>
      </c>
      <c r="BK64" s="671" t="s">
        <v>38</v>
      </c>
      <c r="BN64" s="671" t="s">
        <v>38</v>
      </c>
      <c r="BQ64" s="671" t="s">
        <v>38</v>
      </c>
      <c r="BT64" s="671" t="s">
        <v>38</v>
      </c>
      <c r="BW64" s="671" t="s">
        <v>38</v>
      </c>
      <c r="BZ64" s="671" t="s">
        <v>38</v>
      </c>
    </row>
    <row r="65" spans="2:78" x14ac:dyDescent="0.25">
      <c r="B65" s="671" t="s">
        <v>38</v>
      </c>
      <c r="C65" s="55" t="s">
        <v>637</v>
      </c>
      <c r="E65" s="680">
        <f>pydistpay</f>
        <v>0</v>
      </c>
      <c r="F65" s="55" t="s">
        <v>102</v>
      </c>
      <c r="G65" s="55" t="s">
        <v>638</v>
      </c>
      <c r="I65" s="671" t="s">
        <v>38</v>
      </c>
      <c r="K65" s="656"/>
      <c r="L65" s="671" t="s">
        <v>38</v>
      </c>
      <c r="O65" s="671" t="s">
        <v>38</v>
      </c>
      <c r="R65" s="671" t="s">
        <v>38</v>
      </c>
      <c r="S65" s="55" t="s">
        <v>639</v>
      </c>
      <c r="T65" s="55" t="s">
        <v>640</v>
      </c>
      <c r="U65" s="671" t="s">
        <v>38</v>
      </c>
      <c r="X65" s="671" t="s">
        <v>38</v>
      </c>
      <c r="AB65" s="671" t="s">
        <v>38</v>
      </c>
      <c r="AE65" s="671" t="s">
        <v>38</v>
      </c>
      <c r="AH65" s="671" t="s">
        <v>38</v>
      </c>
      <c r="AK65" s="671" t="s">
        <v>38</v>
      </c>
      <c r="AN65" s="671" t="s">
        <v>38</v>
      </c>
      <c r="AQ65" s="671" t="s">
        <v>38</v>
      </c>
      <c r="AR65" s="656" t="str">
        <f>Select_naics2022[[#This Row],[2022 NAICS Code]]&amp;":  "&amp;Select_naics2022[[#This Row],[2022 NAICS Title]]</f>
        <v xml:space="preserve">112990:  All Other Animal Production </v>
      </c>
      <c r="AS65" s="656">
        <v>112990</v>
      </c>
      <c r="AT65" s="656" t="s">
        <v>641</v>
      </c>
      <c r="AU65" s="656" t="str">
        <f>Select_naics2022[[#This Row],[2022 NAICS Title]]</f>
        <v xml:space="preserve">All Other Animal Production </v>
      </c>
      <c r="AY65" s="671" t="s">
        <v>38</v>
      </c>
      <c r="BB65" s="671" t="s">
        <v>38</v>
      </c>
      <c r="BE65" s="671" t="s">
        <v>38</v>
      </c>
      <c r="BH65" s="671" t="s">
        <v>38</v>
      </c>
      <c r="BK65" s="671" t="s">
        <v>38</v>
      </c>
      <c r="BN65" s="671" t="s">
        <v>38</v>
      </c>
      <c r="BQ65" s="671" t="s">
        <v>38</v>
      </c>
      <c r="BT65" s="671" t="s">
        <v>38</v>
      </c>
      <c r="BW65" s="671" t="s">
        <v>38</v>
      </c>
      <c r="BZ65" s="671" t="s">
        <v>38</v>
      </c>
    </row>
    <row r="66" spans="2:78" x14ac:dyDescent="0.25">
      <c r="B66" s="671" t="s">
        <v>38</v>
      </c>
      <c r="C66" s="55" t="s">
        <v>642</v>
      </c>
      <c r="E66" s="680">
        <f>pyotherliab</f>
        <v>0</v>
      </c>
      <c r="F66" s="55" t="s">
        <v>102</v>
      </c>
      <c r="G66" s="55" t="s">
        <v>643</v>
      </c>
      <c r="I66" s="671" t="s">
        <v>38</v>
      </c>
      <c r="L66" s="671" t="s">
        <v>38</v>
      </c>
      <c r="O66" s="671" t="s">
        <v>38</v>
      </c>
      <c r="R66" s="671" t="s">
        <v>38</v>
      </c>
      <c r="S66" s="55" t="s">
        <v>644</v>
      </c>
      <c r="T66" s="55" t="s">
        <v>645</v>
      </c>
      <c r="U66" s="671" t="s">
        <v>38</v>
      </c>
      <c r="X66" s="671" t="s">
        <v>38</v>
      </c>
      <c r="AB66" s="671" t="s">
        <v>38</v>
      </c>
      <c r="AE66" s="671" t="s">
        <v>38</v>
      </c>
      <c r="AH66" s="671" t="s">
        <v>38</v>
      </c>
      <c r="AK66" s="671" t="s">
        <v>38</v>
      </c>
      <c r="AN66" s="671" t="s">
        <v>38</v>
      </c>
      <c r="AQ66" s="671" t="s">
        <v>38</v>
      </c>
      <c r="AR66" s="656" t="str">
        <f>Select_naics2022[[#This Row],[2022 NAICS Code]]&amp;":  "&amp;Select_naics2022[[#This Row],[2022 NAICS Title]]</f>
        <v>113110:  Timber Tract Operations</v>
      </c>
      <c r="AS66" s="656">
        <v>113110</v>
      </c>
      <c r="AT66" s="656" t="s">
        <v>646</v>
      </c>
      <c r="AU66" s="656" t="str">
        <f>Select_naics2022[[#This Row],[2022 NAICS Title]]</f>
        <v>Timber Tract Operations</v>
      </c>
      <c r="AY66" s="671" t="s">
        <v>38</v>
      </c>
      <c r="BB66" s="671" t="s">
        <v>38</v>
      </c>
      <c r="BE66" s="671" t="s">
        <v>38</v>
      </c>
      <c r="BH66" s="671" t="s">
        <v>38</v>
      </c>
      <c r="BK66" s="671" t="s">
        <v>38</v>
      </c>
      <c r="BN66" s="671" t="s">
        <v>38</v>
      </c>
      <c r="BQ66" s="671" t="s">
        <v>38</v>
      </c>
      <c r="BT66" s="671" t="s">
        <v>38</v>
      </c>
      <c r="BW66" s="671" t="s">
        <v>38</v>
      </c>
      <c r="BZ66" s="671" t="s">
        <v>38</v>
      </c>
    </row>
    <row r="67" spans="2:78" x14ac:dyDescent="0.25">
      <c r="B67" s="671" t="s">
        <v>38</v>
      </c>
      <c r="C67" s="55" t="s">
        <v>647</v>
      </c>
      <c r="E67" s="680">
        <f>pytotalliab</f>
        <v>0</v>
      </c>
      <c r="F67" s="55" t="s">
        <v>102</v>
      </c>
      <c r="G67" s="55" t="s">
        <v>648</v>
      </c>
      <c r="I67" s="671" t="s">
        <v>38</v>
      </c>
      <c r="L67" s="671" t="s">
        <v>38</v>
      </c>
      <c r="O67" s="671" t="s">
        <v>38</v>
      </c>
      <c r="R67" s="671" t="s">
        <v>38</v>
      </c>
      <c r="S67" s="55" t="s">
        <v>649</v>
      </c>
      <c r="T67" s="55" t="s">
        <v>650</v>
      </c>
      <c r="U67" s="671" t="s">
        <v>38</v>
      </c>
      <c r="X67" s="671" t="s">
        <v>38</v>
      </c>
      <c r="AB67" s="671" t="s">
        <v>38</v>
      </c>
      <c r="AE67" s="671" t="s">
        <v>38</v>
      </c>
      <c r="AH67" s="671" t="s">
        <v>38</v>
      </c>
      <c r="AK67" s="671" t="s">
        <v>38</v>
      </c>
      <c r="AN67" s="671" t="s">
        <v>38</v>
      </c>
      <c r="AQ67" s="671" t="s">
        <v>38</v>
      </c>
      <c r="AR67" s="656" t="str">
        <f>Select_naics2022[[#This Row],[2022 NAICS Code]]&amp;":  "&amp;Select_naics2022[[#This Row],[2022 NAICS Title]]</f>
        <v xml:space="preserve">113210:  Forest Nurseries and Gathering of Forest Products </v>
      </c>
      <c r="AS67" s="656">
        <v>113210</v>
      </c>
      <c r="AT67" s="656" t="s">
        <v>651</v>
      </c>
      <c r="AU67" s="656" t="str">
        <f>Select_naics2022[[#This Row],[2022 NAICS Title]]</f>
        <v xml:space="preserve">Forest Nurseries and Gathering of Forest Products </v>
      </c>
      <c r="AY67" s="671" t="s">
        <v>38</v>
      </c>
      <c r="BB67" s="671" t="s">
        <v>38</v>
      </c>
      <c r="BE67" s="671" t="s">
        <v>38</v>
      </c>
      <c r="BH67" s="671" t="s">
        <v>38</v>
      </c>
      <c r="BK67" s="671" t="s">
        <v>38</v>
      </c>
      <c r="BN67" s="671" t="s">
        <v>38</v>
      </c>
      <c r="BQ67" s="671" t="s">
        <v>38</v>
      </c>
      <c r="BT67" s="671" t="s">
        <v>38</v>
      </c>
      <c r="BW67" s="671" t="s">
        <v>38</v>
      </c>
      <c r="BZ67" s="671" t="s">
        <v>38</v>
      </c>
    </row>
    <row r="68" spans="2:78" x14ac:dyDescent="0.25">
      <c r="B68" s="671" t="s">
        <v>38</v>
      </c>
      <c r="C68" s="55" t="s">
        <v>652</v>
      </c>
      <c r="E68" s="680">
        <f>pyprivcapbal</f>
        <v>0</v>
      </c>
      <c r="F68" s="55" t="s">
        <v>102</v>
      </c>
      <c r="G68" s="55" t="s">
        <v>653</v>
      </c>
      <c r="I68" s="671" t="s">
        <v>38</v>
      </c>
      <c r="L68" s="671" t="s">
        <v>38</v>
      </c>
      <c r="O68" s="671" t="s">
        <v>38</v>
      </c>
      <c r="R68" s="671" t="s">
        <v>38</v>
      </c>
      <c r="S68" s="55" t="s">
        <v>654</v>
      </c>
      <c r="T68" s="55" t="s">
        <v>655</v>
      </c>
      <c r="U68" s="671" t="s">
        <v>38</v>
      </c>
      <c r="X68" s="671" t="s">
        <v>38</v>
      </c>
      <c r="AB68" s="671" t="s">
        <v>38</v>
      </c>
      <c r="AE68" s="671" t="s">
        <v>38</v>
      </c>
      <c r="AH68" s="671" t="s">
        <v>38</v>
      </c>
      <c r="AK68" s="671" t="s">
        <v>38</v>
      </c>
      <c r="AN68" s="671" t="s">
        <v>38</v>
      </c>
      <c r="AQ68" s="671" t="s">
        <v>38</v>
      </c>
      <c r="AR68" s="656" t="str">
        <f>Select_naics2022[[#This Row],[2022 NAICS Code]]&amp;":  "&amp;Select_naics2022[[#This Row],[2022 NAICS Title]]</f>
        <v xml:space="preserve">113310:  Logging </v>
      </c>
      <c r="AS68" s="656">
        <v>113310</v>
      </c>
      <c r="AT68" s="656" t="s">
        <v>656</v>
      </c>
      <c r="AU68" s="656" t="str">
        <f>Select_naics2022[[#This Row],[2022 NAICS Title]]</f>
        <v xml:space="preserve">Logging </v>
      </c>
      <c r="AY68" s="671" t="s">
        <v>38</v>
      </c>
      <c r="BB68" s="671" t="s">
        <v>38</v>
      </c>
      <c r="BE68" s="671" t="s">
        <v>38</v>
      </c>
      <c r="BH68" s="671" t="s">
        <v>38</v>
      </c>
      <c r="BK68" s="671" t="s">
        <v>38</v>
      </c>
      <c r="BN68" s="671" t="s">
        <v>38</v>
      </c>
      <c r="BQ68" s="671" t="s">
        <v>38</v>
      </c>
      <c r="BT68" s="671" t="s">
        <v>38</v>
      </c>
      <c r="BW68" s="671" t="s">
        <v>38</v>
      </c>
      <c r="BZ68" s="671" t="s">
        <v>38</v>
      </c>
    </row>
    <row r="69" spans="2:78" x14ac:dyDescent="0.25">
      <c r="B69" s="671" t="s">
        <v>38</v>
      </c>
      <c r="C69" s="55" t="s">
        <v>657</v>
      </c>
      <c r="E69" s="680">
        <f>pycurrentliab</f>
        <v>0</v>
      </c>
      <c r="F69" s="55" t="s">
        <v>102</v>
      </c>
      <c r="G69" s="55" t="s">
        <v>658</v>
      </c>
      <c r="I69" s="671" t="s">
        <v>38</v>
      </c>
      <c r="L69" s="671" t="s">
        <v>38</v>
      </c>
      <c r="O69" s="671" t="s">
        <v>38</v>
      </c>
      <c r="R69" s="671" t="s">
        <v>38</v>
      </c>
      <c r="S69" s="55" t="s">
        <v>659</v>
      </c>
      <c r="T69" s="55" t="s">
        <v>660</v>
      </c>
      <c r="U69" s="671" t="s">
        <v>38</v>
      </c>
      <c r="X69" s="671" t="s">
        <v>38</v>
      </c>
      <c r="AB69" s="671" t="s">
        <v>38</v>
      </c>
      <c r="AE69" s="671" t="s">
        <v>38</v>
      </c>
      <c r="AH69" s="671" t="s">
        <v>38</v>
      </c>
      <c r="AK69" s="671" t="s">
        <v>38</v>
      </c>
      <c r="AN69" s="671" t="s">
        <v>38</v>
      </c>
      <c r="AQ69" s="671" t="s">
        <v>38</v>
      </c>
      <c r="AR69" s="656" t="str">
        <f>Select_naics2022[[#This Row],[2022 NAICS Code]]&amp;":  "&amp;Select_naics2022[[#This Row],[2022 NAICS Title]]</f>
        <v xml:space="preserve">114111:  Finfish Fishing </v>
      </c>
      <c r="AS69" s="656">
        <v>114111</v>
      </c>
      <c r="AT69" s="656" t="s">
        <v>661</v>
      </c>
      <c r="AU69" s="656" t="str">
        <f>Select_naics2022[[#This Row],[2022 NAICS Title]]</f>
        <v xml:space="preserve">Finfish Fishing </v>
      </c>
      <c r="AY69" s="671" t="s">
        <v>38</v>
      </c>
      <c r="BB69" s="671" t="s">
        <v>38</v>
      </c>
      <c r="BE69" s="671" t="s">
        <v>38</v>
      </c>
      <c r="BH69" s="671" t="s">
        <v>38</v>
      </c>
      <c r="BK69" s="671" t="s">
        <v>38</v>
      </c>
      <c r="BN69" s="671" t="s">
        <v>38</v>
      </c>
      <c r="BQ69" s="671" t="s">
        <v>38</v>
      </c>
      <c r="BT69" s="671" t="s">
        <v>38</v>
      </c>
      <c r="BW69" s="671" t="s">
        <v>38</v>
      </c>
      <c r="BZ69" s="671" t="s">
        <v>38</v>
      </c>
    </row>
    <row r="70" spans="2:78" x14ac:dyDescent="0.25">
      <c r="B70" s="671" t="s">
        <v>38</v>
      </c>
      <c r="C70" s="55" t="s">
        <v>662</v>
      </c>
      <c r="E70" s="680">
        <f>netincome</f>
        <v>0</v>
      </c>
      <c r="F70" s="55" t="s">
        <v>109</v>
      </c>
      <c r="G70" s="55" t="s">
        <v>663</v>
      </c>
      <c r="I70" s="671" t="s">
        <v>38</v>
      </c>
      <c r="L70" s="671" t="s">
        <v>38</v>
      </c>
      <c r="O70" s="671" t="s">
        <v>38</v>
      </c>
      <c r="R70" s="671" t="s">
        <v>38</v>
      </c>
      <c r="S70" s="55" t="s">
        <v>664</v>
      </c>
      <c r="T70" s="55" t="s">
        <v>665</v>
      </c>
      <c r="U70" s="671" t="s">
        <v>38</v>
      </c>
      <c r="X70" s="671" t="s">
        <v>38</v>
      </c>
      <c r="AB70" s="671" t="s">
        <v>38</v>
      </c>
      <c r="AE70" s="671" t="s">
        <v>38</v>
      </c>
      <c r="AH70" s="671" t="s">
        <v>38</v>
      </c>
      <c r="AK70" s="671" t="s">
        <v>38</v>
      </c>
      <c r="AN70" s="671" t="s">
        <v>38</v>
      </c>
      <c r="AQ70" s="671" t="s">
        <v>38</v>
      </c>
      <c r="AR70" s="656" t="str">
        <f>Select_naics2022[[#This Row],[2022 NAICS Code]]&amp;":  "&amp;Select_naics2022[[#This Row],[2022 NAICS Title]]</f>
        <v xml:space="preserve">114112:  Shellfish Fishing </v>
      </c>
      <c r="AS70" s="656">
        <v>114112</v>
      </c>
      <c r="AT70" s="656" t="s">
        <v>666</v>
      </c>
      <c r="AU70" s="656" t="str">
        <f>Select_naics2022[[#This Row],[2022 NAICS Title]]</f>
        <v xml:space="preserve">Shellfish Fishing </v>
      </c>
      <c r="AY70" s="671" t="s">
        <v>38</v>
      </c>
      <c r="BB70" s="671" t="s">
        <v>38</v>
      </c>
      <c r="BE70" s="671" t="s">
        <v>38</v>
      </c>
      <c r="BH70" s="671" t="s">
        <v>38</v>
      </c>
      <c r="BK70" s="671" t="s">
        <v>38</v>
      </c>
      <c r="BN70" s="671" t="s">
        <v>38</v>
      </c>
      <c r="BQ70" s="671" t="s">
        <v>38</v>
      </c>
      <c r="BT70" s="671" t="s">
        <v>38</v>
      </c>
      <c r="BW70" s="671" t="s">
        <v>38</v>
      </c>
      <c r="BZ70" s="671" t="s">
        <v>38</v>
      </c>
    </row>
    <row r="71" spans="2:78" x14ac:dyDescent="0.25">
      <c r="B71" s="671" t="s">
        <v>38</v>
      </c>
      <c r="C71" s="55" t="s">
        <v>667</v>
      </c>
      <c r="E71" s="680">
        <f>cytd_grossinvestinc</f>
        <v>0</v>
      </c>
      <c r="F71" s="55" t="s">
        <v>109</v>
      </c>
      <c r="G71" s="55" t="s">
        <v>668</v>
      </c>
      <c r="I71" s="671" t="s">
        <v>38</v>
      </c>
      <c r="L71" s="671" t="s">
        <v>38</v>
      </c>
      <c r="O71" s="671" t="s">
        <v>38</v>
      </c>
      <c r="R71" s="671" t="s">
        <v>38</v>
      </c>
      <c r="S71" s="55" t="s">
        <v>669</v>
      </c>
      <c r="T71" s="55" t="s">
        <v>670</v>
      </c>
      <c r="U71" s="671" t="s">
        <v>38</v>
      </c>
      <c r="X71" s="671" t="s">
        <v>38</v>
      </c>
      <c r="AB71" s="671" t="s">
        <v>38</v>
      </c>
      <c r="AE71" s="671" t="s">
        <v>38</v>
      </c>
      <c r="AH71" s="671" t="s">
        <v>38</v>
      </c>
      <c r="AK71" s="671" t="s">
        <v>38</v>
      </c>
      <c r="AN71" s="671" t="s">
        <v>38</v>
      </c>
      <c r="AQ71" s="671" t="s">
        <v>38</v>
      </c>
      <c r="AR71" s="656" t="str">
        <f>Select_naics2022[[#This Row],[2022 NAICS Code]]&amp;":  "&amp;Select_naics2022[[#This Row],[2022 NAICS Title]]</f>
        <v xml:space="preserve">114119:  Other Marine Fishing </v>
      </c>
      <c r="AS71" s="656">
        <v>114119</v>
      </c>
      <c r="AT71" s="656" t="s">
        <v>671</v>
      </c>
      <c r="AU71" s="656" t="str">
        <f>Select_naics2022[[#This Row],[2022 NAICS Title]]</f>
        <v xml:space="preserve">Other Marine Fishing </v>
      </c>
      <c r="AY71" s="671" t="s">
        <v>38</v>
      </c>
      <c r="BB71" s="671" t="s">
        <v>38</v>
      </c>
      <c r="BE71" s="671" t="s">
        <v>38</v>
      </c>
      <c r="BH71" s="671" t="s">
        <v>38</v>
      </c>
      <c r="BK71" s="671" t="s">
        <v>38</v>
      </c>
      <c r="BN71" s="671" t="s">
        <v>38</v>
      </c>
      <c r="BQ71" s="671" t="s">
        <v>38</v>
      </c>
      <c r="BT71" s="671" t="s">
        <v>38</v>
      </c>
      <c r="BW71" s="671" t="s">
        <v>38</v>
      </c>
      <c r="BZ71" s="671" t="s">
        <v>38</v>
      </c>
    </row>
    <row r="72" spans="2:78" x14ac:dyDescent="0.25">
      <c r="B72" s="671" t="s">
        <v>38</v>
      </c>
      <c r="C72" s="55" t="s">
        <v>672</v>
      </c>
      <c r="E72" s="680">
        <f>cytd_expenses</f>
        <v>0</v>
      </c>
      <c r="F72" s="55" t="s">
        <v>109</v>
      </c>
      <c r="G72" s="55" t="s">
        <v>673</v>
      </c>
      <c r="I72" s="671" t="s">
        <v>38</v>
      </c>
      <c r="L72" s="671" t="s">
        <v>38</v>
      </c>
      <c r="O72" s="671" t="s">
        <v>38</v>
      </c>
      <c r="R72" s="671" t="s">
        <v>38</v>
      </c>
      <c r="S72" s="55" t="s">
        <v>674</v>
      </c>
      <c r="T72" s="55" t="s">
        <v>675</v>
      </c>
      <c r="U72" s="671" t="s">
        <v>38</v>
      </c>
      <c r="X72" s="671" t="s">
        <v>38</v>
      </c>
      <c r="AB72" s="671" t="s">
        <v>38</v>
      </c>
      <c r="AE72" s="671" t="s">
        <v>38</v>
      </c>
      <c r="AH72" s="671" t="s">
        <v>38</v>
      </c>
      <c r="AK72" s="671" t="s">
        <v>38</v>
      </c>
      <c r="AN72" s="671" t="s">
        <v>38</v>
      </c>
      <c r="AQ72" s="671" t="s">
        <v>38</v>
      </c>
      <c r="AR72" s="656" t="str">
        <f>Select_naics2022[[#This Row],[2022 NAICS Code]]&amp;":  "&amp;Select_naics2022[[#This Row],[2022 NAICS Title]]</f>
        <v>114210:  Hunting and Trapping</v>
      </c>
      <c r="AS72" s="656">
        <v>114210</v>
      </c>
      <c r="AT72" s="656" t="s">
        <v>676</v>
      </c>
      <c r="AU72" s="656" t="str">
        <f>Select_naics2022[[#This Row],[2022 NAICS Title]]</f>
        <v>Hunting and Trapping</v>
      </c>
      <c r="AY72" s="671" t="s">
        <v>38</v>
      </c>
      <c r="BB72" s="671" t="s">
        <v>38</v>
      </c>
      <c r="BE72" s="671" t="s">
        <v>38</v>
      </c>
      <c r="BH72" s="671" t="s">
        <v>38</v>
      </c>
      <c r="BK72" s="671" t="s">
        <v>38</v>
      </c>
      <c r="BN72" s="671" t="s">
        <v>38</v>
      </c>
      <c r="BQ72" s="671" t="s">
        <v>38</v>
      </c>
      <c r="BT72" s="671" t="s">
        <v>38</v>
      </c>
      <c r="BW72" s="671" t="s">
        <v>38</v>
      </c>
      <c r="BZ72" s="671" t="s">
        <v>38</v>
      </c>
    </row>
    <row r="73" spans="2:78" x14ac:dyDescent="0.25">
      <c r="B73" s="671" t="s">
        <v>38</v>
      </c>
      <c r="C73" s="55" t="s">
        <v>677</v>
      </c>
      <c r="E73" s="680">
        <f>cytd_netinvestinc</f>
        <v>0</v>
      </c>
      <c r="F73" s="55" t="s">
        <v>109</v>
      </c>
      <c r="G73" s="55" t="s">
        <v>678</v>
      </c>
      <c r="I73" s="671" t="s">
        <v>38</v>
      </c>
      <c r="L73" s="671" t="s">
        <v>38</v>
      </c>
      <c r="O73" s="671" t="s">
        <v>38</v>
      </c>
      <c r="R73" s="671" t="s">
        <v>38</v>
      </c>
      <c r="S73" s="55" t="s">
        <v>679</v>
      </c>
      <c r="T73" s="55" t="s">
        <v>680</v>
      </c>
      <c r="U73" s="671" t="s">
        <v>38</v>
      </c>
      <c r="X73" s="671" t="s">
        <v>38</v>
      </c>
      <c r="AB73" s="671" t="s">
        <v>38</v>
      </c>
      <c r="AE73" s="671" t="s">
        <v>38</v>
      </c>
      <c r="AH73" s="671" t="s">
        <v>38</v>
      </c>
      <c r="AK73" s="671" t="s">
        <v>38</v>
      </c>
      <c r="AN73" s="671" t="s">
        <v>38</v>
      </c>
      <c r="AQ73" s="671" t="s">
        <v>38</v>
      </c>
      <c r="AR73" s="656" t="str">
        <f>Select_naics2022[[#This Row],[2022 NAICS Code]]&amp;":  "&amp;Select_naics2022[[#This Row],[2022 NAICS Title]]</f>
        <v xml:space="preserve">115111:  Cotton Ginning </v>
      </c>
      <c r="AS73" s="656">
        <v>115111</v>
      </c>
      <c r="AT73" s="656" t="s">
        <v>681</v>
      </c>
      <c r="AU73" s="656" t="str">
        <f>Select_naics2022[[#This Row],[2022 NAICS Title]]</f>
        <v xml:space="preserve">Cotton Ginning </v>
      </c>
      <c r="AY73" s="671" t="s">
        <v>38</v>
      </c>
      <c r="BB73" s="671" t="s">
        <v>38</v>
      </c>
      <c r="BE73" s="671" t="s">
        <v>38</v>
      </c>
      <c r="BH73" s="671" t="s">
        <v>38</v>
      </c>
      <c r="BK73" s="671" t="s">
        <v>38</v>
      </c>
      <c r="BN73" s="671" t="s">
        <v>38</v>
      </c>
      <c r="BQ73" s="671" t="s">
        <v>38</v>
      </c>
      <c r="BT73" s="671" t="s">
        <v>38</v>
      </c>
      <c r="BW73" s="671" t="s">
        <v>38</v>
      </c>
      <c r="BZ73" s="671" t="s">
        <v>38</v>
      </c>
    </row>
    <row r="74" spans="2:78" x14ac:dyDescent="0.25">
      <c r="B74" s="671" t="s">
        <v>38</v>
      </c>
      <c r="C74" s="55" t="s">
        <v>682</v>
      </c>
      <c r="E74" s="680">
        <f>cytd_netincome</f>
        <v>0</v>
      </c>
      <c r="F74" s="55" t="s">
        <v>109</v>
      </c>
      <c r="G74" s="55" t="s">
        <v>683</v>
      </c>
      <c r="I74" s="671" t="s">
        <v>38</v>
      </c>
      <c r="L74" s="671" t="s">
        <v>38</v>
      </c>
      <c r="O74" s="671" t="s">
        <v>38</v>
      </c>
      <c r="R74" s="671" t="s">
        <v>38</v>
      </c>
      <c r="S74" s="55" t="s">
        <v>684</v>
      </c>
      <c r="T74" s="55" t="s">
        <v>685</v>
      </c>
      <c r="U74" s="671" t="s">
        <v>38</v>
      </c>
      <c r="X74" s="671" t="s">
        <v>38</v>
      </c>
      <c r="AB74" s="671" t="s">
        <v>38</v>
      </c>
      <c r="AE74" s="671" t="s">
        <v>38</v>
      </c>
      <c r="AH74" s="671" t="s">
        <v>38</v>
      </c>
      <c r="AK74" s="671" t="s">
        <v>38</v>
      </c>
      <c r="AN74" s="671" t="s">
        <v>38</v>
      </c>
      <c r="AQ74" s="671" t="s">
        <v>38</v>
      </c>
      <c r="AR74" s="656" t="str">
        <f>Select_naics2022[[#This Row],[2022 NAICS Code]]&amp;":  "&amp;Select_naics2022[[#This Row],[2022 NAICS Title]]</f>
        <v xml:space="preserve">115112:  Soil Preparation, Planting, and Cultivating </v>
      </c>
      <c r="AS74" s="656">
        <v>115112</v>
      </c>
      <c r="AT74" s="656" t="s">
        <v>686</v>
      </c>
      <c r="AU74" s="656" t="str">
        <f>Select_naics2022[[#This Row],[2022 NAICS Title]]</f>
        <v xml:space="preserve">Soil Preparation, Planting, and Cultivating </v>
      </c>
      <c r="AY74" s="671" t="s">
        <v>38</v>
      </c>
      <c r="BB74" s="671" t="s">
        <v>38</v>
      </c>
      <c r="BE74" s="671" t="s">
        <v>38</v>
      </c>
      <c r="BH74" s="671" t="s">
        <v>38</v>
      </c>
      <c r="BK74" s="671" t="s">
        <v>38</v>
      </c>
      <c r="BN74" s="671" t="s">
        <v>38</v>
      </c>
      <c r="BQ74" s="671" t="s">
        <v>38</v>
      </c>
      <c r="BT74" s="671" t="s">
        <v>38</v>
      </c>
      <c r="BW74" s="671" t="s">
        <v>38</v>
      </c>
      <c r="BZ74" s="671" t="s">
        <v>38</v>
      </c>
    </row>
    <row r="75" spans="2:78" x14ac:dyDescent="0.25">
      <c r="B75" s="671" t="s">
        <v>38</v>
      </c>
      <c r="C75" s="55" t="s">
        <v>687</v>
      </c>
      <c r="E75" s="680">
        <f>PI_UnfundCommit</f>
        <v>0</v>
      </c>
      <c r="F75" s="55" t="s">
        <v>114</v>
      </c>
      <c r="G75" s="55" t="s">
        <v>688</v>
      </c>
      <c r="I75" s="671" t="s">
        <v>38</v>
      </c>
      <c r="L75" s="671" t="s">
        <v>38</v>
      </c>
      <c r="O75" s="671" t="s">
        <v>38</v>
      </c>
      <c r="R75" s="671" t="s">
        <v>38</v>
      </c>
      <c r="S75" s="55" t="s">
        <v>689</v>
      </c>
      <c r="T75" s="55" t="s">
        <v>690</v>
      </c>
      <c r="U75" s="671" t="s">
        <v>38</v>
      </c>
      <c r="X75" s="671" t="s">
        <v>38</v>
      </c>
      <c r="AB75" s="671" t="s">
        <v>38</v>
      </c>
      <c r="AE75" s="671" t="s">
        <v>38</v>
      </c>
      <c r="AH75" s="671" t="s">
        <v>38</v>
      </c>
      <c r="AK75" s="671" t="s">
        <v>38</v>
      </c>
      <c r="AN75" s="671" t="s">
        <v>38</v>
      </c>
      <c r="AQ75" s="671" t="s">
        <v>38</v>
      </c>
      <c r="AR75" s="656" t="str">
        <f>Select_naics2022[[#This Row],[2022 NAICS Code]]&amp;":  "&amp;Select_naics2022[[#This Row],[2022 NAICS Title]]</f>
        <v xml:space="preserve">115113:  Crop Harvesting, Primarily by Machine </v>
      </c>
      <c r="AS75" s="656">
        <v>115113</v>
      </c>
      <c r="AT75" s="656" t="s">
        <v>691</v>
      </c>
      <c r="AU75" s="656" t="str">
        <f>Select_naics2022[[#This Row],[2022 NAICS Title]]</f>
        <v xml:space="preserve">Crop Harvesting, Primarily by Machine </v>
      </c>
      <c r="AY75" s="671" t="s">
        <v>38</v>
      </c>
      <c r="BB75" s="671" t="s">
        <v>38</v>
      </c>
      <c r="BE75" s="671" t="s">
        <v>38</v>
      </c>
      <c r="BH75" s="671" t="s">
        <v>38</v>
      </c>
      <c r="BK75" s="671" t="s">
        <v>38</v>
      </c>
      <c r="BN75" s="671" t="s">
        <v>38</v>
      </c>
      <c r="BQ75" s="671" t="s">
        <v>38</v>
      </c>
      <c r="BT75" s="671" t="s">
        <v>38</v>
      </c>
      <c r="BW75" s="671" t="s">
        <v>38</v>
      </c>
      <c r="BZ75" s="671" t="s">
        <v>38</v>
      </c>
    </row>
    <row r="76" spans="2:78" x14ac:dyDescent="0.25">
      <c r="B76" s="671" t="s">
        <v>38</v>
      </c>
      <c r="C76" s="55" t="s">
        <v>692</v>
      </c>
      <c r="E76" s="680">
        <f>levcap</f>
        <v>0</v>
      </c>
      <c r="F76" s="55" t="s">
        <v>114</v>
      </c>
      <c r="I76" s="671" t="s">
        <v>38</v>
      </c>
      <c r="L76" s="671" t="s">
        <v>38</v>
      </c>
      <c r="O76" s="671" t="s">
        <v>38</v>
      </c>
      <c r="R76" s="671" t="s">
        <v>38</v>
      </c>
      <c r="S76" s="55" t="s">
        <v>223</v>
      </c>
      <c r="U76" s="671" t="s">
        <v>38</v>
      </c>
      <c r="X76" s="671" t="s">
        <v>38</v>
      </c>
      <c r="AB76" s="671" t="s">
        <v>38</v>
      </c>
      <c r="AE76" s="671" t="s">
        <v>38</v>
      </c>
      <c r="AH76" s="671" t="s">
        <v>38</v>
      </c>
      <c r="AK76" s="671" t="s">
        <v>38</v>
      </c>
      <c r="AN76" s="671" t="s">
        <v>38</v>
      </c>
      <c r="AQ76" s="671" t="s">
        <v>38</v>
      </c>
      <c r="AR76" s="656" t="str">
        <f>Select_naics2022[[#This Row],[2022 NAICS Code]]&amp;":  "&amp;Select_naics2022[[#This Row],[2022 NAICS Title]]</f>
        <v xml:space="preserve">115114:  Postharvest Crop Activities (except Cotton Ginning) </v>
      </c>
      <c r="AS76" s="656">
        <v>115114</v>
      </c>
      <c r="AT76" s="656" t="s">
        <v>693</v>
      </c>
      <c r="AU76" s="656" t="str">
        <f>Select_naics2022[[#This Row],[2022 NAICS Title]]</f>
        <v xml:space="preserve">Postharvest Crop Activities (except Cotton Ginning) </v>
      </c>
      <c r="AY76" s="671" t="s">
        <v>38</v>
      </c>
      <c r="BB76" s="671" t="s">
        <v>38</v>
      </c>
      <c r="BE76" s="671" t="s">
        <v>38</v>
      </c>
      <c r="BH76" s="671" t="s">
        <v>38</v>
      </c>
      <c r="BK76" s="671" t="s">
        <v>38</v>
      </c>
      <c r="BN76" s="671" t="s">
        <v>38</v>
      </c>
      <c r="BQ76" s="671" t="s">
        <v>38</v>
      </c>
      <c r="BT76" s="671" t="s">
        <v>38</v>
      </c>
      <c r="BW76" s="671" t="s">
        <v>38</v>
      </c>
      <c r="BZ76" s="671" t="s">
        <v>38</v>
      </c>
    </row>
    <row r="77" spans="2:78" x14ac:dyDescent="0.25">
      <c r="B77" s="671" t="s">
        <v>38</v>
      </c>
      <c r="C77" s="55" t="s">
        <v>694</v>
      </c>
      <c r="E77" s="680">
        <f>regcap</f>
        <v>0</v>
      </c>
      <c r="F77" s="55" t="s">
        <v>114</v>
      </c>
      <c r="I77" s="671" t="s">
        <v>38</v>
      </c>
      <c r="L77" s="671" t="s">
        <v>38</v>
      </c>
      <c r="O77" s="671" t="s">
        <v>38</v>
      </c>
      <c r="R77" s="671" t="s">
        <v>38</v>
      </c>
      <c r="U77" s="671" t="s">
        <v>38</v>
      </c>
      <c r="X77" s="671" t="s">
        <v>38</v>
      </c>
      <c r="AB77" s="671" t="s">
        <v>38</v>
      </c>
      <c r="AE77" s="671" t="s">
        <v>38</v>
      </c>
      <c r="AH77" s="671" t="s">
        <v>38</v>
      </c>
      <c r="AK77" s="671" t="s">
        <v>38</v>
      </c>
      <c r="AN77" s="671" t="s">
        <v>38</v>
      </c>
      <c r="AQ77" s="671" t="s">
        <v>38</v>
      </c>
      <c r="AR77" s="656" t="str">
        <f>Select_naics2022[[#This Row],[2022 NAICS Code]]&amp;":  "&amp;Select_naics2022[[#This Row],[2022 NAICS Title]]</f>
        <v xml:space="preserve">115115:  Farm Labor Contractors and Crew Leaders </v>
      </c>
      <c r="AS77" s="656">
        <v>115115</v>
      </c>
      <c r="AT77" s="656" t="s">
        <v>695</v>
      </c>
      <c r="AU77" s="656" t="str">
        <f>Select_naics2022[[#This Row],[2022 NAICS Title]]</f>
        <v xml:space="preserve">Farm Labor Contractors and Crew Leaders </v>
      </c>
      <c r="AY77" s="671" t="s">
        <v>38</v>
      </c>
      <c r="BB77" s="671" t="s">
        <v>38</v>
      </c>
      <c r="BE77" s="671" t="s">
        <v>38</v>
      </c>
      <c r="BH77" s="671" t="s">
        <v>38</v>
      </c>
      <c r="BK77" s="671" t="s">
        <v>38</v>
      </c>
      <c r="BN77" s="671" t="s">
        <v>38</v>
      </c>
      <c r="BQ77" s="671" t="s">
        <v>38</v>
      </c>
      <c r="BT77" s="671" t="s">
        <v>38</v>
      </c>
      <c r="BW77" s="671" t="s">
        <v>38</v>
      </c>
      <c r="BZ77" s="671" t="s">
        <v>38</v>
      </c>
    </row>
    <row r="78" spans="2:78" x14ac:dyDescent="0.25">
      <c r="B78" s="671" t="s">
        <v>38</v>
      </c>
      <c r="C78" s="55" t="s">
        <v>696</v>
      </c>
      <c r="D78" s="55" t="s">
        <v>697</v>
      </c>
      <c r="E78" s="680">
        <f>aum</f>
        <v>0</v>
      </c>
      <c r="F78" s="55" t="s">
        <v>94</v>
      </c>
      <c r="G78" s="55" t="s">
        <v>698</v>
      </c>
      <c r="H78" s="55">
        <v>1</v>
      </c>
      <c r="I78" s="671" t="s">
        <v>38</v>
      </c>
      <c r="L78" s="671" t="s">
        <v>38</v>
      </c>
      <c r="O78" s="671" t="s">
        <v>38</v>
      </c>
      <c r="R78" s="671" t="s">
        <v>38</v>
      </c>
      <c r="U78" s="671" t="s">
        <v>38</v>
      </c>
      <c r="X78" s="671" t="s">
        <v>38</v>
      </c>
      <c r="AB78" s="671" t="s">
        <v>38</v>
      </c>
      <c r="AE78" s="671" t="s">
        <v>38</v>
      </c>
      <c r="AH78" s="671" t="s">
        <v>38</v>
      </c>
      <c r="AK78" s="671" t="s">
        <v>38</v>
      </c>
      <c r="AN78" s="671" t="s">
        <v>38</v>
      </c>
      <c r="AQ78" s="671" t="s">
        <v>38</v>
      </c>
      <c r="AR78" s="656" t="str">
        <f>Select_naics2022[[#This Row],[2022 NAICS Code]]&amp;":  "&amp;Select_naics2022[[#This Row],[2022 NAICS Title]]</f>
        <v xml:space="preserve">115116:  Farm Management Services </v>
      </c>
      <c r="AS78" s="656">
        <v>115116</v>
      </c>
      <c r="AT78" s="656" t="s">
        <v>699</v>
      </c>
      <c r="AU78" s="656" t="str">
        <f>Select_naics2022[[#This Row],[2022 NAICS Title]]</f>
        <v xml:space="preserve">Farm Management Services </v>
      </c>
      <c r="AY78" s="671" t="s">
        <v>38</v>
      </c>
      <c r="BB78" s="671" t="s">
        <v>38</v>
      </c>
      <c r="BE78" s="671" t="s">
        <v>38</v>
      </c>
      <c r="BH78" s="671" t="s">
        <v>38</v>
      </c>
      <c r="BK78" s="671" t="s">
        <v>38</v>
      </c>
      <c r="BN78" s="671" t="s">
        <v>38</v>
      </c>
      <c r="BQ78" s="671" t="s">
        <v>38</v>
      </c>
      <c r="BT78" s="671" t="s">
        <v>38</v>
      </c>
      <c r="BW78" s="671" t="s">
        <v>38</v>
      </c>
      <c r="BZ78" s="671" t="s">
        <v>38</v>
      </c>
    </row>
    <row r="79" spans="2:78" x14ac:dyDescent="0.25">
      <c r="B79" s="671" t="s">
        <v>38</v>
      </c>
      <c r="C79" s="55" t="s">
        <v>700</v>
      </c>
      <c r="E79" s="680">
        <f>InvestAmt</f>
        <v>0</v>
      </c>
      <c r="F79" s="55" t="s">
        <v>94</v>
      </c>
      <c r="G79" s="55" t="s">
        <v>701</v>
      </c>
      <c r="I79" s="671" t="s">
        <v>38</v>
      </c>
      <c r="L79" s="671" t="s">
        <v>38</v>
      </c>
      <c r="O79" s="671" t="s">
        <v>38</v>
      </c>
      <c r="R79" s="671" t="s">
        <v>38</v>
      </c>
      <c r="U79" s="671" t="s">
        <v>38</v>
      </c>
      <c r="X79" s="671" t="s">
        <v>38</v>
      </c>
      <c r="AB79" s="671" t="s">
        <v>38</v>
      </c>
      <c r="AE79" s="671" t="s">
        <v>38</v>
      </c>
      <c r="AH79" s="671" t="s">
        <v>38</v>
      </c>
      <c r="AK79" s="671" t="s">
        <v>38</v>
      </c>
      <c r="AN79" s="671" t="s">
        <v>38</v>
      </c>
      <c r="AQ79" s="671" t="s">
        <v>38</v>
      </c>
      <c r="AR79" s="656" t="str">
        <f>Select_naics2022[[#This Row],[2022 NAICS Code]]&amp;":  "&amp;Select_naics2022[[#This Row],[2022 NAICS Title]]</f>
        <v>115210:  Support Activities for Animal Production</v>
      </c>
      <c r="AS79" s="656">
        <v>115210</v>
      </c>
      <c r="AT79" s="656" t="s">
        <v>702</v>
      </c>
      <c r="AU79" s="656" t="str">
        <f>Select_naics2022[[#This Row],[2022 NAICS Title]]</f>
        <v>Support Activities for Animal Production</v>
      </c>
      <c r="AY79" s="671" t="s">
        <v>38</v>
      </c>
      <c r="BB79" s="671" t="s">
        <v>38</v>
      </c>
      <c r="BE79" s="671" t="s">
        <v>38</v>
      </c>
      <c r="BH79" s="671" t="s">
        <v>38</v>
      </c>
      <c r="BK79" s="671" t="s">
        <v>38</v>
      </c>
      <c r="BN79" s="671" t="s">
        <v>38</v>
      </c>
      <c r="BQ79" s="671" t="s">
        <v>38</v>
      </c>
      <c r="BT79" s="671" t="s">
        <v>38</v>
      </c>
      <c r="BW79" s="671" t="s">
        <v>38</v>
      </c>
      <c r="BZ79" s="671" t="s">
        <v>38</v>
      </c>
    </row>
    <row r="80" spans="2:78" x14ac:dyDescent="0.25">
      <c r="B80" s="671" t="s">
        <v>38</v>
      </c>
      <c r="C80" s="55" t="s">
        <v>703</v>
      </c>
      <c r="E80" s="680">
        <f>NetAssetValue</f>
        <v>0</v>
      </c>
      <c r="F80" s="55" t="s">
        <v>704</v>
      </c>
      <c r="G80" s="55" t="s">
        <v>705</v>
      </c>
      <c r="I80" s="671" t="s">
        <v>38</v>
      </c>
      <c r="L80" s="671" t="s">
        <v>38</v>
      </c>
      <c r="O80" s="671" t="s">
        <v>38</v>
      </c>
      <c r="R80" s="671" t="s">
        <v>38</v>
      </c>
      <c r="U80" s="671" t="s">
        <v>38</v>
      </c>
      <c r="X80" s="671" t="s">
        <v>38</v>
      </c>
      <c r="AB80" s="671" t="s">
        <v>38</v>
      </c>
      <c r="AE80" s="671" t="s">
        <v>38</v>
      </c>
      <c r="AH80" s="671" t="s">
        <v>38</v>
      </c>
      <c r="AK80" s="671" t="s">
        <v>38</v>
      </c>
      <c r="AN80" s="671" t="s">
        <v>38</v>
      </c>
      <c r="AQ80" s="671" t="s">
        <v>38</v>
      </c>
      <c r="AR80" s="656" t="str">
        <f>Select_naics2022[[#This Row],[2022 NAICS Code]]&amp;":  "&amp;Select_naics2022[[#This Row],[2022 NAICS Title]]</f>
        <v>115310:  Support Activities for Forestry</v>
      </c>
      <c r="AS80" s="656">
        <v>115310</v>
      </c>
      <c r="AT80" s="656" t="s">
        <v>706</v>
      </c>
      <c r="AU80" s="656" t="str">
        <f>Select_naics2022[[#This Row],[2022 NAICS Title]]</f>
        <v>Support Activities for Forestry</v>
      </c>
      <c r="AY80" s="671" t="s">
        <v>38</v>
      </c>
      <c r="BB80" s="671" t="s">
        <v>38</v>
      </c>
      <c r="BE80" s="671" t="s">
        <v>38</v>
      </c>
      <c r="BH80" s="671" t="s">
        <v>38</v>
      </c>
      <c r="BK80" s="671" t="s">
        <v>38</v>
      </c>
      <c r="BN80" s="671" t="s">
        <v>38</v>
      </c>
      <c r="BQ80" s="671" t="s">
        <v>38</v>
      </c>
      <c r="BT80" s="671" t="s">
        <v>38</v>
      </c>
      <c r="BW80" s="671" t="s">
        <v>38</v>
      </c>
      <c r="BZ80" s="671" t="s">
        <v>38</v>
      </c>
    </row>
    <row r="81" spans="2:78" x14ac:dyDescent="0.25">
      <c r="B81" s="671" t="s">
        <v>38</v>
      </c>
      <c r="C81" s="55" t="s">
        <v>707</v>
      </c>
      <c r="E81" s="55">
        <f>pccount</f>
        <v>0</v>
      </c>
      <c r="F81" s="55" t="s">
        <v>101</v>
      </c>
      <c r="G81" s="55" t="s">
        <v>708</v>
      </c>
      <c r="I81" s="671" t="s">
        <v>38</v>
      </c>
      <c r="L81" s="671" t="s">
        <v>38</v>
      </c>
      <c r="O81" s="671" t="s">
        <v>38</v>
      </c>
      <c r="R81" s="671" t="s">
        <v>38</v>
      </c>
      <c r="U81" s="671" t="s">
        <v>38</v>
      </c>
      <c r="X81" s="671" t="s">
        <v>38</v>
      </c>
      <c r="AB81" s="671" t="s">
        <v>38</v>
      </c>
      <c r="AE81" s="671" t="s">
        <v>38</v>
      </c>
      <c r="AH81" s="671" t="s">
        <v>38</v>
      </c>
      <c r="AK81" s="671" t="s">
        <v>38</v>
      </c>
      <c r="AN81" s="671" t="s">
        <v>38</v>
      </c>
      <c r="AQ81" s="671" t="s">
        <v>38</v>
      </c>
      <c r="AR81" s="656" t="str">
        <f>Select_naics2022[[#This Row],[2022 NAICS Code]]&amp;":  "&amp;Select_naics2022[[#This Row],[2022 NAICS Title]]</f>
        <v>211120:  Crude Petroleum Extraction </v>
      </c>
      <c r="AS81" s="656">
        <v>211120</v>
      </c>
      <c r="AT81" s="656" t="s">
        <v>709</v>
      </c>
      <c r="AU81" s="656" t="str">
        <f>Select_naics2022[[#This Row],[2022 NAICS Title]]</f>
        <v>Crude Petroleum Extraction </v>
      </c>
      <c r="AY81" s="671" t="s">
        <v>38</v>
      </c>
      <c r="BB81" s="671" t="s">
        <v>38</v>
      </c>
      <c r="BE81" s="671" t="s">
        <v>38</v>
      </c>
      <c r="BH81" s="671" t="s">
        <v>38</v>
      </c>
      <c r="BK81" s="671" t="s">
        <v>38</v>
      </c>
      <c r="BN81" s="671" t="s">
        <v>38</v>
      </c>
      <c r="BQ81" s="671" t="s">
        <v>38</v>
      </c>
      <c r="BT81" s="671" t="s">
        <v>38</v>
      </c>
      <c r="BW81" s="671" t="s">
        <v>38</v>
      </c>
      <c r="BZ81" s="671" t="s">
        <v>38</v>
      </c>
    </row>
    <row r="82" spans="2:78" x14ac:dyDescent="0.25">
      <c r="B82" s="671" t="s">
        <v>38</v>
      </c>
      <c r="C82" s="55" t="s">
        <v>710</v>
      </c>
      <c r="E82" s="680">
        <f>S1_Class1Total</f>
        <v>0</v>
      </c>
      <c r="F82" s="55" t="s">
        <v>96</v>
      </c>
      <c r="I82" s="671" t="s">
        <v>38</v>
      </c>
      <c r="L82" s="671" t="s">
        <v>38</v>
      </c>
      <c r="O82" s="671" t="s">
        <v>38</v>
      </c>
      <c r="R82" s="671" t="s">
        <v>38</v>
      </c>
      <c r="U82" s="671" t="s">
        <v>38</v>
      </c>
      <c r="X82" s="671" t="s">
        <v>38</v>
      </c>
      <c r="AB82" s="671" t="s">
        <v>38</v>
      </c>
      <c r="AE82" s="671" t="s">
        <v>38</v>
      </c>
      <c r="AH82" s="671" t="s">
        <v>38</v>
      </c>
      <c r="AK82" s="671" t="s">
        <v>38</v>
      </c>
      <c r="AN82" s="671" t="s">
        <v>38</v>
      </c>
      <c r="AQ82" s="671" t="s">
        <v>38</v>
      </c>
      <c r="AR82" s="656" t="str">
        <f>Select_naics2022[[#This Row],[2022 NAICS Code]]&amp;":  "&amp;Select_naics2022[[#This Row],[2022 NAICS Title]]</f>
        <v xml:space="preserve">211130:  Natural Gas Extraction </v>
      </c>
      <c r="AS82" s="656">
        <v>211130</v>
      </c>
      <c r="AT82" s="656" t="s">
        <v>711</v>
      </c>
      <c r="AU82" s="656" t="str">
        <f>Select_naics2022[[#This Row],[2022 NAICS Title]]</f>
        <v xml:space="preserve">Natural Gas Extraction </v>
      </c>
      <c r="AY82" s="671" t="s">
        <v>38</v>
      </c>
      <c r="BB82" s="671" t="s">
        <v>38</v>
      </c>
      <c r="BE82" s="671" t="s">
        <v>38</v>
      </c>
      <c r="BH82" s="671" t="s">
        <v>38</v>
      </c>
      <c r="BK82" s="671" t="s">
        <v>38</v>
      </c>
      <c r="BN82" s="671" t="s">
        <v>38</v>
      </c>
      <c r="BQ82" s="671" t="s">
        <v>38</v>
      </c>
      <c r="BT82" s="671" t="s">
        <v>38</v>
      </c>
      <c r="BW82" s="671" t="s">
        <v>38</v>
      </c>
      <c r="BZ82" s="671" t="s">
        <v>38</v>
      </c>
    </row>
    <row r="83" spans="2:78" x14ac:dyDescent="0.25">
      <c r="B83" s="671" t="s">
        <v>38</v>
      </c>
      <c r="C83" s="55" t="s">
        <v>712</v>
      </c>
      <c r="E83" s="680">
        <f>S1_Class2Total</f>
        <v>0</v>
      </c>
      <c r="F83" s="55" t="s">
        <v>96</v>
      </c>
      <c r="I83" s="671" t="s">
        <v>38</v>
      </c>
      <c r="L83" s="671" t="s">
        <v>38</v>
      </c>
      <c r="O83" s="671" t="s">
        <v>38</v>
      </c>
      <c r="R83" s="671" t="s">
        <v>38</v>
      </c>
      <c r="U83" s="671" t="s">
        <v>38</v>
      </c>
      <c r="X83" s="671" t="s">
        <v>38</v>
      </c>
      <c r="AB83" s="671" t="s">
        <v>38</v>
      </c>
      <c r="AE83" s="671" t="s">
        <v>38</v>
      </c>
      <c r="AH83" s="671" t="s">
        <v>38</v>
      </c>
      <c r="AK83" s="671" t="s">
        <v>38</v>
      </c>
      <c r="AN83" s="671" t="s">
        <v>38</v>
      </c>
      <c r="AQ83" s="671" t="s">
        <v>38</v>
      </c>
      <c r="AR83" s="656" t="str">
        <f>Select_naics2022[[#This Row],[2022 NAICS Code]]&amp;":  "&amp;Select_naics2022[[#This Row],[2022 NAICS Title]]</f>
        <v xml:space="preserve">212114:  Surface Coal Mining </v>
      </c>
      <c r="AS83" s="656">
        <v>212114</v>
      </c>
      <c r="AT83" s="656" t="s">
        <v>713</v>
      </c>
      <c r="AU83" s="656" t="str">
        <f>Select_naics2022[[#This Row],[2022 NAICS Title]]</f>
        <v xml:space="preserve">Surface Coal Mining </v>
      </c>
      <c r="AY83" s="671" t="s">
        <v>38</v>
      </c>
      <c r="BB83" s="671" t="s">
        <v>38</v>
      </c>
      <c r="BE83" s="671" t="s">
        <v>38</v>
      </c>
      <c r="BH83" s="671" t="s">
        <v>38</v>
      </c>
      <c r="BK83" s="671" t="s">
        <v>38</v>
      </c>
      <c r="BN83" s="671" t="s">
        <v>38</v>
      </c>
      <c r="BQ83" s="671" t="s">
        <v>38</v>
      </c>
      <c r="BT83" s="671" t="s">
        <v>38</v>
      </c>
      <c r="BW83" s="671" t="s">
        <v>38</v>
      </c>
      <c r="BZ83" s="671" t="s">
        <v>38</v>
      </c>
    </row>
    <row r="84" spans="2:78" x14ac:dyDescent="0.25">
      <c r="B84" s="671" t="s">
        <v>38</v>
      </c>
      <c r="C84" s="55" t="s">
        <v>714</v>
      </c>
      <c r="E84" s="680">
        <f>S1_UnrealApp</f>
        <v>0</v>
      </c>
      <c r="F84" s="55" t="s">
        <v>96</v>
      </c>
      <c r="I84" s="671" t="s">
        <v>38</v>
      </c>
      <c r="L84" s="671" t="s">
        <v>38</v>
      </c>
      <c r="O84" s="671" t="s">
        <v>38</v>
      </c>
      <c r="R84" s="671" t="s">
        <v>38</v>
      </c>
      <c r="U84" s="671" t="s">
        <v>38</v>
      </c>
      <c r="X84" s="671" t="s">
        <v>38</v>
      </c>
      <c r="AB84" s="671" t="s">
        <v>38</v>
      </c>
      <c r="AE84" s="671" t="s">
        <v>38</v>
      </c>
      <c r="AH84" s="671" t="s">
        <v>38</v>
      </c>
      <c r="AK84" s="671" t="s">
        <v>38</v>
      </c>
      <c r="AN84" s="671" t="s">
        <v>38</v>
      </c>
      <c r="AQ84" s="671" t="s">
        <v>38</v>
      </c>
      <c r="AR84" s="656" t="str">
        <f>Select_naics2022[[#This Row],[2022 NAICS Code]]&amp;":  "&amp;Select_naics2022[[#This Row],[2022 NAICS Title]]</f>
        <v xml:space="preserve">212115:  Underground Coal Mining </v>
      </c>
      <c r="AS84" s="656">
        <v>212115</v>
      </c>
      <c r="AT84" s="656" t="s">
        <v>715</v>
      </c>
      <c r="AU84" s="656" t="str">
        <f>Select_naics2022[[#This Row],[2022 NAICS Title]]</f>
        <v xml:space="preserve">Underground Coal Mining </v>
      </c>
      <c r="AY84" s="671" t="s">
        <v>38</v>
      </c>
      <c r="BB84" s="671" t="s">
        <v>38</v>
      </c>
      <c r="BE84" s="671" t="s">
        <v>38</v>
      </c>
      <c r="BH84" s="671" t="s">
        <v>38</v>
      </c>
      <c r="BK84" s="671" t="s">
        <v>38</v>
      </c>
      <c r="BN84" s="671" t="s">
        <v>38</v>
      </c>
      <c r="BQ84" s="671" t="s">
        <v>38</v>
      </c>
      <c r="BT84" s="671" t="s">
        <v>38</v>
      </c>
      <c r="BW84" s="671" t="s">
        <v>38</v>
      </c>
      <c r="BZ84" s="671" t="s">
        <v>38</v>
      </c>
    </row>
    <row r="85" spans="2:78" x14ac:dyDescent="0.25">
      <c r="B85" s="671" t="s">
        <v>38</v>
      </c>
      <c r="C85" s="55" t="s">
        <v>716</v>
      </c>
      <c r="E85" s="680">
        <f>s1_unrealdep</f>
        <v>0</v>
      </c>
      <c r="F85" s="55" t="s">
        <v>96</v>
      </c>
      <c r="I85" s="671" t="s">
        <v>38</v>
      </c>
      <c r="L85" s="671" t="s">
        <v>38</v>
      </c>
      <c r="O85" s="671" t="s">
        <v>38</v>
      </c>
      <c r="R85" s="671" t="s">
        <v>38</v>
      </c>
      <c r="U85" s="671" t="s">
        <v>38</v>
      </c>
      <c r="X85" s="671" t="s">
        <v>38</v>
      </c>
      <c r="AB85" s="671" t="s">
        <v>38</v>
      </c>
      <c r="AE85" s="671" t="s">
        <v>38</v>
      </c>
      <c r="AH85" s="671" t="s">
        <v>38</v>
      </c>
      <c r="AK85" s="671" t="s">
        <v>38</v>
      </c>
      <c r="AN85" s="671" t="s">
        <v>38</v>
      </c>
      <c r="AQ85" s="671" t="s">
        <v>38</v>
      </c>
      <c r="AR85" s="656" t="str">
        <f>Select_naics2022[[#This Row],[2022 NAICS Code]]&amp;":  "&amp;Select_naics2022[[#This Row],[2022 NAICS Title]]</f>
        <v>212210:  Iron Ore Mining</v>
      </c>
      <c r="AS85" s="656">
        <v>212210</v>
      </c>
      <c r="AT85" s="656" t="s">
        <v>717</v>
      </c>
      <c r="AU85" s="656" t="str">
        <f>Select_naics2022[[#This Row],[2022 NAICS Title]]</f>
        <v>Iron Ore Mining</v>
      </c>
      <c r="AY85" s="671" t="s">
        <v>38</v>
      </c>
      <c r="BB85" s="671" t="s">
        <v>38</v>
      </c>
      <c r="BE85" s="671" t="s">
        <v>38</v>
      </c>
      <c r="BH85" s="671" t="s">
        <v>38</v>
      </c>
      <c r="BK85" s="671" t="s">
        <v>38</v>
      </c>
      <c r="BN85" s="671" t="s">
        <v>38</v>
      </c>
      <c r="BQ85" s="671" t="s">
        <v>38</v>
      </c>
      <c r="BT85" s="671" t="s">
        <v>38</v>
      </c>
      <c r="BW85" s="671" t="s">
        <v>38</v>
      </c>
      <c r="BZ85" s="671" t="s">
        <v>38</v>
      </c>
    </row>
    <row r="86" spans="2:78" x14ac:dyDescent="0.25">
      <c r="B86" s="671" t="s">
        <v>38</v>
      </c>
      <c r="C86" s="55" t="s">
        <v>718</v>
      </c>
      <c r="E86" s="680">
        <f>s3NC_includibleNC</f>
        <v>0</v>
      </c>
      <c r="F86" s="55" t="s">
        <v>719</v>
      </c>
      <c r="G86" s="55" t="s">
        <v>720</v>
      </c>
      <c r="I86" s="671" t="s">
        <v>38</v>
      </c>
      <c r="L86" s="671" t="s">
        <v>38</v>
      </c>
      <c r="O86" s="671" t="s">
        <v>38</v>
      </c>
      <c r="R86" s="671" t="s">
        <v>38</v>
      </c>
      <c r="U86" s="671" t="s">
        <v>38</v>
      </c>
      <c r="X86" s="671" t="s">
        <v>38</v>
      </c>
      <c r="AB86" s="671" t="s">
        <v>38</v>
      </c>
      <c r="AE86" s="671" t="s">
        <v>38</v>
      </c>
      <c r="AH86" s="671" t="s">
        <v>38</v>
      </c>
      <c r="AK86" s="671" t="s">
        <v>38</v>
      </c>
      <c r="AN86" s="671" t="s">
        <v>38</v>
      </c>
      <c r="AQ86" s="671" t="s">
        <v>38</v>
      </c>
      <c r="AR86" s="656" t="str">
        <f>Select_naics2022[[#This Row],[2022 NAICS Code]]&amp;":  "&amp;Select_naics2022[[#This Row],[2022 NAICS Title]]</f>
        <v xml:space="preserve">212220:  Gold Ore and Silver Ore Mining </v>
      </c>
      <c r="AS86" s="656">
        <v>212220</v>
      </c>
      <c r="AT86" s="656" t="s">
        <v>721</v>
      </c>
      <c r="AU86" s="656" t="str">
        <f>Select_naics2022[[#This Row],[2022 NAICS Title]]</f>
        <v xml:space="preserve">Gold Ore and Silver Ore Mining </v>
      </c>
      <c r="AY86" s="671" t="s">
        <v>38</v>
      </c>
      <c r="BB86" s="671" t="s">
        <v>38</v>
      </c>
      <c r="BE86" s="671" t="s">
        <v>38</v>
      </c>
      <c r="BH86" s="671" t="s">
        <v>38</v>
      </c>
      <c r="BK86" s="671" t="s">
        <v>38</v>
      </c>
      <c r="BN86" s="671" t="s">
        <v>38</v>
      </c>
      <c r="BQ86" s="671" t="s">
        <v>38</v>
      </c>
      <c r="BT86" s="671" t="s">
        <v>38</v>
      </c>
      <c r="BW86" s="671" t="s">
        <v>38</v>
      </c>
      <c r="BZ86" s="671" t="s">
        <v>38</v>
      </c>
    </row>
    <row r="87" spans="2:78" x14ac:dyDescent="0.25">
      <c r="B87" s="671" t="s">
        <v>38</v>
      </c>
      <c r="C87" s="55" t="s">
        <v>722</v>
      </c>
      <c r="E87" s="656">
        <f>CIPMax</f>
        <v>0</v>
      </c>
      <c r="F87" s="55" t="s">
        <v>704</v>
      </c>
      <c r="G87" s="55" t="s">
        <v>723</v>
      </c>
      <c r="H87" s="55">
        <v>3</v>
      </c>
      <c r="I87" s="671" t="s">
        <v>38</v>
      </c>
      <c r="L87" s="671" t="s">
        <v>38</v>
      </c>
      <c r="O87" s="671" t="s">
        <v>38</v>
      </c>
      <c r="R87" s="671" t="s">
        <v>38</v>
      </c>
      <c r="U87" s="671" t="s">
        <v>38</v>
      </c>
      <c r="X87" s="671" t="s">
        <v>38</v>
      </c>
      <c r="AB87" s="671" t="s">
        <v>38</v>
      </c>
      <c r="AE87" s="671" t="s">
        <v>38</v>
      </c>
      <c r="AH87" s="671" t="s">
        <v>38</v>
      </c>
      <c r="AK87" s="671" t="s">
        <v>38</v>
      </c>
      <c r="AN87" s="671" t="s">
        <v>38</v>
      </c>
      <c r="AQ87" s="671" t="s">
        <v>38</v>
      </c>
      <c r="AR87" s="656" t="str">
        <f>Select_naics2022[[#This Row],[2022 NAICS Code]]&amp;":  "&amp;Select_naics2022[[#This Row],[2022 NAICS Title]]</f>
        <v xml:space="preserve">212230:  Copper, Nickel, Lead, and Zinc Mining </v>
      </c>
      <c r="AS87" s="656">
        <v>212230</v>
      </c>
      <c r="AT87" s="656" t="s">
        <v>724</v>
      </c>
      <c r="AU87" s="656" t="str">
        <f>Select_naics2022[[#This Row],[2022 NAICS Title]]</f>
        <v xml:space="preserve">Copper, Nickel, Lead, and Zinc Mining </v>
      </c>
      <c r="AY87" s="671" t="s">
        <v>38</v>
      </c>
      <c r="BB87" s="671" t="s">
        <v>38</v>
      </c>
      <c r="BE87" s="671" t="s">
        <v>38</v>
      </c>
      <c r="BH87" s="671" t="s">
        <v>38</v>
      </c>
      <c r="BK87" s="671" t="s">
        <v>38</v>
      </c>
      <c r="BN87" s="671" t="s">
        <v>38</v>
      </c>
      <c r="BQ87" s="671" t="s">
        <v>38</v>
      </c>
      <c r="BT87" s="671" t="s">
        <v>38</v>
      </c>
      <c r="BW87" s="671" t="s">
        <v>38</v>
      </c>
      <c r="BZ87" s="671" t="s">
        <v>38</v>
      </c>
    </row>
    <row r="88" spans="2:78" x14ac:dyDescent="0.25">
      <c r="B88" s="671" t="s">
        <v>38</v>
      </c>
      <c r="C88" s="55" t="s">
        <v>725</v>
      </c>
      <c r="E88" s="656" cm="1">
        <f t="array" ref="E88">CIPCalc</f>
        <v>0</v>
      </c>
      <c r="F88" s="55" t="s">
        <v>704</v>
      </c>
      <c r="G88" s="55" t="s">
        <v>726</v>
      </c>
      <c r="H88" s="55">
        <v>2</v>
      </c>
      <c r="I88" s="671" t="s">
        <v>38</v>
      </c>
      <c r="L88" s="671" t="s">
        <v>38</v>
      </c>
      <c r="O88" s="671" t="s">
        <v>38</v>
      </c>
      <c r="R88" s="671" t="s">
        <v>38</v>
      </c>
      <c r="U88" s="671" t="s">
        <v>38</v>
      </c>
      <c r="X88" s="671" t="s">
        <v>38</v>
      </c>
      <c r="AB88" s="671" t="s">
        <v>38</v>
      </c>
      <c r="AE88" s="671" t="s">
        <v>38</v>
      </c>
      <c r="AH88" s="671" t="s">
        <v>38</v>
      </c>
      <c r="AK88" s="671" t="s">
        <v>38</v>
      </c>
      <c r="AN88" s="671" t="s">
        <v>38</v>
      </c>
      <c r="AQ88" s="671" t="s">
        <v>38</v>
      </c>
      <c r="AR88" s="656" t="str">
        <f>Select_naics2022[[#This Row],[2022 NAICS Code]]&amp;":  "&amp;Select_naics2022[[#This Row],[2022 NAICS Title]]</f>
        <v xml:space="preserve">212290:  Other Metal Ore Mining </v>
      </c>
      <c r="AS88" s="656">
        <v>212290</v>
      </c>
      <c r="AT88" s="656" t="s">
        <v>727</v>
      </c>
      <c r="AU88" s="656" t="str">
        <f>Select_naics2022[[#This Row],[2022 NAICS Title]]</f>
        <v xml:space="preserve">Other Metal Ore Mining </v>
      </c>
      <c r="AY88" s="671" t="s">
        <v>38</v>
      </c>
      <c r="BB88" s="671" t="s">
        <v>38</v>
      </c>
      <c r="BE88" s="671" t="s">
        <v>38</v>
      </c>
      <c r="BH88" s="671" t="s">
        <v>38</v>
      </c>
      <c r="BK88" s="671" t="s">
        <v>38</v>
      </c>
      <c r="BN88" s="671" t="s">
        <v>38</v>
      </c>
      <c r="BQ88" s="671" t="s">
        <v>38</v>
      </c>
      <c r="BT88" s="671" t="s">
        <v>38</v>
      </c>
      <c r="BW88" s="671" t="s">
        <v>38</v>
      </c>
      <c r="BZ88" s="671" t="s">
        <v>38</v>
      </c>
    </row>
    <row r="89" spans="2:78" x14ac:dyDescent="0.25">
      <c r="B89" s="671" t="s">
        <v>38</v>
      </c>
      <c r="C89" s="55" t="s">
        <v>728</v>
      </c>
      <c r="E89" s="656" cm="1">
        <f t="array" ref="E89">LCR</f>
        <v>0</v>
      </c>
      <c r="F89" s="55" t="s">
        <v>704</v>
      </c>
      <c r="G89" s="55" t="s">
        <v>729</v>
      </c>
      <c r="H89" s="55">
        <v>1</v>
      </c>
      <c r="I89" s="671" t="s">
        <v>38</v>
      </c>
      <c r="L89" s="671" t="s">
        <v>38</v>
      </c>
      <c r="O89" s="671" t="s">
        <v>38</v>
      </c>
      <c r="R89" s="671" t="s">
        <v>38</v>
      </c>
      <c r="U89" s="671" t="s">
        <v>38</v>
      </c>
      <c r="X89" s="671" t="s">
        <v>38</v>
      </c>
      <c r="AB89" s="671" t="s">
        <v>38</v>
      </c>
      <c r="AE89" s="671" t="s">
        <v>38</v>
      </c>
      <c r="AH89" s="671" t="s">
        <v>38</v>
      </c>
      <c r="AK89" s="671" t="s">
        <v>38</v>
      </c>
      <c r="AN89" s="671" t="s">
        <v>38</v>
      </c>
      <c r="AQ89" s="671" t="s">
        <v>38</v>
      </c>
      <c r="AR89" s="656" t="str">
        <f>Select_naics2022[[#This Row],[2022 NAICS Code]]&amp;":  "&amp;Select_naics2022[[#This Row],[2022 NAICS Title]]</f>
        <v xml:space="preserve">212311:  Dimension Stone Mining and Quarrying </v>
      </c>
      <c r="AS89" s="656">
        <v>212311</v>
      </c>
      <c r="AT89" s="656" t="s">
        <v>730</v>
      </c>
      <c r="AU89" s="656" t="str">
        <f>Select_naics2022[[#This Row],[2022 NAICS Title]]</f>
        <v xml:space="preserve">Dimension Stone Mining and Quarrying </v>
      </c>
      <c r="AY89" s="671" t="s">
        <v>38</v>
      </c>
      <c r="BB89" s="671" t="s">
        <v>38</v>
      </c>
      <c r="BE89" s="671" t="s">
        <v>38</v>
      </c>
      <c r="BH89" s="671" t="s">
        <v>38</v>
      </c>
      <c r="BK89" s="671" t="s">
        <v>38</v>
      </c>
      <c r="BN89" s="671" t="s">
        <v>38</v>
      </c>
      <c r="BQ89" s="671" t="s">
        <v>38</v>
      </c>
      <c r="BT89" s="671" t="s">
        <v>38</v>
      </c>
      <c r="BW89" s="671" t="s">
        <v>38</v>
      </c>
      <c r="BZ89" s="671" t="s">
        <v>38</v>
      </c>
    </row>
    <row r="90" spans="2:78" x14ac:dyDescent="0.25">
      <c r="B90" s="671" t="s">
        <v>38</v>
      </c>
      <c r="I90" s="671" t="s">
        <v>38</v>
      </c>
      <c r="L90" s="671" t="s">
        <v>38</v>
      </c>
      <c r="O90" s="671" t="s">
        <v>38</v>
      </c>
      <c r="R90" s="671" t="s">
        <v>38</v>
      </c>
      <c r="U90" s="671" t="s">
        <v>38</v>
      </c>
      <c r="X90" s="671" t="s">
        <v>38</v>
      </c>
      <c r="AB90" s="671" t="s">
        <v>38</v>
      </c>
      <c r="AE90" s="671" t="s">
        <v>38</v>
      </c>
      <c r="AH90" s="671" t="s">
        <v>38</v>
      </c>
      <c r="AK90" s="671" t="s">
        <v>38</v>
      </c>
      <c r="AN90" s="671" t="s">
        <v>38</v>
      </c>
      <c r="AQ90" s="671" t="s">
        <v>38</v>
      </c>
      <c r="AR90" s="656" t="str">
        <f>Select_naics2022[[#This Row],[2022 NAICS Code]]&amp;":  "&amp;Select_naics2022[[#This Row],[2022 NAICS Title]]</f>
        <v xml:space="preserve">212312:  Crushed and Broken Limestone Mining and Quarrying </v>
      </c>
      <c r="AS90" s="656">
        <v>212312</v>
      </c>
      <c r="AT90" s="656" t="s">
        <v>731</v>
      </c>
      <c r="AU90" s="656" t="str">
        <f>Select_naics2022[[#This Row],[2022 NAICS Title]]</f>
        <v xml:space="preserve">Crushed and Broken Limestone Mining and Quarrying </v>
      </c>
      <c r="AY90" s="671" t="s">
        <v>38</v>
      </c>
      <c r="BB90" s="671" t="s">
        <v>38</v>
      </c>
      <c r="BE90" s="671" t="s">
        <v>38</v>
      </c>
      <c r="BH90" s="671" t="s">
        <v>38</v>
      </c>
      <c r="BK90" s="671" t="s">
        <v>38</v>
      </c>
      <c r="BN90" s="671" t="s">
        <v>38</v>
      </c>
      <c r="BQ90" s="671" t="s">
        <v>38</v>
      </c>
      <c r="BT90" s="671" t="s">
        <v>38</v>
      </c>
      <c r="BW90" s="671" t="s">
        <v>38</v>
      </c>
      <c r="BZ90" s="671" t="s">
        <v>38</v>
      </c>
    </row>
    <row r="91" spans="2:78" x14ac:dyDescent="0.25">
      <c r="B91" s="671" t="s">
        <v>38</v>
      </c>
      <c r="I91" s="671" t="s">
        <v>38</v>
      </c>
      <c r="L91" s="671" t="s">
        <v>38</v>
      </c>
      <c r="O91" s="671" t="s">
        <v>38</v>
      </c>
      <c r="R91" s="671" t="s">
        <v>38</v>
      </c>
      <c r="U91" s="671" t="s">
        <v>38</v>
      </c>
      <c r="X91" s="671" t="s">
        <v>38</v>
      </c>
      <c r="AB91" s="671" t="s">
        <v>38</v>
      </c>
      <c r="AE91" s="671" t="s">
        <v>38</v>
      </c>
      <c r="AH91" s="671" t="s">
        <v>38</v>
      </c>
      <c r="AK91" s="671" t="s">
        <v>38</v>
      </c>
      <c r="AN91" s="671" t="s">
        <v>38</v>
      </c>
      <c r="AQ91" s="671" t="s">
        <v>38</v>
      </c>
      <c r="AR91" s="656" t="str">
        <f>Select_naics2022[[#This Row],[2022 NAICS Code]]&amp;":  "&amp;Select_naics2022[[#This Row],[2022 NAICS Title]]</f>
        <v xml:space="preserve">212313:  Crushed and Broken Granite Mining and Quarrying </v>
      </c>
      <c r="AS91" s="656">
        <v>212313</v>
      </c>
      <c r="AT91" s="656" t="s">
        <v>732</v>
      </c>
      <c r="AU91" s="656" t="str">
        <f>Select_naics2022[[#This Row],[2022 NAICS Title]]</f>
        <v xml:space="preserve">Crushed and Broken Granite Mining and Quarrying </v>
      </c>
      <c r="AY91" s="671" t="s">
        <v>38</v>
      </c>
      <c r="BB91" s="671" t="s">
        <v>38</v>
      </c>
      <c r="BE91" s="671" t="s">
        <v>38</v>
      </c>
      <c r="BH91" s="671" t="s">
        <v>38</v>
      </c>
      <c r="BK91" s="671" t="s">
        <v>38</v>
      </c>
      <c r="BN91" s="671" t="s">
        <v>38</v>
      </c>
      <c r="BQ91" s="671" t="s">
        <v>38</v>
      </c>
      <c r="BT91" s="671" t="s">
        <v>38</v>
      </c>
      <c r="BW91" s="671" t="s">
        <v>38</v>
      </c>
      <c r="BZ91" s="671" t="s">
        <v>38</v>
      </c>
    </row>
    <row r="92" spans="2:78" x14ac:dyDescent="0.25">
      <c r="B92" s="671" t="s">
        <v>38</v>
      </c>
      <c r="I92" s="671" t="s">
        <v>38</v>
      </c>
      <c r="L92" s="671" t="s">
        <v>38</v>
      </c>
      <c r="O92" s="671" t="s">
        <v>38</v>
      </c>
      <c r="R92" s="671" t="s">
        <v>38</v>
      </c>
      <c r="U92" s="671" t="s">
        <v>38</v>
      </c>
      <c r="X92" s="671" t="s">
        <v>38</v>
      </c>
      <c r="AB92" s="671" t="s">
        <v>38</v>
      </c>
      <c r="AE92" s="671" t="s">
        <v>38</v>
      </c>
      <c r="AH92" s="671" t="s">
        <v>38</v>
      </c>
      <c r="AK92" s="671" t="s">
        <v>38</v>
      </c>
      <c r="AN92" s="671" t="s">
        <v>38</v>
      </c>
      <c r="AQ92" s="671" t="s">
        <v>38</v>
      </c>
      <c r="AR92" s="656" t="str">
        <f>Select_naics2022[[#This Row],[2022 NAICS Code]]&amp;":  "&amp;Select_naics2022[[#This Row],[2022 NAICS Title]]</f>
        <v xml:space="preserve">212319:  Other Crushed and Broken Stone Mining and Quarrying </v>
      </c>
      <c r="AS92" s="656">
        <v>212319</v>
      </c>
      <c r="AT92" s="656" t="s">
        <v>733</v>
      </c>
      <c r="AU92" s="656" t="str">
        <f>Select_naics2022[[#This Row],[2022 NAICS Title]]</f>
        <v xml:space="preserve">Other Crushed and Broken Stone Mining and Quarrying </v>
      </c>
      <c r="AY92" s="671" t="s">
        <v>38</v>
      </c>
      <c r="BB92" s="671" t="s">
        <v>38</v>
      </c>
      <c r="BE92" s="671" t="s">
        <v>38</v>
      </c>
      <c r="BH92" s="671" t="s">
        <v>38</v>
      </c>
      <c r="BK92" s="671" t="s">
        <v>38</v>
      </c>
      <c r="BN92" s="671" t="s">
        <v>38</v>
      </c>
      <c r="BQ92" s="671" t="s">
        <v>38</v>
      </c>
      <c r="BT92" s="671" t="s">
        <v>38</v>
      </c>
      <c r="BW92" s="671" t="s">
        <v>38</v>
      </c>
      <c r="BZ92" s="671" t="s">
        <v>38</v>
      </c>
    </row>
    <row r="93" spans="2:78" x14ac:dyDescent="0.25">
      <c r="B93" s="671" t="s">
        <v>38</v>
      </c>
      <c r="I93" s="671" t="s">
        <v>38</v>
      </c>
      <c r="L93" s="671" t="s">
        <v>38</v>
      </c>
      <c r="O93" s="671" t="s">
        <v>38</v>
      </c>
      <c r="R93" s="671" t="s">
        <v>38</v>
      </c>
      <c r="U93" s="671" t="s">
        <v>38</v>
      </c>
      <c r="X93" s="671" t="s">
        <v>38</v>
      </c>
      <c r="AB93" s="671" t="s">
        <v>38</v>
      </c>
      <c r="AE93" s="671" t="s">
        <v>38</v>
      </c>
      <c r="AH93" s="671" t="s">
        <v>38</v>
      </c>
      <c r="AK93" s="671" t="s">
        <v>38</v>
      </c>
      <c r="AN93" s="671" t="s">
        <v>38</v>
      </c>
      <c r="AQ93" s="671" t="s">
        <v>38</v>
      </c>
      <c r="AR93" s="656" t="str">
        <f>Select_naics2022[[#This Row],[2022 NAICS Code]]&amp;":  "&amp;Select_naics2022[[#This Row],[2022 NAICS Title]]</f>
        <v xml:space="preserve">212321:  Construction Sand and Gravel Mining </v>
      </c>
      <c r="AS93" s="656">
        <v>212321</v>
      </c>
      <c r="AT93" s="656" t="s">
        <v>734</v>
      </c>
      <c r="AU93" s="656" t="str">
        <f>Select_naics2022[[#This Row],[2022 NAICS Title]]</f>
        <v xml:space="preserve">Construction Sand and Gravel Mining </v>
      </c>
      <c r="AY93" s="671" t="s">
        <v>38</v>
      </c>
      <c r="BB93" s="671" t="s">
        <v>38</v>
      </c>
      <c r="BE93" s="671" t="s">
        <v>38</v>
      </c>
      <c r="BH93" s="671" t="s">
        <v>38</v>
      </c>
      <c r="BK93" s="671" t="s">
        <v>38</v>
      </c>
      <c r="BN93" s="671" t="s">
        <v>38</v>
      </c>
      <c r="BQ93" s="671" t="s">
        <v>38</v>
      </c>
      <c r="BT93" s="671" t="s">
        <v>38</v>
      </c>
      <c r="BW93" s="671" t="s">
        <v>38</v>
      </c>
      <c r="BZ93" s="671" t="s">
        <v>38</v>
      </c>
    </row>
    <row r="94" spans="2:78" x14ac:dyDescent="0.25">
      <c r="B94" s="671" t="s">
        <v>38</v>
      </c>
      <c r="I94" s="671" t="s">
        <v>38</v>
      </c>
      <c r="L94" s="671" t="s">
        <v>38</v>
      </c>
      <c r="O94" s="671" t="s">
        <v>38</v>
      </c>
      <c r="R94" s="671" t="s">
        <v>38</v>
      </c>
      <c r="U94" s="671" t="s">
        <v>38</v>
      </c>
      <c r="X94" s="671" t="s">
        <v>38</v>
      </c>
      <c r="AB94" s="671" t="s">
        <v>38</v>
      </c>
      <c r="AE94" s="671" t="s">
        <v>38</v>
      </c>
      <c r="AH94" s="671" t="s">
        <v>38</v>
      </c>
      <c r="AK94" s="671" t="s">
        <v>38</v>
      </c>
      <c r="AN94" s="671" t="s">
        <v>38</v>
      </c>
      <c r="AQ94" s="671" t="s">
        <v>38</v>
      </c>
      <c r="AR94" s="656" t="str">
        <f>Select_naics2022[[#This Row],[2022 NAICS Code]]&amp;":  "&amp;Select_naics2022[[#This Row],[2022 NAICS Title]]</f>
        <v xml:space="preserve">212322:  Industrial Sand Mining </v>
      </c>
      <c r="AS94" s="656">
        <v>212322</v>
      </c>
      <c r="AT94" s="656" t="s">
        <v>735</v>
      </c>
      <c r="AU94" s="656" t="str">
        <f>Select_naics2022[[#This Row],[2022 NAICS Title]]</f>
        <v xml:space="preserve">Industrial Sand Mining </v>
      </c>
      <c r="AY94" s="671" t="s">
        <v>38</v>
      </c>
      <c r="BB94" s="671" t="s">
        <v>38</v>
      </c>
      <c r="BE94" s="671" t="s">
        <v>38</v>
      </c>
      <c r="BH94" s="671" t="s">
        <v>38</v>
      </c>
      <c r="BK94" s="671" t="s">
        <v>38</v>
      </c>
      <c r="BN94" s="671" t="s">
        <v>38</v>
      </c>
      <c r="BQ94" s="671" t="s">
        <v>38</v>
      </c>
      <c r="BT94" s="671" t="s">
        <v>38</v>
      </c>
      <c r="BW94" s="671" t="s">
        <v>38</v>
      </c>
      <c r="BZ94" s="671" t="s">
        <v>38</v>
      </c>
    </row>
    <row r="95" spans="2:78" x14ac:dyDescent="0.25">
      <c r="B95" s="671" t="s">
        <v>38</v>
      </c>
      <c r="I95" s="671" t="s">
        <v>38</v>
      </c>
      <c r="L95" s="671" t="s">
        <v>38</v>
      </c>
      <c r="O95" s="671" t="s">
        <v>38</v>
      </c>
      <c r="R95" s="671" t="s">
        <v>38</v>
      </c>
      <c r="U95" s="671" t="s">
        <v>38</v>
      </c>
      <c r="X95" s="671" t="s">
        <v>38</v>
      </c>
      <c r="AB95" s="671" t="s">
        <v>38</v>
      </c>
      <c r="AE95" s="671" t="s">
        <v>38</v>
      </c>
      <c r="AH95" s="671" t="s">
        <v>38</v>
      </c>
      <c r="AK95" s="671" t="s">
        <v>38</v>
      </c>
      <c r="AN95" s="671" t="s">
        <v>38</v>
      </c>
      <c r="AQ95" s="671" t="s">
        <v>38</v>
      </c>
      <c r="AR95" s="656" t="str">
        <f>Select_naics2022[[#This Row],[2022 NAICS Code]]&amp;":  "&amp;Select_naics2022[[#This Row],[2022 NAICS Title]]</f>
        <v xml:space="preserve">212323:  Kaolin, Clay, and Ceramic and Refractory Minerals Mining </v>
      </c>
      <c r="AS95" s="656">
        <v>212323</v>
      </c>
      <c r="AT95" s="656" t="s">
        <v>736</v>
      </c>
      <c r="AU95" s="656" t="str">
        <f>Select_naics2022[[#This Row],[2022 NAICS Title]]</f>
        <v xml:space="preserve">Kaolin, Clay, and Ceramic and Refractory Minerals Mining </v>
      </c>
      <c r="AY95" s="671" t="s">
        <v>38</v>
      </c>
      <c r="BB95" s="671" t="s">
        <v>38</v>
      </c>
      <c r="BE95" s="671" t="s">
        <v>38</v>
      </c>
      <c r="BH95" s="671" t="s">
        <v>38</v>
      </c>
      <c r="BK95" s="671" t="s">
        <v>38</v>
      </c>
      <c r="BN95" s="671" t="s">
        <v>38</v>
      </c>
      <c r="BQ95" s="671" t="s">
        <v>38</v>
      </c>
      <c r="BT95" s="671" t="s">
        <v>38</v>
      </c>
      <c r="BW95" s="671" t="s">
        <v>38</v>
      </c>
      <c r="BZ95" s="671" t="s">
        <v>38</v>
      </c>
    </row>
    <row r="96" spans="2:78" x14ac:dyDescent="0.25">
      <c r="B96" s="671" t="s">
        <v>38</v>
      </c>
      <c r="I96" s="671" t="s">
        <v>38</v>
      </c>
      <c r="L96" s="671" t="s">
        <v>38</v>
      </c>
      <c r="O96" s="671" t="s">
        <v>38</v>
      </c>
      <c r="R96" s="671" t="s">
        <v>38</v>
      </c>
      <c r="U96" s="671" t="s">
        <v>38</v>
      </c>
      <c r="X96" s="671" t="s">
        <v>38</v>
      </c>
      <c r="AB96" s="671" t="s">
        <v>38</v>
      </c>
      <c r="AE96" s="671" t="s">
        <v>38</v>
      </c>
      <c r="AH96" s="671" t="s">
        <v>38</v>
      </c>
      <c r="AK96" s="671" t="s">
        <v>38</v>
      </c>
      <c r="AN96" s="671" t="s">
        <v>38</v>
      </c>
      <c r="AQ96" s="671" t="s">
        <v>38</v>
      </c>
      <c r="AR96" s="656" t="str">
        <f>Select_naics2022[[#This Row],[2022 NAICS Code]]&amp;":  "&amp;Select_naics2022[[#This Row],[2022 NAICS Title]]</f>
        <v xml:space="preserve">212390:  Other Nonmetallic Mineral Mining and Quarrying </v>
      </c>
      <c r="AS96" s="656">
        <v>212390</v>
      </c>
      <c r="AT96" s="656" t="s">
        <v>737</v>
      </c>
      <c r="AU96" s="656" t="str">
        <f>Select_naics2022[[#This Row],[2022 NAICS Title]]</f>
        <v xml:space="preserve">Other Nonmetallic Mineral Mining and Quarrying </v>
      </c>
      <c r="AY96" s="671" t="s">
        <v>38</v>
      </c>
      <c r="BB96" s="671" t="s">
        <v>38</v>
      </c>
      <c r="BE96" s="671" t="s">
        <v>38</v>
      </c>
      <c r="BH96" s="671" t="s">
        <v>38</v>
      </c>
      <c r="BK96" s="671" t="s">
        <v>38</v>
      </c>
      <c r="BN96" s="671" t="s">
        <v>38</v>
      </c>
      <c r="BQ96" s="671" t="s">
        <v>38</v>
      </c>
      <c r="BT96" s="671" t="s">
        <v>38</v>
      </c>
      <c r="BW96" s="671" t="s">
        <v>38</v>
      </c>
      <c r="BZ96" s="671" t="s">
        <v>38</v>
      </c>
    </row>
    <row r="97" spans="2:78" x14ac:dyDescent="0.25">
      <c r="B97" s="671" t="s">
        <v>38</v>
      </c>
      <c r="I97" s="671" t="s">
        <v>38</v>
      </c>
      <c r="L97" s="671" t="s">
        <v>38</v>
      </c>
      <c r="O97" s="671" t="s">
        <v>38</v>
      </c>
      <c r="R97" s="671" t="s">
        <v>38</v>
      </c>
      <c r="U97" s="671" t="s">
        <v>38</v>
      </c>
      <c r="X97" s="671" t="s">
        <v>38</v>
      </c>
      <c r="AB97" s="671" t="s">
        <v>38</v>
      </c>
      <c r="AE97" s="671" t="s">
        <v>38</v>
      </c>
      <c r="AH97" s="671" t="s">
        <v>38</v>
      </c>
      <c r="AK97" s="671" t="s">
        <v>38</v>
      </c>
      <c r="AN97" s="671" t="s">
        <v>38</v>
      </c>
      <c r="AQ97" s="671" t="s">
        <v>38</v>
      </c>
      <c r="AR97" s="656" t="str">
        <f>Select_naics2022[[#This Row],[2022 NAICS Code]]&amp;":  "&amp;Select_naics2022[[#This Row],[2022 NAICS Title]]</f>
        <v>213111:  Drilling Oil and Gas Wells</v>
      </c>
      <c r="AS97" s="656">
        <v>213111</v>
      </c>
      <c r="AT97" s="656" t="s">
        <v>738</v>
      </c>
      <c r="AU97" s="656" t="str">
        <f>Select_naics2022[[#This Row],[2022 NAICS Title]]</f>
        <v>Drilling Oil and Gas Wells</v>
      </c>
      <c r="AY97" s="671" t="s">
        <v>38</v>
      </c>
      <c r="BB97" s="671" t="s">
        <v>38</v>
      </c>
      <c r="BE97" s="671" t="s">
        <v>38</v>
      </c>
      <c r="BH97" s="671" t="s">
        <v>38</v>
      </c>
      <c r="BK97" s="671" t="s">
        <v>38</v>
      </c>
      <c r="BN97" s="671" t="s">
        <v>38</v>
      </c>
      <c r="BQ97" s="671" t="s">
        <v>38</v>
      </c>
      <c r="BT97" s="671" t="s">
        <v>38</v>
      </c>
      <c r="BW97" s="671" t="s">
        <v>38</v>
      </c>
      <c r="BZ97" s="671" t="s">
        <v>38</v>
      </c>
    </row>
    <row r="98" spans="2:78" x14ac:dyDescent="0.25">
      <c r="B98" s="671" t="s">
        <v>38</v>
      </c>
      <c r="I98" s="671" t="s">
        <v>38</v>
      </c>
      <c r="L98" s="671" t="s">
        <v>38</v>
      </c>
      <c r="O98" s="671" t="s">
        <v>38</v>
      </c>
      <c r="R98" s="671" t="s">
        <v>38</v>
      </c>
      <c r="U98" s="671" t="s">
        <v>38</v>
      </c>
      <c r="X98" s="671" t="s">
        <v>38</v>
      </c>
      <c r="AB98" s="671" t="s">
        <v>38</v>
      </c>
      <c r="AE98" s="671" t="s">
        <v>38</v>
      </c>
      <c r="AH98" s="671" t="s">
        <v>38</v>
      </c>
      <c r="AK98" s="671" t="s">
        <v>38</v>
      </c>
      <c r="AN98" s="671" t="s">
        <v>38</v>
      </c>
      <c r="AQ98" s="671" t="s">
        <v>38</v>
      </c>
      <c r="AR98" s="656" t="str">
        <f>Select_naics2022[[#This Row],[2022 NAICS Code]]&amp;":  "&amp;Select_naics2022[[#This Row],[2022 NAICS Title]]</f>
        <v xml:space="preserve">213112:  Support Activities for Oil and Gas Operations </v>
      </c>
      <c r="AS98" s="656">
        <v>213112</v>
      </c>
      <c r="AT98" s="656" t="s">
        <v>739</v>
      </c>
      <c r="AU98" s="656" t="str">
        <f>Select_naics2022[[#This Row],[2022 NAICS Title]]</f>
        <v xml:space="preserve">Support Activities for Oil and Gas Operations </v>
      </c>
      <c r="AY98" s="671" t="s">
        <v>38</v>
      </c>
      <c r="BB98" s="671" t="s">
        <v>38</v>
      </c>
      <c r="BE98" s="671" t="s">
        <v>38</v>
      </c>
      <c r="BH98" s="671" t="s">
        <v>38</v>
      </c>
      <c r="BK98" s="671" t="s">
        <v>38</v>
      </c>
      <c r="BN98" s="671" t="s">
        <v>38</v>
      </c>
      <c r="BQ98" s="671" t="s">
        <v>38</v>
      </c>
      <c r="BT98" s="671" t="s">
        <v>38</v>
      </c>
      <c r="BW98" s="671" t="s">
        <v>38</v>
      </c>
      <c r="BZ98" s="671" t="s">
        <v>38</v>
      </c>
    </row>
    <row r="99" spans="2:78" x14ac:dyDescent="0.25">
      <c r="B99" s="671" t="s">
        <v>38</v>
      </c>
      <c r="I99" s="671" t="s">
        <v>38</v>
      </c>
      <c r="L99" s="671" t="s">
        <v>38</v>
      </c>
      <c r="O99" s="671" t="s">
        <v>38</v>
      </c>
      <c r="R99" s="671" t="s">
        <v>38</v>
      </c>
      <c r="U99" s="671" t="s">
        <v>38</v>
      </c>
      <c r="X99" s="671" t="s">
        <v>38</v>
      </c>
      <c r="AB99" s="671" t="s">
        <v>38</v>
      </c>
      <c r="AE99" s="671" t="s">
        <v>38</v>
      </c>
      <c r="AH99" s="671" t="s">
        <v>38</v>
      </c>
      <c r="AK99" s="671" t="s">
        <v>38</v>
      </c>
      <c r="AN99" s="671" t="s">
        <v>38</v>
      </c>
      <c r="AQ99" s="671" t="s">
        <v>38</v>
      </c>
      <c r="AR99" s="656" t="str">
        <f>Select_naics2022[[#This Row],[2022 NAICS Code]]&amp;":  "&amp;Select_naics2022[[#This Row],[2022 NAICS Title]]</f>
        <v xml:space="preserve">213113:  Support Activities for Coal Mining </v>
      </c>
      <c r="AS99" s="656">
        <v>213113</v>
      </c>
      <c r="AT99" s="656" t="s">
        <v>740</v>
      </c>
      <c r="AU99" s="656" t="str">
        <f>Select_naics2022[[#This Row],[2022 NAICS Title]]</f>
        <v xml:space="preserve">Support Activities for Coal Mining </v>
      </c>
      <c r="AY99" s="671" t="s">
        <v>38</v>
      </c>
      <c r="BB99" s="671" t="s">
        <v>38</v>
      </c>
      <c r="BE99" s="671" t="s">
        <v>38</v>
      </c>
      <c r="BH99" s="671" t="s">
        <v>38</v>
      </c>
      <c r="BK99" s="671" t="s">
        <v>38</v>
      </c>
      <c r="BN99" s="671" t="s">
        <v>38</v>
      </c>
      <c r="BQ99" s="671" t="s">
        <v>38</v>
      </c>
      <c r="BT99" s="671" t="s">
        <v>38</v>
      </c>
      <c r="BW99" s="671" t="s">
        <v>38</v>
      </c>
      <c r="BZ99" s="671" t="s">
        <v>38</v>
      </c>
    </row>
    <row r="100" spans="2:78" x14ac:dyDescent="0.25">
      <c r="B100" s="671" t="s">
        <v>38</v>
      </c>
      <c r="I100" s="671" t="s">
        <v>38</v>
      </c>
      <c r="L100" s="671" t="s">
        <v>38</v>
      </c>
      <c r="O100" s="671" t="s">
        <v>38</v>
      </c>
      <c r="R100" s="671" t="s">
        <v>38</v>
      </c>
      <c r="U100" s="671" t="s">
        <v>38</v>
      </c>
      <c r="X100" s="671" t="s">
        <v>38</v>
      </c>
      <c r="AB100" s="671" t="s">
        <v>38</v>
      </c>
      <c r="AE100" s="671" t="s">
        <v>38</v>
      </c>
      <c r="AH100" s="671" t="s">
        <v>38</v>
      </c>
      <c r="AK100" s="671" t="s">
        <v>38</v>
      </c>
      <c r="AN100" s="671" t="s">
        <v>38</v>
      </c>
      <c r="AQ100" s="671" t="s">
        <v>38</v>
      </c>
      <c r="AR100" s="656" t="str">
        <f>Select_naics2022[[#This Row],[2022 NAICS Code]]&amp;":  "&amp;Select_naics2022[[#This Row],[2022 NAICS Title]]</f>
        <v xml:space="preserve">213114:  Support Activities for Metal Mining </v>
      </c>
      <c r="AS100" s="656">
        <v>213114</v>
      </c>
      <c r="AT100" s="656" t="s">
        <v>741</v>
      </c>
      <c r="AU100" s="656" t="str">
        <f>Select_naics2022[[#This Row],[2022 NAICS Title]]</f>
        <v xml:space="preserve">Support Activities for Metal Mining </v>
      </c>
      <c r="AY100" s="671" t="s">
        <v>38</v>
      </c>
      <c r="BB100" s="671" t="s">
        <v>38</v>
      </c>
      <c r="BE100" s="671" t="s">
        <v>38</v>
      </c>
      <c r="BH100" s="671" t="s">
        <v>38</v>
      </c>
      <c r="BK100" s="671" t="s">
        <v>38</v>
      </c>
      <c r="BN100" s="671" t="s">
        <v>38</v>
      </c>
      <c r="BQ100" s="671" t="s">
        <v>38</v>
      </c>
      <c r="BT100" s="671" t="s">
        <v>38</v>
      </c>
      <c r="BW100" s="671" t="s">
        <v>38</v>
      </c>
      <c r="BZ100" s="671" t="s">
        <v>38</v>
      </c>
    </row>
    <row r="101" spans="2:78" x14ac:dyDescent="0.25">
      <c r="B101" s="671" t="s">
        <v>38</v>
      </c>
      <c r="I101" s="671" t="s">
        <v>38</v>
      </c>
      <c r="L101" s="671" t="s">
        <v>38</v>
      </c>
      <c r="O101" s="671" t="s">
        <v>38</v>
      </c>
      <c r="R101" s="671" t="s">
        <v>38</v>
      </c>
      <c r="U101" s="671" t="s">
        <v>38</v>
      </c>
      <c r="X101" s="671" t="s">
        <v>38</v>
      </c>
      <c r="AB101" s="671" t="s">
        <v>38</v>
      </c>
      <c r="AE101" s="671" t="s">
        <v>38</v>
      </c>
      <c r="AH101" s="671" t="s">
        <v>38</v>
      </c>
      <c r="AK101" s="671" t="s">
        <v>38</v>
      </c>
      <c r="AN101" s="671" t="s">
        <v>38</v>
      </c>
      <c r="AQ101" s="671" t="s">
        <v>38</v>
      </c>
      <c r="AR101" s="656" t="str">
        <f>Select_naics2022[[#This Row],[2022 NAICS Code]]&amp;":  "&amp;Select_naics2022[[#This Row],[2022 NAICS Title]]</f>
        <v xml:space="preserve">213115:  Support Activities for Nonmetallic Minerals (except Fuels) Mining </v>
      </c>
      <c r="AS101" s="656">
        <v>213115</v>
      </c>
      <c r="AT101" s="656" t="s">
        <v>742</v>
      </c>
      <c r="AU101" s="656" t="str">
        <f>Select_naics2022[[#This Row],[2022 NAICS Title]]</f>
        <v xml:space="preserve">Support Activities for Nonmetallic Minerals (except Fuels) Mining </v>
      </c>
      <c r="AY101" s="671" t="s">
        <v>38</v>
      </c>
      <c r="BB101" s="671" t="s">
        <v>38</v>
      </c>
      <c r="BE101" s="671" t="s">
        <v>38</v>
      </c>
      <c r="BH101" s="671" t="s">
        <v>38</v>
      </c>
      <c r="BK101" s="671" t="s">
        <v>38</v>
      </c>
      <c r="BN101" s="671" t="s">
        <v>38</v>
      </c>
      <c r="BQ101" s="671" t="s">
        <v>38</v>
      </c>
      <c r="BT101" s="671" t="s">
        <v>38</v>
      </c>
      <c r="BW101" s="671" t="s">
        <v>38</v>
      </c>
      <c r="BZ101" s="671" t="s">
        <v>38</v>
      </c>
    </row>
    <row r="102" spans="2:78" x14ac:dyDescent="0.25">
      <c r="B102" s="671" t="s">
        <v>38</v>
      </c>
      <c r="I102" s="671" t="s">
        <v>38</v>
      </c>
      <c r="L102" s="671" t="s">
        <v>38</v>
      </c>
      <c r="O102" s="671" t="s">
        <v>38</v>
      </c>
      <c r="R102" s="671" t="s">
        <v>38</v>
      </c>
      <c r="U102" s="671" t="s">
        <v>38</v>
      </c>
      <c r="X102" s="671" t="s">
        <v>38</v>
      </c>
      <c r="AB102" s="671" t="s">
        <v>38</v>
      </c>
      <c r="AE102" s="671" t="s">
        <v>38</v>
      </c>
      <c r="AH102" s="671" t="s">
        <v>38</v>
      </c>
      <c r="AK102" s="671" t="s">
        <v>38</v>
      </c>
      <c r="AN102" s="671" t="s">
        <v>38</v>
      </c>
      <c r="AQ102" s="671" t="s">
        <v>38</v>
      </c>
      <c r="AR102" s="656" t="str">
        <f>Select_naics2022[[#This Row],[2022 NAICS Code]]&amp;":  "&amp;Select_naics2022[[#This Row],[2022 NAICS Title]]</f>
        <v xml:space="preserve">221111:  Hydroelectric Power Generation </v>
      </c>
      <c r="AS102" s="656">
        <v>221111</v>
      </c>
      <c r="AT102" s="656" t="s">
        <v>743</v>
      </c>
      <c r="AU102" s="656" t="str">
        <f>Select_naics2022[[#This Row],[2022 NAICS Title]]</f>
        <v xml:space="preserve">Hydroelectric Power Generation </v>
      </c>
      <c r="AY102" s="671" t="s">
        <v>38</v>
      </c>
      <c r="BB102" s="671" t="s">
        <v>38</v>
      </c>
      <c r="BE102" s="671" t="s">
        <v>38</v>
      </c>
      <c r="BH102" s="671" t="s">
        <v>38</v>
      </c>
      <c r="BK102" s="671" t="s">
        <v>38</v>
      </c>
      <c r="BN102" s="671" t="s">
        <v>38</v>
      </c>
      <c r="BQ102" s="671" t="s">
        <v>38</v>
      </c>
      <c r="BT102" s="671" t="s">
        <v>38</v>
      </c>
      <c r="BW102" s="671" t="s">
        <v>38</v>
      </c>
      <c r="BZ102" s="671" t="s">
        <v>38</v>
      </c>
    </row>
    <row r="103" spans="2:78" x14ac:dyDescent="0.25">
      <c r="B103" s="671" t="s">
        <v>38</v>
      </c>
      <c r="I103" s="671" t="s">
        <v>38</v>
      </c>
      <c r="L103" s="671" t="s">
        <v>38</v>
      </c>
      <c r="O103" s="671" t="s">
        <v>38</v>
      </c>
      <c r="R103" s="671" t="s">
        <v>38</v>
      </c>
      <c r="U103" s="671" t="s">
        <v>38</v>
      </c>
      <c r="X103" s="671" t="s">
        <v>38</v>
      </c>
      <c r="AB103" s="671" t="s">
        <v>38</v>
      </c>
      <c r="AE103" s="671" t="s">
        <v>38</v>
      </c>
      <c r="AH103" s="671" t="s">
        <v>38</v>
      </c>
      <c r="AK103" s="671" t="s">
        <v>38</v>
      </c>
      <c r="AN103" s="671" t="s">
        <v>38</v>
      </c>
      <c r="AQ103" s="671" t="s">
        <v>38</v>
      </c>
      <c r="AR103" s="656" t="str">
        <f>Select_naics2022[[#This Row],[2022 NAICS Code]]&amp;":  "&amp;Select_naics2022[[#This Row],[2022 NAICS Title]]</f>
        <v xml:space="preserve">221112:  Fossil Fuel Electric Power Generation </v>
      </c>
      <c r="AS103" s="656">
        <v>221112</v>
      </c>
      <c r="AT103" s="656" t="s">
        <v>744</v>
      </c>
      <c r="AU103" s="656" t="str">
        <f>Select_naics2022[[#This Row],[2022 NAICS Title]]</f>
        <v xml:space="preserve">Fossil Fuel Electric Power Generation </v>
      </c>
      <c r="AY103" s="671" t="s">
        <v>38</v>
      </c>
      <c r="BB103" s="671" t="s">
        <v>38</v>
      </c>
      <c r="BE103" s="671" t="s">
        <v>38</v>
      </c>
      <c r="BH103" s="671" t="s">
        <v>38</v>
      </c>
      <c r="BK103" s="671" t="s">
        <v>38</v>
      </c>
      <c r="BN103" s="671" t="s">
        <v>38</v>
      </c>
      <c r="BQ103" s="671" t="s">
        <v>38</v>
      </c>
      <c r="BT103" s="671" t="s">
        <v>38</v>
      </c>
      <c r="BW103" s="671" t="s">
        <v>38</v>
      </c>
      <c r="BZ103" s="671" t="s">
        <v>38</v>
      </c>
    </row>
    <row r="104" spans="2:78" x14ac:dyDescent="0.25">
      <c r="B104" s="671" t="s">
        <v>38</v>
      </c>
      <c r="I104" s="671" t="s">
        <v>38</v>
      </c>
      <c r="L104" s="671" t="s">
        <v>38</v>
      </c>
      <c r="O104" s="671" t="s">
        <v>38</v>
      </c>
      <c r="R104" s="671" t="s">
        <v>38</v>
      </c>
      <c r="U104" s="671" t="s">
        <v>38</v>
      </c>
      <c r="X104" s="671" t="s">
        <v>38</v>
      </c>
      <c r="AB104" s="671" t="s">
        <v>38</v>
      </c>
      <c r="AE104" s="671" t="s">
        <v>38</v>
      </c>
      <c r="AH104" s="671" t="s">
        <v>38</v>
      </c>
      <c r="AK104" s="671" t="s">
        <v>38</v>
      </c>
      <c r="AN104" s="671" t="s">
        <v>38</v>
      </c>
      <c r="AQ104" s="671" t="s">
        <v>38</v>
      </c>
      <c r="AR104" s="656" t="str">
        <f>Select_naics2022[[#This Row],[2022 NAICS Code]]&amp;":  "&amp;Select_naics2022[[#This Row],[2022 NAICS Title]]</f>
        <v xml:space="preserve">221113:  Nuclear Electric Power Generation </v>
      </c>
      <c r="AS104" s="656">
        <v>221113</v>
      </c>
      <c r="AT104" s="656" t="s">
        <v>745</v>
      </c>
      <c r="AU104" s="656" t="str">
        <f>Select_naics2022[[#This Row],[2022 NAICS Title]]</f>
        <v xml:space="preserve">Nuclear Electric Power Generation </v>
      </c>
      <c r="AY104" s="671" t="s">
        <v>38</v>
      </c>
      <c r="BB104" s="671" t="s">
        <v>38</v>
      </c>
      <c r="BE104" s="671" t="s">
        <v>38</v>
      </c>
      <c r="BH104" s="671" t="s">
        <v>38</v>
      </c>
      <c r="BK104" s="671" t="s">
        <v>38</v>
      </c>
      <c r="BN104" s="671" t="s">
        <v>38</v>
      </c>
      <c r="BQ104" s="671" t="s">
        <v>38</v>
      </c>
      <c r="BT104" s="671" t="s">
        <v>38</v>
      </c>
      <c r="BW104" s="671" t="s">
        <v>38</v>
      </c>
      <c r="BZ104" s="671" t="s">
        <v>38</v>
      </c>
    </row>
    <row r="105" spans="2:78" x14ac:dyDescent="0.25">
      <c r="B105" s="671" t="s">
        <v>38</v>
      </c>
      <c r="I105" s="671" t="s">
        <v>38</v>
      </c>
      <c r="L105" s="671" t="s">
        <v>38</v>
      </c>
      <c r="O105" s="671" t="s">
        <v>38</v>
      </c>
      <c r="R105" s="671" t="s">
        <v>38</v>
      </c>
      <c r="U105" s="671" t="s">
        <v>38</v>
      </c>
      <c r="X105" s="671" t="s">
        <v>38</v>
      </c>
      <c r="AB105" s="671" t="s">
        <v>38</v>
      </c>
      <c r="AE105" s="671" t="s">
        <v>38</v>
      </c>
      <c r="AH105" s="671" t="s">
        <v>38</v>
      </c>
      <c r="AK105" s="671" t="s">
        <v>38</v>
      </c>
      <c r="AN105" s="671" t="s">
        <v>38</v>
      </c>
      <c r="AQ105" s="671" t="s">
        <v>38</v>
      </c>
      <c r="AR105" s="656" t="str">
        <f>Select_naics2022[[#This Row],[2022 NAICS Code]]&amp;":  "&amp;Select_naics2022[[#This Row],[2022 NAICS Title]]</f>
        <v xml:space="preserve">221114:  Solar Electric Power Generation </v>
      </c>
      <c r="AS105" s="656">
        <v>221114</v>
      </c>
      <c r="AT105" s="656" t="s">
        <v>746</v>
      </c>
      <c r="AU105" s="656" t="str">
        <f>Select_naics2022[[#This Row],[2022 NAICS Title]]</f>
        <v xml:space="preserve">Solar Electric Power Generation </v>
      </c>
      <c r="AY105" s="671" t="s">
        <v>38</v>
      </c>
      <c r="BB105" s="671" t="s">
        <v>38</v>
      </c>
      <c r="BE105" s="671" t="s">
        <v>38</v>
      </c>
      <c r="BH105" s="671" t="s">
        <v>38</v>
      </c>
      <c r="BK105" s="671" t="s">
        <v>38</v>
      </c>
      <c r="BN105" s="671" t="s">
        <v>38</v>
      </c>
      <c r="BQ105" s="671" t="s">
        <v>38</v>
      </c>
      <c r="BT105" s="671" t="s">
        <v>38</v>
      </c>
      <c r="BW105" s="671" t="s">
        <v>38</v>
      </c>
      <c r="BZ105" s="671" t="s">
        <v>38</v>
      </c>
    </row>
    <row r="106" spans="2:78" x14ac:dyDescent="0.25">
      <c r="B106" s="671" t="s">
        <v>38</v>
      </c>
      <c r="I106" s="671" t="s">
        <v>38</v>
      </c>
      <c r="L106" s="671" t="s">
        <v>38</v>
      </c>
      <c r="O106" s="671" t="s">
        <v>38</v>
      </c>
      <c r="R106" s="671" t="s">
        <v>38</v>
      </c>
      <c r="U106" s="671" t="s">
        <v>38</v>
      </c>
      <c r="X106" s="671" t="s">
        <v>38</v>
      </c>
      <c r="AB106" s="671" t="s">
        <v>38</v>
      </c>
      <c r="AE106" s="671" t="s">
        <v>38</v>
      </c>
      <c r="AH106" s="671" t="s">
        <v>38</v>
      </c>
      <c r="AK106" s="671" t="s">
        <v>38</v>
      </c>
      <c r="AN106" s="671" t="s">
        <v>38</v>
      </c>
      <c r="AQ106" s="671" t="s">
        <v>38</v>
      </c>
      <c r="AR106" s="656" t="str">
        <f>Select_naics2022[[#This Row],[2022 NAICS Code]]&amp;":  "&amp;Select_naics2022[[#This Row],[2022 NAICS Title]]</f>
        <v xml:space="preserve">221115:  Wind Electric Power Generation </v>
      </c>
      <c r="AS106" s="656">
        <v>221115</v>
      </c>
      <c r="AT106" s="656" t="s">
        <v>747</v>
      </c>
      <c r="AU106" s="656" t="str">
        <f>Select_naics2022[[#This Row],[2022 NAICS Title]]</f>
        <v xml:space="preserve">Wind Electric Power Generation </v>
      </c>
      <c r="AY106" s="671" t="s">
        <v>38</v>
      </c>
      <c r="BB106" s="671" t="s">
        <v>38</v>
      </c>
      <c r="BE106" s="671" t="s">
        <v>38</v>
      </c>
      <c r="BH106" s="671" t="s">
        <v>38</v>
      </c>
      <c r="BK106" s="671" t="s">
        <v>38</v>
      </c>
      <c r="BN106" s="671" t="s">
        <v>38</v>
      </c>
      <c r="BQ106" s="671" t="s">
        <v>38</v>
      </c>
      <c r="BT106" s="671" t="s">
        <v>38</v>
      </c>
      <c r="BW106" s="671" t="s">
        <v>38</v>
      </c>
      <c r="BZ106" s="671" t="s">
        <v>38</v>
      </c>
    </row>
    <row r="107" spans="2:78" x14ac:dyDescent="0.25">
      <c r="B107" s="671" t="s">
        <v>38</v>
      </c>
      <c r="I107" s="671" t="s">
        <v>38</v>
      </c>
      <c r="L107" s="671" t="s">
        <v>38</v>
      </c>
      <c r="O107" s="671" t="s">
        <v>38</v>
      </c>
      <c r="R107" s="671" t="s">
        <v>38</v>
      </c>
      <c r="U107" s="671" t="s">
        <v>38</v>
      </c>
      <c r="X107" s="671" t="s">
        <v>38</v>
      </c>
      <c r="AB107" s="671" t="s">
        <v>38</v>
      </c>
      <c r="AE107" s="671" t="s">
        <v>38</v>
      </c>
      <c r="AH107" s="671" t="s">
        <v>38</v>
      </c>
      <c r="AK107" s="671" t="s">
        <v>38</v>
      </c>
      <c r="AN107" s="671" t="s">
        <v>38</v>
      </c>
      <c r="AQ107" s="671" t="s">
        <v>38</v>
      </c>
      <c r="AR107" s="656" t="str">
        <f>Select_naics2022[[#This Row],[2022 NAICS Code]]&amp;":  "&amp;Select_naics2022[[#This Row],[2022 NAICS Title]]</f>
        <v xml:space="preserve">221116:  Geothermal Electric Power Generation </v>
      </c>
      <c r="AS107" s="656">
        <v>221116</v>
      </c>
      <c r="AT107" s="656" t="s">
        <v>748</v>
      </c>
      <c r="AU107" s="656" t="str">
        <f>Select_naics2022[[#This Row],[2022 NAICS Title]]</f>
        <v xml:space="preserve">Geothermal Electric Power Generation </v>
      </c>
      <c r="AY107" s="671" t="s">
        <v>38</v>
      </c>
      <c r="BB107" s="671" t="s">
        <v>38</v>
      </c>
      <c r="BE107" s="671" t="s">
        <v>38</v>
      </c>
      <c r="BH107" s="671" t="s">
        <v>38</v>
      </c>
      <c r="BK107" s="671" t="s">
        <v>38</v>
      </c>
      <c r="BN107" s="671" t="s">
        <v>38</v>
      </c>
      <c r="BQ107" s="671" t="s">
        <v>38</v>
      </c>
      <c r="BT107" s="671" t="s">
        <v>38</v>
      </c>
      <c r="BW107" s="671" t="s">
        <v>38</v>
      </c>
      <c r="BZ107" s="671" t="s">
        <v>38</v>
      </c>
    </row>
    <row r="108" spans="2:78" x14ac:dyDescent="0.25">
      <c r="B108" s="671" t="s">
        <v>38</v>
      </c>
      <c r="I108" s="671" t="s">
        <v>38</v>
      </c>
      <c r="L108" s="671" t="s">
        <v>38</v>
      </c>
      <c r="O108" s="671" t="s">
        <v>38</v>
      </c>
      <c r="R108" s="671" t="s">
        <v>38</v>
      </c>
      <c r="U108" s="671" t="s">
        <v>38</v>
      </c>
      <c r="X108" s="671" t="s">
        <v>38</v>
      </c>
      <c r="AB108" s="671" t="s">
        <v>38</v>
      </c>
      <c r="AE108" s="671" t="s">
        <v>38</v>
      </c>
      <c r="AH108" s="671" t="s">
        <v>38</v>
      </c>
      <c r="AK108" s="671" t="s">
        <v>38</v>
      </c>
      <c r="AN108" s="671" t="s">
        <v>38</v>
      </c>
      <c r="AQ108" s="671" t="s">
        <v>38</v>
      </c>
      <c r="AR108" s="656" t="str">
        <f>Select_naics2022[[#This Row],[2022 NAICS Code]]&amp;":  "&amp;Select_naics2022[[#This Row],[2022 NAICS Title]]</f>
        <v xml:space="preserve">221117:  Biomass Electric Power Generation </v>
      </c>
      <c r="AS108" s="656">
        <v>221117</v>
      </c>
      <c r="AT108" s="656" t="s">
        <v>749</v>
      </c>
      <c r="AU108" s="656" t="str">
        <f>Select_naics2022[[#This Row],[2022 NAICS Title]]</f>
        <v xml:space="preserve">Biomass Electric Power Generation </v>
      </c>
      <c r="AY108" s="671" t="s">
        <v>38</v>
      </c>
      <c r="BB108" s="671" t="s">
        <v>38</v>
      </c>
      <c r="BE108" s="671" t="s">
        <v>38</v>
      </c>
      <c r="BH108" s="671" t="s">
        <v>38</v>
      </c>
      <c r="BK108" s="671" t="s">
        <v>38</v>
      </c>
      <c r="BN108" s="671" t="s">
        <v>38</v>
      </c>
      <c r="BQ108" s="671" t="s">
        <v>38</v>
      </c>
      <c r="BT108" s="671" t="s">
        <v>38</v>
      </c>
      <c r="BW108" s="671" t="s">
        <v>38</v>
      </c>
      <c r="BZ108" s="671" t="s">
        <v>38</v>
      </c>
    </row>
    <row r="109" spans="2:78" x14ac:dyDescent="0.25">
      <c r="B109" s="671" t="s">
        <v>38</v>
      </c>
      <c r="I109" s="671" t="s">
        <v>38</v>
      </c>
      <c r="L109" s="671" t="s">
        <v>38</v>
      </c>
      <c r="O109" s="671" t="s">
        <v>38</v>
      </c>
      <c r="R109" s="671" t="s">
        <v>38</v>
      </c>
      <c r="U109" s="671" t="s">
        <v>38</v>
      </c>
      <c r="X109" s="671" t="s">
        <v>38</v>
      </c>
      <c r="AB109" s="671" t="s">
        <v>38</v>
      </c>
      <c r="AE109" s="671" t="s">
        <v>38</v>
      </c>
      <c r="AH109" s="671" t="s">
        <v>38</v>
      </c>
      <c r="AK109" s="671" t="s">
        <v>38</v>
      </c>
      <c r="AN109" s="671" t="s">
        <v>38</v>
      </c>
      <c r="AQ109" s="671" t="s">
        <v>38</v>
      </c>
      <c r="AR109" s="656" t="str">
        <f>Select_naics2022[[#This Row],[2022 NAICS Code]]&amp;":  "&amp;Select_naics2022[[#This Row],[2022 NAICS Title]]</f>
        <v xml:space="preserve">221118:  Other Electric Power Generation </v>
      </c>
      <c r="AS109" s="656">
        <v>221118</v>
      </c>
      <c r="AT109" s="656" t="s">
        <v>750</v>
      </c>
      <c r="AU109" s="656" t="str">
        <f>Select_naics2022[[#This Row],[2022 NAICS Title]]</f>
        <v xml:space="preserve">Other Electric Power Generation </v>
      </c>
      <c r="AY109" s="671" t="s">
        <v>38</v>
      </c>
      <c r="BB109" s="671" t="s">
        <v>38</v>
      </c>
      <c r="BE109" s="671" t="s">
        <v>38</v>
      </c>
      <c r="BH109" s="671" t="s">
        <v>38</v>
      </c>
      <c r="BK109" s="671" t="s">
        <v>38</v>
      </c>
      <c r="BN109" s="671" t="s">
        <v>38</v>
      </c>
      <c r="BQ109" s="671" t="s">
        <v>38</v>
      </c>
      <c r="BT109" s="671" t="s">
        <v>38</v>
      </c>
      <c r="BW109" s="671" t="s">
        <v>38</v>
      </c>
      <c r="BZ109" s="671" t="s">
        <v>38</v>
      </c>
    </row>
    <row r="110" spans="2:78" x14ac:dyDescent="0.25">
      <c r="B110" s="671" t="s">
        <v>38</v>
      </c>
      <c r="I110" s="671" t="s">
        <v>38</v>
      </c>
      <c r="L110" s="671" t="s">
        <v>38</v>
      </c>
      <c r="O110" s="671" t="s">
        <v>38</v>
      </c>
      <c r="R110" s="671" t="s">
        <v>38</v>
      </c>
      <c r="U110" s="671" t="s">
        <v>38</v>
      </c>
      <c r="X110" s="671" t="s">
        <v>38</v>
      </c>
      <c r="AB110" s="671" t="s">
        <v>38</v>
      </c>
      <c r="AE110" s="671" t="s">
        <v>38</v>
      </c>
      <c r="AH110" s="671" t="s">
        <v>38</v>
      </c>
      <c r="AK110" s="671" t="s">
        <v>38</v>
      </c>
      <c r="AN110" s="671" t="s">
        <v>38</v>
      </c>
      <c r="AQ110" s="671" t="s">
        <v>38</v>
      </c>
      <c r="AR110" s="656" t="str">
        <f>Select_naics2022[[#This Row],[2022 NAICS Code]]&amp;":  "&amp;Select_naics2022[[#This Row],[2022 NAICS Title]]</f>
        <v xml:space="preserve">221121:  Electric Bulk Power Transmission and Control </v>
      </c>
      <c r="AS110" s="656">
        <v>221121</v>
      </c>
      <c r="AT110" s="656" t="s">
        <v>751</v>
      </c>
      <c r="AU110" s="656" t="str">
        <f>Select_naics2022[[#This Row],[2022 NAICS Title]]</f>
        <v xml:space="preserve">Electric Bulk Power Transmission and Control </v>
      </c>
      <c r="AY110" s="671" t="s">
        <v>38</v>
      </c>
      <c r="BB110" s="671" t="s">
        <v>38</v>
      </c>
      <c r="BE110" s="671" t="s">
        <v>38</v>
      </c>
      <c r="BH110" s="671" t="s">
        <v>38</v>
      </c>
      <c r="BK110" s="671" t="s">
        <v>38</v>
      </c>
      <c r="BN110" s="671" t="s">
        <v>38</v>
      </c>
      <c r="BQ110" s="671" t="s">
        <v>38</v>
      </c>
      <c r="BT110" s="671" t="s">
        <v>38</v>
      </c>
      <c r="BW110" s="671" t="s">
        <v>38</v>
      </c>
      <c r="BZ110" s="671" t="s">
        <v>38</v>
      </c>
    </row>
    <row r="111" spans="2:78" x14ac:dyDescent="0.25">
      <c r="B111" s="671" t="s">
        <v>38</v>
      </c>
      <c r="I111" s="671" t="s">
        <v>38</v>
      </c>
      <c r="L111" s="671" t="s">
        <v>38</v>
      </c>
      <c r="O111" s="671" t="s">
        <v>38</v>
      </c>
      <c r="R111" s="671" t="s">
        <v>38</v>
      </c>
      <c r="U111" s="671" t="s">
        <v>38</v>
      </c>
      <c r="X111" s="671" t="s">
        <v>38</v>
      </c>
      <c r="AB111" s="671" t="s">
        <v>38</v>
      </c>
      <c r="AE111" s="671" t="s">
        <v>38</v>
      </c>
      <c r="AH111" s="671" t="s">
        <v>38</v>
      </c>
      <c r="AK111" s="671" t="s">
        <v>38</v>
      </c>
      <c r="AN111" s="671" t="s">
        <v>38</v>
      </c>
      <c r="AQ111" s="671" t="s">
        <v>38</v>
      </c>
      <c r="AR111" s="656" t="str">
        <f>Select_naics2022[[#This Row],[2022 NAICS Code]]&amp;":  "&amp;Select_naics2022[[#This Row],[2022 NAICS Title]]</f>
        <v xml:space="preserve">221122:  Electric Power Distribution </v>
      </c>
      <c r="AS111" s="656">
        <v>221122</v>
      </c>
      <c r="AT111" s="656" t="s">
        <v>752</v>
      </c>
      <c r="AU111" s="656" t="str">
        <f>Select_naics2022[[#This Row],[2022 NAICS Title]]</f>
        <v xml:space="preserve">Electric Power Distribution </v>
      </c>
      <c r="AY111" s="671" t="s">
        <v>38</v>
      </c>
      <c r="BB111" s="671" t="s">
        <v>38</v>
      </c>
      <c r="BE111" s="671" t="s">
        <v>38</v>
      </c>
      <c r="BH111" s="671" t="s">
        <v>38</v>
      </c>
      <c r="BK111" s="671" t="s">
        <v>38</v>
      </c>
      <c r="BN111" s="671" t="s">
        <v>38</v>
      </c>
      <c r="BQ111" s="671" t="s">
        <v>38</v>
      </c>
      <c r="BT111" s="671" t="s">
        <v>38</v>
      </c>
      <c r="BW111" s="671" t="s">
        <v>38</v>
      </c>
      <c r="BZ111" s="671" t="s">
        <v>38</v>
      </c>
    </row>
    <row r="112" spans="2:78" x14ac:dyDescent="0.25">
      <c r="B112" s="671" t="s">
        <v>38</v>
      </c>
      <c r="I112" s="671" t="s">
        <v>38</v>
      </c>
      <c r="L112" s="671" t="s">
        <v>38</v>
      </c>
      <c r="O112" s="671" t="s">
        <v>38</v>
      </c>
      <c r="R112" s="671" t="s">
        <v>38</v>
      </c>
      <c r="U112" s="671" t="s">
        <v>38</v>
      </c>
      <c r="X112" s="671" t="s">
        <v>38</v>
      </c>
      <c r="AB112" s="671" t="s">
        <v>38</v>
      </c>
      <c r="AE112" s="671" t="s">
        <v>38</v>
      </c>
      <c r="AH112" s="671" t="s">
        <v>38</v>
      </c>
      <c r="AK112" s="671" t="s">
        <v>38</v>
      </c>
      <c r="AN112" s="671" t="s">
        <v>38</v>
      </c>
      <c r="AQ112" s="671" t="s">
        <v>38</v>
      </c>
      <c r="AR112" s="656" t="str">
        <f>Select_naics2022[[#This Row],[2022 NAICS Code]]&amp;":  "&amp;Select_naics2022[[#This Row],[2022 NAICS Title]]</f>
        <v xml:space="preserve">221210:  Natural Gas Distribution </v>
      </c>
      <c r="AS112" s="656">
        <v>221210</v>
      </c>
      <c r="AT112" s="656" t="s">
        <v>753</v>
      </c>
      <c r="AU112" s="656" t="str">
        <f>Select_naics2022[[#This Row],[2022 NAICS Title]]</f>
        <v xml:space="preserve">Natural Gas Distribution </v>
      </c>
      <c r="AY112" s="671" t="s">
        <v>38</v>
      </c>
      <c r="BB112" s="671" t="s">
        <v>38</v>
      </c>
      <c r="BE112" s="671" t="s">
        <v>38</v>
      </c>
      <c r="BH112" s="671" t="s">
        <v>38</v>
      </c>
      <c r="BK112" s="671" t="s">
        <v>38</v>
      </c>
      <c r="BN112" s="671" t="s">
        <v>38</v>
      </c>
      <c r="BQ112" s="671" t="s">
        <v>38</v>
      </c>
      <c r="BT112" s="671" t="s">
        <v>38</v>
      </c>
      <c r="BW112" s="671" t="s">
        <v>38</v>
      </c>
      <c r="BZ112" s="671" t="s">
        <v>38</v>
      </c>
    </row>
    <row r="113" spans="2:78" x14ac:dyDescent="0.25">
      <c r="B113" s="671" t="s">
        <v>38</v>
      </c>
      <c r="I113" s="671" t="s">
        <v>38</v>
      </c>
      <c r="L113" s="671" t="s">
        <v>38</v>
      </c>
      <c r="O113" s="671" t="s">
        <v>38</v>
      </c>
      <c r="R113" s="671" t="s">
        <v>38</v>
      </c>
      <c r="U113" s="671" t="s">
        <v>38</v>
      </c>
      <c r="X113" s="671" t="s">
        <v>38</v>
      </c>
      <c r="AB113" s="671" t="s">
        <v>38</v>
      </c>
      <c r="AE113" s="671" t="s">
        <v>38</v>
      </c>
      <c r="AH113" s="671" t="s">
        <v>38</v>
      </c>
      <c r="AK113" s="671" t="s">
        <v>38</v>
      </c>
      <c r="AN113" s="671" t="s">
        <v>38</v>
      </c>
      <c r="AQ113" s="671" t="s">
        <v>38</v>
      </c>
      <c r="AR113" s="656" t="str">
        <f>Select_naics2022[[#This Row],[2022 NAICS Code]]&amp;":  "&amp;Select_naics2022[[#This Row],[2022 NAICS Title]]</f>
        <v xml:space="preserve">221310:  Water Supply and Irrigation Systems </v>
      </c>
      <c r="AS113" s="656">
        <v>221310</v>
      </c>
      <c r="AT113" s="656" t="s">
        <v>754</v>
      </c>
      <c r="AU113" s="656" t="str">
        <f>Select_naics2022[[#This Row],[2022 NAICS Title]]</f>
        <v xml:space="preserve">Water Supply and Irrigation Systems </v>
      </c>
      <c r="AY113" s="671" t="s">
        <v>38</v>
      </c>
      <c r="BB113" s="671" t="s">
        <v>38</v>
      </c>
      <c r="BE113" s="671" t="s">
        <v>38</v>
      </c>
      <c r="BH113" s="671" t="s">
        <v>38</v>
      </c>
      <c r="BK113" s="671" t="s">
        <v>38</v>
      </c>
      <c r="BN113" s="671" t="s">
        <v>38</v>
      </c>
      <c r="BQ113" s="671" t="s">
        <v>38</v>
      </c>
      <c r="BT113" s="671" t="s">
        <v>38</v>
      </c>
      <c r="BW113" s="671" t="s">
        <v>38</v>
      </c>
      <c r="BZ113" s="671" t="s">
        <v>38</v>
      </c>
    </row>
    <row r="114" spans="2:78" x14ac:dyDescent="0.25">
      <c r="B114" s="671" t="s">
        <v>38</v>
      </c>
      <c r="I114" s="671" t="s">
        <v>38</v>
      </c>
      <c r="L114" s="671" t="s">
        <v>38</v>
      </c>
      <c r="O114" s="671" t="s">
        <v>38</v>
      </c>
      <c r="R114" s="671" t="s">
        <v>38</v>
      </c>
      <c r="U114" s="671" t="s">
        <v>38</v>
      </c>
      <c r="X114" s="671" t="s">
        <v>38</v>
      </c>
      <c r="AB114" s="671" t="s">
        <v>38</v>
      </c>
      <c r="AE114" s="671" t="s">
        <v>38</v>
      </c>
      <c r="AH114" s="671" t="s">
        <v>38</v>
      </c>
      <c r="AK114" s="671" t="s">
        <v>38</v>
      </c>
      <c r="AN114" s="671" t="s">
        <v>38</v>
      </c>
      <c r="AQ114" s="671" t="s">
        <v>38</v>
      </c>
      <c r="AR114" s="656" t="str">
        <f>Select_naics2022[[#This Row],[2022 NAICS Code]]&amp;":  "&amp;Select_naics2022[[#This Row],[2022 NAICS Title]]</f>
        <v xml:space="preserve">221320:  Sewage Treatment Facilities </v>
      </c>
      <c r="AS114" s="656">
        <v>221320</v>
      </c>
      <c r="AT114" s="656" t="s">
        <v>755</v>
      </c>
      <c r="AU114" s="656" t="str">
        <f>Select_naics2022[[#This Row],[2022 NAICS Title]]</f>
        <v xml:space="preserve">Sewage Treatment Facilities </v>
      </c>
      <c r="AY114" s="671" t="s">
        <v>38</v>
      </c>
      <c r="BB114" s="671" t="s">
        <v>38</v>
      </c>
      <c r="BE114" s="671" t="s">
        <v>38</v>
      </c>
      <c r="BH114" s="671" t="s">
        <v>38</v>
      </c>
      <c r="BK114" s="671" t="s">
        <v>38</v>
      </c>
      <c r="BN114" s="671" t="s">
        <v>38</v>
      </c>
      <c r="BQ114" s="671" t="s">
        <v>38</v>
      </c>
      <c r="BT114" s="671" t="s">
        <v>38</v>
      </c>
      <c r="BW114" s="671" t="s">
        <v>38</v>
      </c>
      <c r="BZ114" s="671" t="s">
        <v>38</v>
      </c>
    </row>
    <row r="115" spans="2:78" x14ac:dyDescent="0.25">
      <c r="B115" s="671" t="s">
        <v>38</v>
      </c>
      <c r="I115" s="671" t="s">
        <v>38</v>
      </c>
      <c r="L115" s="671" t="s">
        <v>38</v>
      </c>
      <c r="O115" s="671" t="s">
        <v>38</v>
      </c>
      <c r="R115" s="671" t="s">
        <v>38</v>
      </c>
      <c r="U115" s="671" t="s">
        <v>38</v>
      </c>
      <c r="X115" s="671" t="s">
        <v>38</v>
      </c>
      <c r="AB115" s="671" t="s">
        <v>38</v>
      </c>
      <c r="AE115" s="671" t="s">
        <v>38</v>
      </c>
      <c r="AH115" s="671" t="s">
        <v>38</v>
      </c>
      <c r="AK115" s="671" t="s">
        <v>38</v>
      </c>
      <c r="AN115" s="671" t="s">
        <v>38</v>
      </c>
      <c r="AQ115" s="671" t="s">
        <v>38</v>
      </c>
      <c r="AR115" s="656" t="str">
        <f>Select_naics2022[[#This Row],[2022 NAICS Code]]&amp;":  "&amp;Select_naics2022[[#This Row],[2022 NAICS Title]]</f>
        <v xml:space="preserve">221330:  Steam and Air-Conditioning Supply </v>
      </c>
      <c r="AS115" s="656">
        <v>221330</v>
      </c>
      <c r="AT115" s="656" t="s">
        <v>756</v>
      </c>
      <c r="AU115" s="656" t="str">
        <f>Select_naics2022[[#This Row],[2022 NAICS Title]]</f>
        <v xml:space="preserve">Steam and Air-Conditioning Supply </v>
      </c>
      <c r="AY115" s="671" t="s">
        <v>38</v>
      </c>
      <c r="BB115" s="671" t="s">
        <v>38</v>
      </c>
      <c r="BE115" s="671" t="s">
        <v>38</v>
      </c>
      <c r="BH115" s="671" t="s">
        <v>38</v>
      </c>
      <c r="BK115" s="671" t="s">
        <v>38</v>
      </c>
      <c r="BN115" s="671" t="s">
        <v>38</v>
      </c>
      <c r="BQ115" s="671" t="s">
        <v>38</v>
      </c>
      <c r="BT115" s="671" t="s">
        <v>38</v>
      </c>
      <c r="BW115" s="671" t="s">
        <v>38</v>
      </c>
      <c r="BZ115" s="671" t="s">
        <v>38</v>
      </c>
    </row>
    <row r="116" spans="2:78" x14ac:dyDescent="0.25">
      <c r="B116" s="671" t="s">
        <v>38</v>
      </c>
      <c r="I116" s="671" t="s">
        <v>38</v>
      </c>
      <c r="L116" s="671" t="s">
        <v>38</v>
      </c>
      <c r="O116" s="671" t="s">
        <v>38</v>
      </c>
      <c r="R116" s="671" t="s">
        <v>38</v>
      </c>
      <c r="U116" s="671" t="s">
        <v>38</v>
      </c>
      <c r="X116" s="671" t="s">
        <v>38</v>
      </c>
      <c r="AB116" s="671" t="s">
        <v>38</v>
      </c>
      <c r="AE116" s="671" t="s">
        <v>38</v>
      </c>
      <c r="AH116" s="671" t="s">
        <v>38</v>
      </c>
      <c r="AK116" s="671" t="s">
        <v>38</v>
      </c>
      <c r="AN116" s="671" t="s">
        <v>38</v>
      </c>
      <c r="AQ116" s="671" t="s">
        <v>38</v>
      </c>
      <c r="AR116" s="656" t="str">
        <f>Select_naics2022[[#This Row],[2022 NAICS Code]]&amp;":  "&amp;Select_naics2022[[#This Row],[2022 NAICS Title]]</f>
        <v xml:space="preserve">236115:  New Single-Family Housing Construction (except For-Sale Builders) </v>
      </c>
      <c r="AS116" s="656">
        <v>236115</v>
      </c>
      <c r="AT116" s="656" t="s">
        <v>757</v>
      </c>
      <c r="AU116" s="656" t="str">
        <f>Select_naics2022[[#This Row],[2022 NAICS Title]]</f>
        <v xml:space="preserve">New Single-Family Housing Construction (except For-Sale Builders) </v>
      </c>
      <c r="AY116" s="671" t="s">
        <v>38</v>
      </c>
      <c r="BB116" s="671" t="s">
        <v>38</v>
      </c>
      <c r="BE116" s="671" t="s">
        <v>38</v>
      </c>
      <c r="BH116" s="671" t="s">
        <v>38</v>
      </c>
      <c r="BK116" s="671" t="s">
        <v>38</v>
      </c>
      <c r="BN116" s="671" t="s">
        <v>38</v>
      </c>
      <c r="BQ116" s="671" t="s">
        <v>38</v>
      </c>
      <c r="BT116" s="671" t="s">
        <v>38</v>
      </c>
      <c r="BW116" s="671" t="s">
        <v>38</v>
      </c>
      <c r="BZ116" s="671" t="s">
        <v>38</v>
      </c>
    </row>
    <row r="117" spans="2:78" x14ac:dyDescent="0.25">
      <c r="B117" s="671" t="s">
        <v>38</v>
      </c>
      <c r="I117" s="671" t="s">
        <v>38</v>
      </c>
      <c r="L117" s="671" t="s">
        <v>38</v>
      </c>
      <c r="O117" s="671" t="s">
        <v>38</v>
      </c>
      <c r="R117" s="671" t="s">
        <v>38</v>
      </c>
      <c r="U117" s="671" t="s">
        <v>38</v>
      </c>
      <c r="X117" s="671" t="s">
        <v>38</v>
      </c>
      <c r="AB117" s="671" t="s">
        <v>38</v>
      </c>
      <c r="AE117" s="671" t="s">
        <v>38</v>
      </c>
      <c r="AH117" s="671" t="s">
        <v>38</v>
      </c>
      <c r="AK117" s="671" t="s">
        <v>38</v>
      </c>
      <c r="AN117" s="671" t="s">
        <v>38</v>
      </c>
      <c r="AQ117" s="671" t="s">
        <v>38</v>
      </c>
      <c r="AR117" s="656" t="str">
        <f>Select_naics2022[[#This Row],[2022 NAICS Code]]&amp;":  "&amp;Select_naics2022[[#This Row],[2022 NAICS Title]]</f>
        <v xml:space="preserve">236116:  New Multifamily Housing Construction (except For-Sale Builders) </v>
      </c>
      <c r="AS117" s="656">
        <v>236116</v>
      </c>
      <c r="AT117" s="656" t="s">
        <v>758</v>
      </c>
      <c r="AU117" s="656" t="str">
        <f>Select_naics2022[[#This Row],[2022 NAICS Title]]</f>
        <v xml:space="preserve">New Multifamily Housing Construction (except For-Sale Builders) </v>
      </c>
      <c r="AY117" s="671" t="s">
        <v>38</v>
      </c>
      <c r="BB117" s="671" t="s">
        <v>38</v>
      </c>
      <c r="BE117" s="671" t="s">
        <v>38</v>
      </c>
      <c r="BH117" s="671" t="s">
        <v>38</v>
      </c>
      <c r="BK117" s="671" t="s">
        <v>38</v>
      </c>
      <c r="BN117" s="671" t="s">
        <v>38</v>
      </c>
      <c r="BQ117" s="671" t="s">
        <v>38</v>
      </c>
      <c r="BT117" s="671" t="s">
        <v>38</v>
      </c>
      <c r="BW117" s="671" t="s">
        <v>38</v>
      </c>
      <c r="BZ117" s="671" t="s">
        <v>38</v>
      </c>
    </row>
    <row r="118" spans="2:78" x14ac:dyDescent="0.25">
      <c r="B118" s="671" t="s">
        <v>38</v>
      </c>
      <c r="I118" s="671" t="s">
        <v>38</v>
      </c>
      <c r="L118" s="671" t="s">
        <v>38</v>
      </c>
      <c r="O118" s="671" t="s">
        <v>38</v>
      </c>
      <c r="R118" s="671" t="s">
        <v>38</v>
      </c>
      <c r="U118" s="671" t="s">
        <v>38</v>
      </c>
      <c r="X118" s="671" t="s">
        <v>38</v>
      </c>
      <c r="AB118" s="671" t="s">
        <v>38</v>
      </c>
      <c r="AE118" s="671" t="s">
        <v>38</v>
      </c>
      <c r="AH118" s="671" t="s">
        <v>38</v>
      </c>
      <c r="AK118" s="671" t="s">
        <v>38</v>
      </c>
      <c r="AN118" s="671" t="s">
        <v>38</v>
      </c>
      <c r="AQ118" s="671" t="s">
        <v>38</v>
      </c>
      <c r="AR118" s="656" t="str">
        <f>Select_naics2022[[#This Row],[2022 NAICS Code]]&amp;":  "&amp;Select_naics2022[[#This Row],[2022 NAICS Title]]</f>
        <v xml:space="preserve">236117:  New Housing For-Sale Builders </v>
      </c>
      <c r="AS118" s="656">
        <v>236117</v>
      </c>
      <c r="AT118" s="656" t="s">
        <v>759</v>
      </c>
      <c r="AU118" s="656" t="str">
        <f>Select_naics2022[[#This Row],[2022 NAICS Title]]</f>
        <v xml:space="preserve">New Housing For-Sale Builders </v>
      </c>
      <c r="AY118" s="671" t="s">
        <v>38</v>
      </c>
      <c r="BB118" s="671" t="s">
        <v>38</v>
      </c>
      <c r="BE118" s="671" t="s">
        <v>38</v>
      </c>
      <c r="BH118" s="671" t="s">
        <v>38</v>
      </c>
      <c r="BK118" s="671" t="s">
        <v>38</v>
      </c>
      <c r="BN118" s="671" t="s">
        <v>38</v>
      </c>
      <c r="BQ118" s="671" t="s">
        <v>38</v>
      </c>
      <c r="BT118" s="671" t="s">
        <v>38</v>
      </c>
      <c r="BW118" s="671" t="s">
        <v>38</v>
      </c>
      <c r="BZ118" s="671" t="s">
        <v>38</v>
      </c>
    </row>
    <row r="119" spans="2:78" x14ac:dyDescent="0.25">
      <c r="B119" s="671" t="s">
        <v>38</v>
      </c>
      <c r="I119" s="671" t="s">
        <v>38</v>
      </c>
      <c r="L119" s="671" t="s">
        <v>38</v>
      </c>
      <c r="O119" s="671" t="s">
        <v>38</v>
      </c>
      <c r="R119" s="671" t="s">
        <v>38</v>
      </c>
      <c r="U119" s="671" t="s">
        <v>38</v>
      </c>
      <c r="X119" s="671" t="s">
        <v>38</v>
      </c>
      <c r="AB119" s="671" t="s">
        <v>38</v>
      </c>
      <c r="AE119" s="671" t="s">
        <v>38</v>
      </c>
      <c r="AH119" s="671" t="s">
        <v>38</v>
      </c>
      <c r="AK119" s="671" t="s">
        <v>38</v>
      </c>
      <c r="AN119" s="671" t="s">
        <v>38</v>
      </c>
      <c r="AQ119" s="671" t="s">
        <v>38</v>
      </c>
      <c r="AR119" s="656" t="str">
        <f>Select_naics2022[[#This Row],[2022 NAICS Code]]&amp;":  "&amp;Select_naics2022[[#This Row],[2022 NAICS Title]]</f>
        <v xml:space="preserve">236118:  Residential Remodelers </v>
      </c>
      <c r="AS119" s="656">
        <v>236118</v>
      </c>
      <c r="AT119" s="656" t="s">
        <v>760</v>
      </c>
      <c r="AU119" s="656" t="str">
        <f>Select_naics2022[[#This Row],[2022 NAICS Title]]</f>
        <v xml:space="preserve">Residential Remodelers </v>
      </c>
      <c r="AY119" s="671" t="s">
        <v>38</v>
      </c>
      <c r="BB119" s="671" t="s">
        <v>38</v>
      </c>
      <c r="BE119" s="671" t="s">
        <v>38</v>
      </c>
      <c r="BH119" s="671" t="s">
        <v>38</v>
      </c>
      <c r="BK119" s="671" t="s">
        <v>38</v>
      </c>
      <c r="BN119" s="671" t="s">
        <v>38</v>
      </c>
      <c r="BQ119" s="671" t="s">
        <v>38</v>
      </c>
      <c r="BT119" s="671" t="s">
        <v>38</v>
      </c>
      <c r="BW119" s="671" t="s">
        <v>38</v>
      </c>
      <c r="BZ119" s="671" t="s">
        <v>38</v>
      </c>
    </row>
    <row r="120" spans="2:78" x14ac:dyDescent="0.25">
      <c r="B120" s="671" t="s">
        <v>38</v>
      </c>
      <c r="I120" s="671" t="s">
        <v>38</v>
      </c>
      <c r="L120" s="671" t="s">
        <v>38</v>
      </c>
      <c r="O120" s="671" t="s">
        <v>38</v>
      </c>
      <c r="R120" s="671" t="s">
        <v>38</v>
      </c>
      <c r="U120" s="671" t="s">
        <v>38</v>
      </c>
      <c r="X120" s="671" t="s">
        <v>38</v>
      </c>
      <c r="AB120" s="671" t="s">
        <v>38</v>
      </c>
      <c r="AE120" s="671" t="s">
        <v>38</v>
      </c>
      <c r="AH120" s="671" t="s">
        <v>38</v>
      </c>
      <c r="AK120" s="671" t="s">
        <v>38</v>
      </c>
      <c r="AN120" s="671" t="s">
        <v>38</v>
      </c>
      <c r="AQ120" s="671" t="s">
        <v>38</v>
      </c>
      <c r="AR120" s="656" t="str">
        <f>Select_naics2022[[#This Row],[2022 NAICS Code]]&amp;":  "&amp;Select_naics2022[[#This Row],[2022 NAICS Title]]</f>
        <v xml:space="preserve">236210:  Industrial Building Construction </v>
      </c>
      <c r="AS120" s="656">
        <v>236210</v>
      </c>
      <c r="AT120" s="656" t="s">
        <v>761</v>
      </c>
      <c r="AU120" s="656" t="str">
        <f>Select_naics2022[[#This Row],[2022 NAICS Title]]</f>
        <v xml:space="preserve">Industrial Building Construction </v>
      </c>
      <c r="AY120" s="671" t="s">
        <v>38</v>
      </c>
      <c r="BB120" s="671" t="s">
        <v>38</v>
      </c>
      <c r="BE120" s="671" t="s">
        <v>38</v>
      </c>
      <c r="BH120" s="671" t="s">
        <v>38</v>
      </c>
      <c r="BK120" s="671" t="s">
        <v>38</v>
      </c>
      <c r="BN120" s="671" t="s">
        <v>38</v>
      </c>
      <c r="BQ120" s="671" t="s">
        <v>38</v>
      </c>
      <c r="BT120" s="671" t="s">
        <v>38</v>
      </c>
      <c r="BW120" s="671" t="s">
        <v>38</v>
      </c>
      <c r="BZ120" s="671" t="s">
        <v>38</v>
      </c>
    </row>
    <row r="121" spans="2:78" x14ac:dyDescent="0.25">
      <c r="B121" s="671" t="s">
        <v>38</v>
      </c>
      <c r="I121" s="671" t="s">
        <v>38</v>
      </c>
      <c r="L121" s="671" t="s">
        <v>38</v>
      </c>
      <c r="O121" s="671" t="s">
        <v>38</v>
      </c>
      <c r="R121" s="671" t="s">
        <v>38</v>
      </c>
      <c r="U121" s="671" t="s">
        <v>38</v>
      </c>
      <c r="X121" s="671" t="s">
        <v>38</v>
      </c>
      <c r="AB121" s="671" t="s">
        <v>38</v>
      </c>
      <c r="AE121" s="671" t="s">
        <v>38</v>
      </c>
      <c r="AH121" s="671" t="s">
        <v>38</v>
      </c>
      <c r="AK121" s="671" t="s">
        <v>38</v>
      </c>
      <c r="AN121" s="671" t="s">
        <v>38</v>
      </c>
      <c r="AQ121" s="671" t="s">
        <v>38</v>
      </c>
      <c r="AR121" s="656" t="str">
        <f>Select_naics2022[[#This Row],[2022 NAICS Code]]&amp;":  "&amp;Select_naics2022[[#This Row],[2022 NAICS Title]]</f>
        <v xml:space="preserve">236220:  Commercial and Institutional Building Construction </v>
      </c>
      <c r="AS121" s="656">
        <v>236220</v>
      </c>
      <c r="AT121" s="656" t="s">
        <v>762</v>
      </c>
      <c r="AU121" s="656" t="str">
        <f>Select_naics2022[[#This Row],[2022 NAICS Title]]</f>
        <v xml:space="preserve">Commercial and Institutional Building Construction </v>
      </c>
      <c r="AY121" s="671" t="s">
        <v>38</v>
      </c>
      <c r="BB121" s="671" t="s">
        <v>38</v>
      </c>
      <c r="BE121" s="671" t="s">
        <v>38</v>
      </c>
      <c r="BH121" s="671" t="s">
        <v>38</v>
      </c>
      <c r="BK121" s="671" t="s">
        <v>38</v>
      </c>
      <c r="BN121" s="671" t="s">
        <v>38</v>
      </c>
      <c r="BQ121" s="671" t="s">
        <v>38</v>
      </c>
      <c r="BT121" s="671" t="s">
        <v>38</v>
      </c>
      <c r="BW121" s="671" t="s">
        <v>38</v>
      </c>
      <c r="BZ121" s="671" t="s">
        <v>38</v>
      </c>
    </row>
    <row r="122" spans="2:78" x14ac:dyDescent="0.25">
      <c r="B122" s="671" t="s">
        <v>38</v>
      </c>
      <c r="I122" s="671" t="s">
        <v>38</v>
      </c>
      <c r="L122" s="671" t="s">
        <v>38</v>
      </c>
      <c r="O122" s="671" t="s">
        <v>38</v>
      </c>
      <c r="R122" s="671" t="s">
        <v>38</v>
      </c>
      <c r="U122" s="671" t="s">
        <v>38</v>
      </c>
      <c r="X122" s="671" t="s">
        <v>38</v>
      </c>
      <c r="AB122" s="671" t="s">
        <v>38</v>
      </c>
      <c r="AE122" s="671" t="s">
        <v>38</v>
      </c>
      <c r="AH122" s="671" t="s">
        <v>38</v>
      </c>
      <c r="AK122" s="671" t="s">
        <v>38</v>
      </c>
      <c r="AN122" s="671" t="s">
        <v>38</v>
      </c>
      <c r="AQ122" s="671" t="s">
        <v>38</v>
      </c>
      <c r="AR122" s="656" t="str">
        <f>Select_naics2022[[#This Row],[2022 NAICS Code]]&amp;":  "&amp;Select_naics2022[[#This Row],[2022 NAICS Title]]</f>
        <v xml:space="preserve">237110:  Water and Sewer Line and Related Structures Construction </v>
      </c>
      <c r="AS122" s="656">
        <v>237110</v>
      </c>
      <c r="AT122" s="656" t="s">
        <v>763</v>
      </c>
      <c r="AU122" s="656" t="str">
        <f>Select_naics2022[[#This Row],[2022 NAICS Title]]</f>
        <v xml:space="preserve">Water and Sewer Line and Related Structures Construction </v>
      </c>
      <c r="AY122" s="671" t="s">
        <v>38</v>
      </c>
      <c r="BB122" s="671" t="s">
        <v>38</v>
      </c>
      <c r="BE122" s="671" t="s">
        <v>38</v>
      </c>
      <c r="BH122" s="671" t="s">
        <v>38</v>
      </c>
      <c r="BK122" s="671" t="s">
        <v>38</v>
      </c>
      <c r="BN122" s="671" t="s">
        <v>38</v>
      </c>
      <c r="BQ122" s="671" t="s">
        <v>38</v>
      </c>
      <c r="BT122" s="671" t="s">
        <v>38</v>
      </c>
      <c r="BW122" s="671" t="s">
        <v>38</v>
      </c>
      <c r="BZ122" s="671" t="s">
        <v>38</v>
      </c>
    </row>
    <row r="123" spans="2:78" x14ac:dyDescent="0.25">
      <c r="B123" s="671" t="s">
        <v>38</v>
      </c>
      <c r="I123" s="671" t="s">
        <v>38</v>
      </c>
      <c r="L123" s="671" t="s">
        <v>38</v>
      </c>
      <c r="O123" s="671" t="s">
        <v>38</v>
      </c>
      <c r="R123" s="671" t="s">
        <v>38</v>
      </c>
      <c r="U123" s="671" t="s">
        <v>38</v>
      </c>
      <c r="X123" s="671" t="s">
        <v>38</v>
      </c>
      <c r="AB123" s="671" t="s">
        <v>38</v>
      </c>
      <c r="AE123" s="671" t="s">
        <v>38</v>
      </c>
      <c r="AH123" s="671" t="s">
        <v>38</v>
      </c>
      <c r="AK123" s="671" t="s">
        <v>38</v>
      </c>
      <c r="AN123" s="671" t="s">
        <v>38</v>
      </c>
      <c r="AQ123" s="671" t="s">
        <v>38</v>
      </c>
      <c r="AR123" s="656" t="str">
        <f>Select_naics2022[[#This Row],[2022 NAICS Code]]&amp;":  "&amp;Select_naics2022[[#This Row],[2022 NAICS Title]]</f>
        <v xml:space="preserve">237120:  Oil and Gas Pipeline and Related Structures Construction </v>
      </c>
      <c r="AS123" s="656">
        <v>237120</v>
      </c>
      <c r="AT123" s="656" t="s">
        <v>764</v>
      </c>
      <c r="AU123" s="656" t="str">
        <f>Select_naics2022[[#This Row],[2022 NAICS Title]]</f>
        <v xml:space="preserve">Oil and Gas Pipeline and Related Structures Construction </v>
      </c>
      <c r="AY123" s="671" t="s">
        <v>38</v>
      </c>
      <c r="BB123" s="671" t="s">
        <v>38</v>
      </c>
      <c r="BE123" s="671" t="s">
        <v>38</v>
      </c>
      <c r="BH123" s="671" t="s">
        <v>38</v>
      </c>
      <c r="BK123" s="671" t="s">
        <v>38</v>
      </c>
      <c r="BN123" s="671" t="s">
        <v>38</v>
      </c>
      <c r="BQ123" s="671" t="s">
        <v>38</v>
      </c>
      <c r="BT123" s="671" t="s">
        <v>38</v>
      </c>
      <c r="BW123" s="671" t="s">
        <v>38</v>
      </c>
      <c r="BZ123" s="671" t="s">
        <v>38</v>
      </c>
    </row>
    <row r="124" spans="2:78" x14ac:dyDescent="0.25">
      <c r="B124" s="671" t="s">
        <v>38</v>
      </c>
      <c r="I124" s="671" t="s">
        <v>38</v>
      </c>
      <c r="L124" s="671" t="s">
        <v>38</v>
      </c>
      <c r="O124" s="671" t="s">
        <v>38</v>
      </c>
      <c r="R124" s="671" t="s">
        <v>38</v>
      </c>
      <c r="U124" s="671" t="s">
        <v>38</v>
      </c>
      <c r="X124" s="671" t="s">
        <v>38</v>
      </c>
      <c r="AB124" s="671" t="s">
        <v>38</v>
      </c>
      <c r="AE124" s="671" t="s">
        <v>38</v>
      </c>
      <c r="AH124" s="671" t="s">
        <v>38</v>
      </c>
      <c r="AK124" s="671" t="s">
        <v>38</v>
      </c>
      <c r="AN124" s="671" t="s">
        <v>38</v>
      </c>
      <c r="AQ124" s="671" t="s">
        <v>38</v>
      </c>
      <c r="AR124" s="656" t="str">
        <f>Select_naics2022[[#This Row],[2022 NAICS Code]]&amp;":  "&amp;Select_naics2022[[#This Row],[2022 NAICS Title]]</f>
        <v xml:space="preserve">237130:  Power and Communication Line and Related Structures Construction </v>
      </c>
      <c r="AS124" s="656">
        <v>237130</v>
      </c>
      <c r="AT124" s="656" t="s">
        <v>765</v>
      </c>
      <c r="AU124" s="656" t="str">
        <f>Select_naics2022[[#This Row],[2022 NAICS Title]]</f>
        <v xml:space="preserve">Power and Communication Line and Related Structures Construction </v>
      </c>
      <c r="AY124" s="671" t="s">
        <v>38</v>
      </c>
      <c r="BB124" s="671" t="s">
        <v>38</v>
      </c>
      <c r="BE124" s="671" t="s">
        <v>38</v>
      </c>
      <c r="BH124" s="671" t="s">
        <v>38</v>
      </c>
      <c r="BK124" s="671" t="s">
        <v>38</v>
      </c>
      <c r="BN124" s="671" t="s">
        <v>38</v>
      </c>
      <c r="BQ124" s="671" t="s">
        <v>38</v>
      </c>
      <c r="BT124" s="671" t="s">
        <v>38</v>
      </c>
      <c r="BW124" s="671" t="s">
        <v>38</v>
      </c>
      <c r="BZ124" s="671" t="s">
        <v>38</v>
      </c>
    </row>
    <row r="125" spans="2:78" x14ac:dyDescent="0.25">
      <c r="B125" s="671" t="s">
        <v>38</v>
      </c>
      <c r="I125" s="671" t="s">
        <v>38</v>
      </c>
      <c r="L125" s="671" t="s">
        <v>38</v>
      </c>
      <c r="O125" s="671" t="s">
        <v>38</v>
      </c>
      <c r="R125" s="671" t="s">
        <v>38</v>
      </c>
      <c r="U125" s="671" t="s">
        <v>38</v>
      </c>
      <c r="X125" s="671" t="s">
        <v>38</v>
      </c>
      <c r="AB125" s="671" t="s">
        <v>38</v>
      </c>
      <c r="AE125" s="671" t="s">
        <v>38</v>
      </c>
      <c r="AH125" s="671" t="s">
        <v>38</v>
      </c>
      <c r="AK125" s="671" t="s">
        <v>38</v>
      </c>
      <c r="AN125" s="671" t="s">
        <v>38</v>
      </c>
      <c r="AQ125" s="671" t="s">
        <v>38</v>
      </c>
      <c r="AR125" s="656" t="str">
        <f>Select_naics2022[[#This Row],[2022 NAICS Code]]&amp;":  "&amp;Select_naics2022[[#This Row],[2022 NAICS Title]]</f>
        <v xml:space="preserve">237210:  Land Subdivision </v>
      </c>
      <c r="AS125" s="656">
        <v>237210</v>
      </c>
      <c r="AT125" s="656" t="s">
        <v>766</v>
      </c>
      <c r="AU125" s="656" t="str">
        <f>Select_naics2022[[#This Row],[2022 NAICS Title]]</f>
        <v xml:space="preserve">Land Subdivision </v>
      </c>
      <c r="AY125" s="671" t="s">
        <v>38</v>
      </c>
      <c r="BB125" s="671" t="s">
        <v>38</v>
      </c>
      <c r="BE125" s="671" t="s">
        <v>38</v>
      </c>
      <c r="BH125" s="671" t="s">
        <v>38</v>
      </c>
      <c r="BK125" s="671" t="s">
        <v>38</v>
      </c>
      <c r="BN125" s="671" t="s">
        <v>38</v>
      </c>
      <c r="BQ125" s="671" t="s">
        <v>38</v>
      </c>
      <c r="BT125" s="671" t="s">
        <v>38</v>
      </c>
      <c r="BW125" s="671" t="s">
        <v>38</v>
      </c>
      <c r="BZ125" s="671" t="s">
        <v>38</v>
      </c>
    </row>
    <row r="126" spans="2:78" x14ac:dyDescent="0.25">
      <c r="B126" s="671" t="s">
        <v>38</v>
      </c>
      <c r="I126" s="671" t="s">
        <v>38</v>
      </c>
      <c r="L126" s="671" t="s">
        <v>38</v>
      </c>
      <c r="O126" s="671" t="s">
        <v>38</v>
      </c>
      <c r="R126" s="671" t="s">
        <v>38</v>
      </c>
      <c r="U126" s="671" t="s">
        <v>38</v>
      </c>
      <c r="X126" s="671" t="s">
        <v>38</v>
      </c>
      <c r="AB126" s="671" t="s">
        <v>38</v>
      </c>
      <c r="AE126" s="671" t="s">
        <v>38</v>
      </c>
      <c r="AH126" s="671" t="s">
        <v>38</v>
      </c>
      <c r="AK126" s="671" t="s">
        <v>38</v>
      </c>
      <c r="AN126" s="671" t="s">
        <v>38</v>
      </c>
      <c r="AQ126" s="671" t="s">
        <v>38</v>
      </c>
      <c r="AR126" s="656" t="str">
        <f>Select_naics2022[[#This Row],[2022 NAICS Code]]&amp;":  "&amp;Select_naics2022[[#This Row],[2022 NAICS Title]]</f>
        <v xml:space="preserve">237310:  Highway, Street, and Bridge Construction </v>
      </c>
      <c r="AS126" s="656">
        <v>237310</v>
      </c>
      <c r="AT126" s="656" t="s">
        <v>767</v>
      </c>
      <c r="AU126" s="656" t="str">
        <f>Select_naics2022[[#This Row],[2022 NAICS Title]]</f>
        <v xml:space="preserve">Highway, Street, and Bridge Construction </v>
      </c>
      <c r="AY126" s="671" t="s">
        <v>38</v>
      </c>
      <c r="BB126" s="671" t="s">
        <v>38</v>
      </c>
      <c r="BE126" s="671" t="s">
        <v>38</v>
      </c>
      <c r="BH126" s="671" t="s">
        <v>38</v>
      </c>
      <c r="BK126" s="671" t="s">
        <v>38</v>
      </c>
      <c r="BN126" s="671" t="s">
        <v>38</v>
      </c>
      <c r="BQ126" s="671" t="s">
        <v>38</v>
      </c>
      <c r="BT126" s="671" t="s">
        <v>38</v>
      </c>
      <c r="BW126" s="671" t="s">
        <v>38</v>
      </c>
      <c r="BZ126" s="671" t="s">
        <v>38</v>
      </c>
    </row>
    <row r="127" spans="2:78" x14ac:dyDescent="0.25">
      <c r="B127" s="671" t="s">
        <v>38</v>
      </c>
      <c r="I127" s="671" t="s">
        <v>38</v>
      </c>
      <c r="L127" s="671" t="s">
        <v>38</v>
      </c>
      <c r="O127" s="671" t="s">
        <v>38</v>
      </c>
      <c r="R127" s="671" t="s">
        <v>38</v>
      </c>
      <c r="U127" s="671" t="s">
        <v>38</v>
      </c>
      <c r="X127" s="671" t="s">
        <v>38</v>
      </c>
      <c r="AB127" s="671" t="s">
        <v>38</v>
      </c>
      <c r="AE127" s="671" t="s">
        <v>38</v>
      </c>
      <c r="AH127" s="671" t="s">
        <v>38</v>
      </c>
      <c r="AK127" s="671" t="s">
        <v>38</v>
      </c>
      <c r="AN127" s="671" t="s">
        <v>38</v>
      </c>
      <c r="AQ127" s="671" t="s">
        <v>38</v>
      </c>
      <c r="AR127" s="656" t="str">
        <f>Select_naics2022[[#This Row],[2022 NAICS Code]]&amp;":  "&amp;Select_naics2022[[#This Row],[2022 NAICS Title]]</f>
        <v xml:space="preserve">237990:  Other Heavy and Civil Engineering Construction </v>
      </c>
      <c r="AS127" s="656">
        <v>237990</v>
      </c>
      <c r="AT127" s="656" t="s">
        <v>768</v>
      </c>
      <c r="AU127" s="656" t="str">
        <f>Select_naics2022[[#This Row],[2022 NAICS Title]]</f>
        <v xml:space="preserve">Other Heavy and Civil Engineering Construction </v>
      </c>
      <c r="AY127" s="671" t="s">
        <v>38</v>
      </c>
      <c r="BB127" s="671" t="s">
        <v>38</v>
      </c>
      <c r="BE127" s="671" t="s">
        <v>38</v>
      </c>
      <c r="BH127" s="671" t="s">
        <v>38</v>
      </c>
      <c r="BK127" s="671" t="s">
        <v>38</v>
      </c>
      <c r="BN127" s="671" t="s">
        <v>38</v>
      </c>
      <c r="BQ127" s="671" t="s">
        <v>38</v>
      </c>
      <c r="BT127" s="671" t="s">
        <v>38</v>
      </c>
      <c r="BW127" s="671" t="s">
        <v>38</v>
      </c>
      <c r="BZ127" s="671" t="s">
        <v>38</v>
      </c>
    </row>
    <row r="128" spans="2:78" x14ac:dyDescent="0.25">
      <c r="B128" s="671" t="s">
        <v>38</v>
      </c>
      <c r="I128" s="671" t="s">
        <v>38</v>
      </c>
      <c r="L128" s="671" t="s">
        <v>38</v>
      </c>
      <c r="O128" s="671" t="s">
        <v>38</v>
      </c>
      <c r="R128" s="671" t="s">
        <v>38</v>
      </c>
      <c r="U128" s="671" t="s">
        <v>38</v>
      </c>
      <c r="X128" s="671" t="s">
        <v>38</v>
      </c>
      <c r="AB128" s="671" t="s">
        <v>38</v>
      </c>
      <c r="AE128" s="671" t="s">
        <v>38</v>
      </c>
      <c r="AH128" s="671" t="s">
        <v>38</v>
      </c>
      <c r="AK128" s="671" t="s">
        <v>38</v>
      </c>
      <c r="AN128" s="671" t="s">
        <v>38</v>
      </c>
      <c r="AQ128" s="671" t="s">
        <v>38</v>
      </c>
      <c r="AR128" s="656" t="str">
        <f>Select_naics2022[[#This Row],[2022 NAICS Code]]&amp;":  "&amp;Select_naics2022[[#This Row],[2022 NAICS Title]]</f>
        <v xml:space="preserve">238110:  Poured Concrete Foundation and Structure Contractors </v>
      </c>
      <c r="AS128" s="656">
        <v>238110</v>
      </c>
      <c r="AT128" s="656" t="s">
        <v>769</v>
      </c>
      <c r="AU128" s="656" t="str">
        <f>Select_naics2022[[#This Row],[2022 NAICS Title]]</f>
        <v xml:space="preserve">Poured Concrete Foundation and Structure Contractors </v>
      </c>
      <c r="AY128" s="671" t="s">
        <v>38</v>
      </c>
      <c r="BB128" s="671" t="s">
        <v>38</v>
      </c>
      <c r="BE128" s="671" t="s">
        <v>38</v>
      </c>
      <c r="BH128" s="671" t="s">
        <v>38</v>
      </c>
      <c r="BK128" s="671" t="s">
        <v>38</v>
      </c>
      <c r="BN128" s="671" t="s">
        <v>38</v>
      </c>
      <c r="BQ128" s="671" t="s">
        <v>38</v>
      </c>
      <c r="BT128" s="671" t="s">
        <v>38</v>
      </c>
      <c r="BW128" s="671" t="s">
        <v>38</v>
      </c>
      <c r="BZ128" s="671" t="s">
        <v>38</v>
      </c>
    </row>
    <row r="129" spans="2:78" x14ac:dyDescent="0.25">
      <c r="B129" s="671" t="s">
        <v>38</v>
      </c>
      <c r="I129" s="671" t="s">
        <v>38</v>
      </c>
      <c r="L129" s="671" t="s">
        <v>38</v>
      </c>
      <c r="O129" s="671" t="s">
        <v>38</v>
      </c>
      <c r="R129" s="671" t="s">
        <v>38</v>
      </c>
      <c r="U129" s="671" t="s">
        <v>38</v>
      </c>
      <c r="X129" s="671" t="s">
        <v>38</v>
      </c>
      <c r="AB129" s="671" t="s">
        <v>38</v>
      </c>
      <c r="AE129" s="671" t="s">
        <v>38</v>
      </c>
      <c r="AH129" s="671" t="s">
        <v>38</v>
      </c>
      <c r="AK129" s="671" t="s">
        <v>38</v>
      </c>
      <c r="AN129" s="671" t="s">
        <v>38</v>
      </c>
      <c r="AQ129" s="671" t="s">
        <v>38</v>
      </c>
      <c r="AR129" s="656" t="str">
        <f>Select_naics2022[[#This Row],[2022 NAICS Code]]&amp;":  "&amp;Select_naics2022[[#This Row],[2022 NAICS Title]]</f>
        <v xml:space="preserve">238120:  Structural Steel and Precast Concrete Contractors </v>
      </c>
      <c r="AS129" s="656">
        <v>238120</v>
      </c>
      <c r="AT129" s="656" t="s">
        <v>770</v>
      </c>
      <c r="AU129" s="656" t="str">
        <f>Select_naics2022[[#This Row],[2022 NAICS Title]]</f>
        <v xml:space="preserve">Structural Steel and Precast Concrete Contractors </v>
      </c>
      <c r="AY129" s="671" t="s">
        <v>38</v>
      </c>
      <c r="BB129" s="671" t="s">
        <v>38</v>
      </c>
      <c r="BE129" s="671" t="s">
        <v>38</v>
      </c>
      <c r="BH129" s="671" t="s">
        <v>38</v>
      </c>
      <c r="BK129" s="671" t="s">
        <v>38</v>
      </c>
      <c r="BN129" s="671" t="s">
        <v>38</v>
      </c>
      <c r="BQ129" s="671" t="s">
        <v>38</v>
      </c>
      <c r="BT129" s="671" t="s">
        <v>38</v>
      </c>
      <c r="BW129" s="671" t="s">
        <v>38</v>
      </c>
      <c r="BZ129" s="671" t="s">
        <v>38</v>
      </c>
    </row>
    <row r="130" spans="2:78" x14ac:dyDescent="0.25">
      <c r="B130" s="671" t="s">
        <v>38</v>
      </c>
      <c r="I130" s="671" t="s">
        <v>38</v>
      </c>
      <c r="L130" s="671" t="s">
        <v>38</v>
      </c>
      <c r="O130" s="671" t="s">
        <v>38</v>
      </c>
      <c r="R130" s="671" t="s">
        <v>38</v>
      </c>
      <c r="U130" s="671" t="s">
        <v>38</v>
      </c>
      <c r="X130" s="671" t="s">
        <v>38</v>
      </c>
      <c r="AB130" s="671" t="s">
        <v>38</v>
      </c>
      <c r="AE130" s="671" t="s">
        <v>38</v>
      </c>
      <c r="AH130" s="671" t="s">
        <v>38</v>
      </c>
      <c r="AK130" s="671" t="s">
        <v>38</v>
      </c>
      <c r="AN130" s="671" t="s">
        <v>38</v>
      </c>
      <c r="AQ130" s="671" t="s">
        <v>38</v>
      </c>
      <c r="AR130" s="656" t="str">
        <f>Select_naics2022[[#This Row],[2022 NAICS Code]]&amp;":  "&amp;Select_naics2022[[#This Row],[2022 NAICS Title]]</f>
        <v xml:space="preserve">238130:  Framing Contractors </v>
      </c>
      <c r="AS130" s="656">
        <v>238130</v>
      </c>
      <c r="AT130" s="656" t="s">
        <v>771</v>
      </c>
      <c r="AU130" s="656" t="str">
        <f>Select_naics2022[[#This Row],[2022 NAICS Title]]</f>
        <v xml:space="preserve">Framing Contractors </v>
      </c>
      <c r="AY130" s="671" t="s">
        <v>38</v>
      </c>
      <c r="BB130" s="671" t="s">
        <v>38</v>
      </c>
      <c r="BE130" s="671" t="s">
        <v>38</v>
      </c>
      <c r="BH130" s="671" t="s">
        <v>38</v>
      </c>
      <c r="BK130" s="671" t="s">
        <v>38</v>
      </c>
      <c r="BN130" s="671" t="s">
        <v>38</v>
      </c>
      <c r="BQ130" s="671" t="s">
        <v>38</v>
      </c>
      <c r="BT130" s="671" t="s">
        <v>38</v>
      </c>
      <c r="BW130" s="671" t="s">
        <v>38</v>
      </c>
      <c r="BZ130" s="671" t="s">
        <v>38</v>
      </c>
    </row>
    <row r="131" spans="2:78" x14ac:dyDescent="0.25">
      <c r="B131" s="671" t="s">
        <v>38</v>
      </c>
      <c r="I131" s="671" t="s">
        <v>38</v>
      </c>
      <c r="L131" s="671" t="s">
        <v>38</v>
      </c>
      <c r="O131" s="671" t="s">
        <v>38</v>
      </c>
      <c r="R131" s="671" t="s">
        <v>38</v>
      </c>
      <c r="U131" s="671" t="s">
        <v>38</v>
      </c>
      <c r="X131" s="671" t="s">
        <v>38</v>
      </c>
      <c r="AB131" s="671" t="s">
        <v>38</v>
      </c>
      <c r="AE131" s="671" t="s">
        <v>38</v>
      </c>
      <c r="AH131" s="671" t="s">
        <v>38</v>
      </c>
      <c r="AK131" s="671" t="s">
        <v>38</v>
      </c>
      <c r="AN131" s="671" t="s">
        <v>38</v>
      </c>
      <c r="AQ131" s="671" t="s">
        <v>38</v>
      </c>
      <c r="AR131" s="656" t="str">
        <f>Select_naics2022[[#This Row],[2022 NAICS Code]]&amp;":  "&amp;Select_naics2022[[#This Row],[2022 NAICS Title]]</f>
        <v xml:space="preserve">238140:  Masonry Contractors </v>
      </c>
      <c r="AS131" s="656">
        <v>238140</v>
      </c>
      <c r="AT131" s="656" t="s">
        <v>772</v>
      </c>
      <c r="AU131" s="656" t="str">
        <f>Select_naics2022[[#This Row],[2022 NAICS Title]]</f>
        <v xml:space="preserve">Masonry Contractors </v>
      </c>
      <c r="AY131" s="671" t="s">
        <v>38</v>
      </c>
      <c r="BB131" s="671" t="s">
        <v>38</v>
      </c>
      <c r="BE131" s="671" t="s">
        <v>38</v>
      </c>
      <c r="BH131" s="671" t="s">
        <v>38</v>
      </c>
      <c r="BK131" s="671" t="s">
        <v>38</v>
      </c>
      <c r="BN131" s="671" t="s">
        <v>38</v>
      </c>
      <c r="BQ131" s="671" t="s">
        <v>38</v>
      </c>
      <c r="BT131" s="671" t="s">
        <v>38</v>
      </c>
      <c r="BW131" s="671" t="s">
        <v>38</v>
      </c>
      <c r="BZ131" s="671" t="s">
        <v>38</v>
      </c>
    </row>
    <row r="132" spans="2:78" x14ac:dyDescent="0.25">
      <c r="B132" s="671" t="s">
        <v>38</v>
      </c>
      <c r="I132" s="671" t="s">
        <v>38</v>
      </c>
      <c r="L132" s="671" t="s">
        <v>38</v>
      </c>
      <c r="O132" s="671" t="s">
        <v>38</v>
      </c>
      <c r="R132" s="671" t="s">
        <v>38</v>
      </c>
      <c r="U132" s="671" t="s">
        <v>38</v>
      </c>
      <c r="X132" s="671" t="s">
        <v>38</v>
      </c>
      <c r="AB132" s="671" t="s">
        <v>38</v>
      </c>
      <c r="AE132" s="671" t="s">
        <v>38</v>
      </c>
      <c r="AH132" s="671" t="s">
        <v>38</v>
      </c>
      <c r="AK132" s="671" t="s">
        <v>38</v>
      </c>
      <c r="AN132" s="671" t="s">
        <v>38</v>
      </c>
      <c r="AQ132" s="671" t="s">
        <v>38</v>
      </c>
      <c r="AR132" s="656" t="str">
        <f>Select_naics2022[[#This Row],[2022 NAICS Code]]&amp;":  "&amp;Select_naics2022[[#This Row],[2022 NAICS Title]]</f>
        <v xml:space="preserve">238150:  Glass and Glazing Contractors </v>
      </c>
      <c r="AS132" s="656">
        <v>238150</v>
      </c>
      <c r="AT132" s="656" t="s">
        <v>773</v>
      </c>
      <c r="AU132" s="656" t="str">
        <f>Select_naics2022[[#This Row],[2022 NAICS Title]]</f>
        <v xml:space="preserve">Glass and Glazing Contractors </v>
      </c>
      <c r="AY132" s="671" t="s">
        <v>38</v>
      </c>
      <c r="BB132" s="671" t="s">
        <v>38</v>
      </c>
      <c r="BE132" s="671" t="s">
        <v>38</v>
      </c>
      <c r="BH132" s="671" t="s">
        <v>38</v>
      </c>
      <c r="BK132" s="671" t="s">
        <v>38</v>
      </c>
      <c r="BN132" s="671" t="s">
        <v>38</v>
      </c>
      <c r="BQ132" s="671" t="s">
        <v>38</v>
      </c>
      <c r="BT132" s="671" t="s">
        <v>38</v>
      </c>
      <c r="BW132" s="671" t="s">
        <v>38</v>
      </c>
      <c r="BZ132" s="671" t="s">
        <v>38</v>
      </c>
    </row>
    <row r="133" spans="2:78" x14ac:dyDescent="0.25">
      <c r="B133" s="671" t="s">
        <v>38</v>
      </c>
      <c r="I133" s="671" t="s">
        <v>38</v>
      </c>
      <c r="L133" s="671" t="s">
        <v>38</v>
      </c>
      <c r="O133" s="671" t="s">
        <v>38</v>
      </c>
      <c r="R133" s="671" t="s">
        <v>38</v>
      </c>
      <c r="U133" s="671" t="s">
        <v>38</v>
      </c>
      <c r="X133" s="671" t="s">
        <v>38</v>
      </c>
      <c r="AB133" s="671" t="s">
        <v>38</v>
      </c>
      <c r="AE133" s="671" t="s">
        <v>38</v>
      </c>
      <c r="AH133" s="671" t="s">
        <v>38</v>
      </c>
      <c r="AK133" s="671" t="s">
        <v>38</v>
      </c>
      <c r="AN133" s="671" t="s">
        <v>38</v>
      </c>
      <c r="AQ133" s="671" t="s">
        <v>38</v>
      </c>
      <c r="AR133" s="656" t="str">
        <f>Select_naics2022[[#This Row],[2022 NAICS Code]]&amp;":  "&amp;Select_naics2022[[#This Row],[2022 NAICS Title]]</f>
        <v xml:space="preserve">238160:  Roofing Contractors </v>
      </c>
      <c r="AS133" s="656">
        <v>238160</v>
      </c>
      <c r="AT133" s="656" t="s">
        <v>774</v>
      </c>
      <c r="AU133" s="656" t="str">
        <f>Select_naics2022[[#This Row],[2022 NAICS Title]]</f>
        <v xml:space="preserve">Roofing Contractors </v>
      </c>
      <c r="AY133" s="671" t="s">
        <v>38</v>
      </c>
      <c r="BB133" s="671" t="s">
        <v>38</v>
      </c>
      <c r="BE133" s="671" t="s">
        <v>38</v>
      </c>
      <c r="BH133" s="671" t="s">
        <v>38</v>
      </c>
      <c r="BK133" s="671" t="s">
        <v>38</v>
      </c>
      <c r="BN133" s="671" t="s">
        <v>38</v>
      </c>
      <c r="BQ133" s="671" t="s">
        <v>38</v>
      </c>
      <c r="BT133" s="671" t="s">
        <v>38</v>
      </c>
      <c r="BW133" s="671" t="s">
        <v>38</v>
      </c>
      <c r="BZ133" s="671" t="s">
        <v>38</v>
      </c>
    </row>
    <row r="134" spans="2:78" x14ac:dyDescent="0.25">
      <c r="B134" s="671" t="s">
        <v>38</v>
      </c>
      <c r="I134" s="671" t="s">
        <v>38</v>
      </c>
      <c r="L134" s="671" t="s">
        <v>38</v>
      </c>
      <c r="O134" s="671" t="s">
        <v>38</v>
      </c>
      <c r="R134" s="671" t="s">
        <v>38</v>
      </c>
      <c r="U134" s="671" t="s">
        <v>38</v>
      </c>
      <c r="X134" s="671" t="s">
        <v>38</v>
      </c>
      <c r="AB134" s="671" t="s">
        <v>38</v>
      </c>
      <c r="AE134" s="671" t="s">
        <v>38</v>
      </c>
      <c r="AH134" s="671" t="s">
        <v>38</v>
      </c>
      <c r="AK134" s="671" t="s">
        <v>38</v>
      </c>
      <c r="AN134" s="671" t="s">
        <v>38</v>
      </c>
      <c r="AQ134" s="671" t="s">
        <v>38</v>
      </c>
      <c r="AR134" s="656" t="str">
        <f>Select_naics2022[[#This Row],[2022 NAICS Code]]&amp;":  "&amp;Select_naics2022[[#This Row],[2022 NAICS Title]]</f>
        <v xml:space="preserve">238170:  Siding Contractors </v>
      </c>
      <c r="AS134" s="656">
        <v>238170</v>
      </c>
      <c r="AT134" s="656" t="s">
        <v>775</v>
      </c>
      <c r="AU134" s="656" t="str">
        <f>Select_naics2022[[#This Row],[2022 NAICS Title]]</f>
        <v xml:space="preserve">Siding Contractors </v>
      </c>
      <c r="AY134" s="671" t="s">
        <v>38</v>
      </c>
      <c r="BB134" s="671" t="s">
        <v>38</v>
      </c>
      <c r="BE134" s="671" t="s">
        <v>38</v>
      </c>
      <c r="BH134" s="671" t="s">
        <v>38</v>
      </c>
      <c r="BK134" s="671" t="s">
        <v>38</v>
      </c>
      <c r="BN134" s="671" t="s">
        <v>38</v>
      </c>
      <c r="BQ134" s="671" t="s">
        <v>38</v>
      </c>
      <c r="BT134" s="671" t="s">
        <v>38</v>
      </c>
      <c r="BW134" s="671" t="s">
        <v>38</v>
      </c>
      <c r="BZ134" s="671" t="s">
        <v>38</v>
      </c>
    </row>
    <row r="135" spans="2:78" x14ac:dyDescent="0.25">
      <c r="B135" s="671" t="s">
        <v>38</v>
      </c>
      <c r="I135" s="671" t="s">
        <v>38</v>
      </c>
      <c r="L135" s="671" t="s">
        <v>38</v>
      </c>
      <c r="O135" s="671" t="s">
        <v>38</v>
      </c>
      <c r="R135" s="671" t="s">
        <v>38</v>
      </c>
      <c r="U135" s="671" t="s">
        <v>38</v>
      </c>
      <c r="X135" s="671" t="s">
        <v>38</v>
      </c>
      <c r="AB135" s="671" t="s">
        <v>38</v>
      </c>
      <c r="AE135" s="671" t="s">
        <v>38</v>
      </c>
      <c r="AH135" s="671" t="s">
        <v>38</v>
      </c>
      <c r="AK135" s="671" t="s">
        <v>38</v>
      </c>
      <c r="AN135" s="671" t="s">
        <v>38</v>
      </c>
      <c r="AQ135" s="671" t="s">
        <v>38</v>
      </c>
      <c r="AR135" s="656" t="str">
        <f>Select_naics2022[[#This Row],[2022 NAICS Code]]&amp;":  "&amp;Select_naics2022[[#This Row],[2022 NAICS Title]]</f>
        <v xml:space="preserve">238190:  Other Foundation, Structure, and Building Exterior Contractors </v>
      </c>
      <c r="AS135" s="656">
        <v>238190</v>
      </c>
      <c r="AT135" s="656" t="s">
        <v>776</v>
      </c>
      <c r="AU135" s="656" t="str">
        <f>Select_naics2022[[#This Row],[2022 NAICS Title]]</f>
        <v xml:space="preserve">Other Foundation, Structure, and Building Exterior Contractors </v>
      </c>
      <c r="AY135" s="671" t="s">
        <v>38</v>
      </c>
      <c r="BB135" s="671" t="s">
        <v>38</v>
      </c>
      <c r="BE135" s="671" t="s">
        <v>38</v>
      </c>
      <c r="BH135" s="671" t="s">
        <v>38</v>
      </c>
      <c r="BK135" s="671" t="s">
        <v>38</v>
      </c>
      <c r="BN135" s="671" t="s">
        <v>38</v>
      </c>
      <c r="BQ135" s="671" t="s">
        <v>38</v>
      </c>
      <c r="BT135" s="671" t="s">
        <v>38</v>
      </c>
      <c r="BW135" s="671" t="s">
        <v>38</v>
      </c>
      <c r="BZ135" s="671" t="s">
        <v>38</v>
      </c>
    </row>
    <row r="136" spans="2:78" x14ac:dyDescent="0.25">
      <c r="B136" s="671" t="s">
        <v>38</v>
      </c>
      <c r="I136" s="671" t="s">
        <v>38</v>
      </c>
      <c r="L136" s="671" t="s">
        <v>38</v>
      </c>
      <c r="O136" s="671" t="s">
        <v>38</v>
      </c>
      <c r="R136" s="671" t="s">
        <v>38</v>
      </c>
      <c r="U136" s="671" t="s">
        <v>38</v>
      </c>
      <c r="X136" s="671" t="s">
        <v>38</v>
      </c>
      <c r="AB136" s="671" t="s">
        <v>38</v>
      </c>
      <c r="AE136" s="671" t="s">
        <v>38</v>
      </c>
      <c r="AH136" s="671" t="s">
        <v>38</v>
      </c>
      <c r="AK136" s="671" t="s">
        <v>38</v>
      </c>
      <c r="AN136" s="671" t="s">
        <v>38</v>
      </c>
      <c r="AQ136" s="671" t="s">
        <v>38</v>
      </c>
      <c r="AR136" s="656" t="str">
        <f>Select_naics2022[[#This Row],[2022 NAICS Code]]&amp;":  "&amp;Select_naics2022[[#This Row],[2022 NAICS Title]]</f>
        <v>238210:  Electrical Contractors and Other Wiring Installation Contractors</v>
      </c>
      <c r="AS136" s="656">
        <v>238210</v>
      </c>
      <c r="AT136" s="656" t="s">
        <v>777</v>
      </c>
      <c r="AU136" s="656" t="str">
        <f>Select_naics2022[[#This Row],[2022 NAICS Title]]</f>
        <v>Electrical Contractors and Other Wiring Installation Contractors</v>
      </c>
      <c r="AY136" s="671" t="s">
        <v>38</v>
      </c>
      <c r="BB136" s="671" t="s">
        <v>38</v>
      </c>
      <c r="BE136" s="671" t="s">
        <v>38</v>
      </c>
      <c r="BH136" s="671" t="s">
        <v>38</v>
      </c>
      <c r="BK136" s="671" t="s">
        <v>38</v>
      </c>
      <c r="BN136" s="671" t="s">
        <v>38</v>
      </c>
      <c r="BQ136" s="671" t="s">
        <v>38</v>
      </c>
      <c r="BT136" s="671" t="s">
        <v>38</v>
      </c>
      <c r="BW136" s="671" t="s">
        <v>38</v>
      </c>
      <c r="BZ136" s="671" t="s">
        <v>38</v>
      </c>
    </row>
    <row r="137" spans="2:78" x14ac:dyDescent="0.25">
      <c r="B137" s="671" t="s">
        <v>38</v>
      </c>
      <c r="I137" s="671" t="s">
        <v>38</v>
      </c>
      <c r="L137" s="671" t="s">
        <v>38</v>
      </c>
      <c r="O137" s="671" t="s">
        <v>38</v>
      </c>
      <c r="R137" s="671" t="s">
        <v>38</v>
      </c>
      <c r="U137" s="671" t="s">
        <v>38</v>
      </c>
      <c r="X137" s="671" t="s">
        <v>38</v>
      </c>
      <c r="AB137" s="671" t="s">
        <v>38</v>
      </c>
      <c r="AE137" s="671" t="s">
        <v>38</v>
      </c>
      <c r="AH137" s="671" t="s">
        <v>38</v>
      </c>
      <c r="AK137" s="671" t="s">
        <v>38</v>
      </c>
      <c r="AN137" s="671" t="s">
        <v>38</v>
      </c>
      <c r="AQ137" s="671" t="s">
        <v>38</v>
      </c>
      <c r="AR137" s="656" t="str">
        <f>Select_naics2022[[#This Row],[2022 NAICS Code]]&amp;":  "&amp;Select_naics2022[[#This Row],[2022 NAICS Title]]</f>
        <v xml:space="preserve">238220:  Plumbing, Heating, and Air-Conditioning Contractors </v>
      </c>
      <c r="AS137" s="656">
        <v>238220</v>
      </c>
      <c r="AT137" s="656" t="s">
        <v>778</v>
      </c>
      <c r="AU137" s="656" t="str">
        <f>Select_naics2022[[#This Row],[2022 NAICS Title]]</f>
        <v xml:space="preserve">Plumbing, Heating, and Air-Conditioning Contractors </v>
      </c>
      <c r="AY137" s="671" t="s">
        <v>38</v>
      </c>
      <c r="BB137" s="671" t="s">
        <v>38</v>
      </c>
      <c r="BE137" s="671" t="s">
        <v>38</v>
      </c>
      <c r="BH137" s="671" t="s">
        <v>38</v>
      </c>
      <c r="BK137" s="671" t="s">
        <v>38</v>
      </c>
      <c r="BN137" s="671" t="s">
        <v>38</v>
      </c>
      <c r="BQ137" s="671" t="s">
        <v>38</v>
      </c>
      <c r="BT137" s="671" t="s">
        <v>38</v>
      </c>
      <c r="BW137" s="671" t="s">
        <v>38</v>
      </c>
      <c r="BZ137" s="671" t="s">
        <v>38</v>
      </c>
    </row>
    <row r="138" spans="2:78" x14ac:dyDescent="0.25">
      <c r="B138" s="671" t="s">
        <v>38</v>
      </c>
      <c r="I138" s="671" t="s">
        <v>38</v>
      </c>
      <c r="L138" s="671" t="s">
        <v>38</v>
      </c>
      <c r="O138" s="671" t="s">
        <v>38</v>
      </c>
      <c r="R138" s="671" t="s">
        <v>38</v>
      </c>
      <c r="U138" s="671" t="s">
        <v>38</v>
      </c>
      <c r="X138" s="671" t="s">
        <v>38</v>
      </c>
      <c r="AB138" s="671" t="s">
        <v>38</v>
      </c>
      <c r="AE138" s="671" t="s">
        <v>38</v>
      </c>
      <c r="AH138" s="671" t="s">
        <v>38</v>
      </c>
      <c r="AK138" s="671" t="s">
        <v>38</v>
      </c>
      <c r="AN138" s="671" t="s">
        <v>38</v>
      </c>
      <c r="AQ138" s="671" t="s">
        <v>38</v>
      </c>
      <c r="AR138" s="656" t="str">
        <f>Select_naics2022[[#This Row],[2022 NAICS Code]]&amp;":  "&amp;Select_naics2022[[#This Row],[2022 NAICS Title]]</f>
        <v xml:space="preserve">238290:  Other Building Equipment Contractors </v>
      </c>
      <c r="AS138" s="656">
        <v>238290</v>
      </c>
      <c r="AT138" s="656" t="s">
        <v>779</v>
      </c>
      <c r="AU138" s="656" t="str">
        <f>Select_naics2022[[#This Row],[2022 NAICS Title]]</f>
        <v xml:space="preserve">Other Building Equipment Contractors </v>
      </c>
      <c r="AY138" s="671" t="s">
        <v>38</v>
      </c>
      <c r="BB138" s="671" t="s">
        <v>38</v>
      </c>
      <c r="BE138" s="671" t="s">
        <v>38</v>
      </c>
      <c r="BH138" s="671" t="s">
        <v>38</v>
      </c>
      <c r="BK138" s="671" t="s">
        <v>38</v>
      </c>
      <c r="BN138" s="671" t="s">
        <v>38</v>
      </c>
      <c r="BQ138" s="671" t="s">
        <v>38</v>
      </c>
      <c r="BT138" s="671" t="s">
        <v>38</v>
      </c>
      <c r="BW138" s="671" t="s">
        <v>38</v>
      </c>
      <c r="BZ138" s="671" t="s">
        <v>38</v>
      </c>
    </row>
    <row r="139" spans="2:78" x14ac:dyDescent="0.25">
      <c r="B139" s="671" t="s">
        <v>38</v>
      </c>
      <c r="I139" s="671" t="s">
        <v>38</v>
      </c>
      <c r="L139" s="671" t="s">
        <v>38</v>
      </c>
      <c r="O139" s="671" t="s">
        <v>38</v>
      </c>
      <c r="R139" s="671" t="s">
        <v>38</v>
      </c>
      <c r="U139" s="671" t="s">
        <v>38</v>
      </c>
      <c r="X139" s="671" t="s">
        <v>38</v>
      </c>
      <c r="AB139" s="671" t="s">
        <v>38</v>
      </c>
      <c r="AE139" s="671" t="s">
        <v>38</v>
      </c>
      <c r="AH139" s="671" t="s">
        <v>38</v>
      </c>
      <c r="AK139" s="671" t="s">
        <v>38</v>
      </c>
      <c r="AN139" s="671" t="s">
        <v>38</v>
      </c>
      <c r="AQ139" s="671" t="s">
        <v>38</v>
      </c>
      <c r="AR139" s="656" t="str">
        <f>Select_naics2022[[#This Row],[2022 NAICS Code]]&amp;":  "&amp;Select_naics2022[[#This Row],[2022 NAICS Title]]</f>
        <v xml:space="preserve">238310:  Drywall and Insulation Contractors </v>
      </c>
      <c r="AS139" s="656">
        <v>238310</v>
      </c>
      <c r="AT139" s="656" t="s">
        <v>780</v>
      </c>
      <c r="AU139" s="656" t="str">
        <f>Select_naics2022[[#This Row],[2022 NAICS Title]]</f>
        <v xml:space="preserve">Drywall and Insulation Contractors </v>
      </c>
      <c r="AY139" s="671" t="s">
        <v>38</v>
      </c>
      <c r="BB139" s="671" t="s">
        <v>38</v>
      </c>
      <c r="BE139" s="671" t="s">
        <v>38</v>
      </c>
      <c r="BH139" s="671" t="s">
        <v>38</v>
      </c>
      <c r="BK139" s="671" t="s">
        <v>38</v>
      </c>
      <c r="BN139" s="671" t="s">
        <v>38</v>
      </c>
      <c r="BQ139" s="671" t="s">
        <v>38</v>
      </c>
      <c r="BT139" s="671" t="s">
        <v>38</v>
      </c>
      <c r="BW139" s="671" t="s">
        <v>38</v>
      </c>
      <c r="BZ139" s="671" t="s">
        <v>38</v>
      </c>
    </row>
    <row r="140" spans="2:78" x14ac:dyDescent="0.25">
      <c r="B140" s="671" t="s">
        <v>38</v>
      </c>
      <c r="I140" s="671" t="s">
        <v>38</v>
      </c>
      <c r="L140" s="671" t="s">
        <v>38</v>
      </c>
      <c r="O140" s="671" t="s">
        <v>38</v>
      </c>
      <c r="R140" s="671" t="s">
        <v>38</v>
      </c>
      <c r="U140" s="671" t="s">
        <v>38</v>
      </c>
      <c r="X140" s="671" t="s">
        <v>38</v>
      </c>
      <c r="AB140" s="671" t="s">
        <v>38</v>
      </c>
      <c r="AE140" s="671" t="s">
        <v>38</v>
      </c>
      <c r="AH140" s="671" t="s">
        <v>38</v>
      </c>
      <c r="AK140" s="671" t="s">
        <v>38</v>
      </c>
      <c r="AN140" s="671" t="s">
        <v>38</v>
      </c>
      <c r="AQ140" s="671" t="s">
        <v>38</v>
      </c>
      <c r="AR140" s="656" t="str">
        <f>Select_naics2022[[#This Row],[2022 NAICS Code]]&amp;":  "&amp;Select_naics2022[[#This Row],[2022 NAICS Title]]</f>
        <v>238320:  Painting and Wall Covering Contractors</v>
      </c>
      <c r="AS140" s="656">
        <v>238320</v>
      </c>
      <c r="AT140" s="656" t="s">
        <v>781</v>
      </c>
      <c r="AU140" s="656" t="str">
        <f>Select_naics2022[[#This Row],[2022 NAICS Title]]</f>
        <v>Painting and Wall Covering Contractors</v>
      </c>
      <c r="AY140" s="671" t="s">
        <v>38</v>
      </c>
      <c r="BB140" s="671" t="s">
        <v>38</v>
      </c>
      <c r="BE140" s="671" t="s">
        <v>38</v>
      </c>
      <c r="BH140" s="671" t="s">
        <v>38</v>
      </c>
      <c r="BK140" s="671" t="s">
        <v>38</v>
      </c>
      <c r="BN140" s="671" t="s">
        <v>38</v>
      </c>
      <c r="BQ140" s="671" t="s">
        <v>38</v>
      </c>
      <c r="BT140" s="671" t="s">
        <v>38</v>
      </c>
      <c r="BW140" s="671" t="s">
        <v>38</v>
      </c>
      <c r="BZ140" s="671" t="s">
        <v>38</v>
      </c>
    </row>
    <row r="141" spans="2:78" x14ac:dyDescent="0.25">
      <c r="B141" s="671" t="s">
        <v>38</v>
      </c>
      <c r="I141" s="671" t="s">
        <v>38</v>
      </c>
      <c r="L141" s="671" t="s">
        <v>38</v>
      </c>
      <c r="O141" s="671" t="s">
        <v>38</v>
      </c>
      <c r="R141" s="671" t="s">
        <v>38</v>
      </c>
      <c r="U141" s="671" t="s">
        <v>38</v>
      </c>
      <c r="X141" s="671" t="s">
        <v>38</v>
      </c>
      <c r="AB141" s="671" t="s">
        <v>38</v>
      </c>
      <c r="AE141" s="671" t="s">
        <v>38</v>
      </c>
      <c r="AH141" s="671" t="s">
        <v>38</v>
      </c>
      <c r="AK141" s="671" t="s">
        <v>38</v>
      </c>
      <c r="AN141" s="671" t="s">
        <v>38</v>
      </c>
      <c r="AQ141" s="671" t="s">
        <v>38</v>
      </c>
      <c r="AR141" s="656" t="str">
        <f>Select_naics2022[[#This Row],[2022 NAICS Code]]&amp;":  "&amp;Select_naics2022[[#This Row],[2022 NAICS Title]]</f>
        <v>238330:  Flooring Contractors</v>
      </c>
      <c r="AS141" s="656">
        <v>238330</v>
      </c>
      <c r="AT141" s="656" t="s">
        <v>782</v>
      </c>
      <c r="AU141" s="656" t="str">
        <f>Select_naics2022[[#This Row],[2022 NAICS Title]]</f>
        <v>Flooring Contractors</v>
      </c>
      <c r="AY141" s="671" t="s">
        <v>38</v>
      </c>
      <c r="BB141" s="671" t="s">
        <v>38</v>
      </c>
      <c r="BE141" s="671" t="s">
        <v>38</v>
      </c>
      <c r="BH141" s="671" t="s">
        <v>38</v>
      </c>
      <c r="BK141" s="671" t="s">
        <v>38</v>
      </c>
      <c r="BN141" s="671" t="s">
        <v>38</v>
      </c>
      <c r="BQ141" s="671" t="s">
        <v>38</v>
      </c>
      <c r="BT141" s="671" t="s">
        <v>38</v>
      </c>
      <c r="BW141" s="671" t="s">
        <v>38</v>
      </c>
      <c r="BZ141" s="671" t="s">
        <v>38</v>
      </c>
    </row>
    <row r="142" spans="2:78" x14ac:dyDescent="0.25">
      <c r="B142" s="671" t="s">
        <v>38</v>
      </c>
      <c r="I142" s="671" t="s">
        <v>38</v>
      </c>
      <c r="L142" s="671" t="s">
        <v>38</v>
      </c>
      <c r="O142" s="671" t="s">
        <v>38</v>
      </c>
      <c r="R142" s="671" t="s">
        <v>38</v>
      </c>
      <c r="U142" s="671" t="s">
        <v>38</v>
      </c>
      <c r="X142" s="671" t="s">
        <v>38</v>
      </c>
      <c r="AB142" s="671" t="s">
        <v>38</v>
      </c>
      <c r="AE142" s="671" t="s">
        <v>38</v>
      </c>
      <c r="AH142" s="671" t="s">
        <v>38</v>
      </c>
      <c r="AK142" s="671" t="s">
        <v>38</v>
      </c>
      <c r="AN142" s="671" t="s">
        <v>38</v>
      </c>
      <c r="AQ142" s="671" t="s">
        <v>38</v>
      </c>
      <c r="AR142" s="656" t="str">
        <f>Select_naics2022[[#This Row],[2022 NAICS Code]]&amp;":  "&amp;Select_naics2022[[#This Row],[2022 NAICS Title]]</f>
        <v>238340:  Tile and Terrazzo Contractors</v>
      </c>
      <c r="AS142" s="656">
        <v>238340</v>
      </c>
      <c r="AT142" s="656" t="s">
        <v>783</v>
      </c>
      <c r="AU142" s="656" t="str">
        <f>Select_naics2022[[#This Row],[2022 NAICS Title]]</f>
        <v>Tile and Terrazzo Contractors</v>
      </c>
      <c r="AY142" s="671" t="s">
        <v>38</v>
      </c>
      <c r="BB142" s="671" t="s">
        <v>38</v>
      </c>
      <c r="BE142" s="671" t="s">
        <v>38</v>
      </c>
      <c r="BH142" s="671" t="s">
        <v>38</v>
      </c>
      <c r="BK142" s="671" t="s">
        <v>38</v>
      </c>
      <c r="BN142" s="671" t="s">
        <v>38</v>
      </c>
      <c r="BQ142" s="671" t="s">
        <v>38</v>
      </c>
      <c r="BT142" s="671" t="s">
        <v>38</v>
      </c>
      <c r="BW142" s="671" t="s">
        <v>38</v>
      </c>
      <c r="BZ142" s="671" t="s">
        <v>38</v>
      </c>
    </row>
    <row r="143" spans="2:78" x14ac:dyDescent="0.25">
      <c r="B143" s="671" t="s">
        <v>38</v>
      </c>
      <c r="I143" s="671" t="s">
        <v>38</v>
      </c>
      <c r="L143" s="671" t="s">
        <v>38</v>
      </c>
      <c r="O143" s="671" t="s">
        <v>38</v>
      </c>
      <c r="R143" s="671" t="s">
        <v>38</v>
      </c>
      <c r="U143" s="671" t="s">
        <v>38</v>
      </c>
      <c r="X143" s="671" t="s">
        <v>38</v>
      </c>
      <c r="AB143" s="671" t="s">
        <v>38</v>
      </c>
      <c r="AE143" s="671" t="s">
        <v>38</v>
      </c>
      <c r="AH143" s="671" t="s">
        <v>38</v>
      </c>
      <c r="AK143" s="671" t="s">
        <v>38</v>
      </c>
      <c r="AN143" s="671" t="s">
        <v>38</v>
      </c>
      <c r="AQ143" s="671" t="s">
        <v>38</v>
      </c>
      <c r="AR143" s="656" t="str">
        <f>Select_naics2022[[#This Row],[2022 NAICS Code]]&amp;":  "&amp;Select_naics2022[[#This Row],[2022 NAICS Title]]</f>
        <v>238350:  Finish Carpentry Contractors</v>
      </c>
      <c r="AS143" s="656">
        <v>238350</v>
      </c>
      <c r="AT143" s="656" t="s">
        <v>784</v>
      </c>
      <c r="AU143" s="656" t="str">
        <f>Select_naics2022[[#This Row],[2022 NAICS Title]]</f>
        <v>Finish Carpentry Contractors</v>
      </c>
      <c r="AY143" s="671" t="s">
        <v>38</v>
      </c>
      <c r="BB143" s="671" t="s">
        <v>38</v>
      </c>
      <c r="BE143" s="671" t="s">
        <v>38</v>
      </c>
      <c r="BH143" s="671" t="s">
        <v>38</v>
      </c>
      <c r="BK143" s="671" t="s">
        <v>38</v>
      </c>
      <c r="BN143" s="671" t="s">
        <v>38</v>
      </c>
      <c r="BQ143" s="671" t="s">
        <v>38</v>
      </c>
      <c r="BT143" s="671" t="s">
        <v>38</v>
      </c>
      <c r="BW143" s="671" t="s">
        <v>38</v>
      </c>
      <c r="BZ143" s="671" t="s">
        <v>38</v>
      </c>
    </row>
    <row r="144" spans="2:78" x14ac:dyDescent="0.25">
      <c r="B144" s="671" t="s">
        <v>38</v>
      </c>
      <c r="I144" s="671" t="s">
        <v>38</v>
      </c>
      <c r="L144" s="671" t="s">
        <v>38</v>
      </c>
      <c r="O144" s="671" t="s">
        <v>38</v>
      </c>
      <c r="R144" s="671" t="s">
        <v>38</v>
      </c>
      <c r="U144" s="671" t="s">
        <v>38</v>
      </c>
      <c r="X144" s="671" t="s">
        <v>38</v>
      </c>
      <c r="AB144" s="671" t="s">
        <v>38</v>
      </c>
      <c r="AE144" s="671" t="s">
        <v>38</v>
      </c>
      <c r="AH144" s="671" t="s">
        <v>38</v>
      </c>
      <c r="AK144" s="671" t="s">
        <v>38</v>
      </c>
      <c r="AN144" s="671" t="s">
        <v>38</v>
      </c>
      <c r="AQ144" s="671" t="s">
        <v>38</v>
      </c>
      <c r="AR144" s="656" t="str">
        <f>Select_naics2022[[#This Row],[2022 NAICS Code]]&amp;":  "&amp;Select_naics2022[[#This Row],[2022 NAICS Title]]</f>
        <v>238390:  Other Building Finishing Contractors</v>
      </c>
      <c r="AS144" s="656">
        <v>238390</v>
      </c>
      <c r="AT144" s="656" t="s">
        <v>785</v>
      </c>
      <c r="AU144" s="656" t="str">
        <f>Select_naics2022[[#This Row],[2022 NAICS Title]]</f>
        <v>Other Building Finishing Contractors</v>
      </c>
      <c r="AY144" s="671" t="s">
        <v>38</v>
      </c>
      <c r="BB144" s="671" t="s">
        <v>38</v>
      </c>
      <c r="BE144" s="671" t="s">
        <v>38</v>
      </c>
      <c r="BH144" s="671" t="s">
        <v>38</v>
      </c>
      <c r="BK144" s="671" t="s">
        <v>38</v>
      </c>
      <c r="BN144" s="671" t="s">
        <v>38</v>
      </c>
      <c r="BQ144" s="671" t="s">
        <v>38</v>
      </c>
      <c r="BT144" s="671" t="s">
        <v>38</v>
      </c>
      <c r="BW144" s="671" t="s">
        <v>38</v>
      </c>
      <c r="BZ144" s="671" t="s">
        <v>38</v>
      </c>
    </row>
    <row r="145" spans="2:78" x14ac:dyDescent="0.25">
      <c r="B145" s="671" t="s">
        <v>38</v>
      </c>
      <c r="I145" s="671" t="s">
        <v>38</v>
      </c>
      <c r="L145" s="671" t="s">
        <v>38</v>
      </c>
      <c r="O145" s="671" t="s">
        <v>38</v>
      </c>
      <c r="R145" s="671" t="s">
        <v>38</v>
      </c>
      <c r="U145" s="671" t="s">
        <v>38</v>
      </c>
      <c r="X145" s="671" t="s">
        <v>38</v>
      </c>
      <c r="AB145" s="671" t="s">
        <v>38</v>
      </c>
      <c r="AE145" s="671" t="s">
        <v>38</v>
      </c>
      <c r="AH145" s="671" t="s">
        <v>38</v>
      </c>
      <c r="AK145" s="671" t="s">
        <v>38</v>
      </c>
      <c r="AN145" s="671" t="s">
        <v>38</v>
      </c>
      <c r="AQ145" s="671" t="s">
        <v>38</v>
      </c>
      <c r="AR145" s="656" t="str">
        <f>Select_naics2022[[#This Row],[2022 NAICS Code]]&amp;":  "&amp;Select_naics2022[[#This Row],[2022 NAICS Title]]</f>
        <v>238910:  Site Preparation Contractors</v>
      </c>
      <c r="AS145" s="656">
        <v>238910</v>
      </c>
      <c r="AT145" s="656" t="s">
        <v>786</v>
      </c>
      <c r="AU145" s="656" t="str">
        <f>Select_naics2022[[#This Row],[2022 NAICS Title]]</f>
        <v>Site Preparation Contractors</v>
      </c>
      <c r="AY145" s="671" t="s">
        <v>38</v>
      </c>
      <c r="BB145" s="671" t="s">
        <v>38</v>
      </c>
      <c r="BE145" s="671" t="s">
        <v>38</v>
      </c>
      <c r="BH145" s="671" t="s">
        <v>38</v>
      </c>
      <c r="BK145" s="671" t="s">
        <v>38</v>
      </c>
      <c r="BN145" s="671" t="s">
        <v>38</v>
      </c>
      <c r="BQ145" s="671" t="s">
        <v>38</v>
      </c>
      <c r="BT145" s="671" t="s">
        <v>38</v>
      </c>
      <c r="BW145" s="671" t="s">
        <v>38</v>
      </c>
      <c r="BZ145" s="671" t="s">
        <v>38</v>
      </c>
    </row>
    <row r="146" spans="2:78" x14ac:dyDescent="0.25">
      <c r="B146" s="671" t="s">
        <v>38</v>
      </c>
      <c r="I146" s="671" t="s">
        <v>38</v>
      </c>
      <c r="L146" s="671" t="s">
        <v>38</v>
      </c>
      <c r="O146" s="671" t="s">
        <v>38</v>
      </c>
      <c r="R146" s="671" t="s">
        <v>38</v>
      </c>
      <c r="U146" s="671" t="s">
        <v>38</v>
      </c>
      <c r="X146" s="671" t="s">
        <v>38</v>
      </c>
      <c r="AB146" s="671" t="s">
        <v>38</v>
      </c>
      <c r="AE146" s="671" t="s">
        <v>38</v>
      </c>
      <c r="AH146" s="671" t="s">
        <v>38</v>
      </c>
      <c r="AK146" s="671" t="s">
        <v>38</v>
      </c>
      <c r="AN146" s="671" t="s">
        <v>38</v>
      </c>
      <c r="AQ146" s="671" t="s">
        <v>38</v>
      </c>
      <c r="AR146" s="656" t="str">
        <f>Select_naics2022[[#This Row],[2022 NAICS Code]]&amp;":  "&amp;Select_naics2022[[#This Row],[2022 NAICS Title]]</f>
        <v>238990:  All Other Specialty Trade Contractors</v>
      </c>
      <c r="AS146" s="656">
        <v>238990</v>
      </c>
      <c r="AT146" s="656" t="s">
        <v>787</v>
      </c>
      <c r="AU146" s="656" t="str">
        <f>Select_naics2022[[#This Row],[2022 NAICS Title]]</f>
        <v>All Other Specialty Trade Contractors</v>
      </c>
      <c r="AY146" s="671" t="s">
        <v>38</v>
      </c>
      <c r="BB146" s="671" t="s">
        <v>38</v>
      </c>
      <c r="BE146" s="671" t="s">
        <v>38</v>
      </c>
      <c r="BH146" s="671" t="s">
        <v>38</v>
      </c>
      <c r="BK146" s="671" t="s">
        <v>38</v>
      </c>
      <c r="BN146" s="671" t="s">
        <v>38</v>
      </c>
      <c r="BQ146" s="671" t="s">
        <v>38</v>
      </c>
      <c r="BT146" s="671" t="s">
        <v>38</v>
      </c>
      <c r="BW146" s="671" t="s">
        <v>38</v>
      </c>
      <c r="BZ146" s="671" t="s">
        <v>38</v>
      </c>
    </row>
    <row r="147" spans="2:78" x14ac:dyDescent="0.25">
      <c r="B147" s="671" t="s">
        <v>38</v>
      </c>
      <c r="I147" s="671" t="s">
        <v>38</v>
      </c>
      <c r="L147" s="671" t="s">
        <v>38</v>
      </c>
      <c r="O147" s="671" t="s">
        <v>38</v>
      </c>
      <c r="R147" s="671" t="s">
        <v>38</v>
      </c>
      <c r="U147" s="671" t="s">
        <v>38</v>
      </c>
      <c r="X147" s="671" t="s">
        <v>38</v>
      </c>
      <c r="AB147" s="671" t="s">
        <v>38</v>
      </c>
      <c r="AE147" s="671" t="s">
        <v>38</v>
      </c>
      <c r="AH147" s="671" t="s">
        <v>38</v>
      </c>
      <c r="AK147" s="671" t="s">
        <v>38</v>
      </c>
      <c r="AN147" s="671" t="s">
        <v>38</v>
      </c>
      <c r="AQ147" s="671" t="s">
        <v>38</v>
      </c>
      <c r="AR147" s="656" t="str">
        <f>Select_naics2022[[#This Row],[2022 NAICS Code]]&amp;":  "&amp;Select_naics2022[[#This Row],[2022 NAICS Title]]</f>
        <v xml:space="preserve">311111:  Dog and Cat Food Manufacturing </v>
      </c>
      <c r="AS147" s="656">
        <v>311111</v>
      </c>
      <c r="AT147" s="656" t="s">
        <v>788</v>
      </c>
      <c r="AU147" s="656" t="str">
        <f>Select_naics2022[[#This Row],[2022 NAICS Title]]</f>
        <v xml:space="preserve">Dog and Cat Food Manufacturing </v>
      </c>
      <c r="AY147" s="671" t="s">
        <v>38</v>
      </c>
      <c r="BB147" s="671" t="s">
        <v>38</v>
      </c>
      <c r="BE147" s="671" t="s">
        <v>38</v>
      </c>
      <c r="BH147" s="671" t="s">
        <v>38</v>
      </c>
      <c r="BK147" s="671" t="s">
        <v>38</v>
      </c>
      <c r="BN147" s="671" t="s">
        <v>38</v>
      </c>
      <c r="BQ147" s="671" t="s">
        <v>38</v>
      </c>
      <c r="BT147" s="671" t="s">
        <v>38</v>
      </c>
      <c r="BW147" s="671" t="s">
        <v>38</v>
      </c>
      <c r="BZ147" s="671" t="s">
        <v>38</v>
      </c>
    </row>
    <row r="148" spans="2:78" x14ac:dyDescent="0.25">
      <c r="B148" s="671" t="s">
        <v>38</v>
      </c>
      <c r="I148" s="671" t="s">
        <v>38</v>
      </c>
      <c r="L148" s="671" t="s">
        <v>38</v>
      </c>
      <c r="O148" s="671" t="s">
        <v>38</v>
      </c>
      <c r="R148" s="671" t="s">
        <v>38</v>
      </c>
      <c r="U148" s="671" t="s">
        <v>38</v>
      </c>
      <c r="X148" s="671" t="s">
        <v>38</v>
      </c>
      <c r="AB148" s="671" t="s">
        <v>38</v>
      </c>
      <c r="AE148" s="671" t="s">
        <v>38</v>
      </c>
      <c r="AH148" s="671" t="s">
        <v>38</v>
      </c>
      <c r="AK148" s="671" t="s">
        <v>38</v>
      </c>
      <c r="AN148" s="671" t="s">
        <v>38</v>
      </c>
      <c r="AQ148" s="671" t="s">
        <v>38</v>
      </c>
      <c r="AR148" s="656" t="str">
        <f>Select_naics2022[[#This Row],[2022 NAICS Code]]&amp;":  "&amp;Select_naics2022[[#This Row],[2022 NAICS Title]]</f>
        <v xml:space="preserve">311119:  Other Animal Food Manufacturing </v>
      </c>
      <c r="AS148" s="656">
        <v>311119</v>
      </c>
      <c r="AT148" s="656" t="s">
        <v>789</v>
      </c>
      <c r="AU148" s="656" t="str">
        <f>Select_naics2022[[#This Row],[2022 NAICS Title]]</f>
        <v xml:space="preserve">Other Animal Food Manufacturing </v>
      </c>
      <c r="AY148" s="671" t="s">
        <v>38</v>
      </c>
      <c r="BB148" s="671" t="s">
        <v>38</v>
      </c>
      <c r="BE148" s="671" t="s">
        <v>38</v>
      </c>
      <c r="BH148" s="671" t="s">
        <v>38</v>
      </c>
      <c r="BK148" s="671" t="s">
        <v>38</v>
      </c>
      <c r="BN148" s="671" t="s">
        <v>38</v>
      </c>
      <c r="BQ148" s="671" t="s">
        <v>38</v>
      </c>
      <c r="BT148" s="671" t="s">
        <v>38</v>
      </c>
      <c r="BW148" s="671" t="s">
        <v>38</v>
      </c>
      <c r="BZ148" s="671" t="s">
        <v>38</v>
      </c>
    </row>
    <row r="149" spans="2:78" x14ac:dyDescent="0.25">
      <c r="B149" s="671" t="s">
        <v>38</v>
      </c>
      <c r="I149" s="671" t="s">
        <v>38</v>
      </c>
      <c r="L149" s="671" t="s">
        <v>38</v>
      </c>
      <c r="O149" s="671" t="s">
        <v>38</v>
      </c>
      <c r="R149" s="671" t="s">
        <v>38</v>
      </c>
      <c r="U149" s="671" t="s">
        <v>38</v>
      </c>
      <c r="X149" s="671" t="s">
        <v>38</v>
      </c>
      <c r="AB149" s="671" t="s">
        <v>38</v>
      </c>
      <c r="AE149" s="671" t="s">
        <v>38</v>
      </c>
      <c r="AH149" s="671" t="s">
        <v>38</v>
      </c>
      <c r="AK149" s="671" t="s">
        <v>38</v>
      </c>
      <c r="AN149" s="671" t="s">
        <v>38</v>
      </c>
      <c r="AQ149" s="671" t="s">
        <v>38</v>
      </c>
      <c r="AR149" s="656" t="str">
        <f>Select_naics2022[[#This Row],[2022 NAICS Code]]&amp;":  "&amp;Select_naics2022[[#This Row],[2022 NAICS Title]]</f>
        <v xml:space="preserve">311211:  Flour Milling </v>
      </c>
      <c r="AS149" s="656">
        <v>311211</v>
      </c>
      <c r="AT149" s="656" t="s">
        <v>790</v>
      </c>
      <c r="AU149" s="656" t="str">
        <f>Select_naics2022[[#This Row],[2022 NAICS Title]]</f>
        <v xml:space="preserve">Flour Milling </v>
      </c>
      <c r="AY149" s="671" t="s">
        <v>38</v>
      </c>
      <c r="BB149" s="671" t="s">
        <v>38</v>
      </c>
      <c r="BE149" s="671" t="s">
        <v>38</v>
      </c>
      <c r="BH149" s="671" t="s">
        <v>38</v>
      </c>
      <c r="BK149" s="671" t="s">
        <v>38</v>
      </c>
      <c r="BN149" s="671" t="s">
        <v>38</v>
      </c>
      <c r="BQ149" s="671" t="s">
        <v>38</v>
      </c>
      <c r="BT149" s="671" t="s">
        <v>38</v>
      </c>
      <c r="BW149" s="671" t="s">
        <v>38</v>
      </c>
      <c r="BZ149" s="671" t="s">
        <v>38</v>
      </c>
    </row>
    <row r="150" spans="2:78" x14ac:dyDescent="0.25">
      <c r="B150" s="671" t="s">
        <v>38</v>
      </c>
      <c r="I150" s="671" t="s">
        <v>38</v>
      </c>
      <c r="L150" s="671" t="s">
        <v>38</v>
      </c>
      <c r="O150" s="671" t="s">
        <v>38</v>
      </c>
      <c r="R150" s="671" t="s">
        <v>38</v>
      </c>
      <c r="U150" s="671" t="s">
        <v>38</v>
      </c>
      <c r="X150" s="671" t="s">
        <v>38</v>
      </c>
      <c r="AB150" s="671" t="s">
        <v>38</v>
      </c>
      <c r="AE150" s="671" t="s">
        <v>38</v>
      </c>
      <c r="AH150" s="671" t="s">
        <v>38</v>
      </c>
      <c r="AK150" s="671" t="s">
        <v>38</v>
      </c>
      <c r="AN150" s="671" t="s">
        <v>38</v>
      </c>
      <c r="AQ150" s="671" t="s">
        <v>38</v>
      </c>
      <c r="AR150" s="656" t="str">
        <f>Select_naics2022[[#This Row],[2022 NAICS Code]]&amp;":  "&amp;Select_naics2022[[#This Row],[2022 NAICS Title]]</f>
        <v xml:space="preserve">311212:  Rice Milling </v>
      </c>
      <c r="AS150" s="656">
        <v>311212</v>
      </c>
      <c r="AT150" s="656" t="s">
        <v>791</v>
      </c>
      <c r="AU150" s="656" t="str">
        <f>Select_naics2022[[#This Row],[2022 NAICS Title]]</f>
        <v xml:space="preserve">Rice Milling </v>
      </c>
      <c r="AY150" s="671" t="s">
        <v>38</v>
      </c>
      <c r="BB150" s="671" t="s">
        <v>38</v>
      </c>
      <c r="BE150" s="671" t="s">
        <v>38</v>
      </c>
      <c r="BH150" s="671" t="s">
        <v>38</v>
      </c>
      <c r="BK150" s="671" t="s">
        <v>38</v>
      </c>
      <c r="BN150" s="671" t="s">
        <v>38</v>
      </c>
      <c r="BQ150" s="671" t="s">
        <v>38</v>
      </c>
      <c r="BT150" s="671" t="s">
        <v>38</v>
      </c>
      <c r="BW150" s="671" t="s">
        <v>38</v>
      </c>
      <c r="BZ150" s="671" t="s">
        <v>38</v>
      </c>
    </row>
    <row r="151" spans="2:78" x14ac:dyDescent="0.25">
      <c r="B151" s="671" t="s">
        <v>38</v>
      </c>
      <c r="I151" s="671" t="s">
        <v>38</v>
      </c>
      <c r="L151" s="671" t="s">
        <v>38</v>
      </c>
      <c r="O151" s="671" t="s">
        <v>38</v>
      </c>
      <c r="R151" s="671" t="s">
        <v>38</v>
      </c>
      <c r="U151" s="671" t="s">
        <v>38</v>
      </c>
      <c r="X151" s="671" t="s">
        <v>38</v>
      </c>
      <c r="AB151" s="671" t="s">
        <v>38</v>
      </c>
      <c r="AE151" s="671" t="s">
        <v>38</v>
      </c>
      <c r="AH151" s="671" t="s">
        <v>38</v>
      </c>
      <c r="AK151" s="671" t="s">
        <v>38</v>
      </c>
      <c r="AN151" s="671" t="s">
        <v>38</v>
      </c>
      <c r="AQ151" s="671" t="s">
        <v>38</v>
      </c>
      <c r="AR151" s="656" t="str">
        <f>Select_naics2022[[#This Row],[2022 NAICS Code]]&amp;":  "&amp;Select_naics2022[[#This Row],[2022 NAICS Title]]</f>
        <v xml:space="preserve">311213:  Malt Manufacturing </v>
      </c>
      <c r="AS151" s="656">
        <v>311213</v>
      </c>
      <c r="AT151" s="656" t="s">
        <v>792</v>
      </c>
      <c r="AU151" s="656" t="str">
        <f>Select_naics2022[[#This Row],[2022 NAICS Title]]</f>
        <v xml:space="preserve">Malt Manufacturing </v>
      </c>
      <c r="AY151" s="671" t="s">
        <v>38</v>
      </c>
      <c r="BB151" s="671" t="s">
        <v>38</v>
      </c>
      <c r="BE151" s="671" t="s">
        <v>38</v>
      </c>
      <c r="BH151" s="671" t="s">
        <v>38</v>
      </c>
      <c r="BK151" s="671" t="s">
        <v>38</v>
      </c>
      <c r="BN151" s="671" t="s">
        <v>38</v>
      </c>
      <c r="BQ151" s="671" t="s">
        <v>38</v>
      </c>
      <c r="BT151" s="671" t="s">
        <v>38</v>
      </c>
      <c r="BW151" s="671" t="s">
        <v>38</v>
      </c>
      <c r="BZ151" s="671" t="s">
        <v>38</v>
      </c>
    </row>
    <row r="152" spans="2:78" x14ac:dyDescent="0.25">
      <c r="B152" s="671" t="s">
        <v>38</v>
      </c>
      <c r="I152" s="671" t="s">
        <v>38</v>
      </c>
      <c r="L152" s="671" t="s">
        <v>38</v>
      </c>
      <c r="O152" s="671" t="s">
        <v>38</v>
      </c>
      <c r="R152" s="671" t="s">
        <v>38</v>
      </c>
      <c r="U152" s="671" t="s">
        <v>38</v>
      </c>
      <c r="X152" s="671" t="s">
        <v>38</v>
      </c>
      <c r="AB152" s="671" t="s">
        <v>38</v>
      </c>
      <c r="AE152" s="671" t="s">
        <v>38</v>
      </c>
      <c r="AH152" s="671" t="s">
        <v>38</v>
      </c>
      <c r="AK152" s="671" t="s">
        <v>38</v>
      </c>
      <c r="AN152" s="671" t="s">
        <v>38</v>
      </c>
      <c r="AQ152" s="671" t="s">
        <v>38</v>
      </c>
      <c r="AR152" s="656" t="str">
        <f>Select_naics2022[[#This Row],[2022 NAICS Code]]&amp;":  "&amp;Select_naics2022[[#This Row],[2022 NAICS Title]]</f>
        <v xml:space="preserve">311221:  Wet Corn Milling and Starch Manufacturing </v>
      </c>
      <c r="AS152" s="656">
        <v>311221</v>
      </c>
      <c r="AT152" s="656" t="s">
        <v>793</v>
      </c>
      <c r="AU152" s="656" t="str">
        <f>Select_naics2022[[#This Row],[2022 NAICS Title]]</f>
        <v xml:space="preserve">Wet Corn Milling and Starch Manufacturing </v>
      </c>
      <c r="AY152" s="671" t="s">
        <v>38</v>
      </c>
      <c r="BB152" s="671" t="s">
        <v>38</v>
      </c>
      <c r="BE152" s="671" t="s">
        <v>38</v>
      </c>
      <c r="BH152" s="671" t="s">
        <v>38</v>
      </c>
      <c r="BK152" s="671" t="s">
        <v>38</v>
      </c>
      <c r="BN152" s="671" t="s">
        <v>38</v>
      </c>
      <c r="BQ152" s="671" t="s">
        <v>38</v>
      </c>
      <c r="BT152" s="671" t="s">
        <v>38</v>
      </c>
      <c r="BW152" s="671" t="s">
        <v>38</v>
      </c>
      <c r="BZ152" s="671" t="s">
        <v>38</v>
      </c>
    </row>
    <row r="153" spans="2:78" x14ac:dyDescent="0.25">
      <c r="B153" s="671" t="s">
        <v>38</v>
      </c>
      <c r="I153" s="671" t="s">
        <v>38</v>
      </c>
      <c r="L153" s="671" t="s">
        <v>38</v>
      </c>
      <c r="O153" s="671" t="s">
        <v>38</v>
      </c>
      <c r="R153" s="671" t="s">
        <v>38</v>
      </c>
      <c r="U153" s="671" t="s">
        <v>38</v>
      </c>
      <c r="X153" s="671" t="s">
        <v>38</v>
      </c>
      <c r="AB153" s="671" t="s">
        <v>38</v>
      </c>
      <c r="AE153" s="671" t="s">
        <v>38</v>
      </c>
      <c r="AH153" s="671" t="s">
        <v>38</v>
      </c>
      <c r="AK153" s="671" t="s">
        <v>38</v>
      </c>
      <c r="AN153" s="671" t="s">
        <v>38</v>
      </c>
      <c r="AQ153" s="671" t="s">
        <v>38</v>
      </c>
      <c r="AR153" s="656" t="str">
        <f>Select_naics2022[[#This Row],[2022 NAICS Code]]&amp;":  "&amp;Select_naics2022[[#This Row],[2022 NAICS Title]]</f>
        <v xml:space="preserve">311224:  Soybean and Other Oilseed Processing </v>
      </c>
      <c r="AS153" s="656">
        <v>311224</v>
      </c>
      <c r="AT153" s="656" t="s">
        <v>794</v>
      </c>
      <c r="AU153" s="656" t="str">
        <f>Select_naics2022[[#This Row],[2022 NAICS Title]]</f>
        <v xml:space="preserve">Soybean and Other Oilseed Processing </v>
      </c>
      <c r="AY153" s="671" t="s">
        <v>38</v>
      </c>
      <c r="BB153" s="671" t="s">
        <v>38</v>
      </c>
      <c r="BE153" s="671" t="s">
        <v>38</v>
      </c>
      <c r="BH153" s="671" t="s">
        <v>38</v>
      </c>
      <c r="BK153" s="671" t="s">
        <v>38</v>
      </c>
      <c r="BN153" s="671" t="s">
        <v>38</v>
      </c>
      <c r="BQ153" s="671" t="s">
        <v>38</v>
      </c>
      <c r="BT153" s="671" t="s">
        <v>38</v>
      </c>
      <c r="BW153" s="671" t="s">
        <v>38</v>
      </c>
      <c r="BZ153" s="671" t="s">
        <v>38</v>
      </c>
    </row>
    <row r="154" spans="2:78" x14ac:dyDescent="0.25">
      <c r="B154" s="671" t="s">
        <v>38</v>
      </c>
      <c r="I154" s="671" t="s">
        <v>38</v>
      </c>
      <c r="L154" s="671" t="s">
        <v>38</v>
      </c>
      <c r="O154" s="671" t="s">
        <v>38</v>
      </c>
      <c r="R154" s="671" t="s">
        <v>38</v>
      </c>
      <c r="U154" s="671" t="s">
        <v>38</v>
      </c>
      <c r="X154" s="671" t="s">
        <v>38</v>
      </c>
      <c r="AB154" s="671" t="s">
        <v>38</v>
      </c>
      <c r="AE154" s="671" t="s">
        <v>38</v>
      </c>
      <c r="AH154" s="671" t="s">
        <v>38</v>
      </c>
      <c r="AK154" s="671" t="s">
        <v>38</v>
      </c>
      <c r="AN154" s="671" t="s">
        <v>38</v>
      </c>
      <c r="AQ154" s="671" t="s">
        <v>38</v>
      </c>
      <c r="AR154" s="656" t="str">
        <f>Select_naics2022[[#This Row],[2022 NAICS Code]]&amp;":  "&amp;Select_naics2022[[#This Row],[2022 NAICS Title]]</f>
        <v xml:space="preserve">311225:  Fats and Oils Refining and Blending </v>
      </c>
      <c r="AS154" s="656">
        <v>311225</v>
      </c>
      <c r="AT154" s="656" t="s">
        <v>795</v>
      </c>
      <c r="AU154" s="656" t="str">
        <f>Select_naics2022[[#This Row],[2022 NAICS Title]]</f>
        <v xml:space="preserve">Fats and Oils Refining and Blending </v>
      </c>
      <c r="AY154" s="671" t="s">
        <v>38</v>
      </c>
      <c r="BB154" s="671" t="s">
        <v>38</v>
      </c>
      <c r="BE154" s="671" t="s">
        <v>38</v>
      </c>
      <c r="BH154" s="671" t="s">
        <v>38</v>
      </c>
      <c r="BK154" s="671" t="s">
        <v>38</v>
      </c>
      <c r="BN154" s="671" t="s">
        <v>38</v>
      </c>
      <c r="BQ154" s="671" t="s">
        <v>38</v>
      </c>
      <c r="BT154" s="671" t="s">
        <v>38</v>
      </c>
      <c r="BW154" s="671" t="s">
        <v>38</v>
      </c>
      <c r="BZ154" s="671" t="s">
        <v>38</v>
      </c>
    </row>
    <row r="155" spans="2:78" x14ac:dyDescent="0.25">
      <c r="B155" s="671" t="s">
        <v>38</v>
      </c>
      <c r="I155" s="671" t="s">
        <v>38</v>
      </c>
      <c r="L155" s="671" t="s">
        <v>38</v>
      </c>
      <c r="O155" s="671" t="s">
        <v>38</v>
      </c>
      <c r="R155" s="671" t="s">
        <v>38</v>
      </c>
      <c r="U155" s="671" t="s">
        <v>38</v>
      </c>
      <c r="X155" s="671" t="s">
        <v>38</v>
      </c>
      <c r="AB155" s="671" t="s">
        <v>38</v>
      </c>
      <c r="AE155" s="671" t="s">
        <v>38</v>
      </c>
      <c r="AH155" s="671" t="s">
        <v>38</v>
      </c>
      <c r="AK155" s="671" t="s">
        <v>38</v>
      </c>
      <c r="AN155" s="671" t="s">
        <v>38</v>
      </c>
      <c r="AQ155" s="671" t="s">
        <v>38</v>
      </c>
      <c r="AR155" s="656" t="str">
        <f>Select_naics2022[[#This Row],[2022 NAICS Code]]&amp;":  "&amp;Select_naics2022[[#This Row],[2022 NAICS Title]]</f>
        <v>311230:  Breakfast Cereal Manufacturing</v>
      </c>
      <c r="AS155" s="656">
        <v>311230</v>
      </c>
      <c r="AT155" s="656" t="s">
        <v>796</v>
      </c>
      <c r="AU155" s="656" t="str">
        <f>Select_naics2022[[#This Row],[2022 NAICS Title]]</f>
        <v>Breakfast Cereal Manufacturing</v>
      </c>
      <c r="AY155" s="671" t="s">
        <v>38</v>
      </c>
      <c r="BB155" s="671" t="s">
        <v>38</v>
      </c>
      <c r="BE155" s="671" t="s">
        <v>38</v>
      </c>
      <c r="BH155" s="671" t="s">
        <v>38</v>
      </c>
      <c r="BK155" s="671" t="s">
        <v>38</v>
      </c>
      <c r="BN155" s="671" t="s">
        <v>38</v>
      </c>
      <c r="BQ155" s="671" t="s">
        <v>38</v>
      </c>
      <c r="BT155" s="671" t="s">
        <v>38</v>
      </c>
      <c r="BW155" s="671" t="s">
        <v>38</v>
      </c>
      <c r="BZ155" s="671" t="s">
        <v>38</v>
      </c>
    </row>
    <row r="156" spans="2:78" x14ac:dyDescent="0.25">
      <c r="B156" s="671" t="s">
        <v>38</v>
      </c>
      <c r="I156" s="671" t="s">
        <v>38</v>
      </c>
      <c r="L156" s="671" t="s">
        <v>38</v>
      </c>
      <c r="O156" s="671" t="s">
        <v>38</v>
      </c>
      <c r="R156" s="671" t="s">
        <v>38</v>
      </c>
      <c r="U156" s="671" t="s">
        <v>38</v>
      </c>
      <c r="X156" s="671" t="s">
        <v>38</v>
      </c>
      <c r="AB156" s="671" t="s">
        <v>38</v>
      </c>
      <c r="AE156" s="671" t="s">
        <v>38</v>
      </c>
      <c r="AH156" s="671" t="s">
        <v>38</v>
      </c>
      <c r="AK156" s="671" t="s">
        <v>38</v>
      </c>
      <c r="AN156" s="671" t="s">
        <v>38</v>
      </c>
      <c r="AQ156" s="671" t="s">
        <v>38</v>
      </c>
      <c r="AR156" s="656" t="str">
        <f>Select_naics2022[[#This Row],[2022 NAICS Code]]&amp;":  "&amp;Select_naics2022[[#This Row],[2022 NAICS Title]]</f>
        <v xml:space="preserve">311313:  Beet Sugar Manufacturing </v>
      </c>
      <c r="AS156" s="656">
        <v>311313</v>
      </c>
      <c r="AT156" s="656" t="s">
        <v>797</v>
      </c>
      <c r="AU156" s="656" t="str">
        <f>Select_naics2022[[#This Row],[2022 NAICS Title]]</f>
        <v xml:space="preserve">Beet Sugar Manufacturing </v>
      </c>
      <c r="AY156" s="671" t="s">
        <v>38</v>
      </c>
      <c r="BB156" s="671" t="s">
        <v>38</v>
      </c>
      <c r="BE156" s="671" t="s">
        <v>38</v>
      </c>
      <c r="BH156" s="671" t="s">
        <v>38</v>
      </c>
      <c r="BK156" s="671" t="s">
        <v>38</v>
      </c>
      <c r="BN156" s="671" t="s">
        <v>38</v>
      </c>
      <c r="BQ156" s="671" t="s">
        <v>38</v>
      </c>
      <c r="BT156" s="671" t="s">
        <v>38</v>
      </c>
      <c r="BW156" s="671" t="s">
        <v>38</v>
      </c>
      <c r="BZ156" s="671" t="s">
        <v>38</v>
      </c>
    </row>
    <row r="157" spans="2:78" x14ac:dyDescent="0.25">
      <c r="B157" s="671" t="s">
        <v>38</v>
      </c>
      <c r="I157" s="671" t="s">
        <v>38</v>
      </c>
      <c r="L157" s="671" t="s">
        <v>38</v>
      </c>
      <c r="O157" s="671" t="s">
        <v>38</v>
      </c>
      <c r="R157" s="671" t="s">
        <v>38</v>
      </c>
      <c r="U157" s="671" t="s">
        <v>38</v>
      </c>
      <c r="X157" s="671" t="s">
        <v>38</v>
      </c>
      <c r="AB157" s="671" t="s">
        <v>38</v>
      </c>
      <c r="AE157" s="671" t="s">
        <v>38</v>
      </c>
      <c r="AH157" s="671" t="s">
        <v>38</v>
      </c>
      <c r="AK157" s="671" t="s">
        <v>38</v>
      </c>
      <c r="AN157" s="671" t="s">
        <v>38</v>
      </c>
      <c r="AQ157" s="671" t="s">
        <v>38</v>
      </c>
      <c r="AR157" s="656" t="str">
        <f>Select_naics2022[[#This Row],[2022 NAICS Code]]&amp;":  "&amp;Select_naics2022[[#This Row],[2022 NAICS Title]]</f>
        <v xml:space="preserve">311314:  Cane Sugar Manufacturing </v>
      </c>
      <c r="AS157" s="656">
        <v>311314</v>
      </c>
      <c r="AT157" s="656" t="s">
        <v>798</v>
      </c>
      <c r="AU157" s="656" t="str">
        <f>Select_naics2022[[#This Row],[2022 NAICS Title]]</f>
        <v xml:space="preserve">Cane Sugar Manufacturing </v>
      </c>
      <c r="AY157" s="671" t="s">
        <v>38</v>
      </c>
      <c r="BB157" s="671" t="s">
        <v>38</v>
      </c>
      <c r="BE157" s="671" t="s">
        <v>38</v>
      </c>
      <c r="BH157" s="671" t="s">
        <v>38</v>
      </c>
      <c r="BK157" s="671" t="s">
        <v>38</v>
      </c>
      <c r="BN157" s="671" t="s">
        <v>38</v>
      </c>
      <c r="BQ157" s="671" t="s">
        <v>38</v>
      </c>
      <c r="BT157" s="671" t="s">
        <v>38</v>
      </c>
      <c r="BW157" s="671" t="s">
        <v>38</v>
      </c>
      <c r="BZ157" s="671" t="s">
        <v>38</v>
      </c>
    </row>
    <row r="158" spans="2:78" x14ac:dyDescent="0.25">
      <c r="B158" s="671" t="s">
        <v>38</v>
      </c>
      <c r="I158" s="671" t="s">
        <v>38</v>
      </c>
      <c r="L158" s="671" t="s">
        <v>38</v>
      </c>
      <c r="O158" s="671" t="s">
        <v>38</v>
      </c>
      <c r="R158" s="671" t="s">
        <v>38</v>
      </c>
      <c r="U158" s="671" t="s">
        <v>38</v>
      </c>
      <c r="X158" s="671" t="s">
        <v>38</v>
      </c>
      <c r="AB158" s="671" t="s">
        <v>38</v>
      </c>
      <c r="AE158" s="671" t="s">
        <v>38</v>
      </c>
      <c r="AH158" s="671" t="s">
        <v>38</v>
      </c>
      <c r="AK158" s="671" t="s">
        <v>38</v>
      </c>
      <c r="AN158" s="671" t="s">
        <v>38</v>
      </c>
      <c r="AQ158" s="671" t="s">
        <v>38</v>
      </c>
      <c r="AR158" s="656" t="str">
        <f>Select_naics2022[[#This Row],[2022 NAICS Code]]&amp;":  "&amp;Select_naics2022[[#This Row],[2022 NAICS Title]]</f>
        <v>311340:  Nonchocolate Confectionery Manufacturing</v>
      </c>
      <c r="AS158" s="656">
        <v>311340</v>
      </c>
      <c r="AT158" s="656" t="s">
        <v>799</v>
      </c>
      <c r="AU158" s="656" t="str">
        <f>Select_naics2022[[#This Row],[2022 NAICS Title]]</f>
        <v>Nonchocolate Confectionery Manufacturing</v>
      </c>
      <c r="AY158" s="671" t="s">
        <v>38</v>
      </c>
      <c r="BB158" s="671" t="s">
        <v>38</v>
      </c>
      <c r="BE158" s="671" t="s">
        <v>38</v>
      </c>
      <c r="BH158" s="671" t="s">
        <v>38</v>
      </c>
      <c r="BK158" s="671" t="s">
        <v>38</v>
      </c>
      <c r="BN158" s="671" t="s">
        <v>38</v>
      </c>
      <c r="BQ158" s="671" t="s">
        <v>38</v>
      </c>
      <c r="BT158" s="671" t="s">
        <v>38</v>
      </c>
      <c r="BW158" s="671" t="s">
        <v>38</v>
      </c>
      <c r="BZ158" s="671" t="s">
        <v>38</v>
      </c>
    </row>
    <row r="159" spans="2:78" x14ac:dyDescent="0.25">
      <c r="B159" s="671" t="s">
        <v>38</v>
      </c>
      <c r="I159" s="671" t="s">
        <v>38</v>
      </c>
      <c r="L159" s="671" t="s">
        <v>38</v>
      </c>
      <c r="O159" s="671" t="s">
        <v>38</v>
      </c>
      <c r="R159" s="671" t="s">
        <v>38</v>
      </c>
      <c r="U159" s="671" t="s">
        <v>38</v>
      </c>
      <c r="X159" s="671" t="s">
        <v>38</v>
      </c>
      <c r="AB159" s="671" t="s">
        <v>38</v>
      </c>
      <c r="AE159" s="671" t="s">
        <v>38</v>
      </c>
      <c r="AH159" s="671" t="s">
        <v>38</v>
      </c>
      <c r="AK159" s="671" t="s">
        <v>38</v>
      </c>
      <c r="AN159" s="671" t="s">
        <v>38</v>
      </c>
      <c r="AQ159" s="671" t="s">
        <v>38</v>
      </c>
      <c r="AR159" s="656" t="str">
        <f>Select_naics2022[[#This Row],[2022 NAICS Code]]&amp;":  "&amp;Select_naics2022[[#This Row],[2022 NAICS Title]]</f>
        <v xml:space="preserve">311351:  Chocolate and Confectionery Manufacturing from Cacao Beans </v>
      </c>
      <c r="AS159" s="656">
        <v>311351</v>
      </c>
      <c r="AT159" s="656" t="s">
        <v>800</v>
      </c>
      <c r="AU159" s="656" t="str">
        <f>Select_naics2022[[#This Row],[2022 NAICS Title]]</f>
        <v xml:space="preserve">Chocolate and Confectionery Manufacturing from Cacao Beans </v>
      </c>
      <c r="AY159" s="671" t="s">
        <v>38</v>
      </c>
      <c r="BB159" s="671" t="s">
        <v>38</v>
      </c>
      <c r="BE159" s="671" t="s">
        <v>38</v>
      </c>
      <c r="BH159" s="671" t="s">
        <v>38</v>
      </c>
      <c r="BK159" s="671" t="s">
        <v>38</v>
      </c>
      <c r="BN159" s="671" t="s">
        <v>38</v>
      </c>
      <c r="BQ159" s="671" t="s">
        <v>38</v>
      </c>
      <c r="BT159" s="671" t="s">
        <v>38</v>
      </c>
      <c r="BW159" s="671" t="s">
        <v>38</v>
      </c>
      <c r="BZ159" s="671" t="s">
        <v>38</v>
      </c>
    </row>
    <row r="160" spans="2:78" x14ac:dyDescent="0.25">
      <c r="B160" s="671" t="s">
        <v>38</v>
      </c>
      <c r="I160" s="671" t="s">
        <v>38</v>
      </c>
      <c r="L160" s="671" t="s">
        <v>38</v>
      </c>
      <c r="O160" s="671" t="s">
        <v>38</v>
      </c>
      <c r="R160" s="671" t="s">
        <v>38</v>
      </c>
      <c r="U160" s="671" t="s">
        <v>38</v>
      </c>
      <c r="X160" s="671" t="s">
        <v>38</v>
      </c>
      <c r="AB160" s="671" t="s">
        <v>38</v>
      </c>
      <c r="AE160" s="671" t="s">
        <v>38</v>
      </c>
      <c r="AH160" s="671" t="s">
        <v>38</v>
      </c>
      <c r="AK160" s="671" t="s">
        <v>38</v>
      </c>
      <c r="AN160" s="671" t="s">
        <v>38</v>
      </c>
      <c r="AQ160" s="671" t="s">
        <v>38</v>
      </c>
      <c r="AR160" s="656" t="str">
        <f>Select_naics2022[[#This Row],[2022 NAICS Code]]&amp;":  "&amp;Select_naics2022[[#This Row],[2022 NAICS Title]]</f>
        <v xml:space="preserve">311352:  Confectionery Manufacturing from Purchased Chocolate </v>
      </c>
      <c r="AS160" s="656">
        <v>311352</v>
      </c>
      <c r="AT160" s="656" t="s">
        <v>801</v>
      </c>
      <c r="AU160" s="656" t="str">
        <f>Select_naics2022[[#This Row],[2022 NAICS Title]]</f>
        <v xml:space="preserve">Confectionery Manufacturing from Purchased Chocolate </v>
      </c>
      <c r="AY160" s="671" t="s">
        <v>38</v>
      </c>
      <c r="BB160" s="671" t="s">
        <v>38</v>
      </c>
      <c r="BE160" s="671" t="s">
        <v>38</v>
      </c>
      <c r="BH160" s="671" t="s">
        <v>38</v>
      </c>
      <c r="BK160" s="671" t="s">
        <v>38</v>
      </c>
      <c r="BN160" s="671" t="s">
        <v>38</v>
      </c>
      <c r="BQ160" s="671" t="s">
        <v>38</v>
      </c>
      <c r="BT160" s="671" t="s">
        <v>38</v>
      </c>
      <c r="BW160" s="671" t="s">
        <v>38</v>
      </c>
      <c r="BZ160" s="671" t="s">
        <v>38</v>
      </c>
    </row>
    <row r="161" spans="2:78" x14ac:dyDescent="0.25">
      <c r="B161" s="671" t="s">
        <v>38</v>
      </c>
      <c r="I161" s="671" t="s">
        <v>38</v>
      </c>
      <c r="L161" s="671" t="s">
        <v>38</v>
      </c>
      <c r="O161" s="671" t="s">
        <v>38</v>
      </c>
      <c r="R161" s="671" t="s">
        <v>38</v>
      </c>
      <c r="U161" s="671" t="s">
        <v>38</v>
      </c>
      <c r="X161" s="671" t="s">
        <v>38</v>
      </c>
      <c r="AB161" s="671" t="s">
        <v>38</v>
      </c>
      <c r="AE161" s="671" t="s">
        <v>38</v>
      </c>
      <c r="AH161" s="671" t="s">
        <v>38</v>
      </c>
      <c r="AK161" s="671" t="s">
        <v>38</v>
      </c>
      <c r="AN161" s="671" t="s">
        <v>38</v>
      </c>
      <c r="AQ161" s="671" t="s">
        <v>38</v>
      </c>
      <c r="AR161" s="656" t="str">
        <f>Select_naics2022[[#This Row],[2022 NAICS Code]]&amp;":  "&amp;Select_naics2022[[#This Row],[2022 NAICS Title]]</f>
        <v xml:space="preserve">311411:  Frozen Fruit, Juice, and Vegetable Manufacturing </v>
      </c>
      <c r="AS161" s="656">
        <v>311411</v>
      </c>
      <c r="AT161" s="656" t="s">
        <v>802</v>
      </c>
      <c r="AU161" s="656" t="str">
        <f>Select_naics2022[[#This Row],[2022 NAICS Title]]</f>
        <v xml:space="preserve">Frozen Fruit, Juice, and Vegetable Manufacturing </v>
      </c>
      <c r="AY161" s="671" t="s">
        <v>38</v>
      </c>
      <c r="BB161" s="671" t="s">
        <v>38</v>
      </c>
      <c r="BE161" s="671" t="s">
        <v>38</v>
      </c>
      <c r="BH161" s="671" t="s">
        <v>38</v>
      </c>
      <c r="BK161" s="671" t="s">
        <v>38</v>
      </c>
      <c r="BN161" s="671" t="s">
        <v>38</v>
      </c>
      <c r="BQ161" s="671" t="s">
        <v>38</v>
      </c>
      <c r="BT161" s="671" t="s">
        <v>38</v>
      </c>
      <c r="BW161" s="671" t="s">
        <v>38</v>
      </c>
      <c r="BZ161" s="671" t="s">
        <v>38</v>
      </c>
    </row>
    <row r="162" spans="2:78" x14ac:dyDescent="0.25">
      <c r="B162" s="671" t="s">
        <v>38</v>
      </c>
      <c r="I162" s="671" t="s">
        <v>38</v>
      </c>
      <c r="L162" s="671" t="s">
        <v>38</v>
      </c>
      <c r="O162" s="671" t="s">
        <v>38</v>
      </c>
      <c r="R162" s="671" t="s">
        <v>38</v>
      </c>
      <c r="U162" s="671" t="s">
        <v>38</v>
      </c>
      <c r="X162" s="671" t="s">
        <v>38</v>
      </c>
      <c r="AB162" s="671" t="s">
        <v>38</v>
      </c>
      <c r="AE162" s="671" t="s">
        <v>38</v>
      </c>
      <c r="AH162" s="671" t="s">
        <v>38</v>
      </c>
      <c r="AK162" s="671" t="s">
        <v>38</v>
      </c>
      <c r="AN162" s="671" t="s">
        <v>38</v>
      </c>
      <c r="AQ162" s="671" t="s">
        <v>38</v>
      </c>
      <c r="AR162" s="656" t="str">
        <f>Select_naics2022[[#This Row],[2022 NAICS Code]]&amp;":  "&amp;Select_naics2022[[#This Row],[2022 NAICS Title]]</f>
        <v xml:space="preserve">311412:  Frozen Specialty Food Manufacturing </v>
      </c>
      <c r="AS162" s="656">
        <v>311412</v>
      </c>
      <c r="AT162" s="656" t="s">
        <v>803</v>
      </c>
      <c r="AU162" s="656" t="str">
        <f>Select_naics2022[[#This Row],[2022 NAICS Title]]</f>
        <v xml:space="preserve">Frozen Specialty Food Manufacturing </v>
      </c>
      <c r="AY162" s="671" t="s">
        <v>38</v>
      </c>
      <c r="BB162" s="671" t="s">
        <v>38</v>
      </c>
      <c r="BE162" s="671" t="s">
        <v>38</v>
      </c>
      <c r="BH162" s="671" t="s">
        <v>38</v>
      </c>
      <c r="BK162" s="671" t="s">
        <v>38</v>
      </c>
      <c r="BN162" s="671" t="s">
        <v>38</v>
      </c>
      <c r="BQ162" s="671" t="s">
        <v>38</v>
      </c>
      <c r="BT162" s="671" t="s">
        <v>38</v>
      </c>
      <c r="BW162" s="671" t="s">
        <v>38</v>
      </c>
      <c r="BZ162" s="671" t="s">
        <v>38</v>
      </c>
    </row>
    <row r="163" spans="2:78" x14ac:dyDescent="0.25">
      <c r="B163" s="671" t="s">
        <v>38</v>
      </c>
      <c r="I163" s="671" t="s">
        <v>38</v>
      </c>
      <c r="L163" s="671" t="s">
        <v>38</v>
      </c>
      <c r="O163" s="671" t="s">
        <v>38</v>
      </c>
      <c r="R163" s="671" t="s">
        <v>38</v>
      </c>
      <c r="U163" s="671" t="s">
        <v>38</v>
      </c>
      <c r="X163" s="671" t="s">
        <v>38</v>
      </c>
      <c r="AB163" s="671" t="s">
        <v>38</v>
      </c>
      <c r="AE163" s="671" t="s">
        <v>38</v>
      </c>
      <c r="AH163" s="671" t="s">
        <v>38</v>
      </c>
      <c r="AK163" s="671" t="s">
        <v>38</v>
      </c>
      <c r="AN163" s="671" t="s">
        <v>38</v>
      </c>
      <c r="AQ163" s="671" t="s">
        <v>38</v>
      </c>
      <c r="AR163" s="656" t="str">
        <f>Select_naics2022[[#This Row],[2022 NAICS Code]]&amp;":  "&amp;Select_naics2022[[#This Row],[2022 NAICS Title]]</f>
        <v xml:space="preserve">311421:  Fruit and Vegetable Canning </v>
      </c>
      <c r="AS163" s="656">
        <v>311421</v>
      </c>
      <c r="AT163" s="656" t="s">
        <v>804</v>
      </c>
      <c r="AU163" s="656" t="str">
        <f>Select_naics2022[[#This Row],[2022 NAICS Title]]</f>
        <v xml:space="preserve">Fruit and Vegetable Canning </v>
      </c>
      <c r="AY163" s="671" t="s">
        <v>38</v>
      </c>
      <c r="BB163" s="671" t="s">
        <v>38</v>
      </c>
      <c r="BE163" s="671" t="s">
        <v>38</v>
      </c>
      <c r="BH163" s="671" t="s">
        <v>38</v>
      </c>
      <c r="BK163" s="671" t="s">
        <v>38</v>
      </c>
      <c r="BN163" s="671" t="s">
        <v>38</v>
      </c>
      <c r="BQ163" s="671" t="s">
        <v>38</v>
      </c>
      <c r="BT163" s="671" t="s">
        <v>38</v>
      </c>
      <c r="BW163" s="671" t="s">
        <v>38</v>
      </c>
      <c r="BZ163" s="671" t="s">
        <v>38</v>
      </c>
    </row>
    <row r="164" spans="2:78" x14ac:dyDescent="0.25">
      <c r="B164" s="671" t="s">
        <v>38</v>
      </c>
      <c r="I164" s="671" t="s">
        <v>38</v>
      </c>
      <c r="L164" s="671" t="s">
        <v>38</v>
      </c>
      <c r="O164" s="671" t="s">
        <v>38</v>
      </c>
      <c r="R164" s="671" t="s">
        <v>38</v>
      </c>
      <c r="U164" s="671" t="s">
        <v>38</v>
      </c>
      <c r="X164" s="671" t="s">
        <v>38</v>
      </c>
      <c r="AB164" s="671" t="s">
        <v>38</v>
      </c>
      <c r="AE164" s="671" t="s">
        <v>38</v>
      </c>
      <c r="AH164" s="671" t="s">
        <v>38</v>
      </c>
      <c r="AK164" s="671" t="s">
        <v>38</v>
      </c>
      <c r="AN164" s="671" t="s">
        <v>38</v>
      </c>
      <c r="AQ164" s="671" t="s">
        <v>38</v>
      </c>
      <c r="AR164" s="656" t="str">
        <f>Select_naics2022[[#This Row],[2022 NAICS Code]]&amp;":  "&amp;Select_naics2022[[#This Row],[2022 NAICS Title]]</f>
        <v xml:space="preserve">311422:  Specialty Canning </v>
      </c>
      <c r="AS164" s="656">
        <v>311422</v>
      </c>
      <c r="AT164" s="656" t="s">
        <v>805</v>
      </c>
      <c r="AU164" s="656" t="str">
        <f>Select_naics2022[[#This Row],[2022 NAICS Title]]</f>
        <v xml:space="preserve">Specialty Canning </v>
      </c>
      <c r="AY164" s="671" t="s">
        <v>38</v>
      </c>
      <c r="BB164" s="671" t="s">
        <v>38</v>
      </c>
      <c r="BE164" s="671" t="s">
        <v>38</v>
      </c>
      <c r="BH164" s="671" t="s">
        <v>38</v>
      </c>
      <c r="BK164" s="671" t="s">
        <v>38</v>
      </c>
      <c r="BN164" s="671" t="s">
        <v>38</v>
      </c>
      <c r="BQ164" s="671" t="s">
        <v>38</v>
      </c>
      <c r="BT164" s="671" t="s">
        <v>38</v>
      </c>
      <c r="BW164" s="671" t="s">
        <v>38</v>
      </c>
      <c r="BZ164" s="671" t="s">
        <v>38</v>
      </c>
    </row>
    <row r="165" spans="2:78" x14ac:dyDescent="0.25">
      <c r="B165" s="671" t="s">
        <v>38</v>
      </c>
      <c r="I165" s="671" t="s">
        <v>38</v>
      </c>
      <c r="L165" s="671" t="s">
        <v>38</v>
      </c>
      <c r="O165" s="671" t="s">
        <v>38</v>
      </c>
      <c r="R165" s="671" t="s">
        <v>38</v>
      </c>
      <c r="U165" s="671" t="s">
        <v>38</v>
      </c>
      <c r="X165" s="671" t="s">
        <v>38</v>
      </c>
      <c r="AB165" s="671" t="s">
        <v>38</v>
      </c>
      <c r="AE165" s="671" t="s">
        <v>38</v>
      </c>
      <c r="AH165" s="671" t="s">
        <v>38</v>
      </c>
      <c r="AK165" s="671" t="s">
        <v>38</v>
      </c>
      <c r="AN165" s="671" t="s">
        <v>38</v>
      </c>
      <c r="AQ165" s="671" t="s">
        <v>38</v>
      </c>
      <c r="AR165" s="656" t="str">
        <f>Select_naics2022[[#This Row],[2022 NAICS Code]]&amp;":  "&amp;Select_naics2022[[#This Row],[2022 NAICS Title]]</f>
        <v xml:space="preserve">311423:  Dried and Dehydrated Food Manufacturing </v>
      </c>
      <c r="AS165" s="656">
        <v>311423</v>
      </c>
      <c r="AT165" s="656" t="s">
        <v>806</v>
      </c>
      <c r="AU165" s="656" t="str">
        <f>Select_naics2022[[#This Row],[2022 NAICS Title]]</f>
        <v xml:space="preserve">Dried and Dehydrated Food Manufacturing </v>
      </c>
      <c r="AY165" s="671" t="s">
        <v>38</v>
      </c>
      <c r="BB165" s="671" t="s">
        <v>38</v>
      </c>
      <c r="BE165" s="671" t="s">
        <v>38</v>
      </c>
      <c r="BH165" s="671" t="s">
        <v>38</v>
      </c>
      <c r="BK165" s="671" t="s">
        <v>38</v>
      </c>
      <c r="BN165" s="671" t="s">
        <v>38</v>
      </c>
      <c r="BQ165" s="671" t="s">
        <v>38</v>
      </c>
      <c r="BT165" s="671" t="s">
        <v>38</v>
      </c>
      <c r="BW165" s="671" t="s">
        <v>38</v>
      </c>
      <c r="BZ165" s="671" t="s">
        <v>38</v>
      </c>
    </row>
    <row r="166" spans="2:78" x14ac:dyDescent="0.25">
      <c r="B166" s="671" t="s">
        <v>38</v>
      </c>
      <c r="I166" s="671" t="s">
        <v>38</v>
      </c>
      <c r="L166" s="671" t="s">
        <v>38</v>
      </c>
      <c r="O166" s="671" t="s">
        <v>38</v>
      </c>
      <c r="R166" s="671" t="s">
        <v>38</v>
      </c>
      <c r="U166" s="671" t="s">
        <v>38</v>
      </c>
      <c r="X166" s="671" t="s">
        <v>38</v>
      </c>
      <c r="AB166" s="671" t="s">
        <v>38</v>
      </c>
      <c r="AE166" s="671" t="s">
        <v>38</v>
      </c>
      <c r="AH166" s="671" t="s">
        <v>38</v>
      </c>
      <c r="AK166" s="671" t="s">
        <v>38</v>
      </c>
      <c r="AN166" s="671" t="s">
        <v>38</v>
      </c>
      <c r="AQ166" s="671" t="s">
        <v>38</v>
      </c>
      <c r="AR166" s="656" t="str">
        <f>Select_naics2022[[#This Row],[2022 NAICS Code]]&amp;":  "&amp;Select_naics2022[[#This Row],[2022 NAICS Title]]</f>
        <v xml:space="preserve">311511:  Fluid Milk Manufacturing </v>
      </c>
      <c r="AS166" s="656">
        <v>311511</v>
      </c>
      <c r="AT166" s="656" t="s">
        <v>807</v>
      </c>
      <c r="AU166" s="656" t="str">
        <f>Select_naics2022[[#This Row],[2022 NAICS Title]]</f>
        <v xml:space="preserve">Fluid Milk Manufacturing </v>
      </c>
      <c r="AY166" s="671" t="s">
        <v>38</v>
      </c>
      <c r="BB166" s="671" t="s">
        <v>38</v>
      </c>
      <c r="BE166" s="671" t="s">
        <v>38</v>
      </c>
      <c r="BH166" s="671" t="s">
        <v>38</v>
      </c>
      <c r="BK166" s="671" t="s">
        <v>38</v>
      </c>
      <c r="BN166" s="671" t="s">
        <v>38</v>
      </c>
      <c r="BQ166" s="671" t="s">
        <v>38</v>
      </c>
      <c r="BT166" s="671" t="s">
        <v>38</v>
      </c>
      <c r="BW166" s="671" t="s">
        <v>38</v>
      </c>
      <c r="BZ166" s="671" t="s">
        <v>38</v>
      </c>
    </row>
    <row r="167" spans="2:78" x14ac:dyDescent="0.25">
      <c r="B167" s="671" t="s">
        <v>38</v>
      </c>
      <c r="I167" s="671" t="s">
        <v>38</v>
      </c>
      <c r="L167" s="671" t="s">
        <v>38</v>
      </c>
      <c r="O167" s="671" t="s">
        <v>38</v>
      </c>
      <c r="R167" s="671" t="s">
        <v>38</v>
      </c>
      <c r="U167" s="671" t="s">
        <v>38</v>
      </c>
      <c r="X167" s="671" t="s">
        <v>38</v>
      </c>
      <c r="AB167" s="671" t="s">
        <v>38</v>
      </c>
      <c r="AE167" s="671" t="s">
        <v>38</v>
      </c>
      <c r="AH167" s="671" t="s">
        <v>38</v>
      </c>
      <c r="AK167" s="671" t="s">
        <v>38</v>
      </c>
      <c r="AN167" s="671" t="s">
        <v>38</v>
      </c>
      <c r="AQ167" s="671" t="s">
        <v>38</v>
      </c>
      <c r="AR167" s="656" t="str">
        <f>Select_naics2022[[#This Row],[2022 NAICS Code]]&amp;":  "&amp;Select_naics2022[[#This Row],[2022 NAICS Title]]</f>
        <v xml:space="preserve">311512:  Creamery Butter Manufacturing </v>
      </c>
      <c r="AS167" s="656">
        <v>311512</v>
      </c>
      <c r="AT167" s="656" t="s">
        <v>808</v>
      </c>
      <c r="AU167" s="656" t="str">
        <f>Select_naics2022[[#This Row],[2022 NAICS Title]]</f>
        <v xml:space="preserve">Creamery Butter Manufacturing </v>
      </c>
      <c r="AY167" s="671" t="s">
        <v>38</v>
      </c>
      <c r="BB167" s="671" t="s">
        <v>38</v>
      </c>
      <c r="BE167" s="671" t="s">
        <v>38</v>
      </c>
      <c r="BH167" s="671" t="s">
        <v>38</v>
      </c>
      <c r="BK167" s="671" t="s">
        <v>38</v>
      </c>
      <c r="BN167" s="671" t="s">
        <v>38</v>
      </c>
      <c r="BQ167" s="671" t="s">
        <v>38</v>
      </c>
      <c r="BT167" s="671" t="s">
        <v>38</v>
      </c>
      <c r="BW167" s="671" t="s">
        <v>38</v>
      </c>
      <c r="BZ167" s="671" t="s">
        <v>38</v>
      </c>
    </row>
    <row r="168" spans="2:78" x14ac:dyDescent="0.25">
      <c r="B168" s="671" t="s">
        <v>38</v>
      </c>
      <c r="I168" s="671" t="s">
        <v>38</v>
      </c>
      <c r="L168" s="671" t="s">
        <v>38</v>
      </c>
      <c r="O168" s="671" t="s">
        <v>38</v>
      </c>
      <c r="R168" s="671" t="s">
        <v>38</v>
      </c>
      <c r="U168" s="671" t="s">
        <v>38</v>
      </c>
      <c r="X168" s="671" t="s">
        <v>38</v>
      </c>
      <c r="AB168" s="671" t="s">
        <v>38</v>
      </c>
      <c r="AE168" s="671" t="s">
        <v>38</v>
      </c>
      <c r="AH168" s="671" t="s">
        <v>38</v>
      </c>
      <c r="AK168" s="671" t="s">
        <v>38</v>
      </c>
      <c r="AN168" s="671" t="s">
        <v>38</v>
      </c>
      <c r="AQ168" s="671" t="s">
        <v>38</v>
      </c>
      <c r="AR168" s="656" t="str">
        <f>Select_naics2022[[#This Row],[2022 NAICS Code]]&amp;":  "&amp;Select_naics2022[[#This Row],[2022 NAICS Title]]</f>
        <v xml:space="preserve">311513:  Cheese Manufacturing </v>
      </c>
      <c r="AS168" s="656">
        <v>311513</v>
      </c>
      <c r="AT168" s="656" t="s">
        <v>809</v>
      </c>
      <c r="AU168" s="656" t="str">
        <f>Select_naics2022[[#This Row],[2022 NAICS Title]]</f>
        <v xml:space="preserve">Cheese Manufacturing </v>
      </c>
      <c r="AY168" s="671" t="s">
        <v>38</v>
      </c>
      <c r="BB168" s="671" t="s">
        <v>38</v>
      </c>
      <c r="BE168" s="671" t="s">
        <v>38</v>
      </c>
      <c r="BH168" s="671" t="s">
        <v>38</v>
      </c>
      <c r="BK168" s="671" t="s">
        <v>38</v>
      </c>
      <c r="BN168" s="671" t="s">
        <v>38</v>
      </c>
      <c r="BQ168" s="671" t="s">
        <v>38</v>
      </c>
      <c r="BT168" s="671" t="s">
        <v>38</v>
      </c>
      <c r="BW168" s="671" t="s">
        <v>38</v>
      </c>
      <c r="BZ168" s="671" t="s">
        <v>38</v>
      </c>
    </row>
    <row r="169" spans="2:78" x14ac:dyDescent="0.25">
      <c r="B169" s="671" t="s">
        <v>38</v>
      </c>
      <c r="I169" s="671" t="s">
        <v>38</v>
      </c>
      <c r="L169" s="671" t="s">
        <v>38</v>
      </c>
      <c r="O169" s="671" t="s">
        <v>38</v>
      </c>
      <c r="R169" s="671" t="s">
        <v>38</v>
      </c>
      <c r="U169" s="671" t="s">
        <v>38</v>
      </c>
      <c r="X169" s="671" t="s">
        <v>38</v>
      </c>
      <c r="AB169" s="671" t="s">
        <v>38</v>
      </c>
      <c r="AE169" s="671" t="s">
        <v>38</v>
      </c>
      <c r="AH169" s="671" t="s">
        <v>38</v>
      </c>
      <c r="AK169" s="671" t="s">
        <v>38</v>
      </c>
      <c r="AN169" s="671" t="s">
        <v>38</v>
      </c>
      <c r="AQ169" s="671" t="s">
        <v>38</v>
      </c>
      <c r="AR169" s="656" t="str">
        <f>Select_naics2022[[#This Row],[2022 NAICS Code]]&amp;":  "&amp;Select_naics2022[[#This Row],[2022 NAICS Title]]</f>
        <v xml:space="preserve">311514:  Dry, Condensed, and Evaporated Dairy Product Manufacturing </v>
      </c>
      <c r="AS169" s="656">
        <v>311514</v>
      </c>
      <c r="AT169" s="656" t="s">
        <v>810</v>
      </c>
      <c r="AU169" s="656" t="str">
        <f>Select_naics2022[[#This Row],[2022 NAICS Title]]</f>
        <v xml:space="preserve">Dry, Condensed, and Evaporated Dairy Product Manufacturing </v>
      </c>
      <c r="AY169" s="671" t="s">
        <v>38</v>
      </c>
      <c r="BB169" s="671" t="s">
        <v>38</v>
      </c>
      <c r="BE169" s="671" t="s">
        <v>38</v>
      </c>
      <c r="BH169" s="671" t="s">
        <v>38</v>
      </c>
      <c r="BK169" s="671" t="s">
        <v>38</v>
      </c>
      <c r="BN169" s="671" t="s">
        <v>38</v>
      </c>
      <c r="BQ169" s="671" t="s">
        <v>38</v>
      </c>
      <c r="BT169" s="671" t="s">
        <v>38</v>
      </c>
      <c r="BW169" s="671" t="s">
        <v>38</v>
      </c>
      <c r="BZ169" s="671" t="s">
        <v>38</v>
      </c>
    </row>
    <row r="170" spans="2:78" x14ac:dyDescent="0.25">
      <c r="B170" s="671" t="s">
        <v>38</v>
      </c>
      <c r="I170" s="671" t="s">
        <v>38</v>
      </c>
      <c r="L170" s="671" t="s">
        <v>38</v>
      </c>
      <c r="O170" s="671" t="s">
        <v>38</v>
      </c>
      <c r="R170" s="671" t="s">
        <v>38</v>
      </c>
      <c r="U170" s="671" t="s">
        <v>38</v>
      </c>
      <c r="X170" s="671" t="s">
        <v>38</v>
      </c>
      <c r="AB170" s="671" t="s">
        <v>38</v>
      </c>
      <c r="AE170" s="671" t="s">
        <v>38</v>
      </c>
      <c r="AH170" s="671" t="s">
        <v>38</v>
      </c>
      <c r="AK170" s="671" t="s">
        <v>38</v>
      </c>
      <c r="AN170" s="671" t="s">
        <v>38</v>
      </c>
      <c r="AQ170" s="671" t="s">
        <v>38</v>
      </c>
      <c r="AR170" s="656" t="str">
        <f>Select_naics2022[[#This Row],[2022 NAICS Code]]&amp;":  "&amp;Select_naics2022[[#This Row],[2022 NAICS Title]]</f>
        <v>311520:  Ice Cream and Frozen Dessert Manufacturing</v>
      </c>
      <c r="AS170" s="656">
        <v>311520</v>
      </c>
      <c r="AT170" s="656" t="s">
        <v>811</v>
      </c>
      <c r="AU170" s="656" t="str">
        <f>Select_naics2022[[#This Row],[2022 NAICS Title]]</f>
        <v>Ice Cream and Frozen Dessert Manufacturing</v>
      </c>
      <c r="AY170" s="671" t="s">
        <v>38</v>
      </c>
      <c r="BB170" s="671" t="s">
        <v>38</v>
      </c>
      <c r="BE170" s="671" t="s">
        <v>38</v>
      </c>
      <c r="BH170" s="671" t="s">
        <v>38</v>
      </c>
      <c r="BK170" s="671" t="s">
        <v>38</v>
      </c>
      <c r="BN170" s="671" t="s">
        <v>38</v>
      </c>
      <c r="BQ170" s="671" t="s">
        <v>38</v>
      </c>
      <c r="BT170" s="671" t="s">
        <v>38</v>
      </c>
      <c r="BW170" s="671" t="s">
        <v>38</v>
      </c>
      <c r="BZ170" s="671" t="s">
        <v>38</v>
      </c>
    </row>
    <row r="171" spans="2:78" x14ac:dyDescent="0.25">
      <c r="B171" s="671" t="s">
        <v>38</v>
      </c>
      <c r="I171" s="671" t="s">
        <v>38</v>
      </c>
      <c r="L171" s="671" t="s">
        <v>38</v>
      </c>
      <c r="O171" s="671" t="s">
        <v>38</v>
      </c>
      <c r="R171" s="671" t="s">
        <v>38</v>
      </c>
      <c r="U171" s="671" t="s">
        <v>38</v>
      </c>
      <c r="X171" s="671" t="s">
        <v>38</v>
      </c>
      <c r="AB171" s="671" t="s">
        <v>38</v>
      </c>
      <c r="AE171" s="671" t="s">
        <v>38</v>
      </c>
      <c r="AH171" s="671" t="s">
        <v>38</v>
      </c>
      <c r="AK171" s="671" t="s">
        <v>38</v>
      </c>
      <c r="AN171" s="671" t="s">
        <v>38</v>
      </c>
      <c r="AQ171" s="671" t="s">
        <v>38</v>
      </c>
      <c r="AR171" s="656" t="str">
        <f>Select_naics2022[[#This Row],[2022 NAICS Code]]&amp;":  "&amp;Select_naics2022[[#This Row],[2022 NAICS Title]]</f>
        <v xml:space="preserve">311611:  Animal (except Poultry) Slaughtering </v>
      </c>
      <c r="AS171" s="656">
        <v>311611</v>
      </c>
      <c r="AT171" s="656" t="s">
        <v>812</v>
      </c>
      <c r="AU171" s="656" t="str">
        <f>Select_naics2022[[#This Row],[2022 NAICS Title]]</f>
        <v xml:space="preserve">Animal (except Poultry) Slaughtering </v>
      </c>
      <c r="AY171" s="671" t="s">
        <v>38</v>
      </c>
      <c r="BB171" s="671" t="s">
        <v>38</v>
      </c>
      <c r="BE171" s="671" t="s">
        <v>38</v>
      </c>
      <c r="BH171" s="671" t="s">
        <v>38</v>
      </c>
      <c r="BK171" s="671" t="s">
        <v>38</v>
      </c>
      <c r="BN171" s="671" t="s">
        <v>38</v>
      </c>
      <c r="BQ171" s="671" t="s">
        <v>38</v>
      </c>
      <c r="BT171" s="671" t="s">
        <v>38</v>
      </c>
      <c r="BW171" s="671" t="s">
        <v>38</v>
      </c>
      <c r="BZ171" s="671" t="s">
        <v>38</v>
      </c>
    </row>
    <row r="172" spans="2:78" x14ac:dyDescent="0.25">
      <c r="B172" s="671" t="s">
        <v>38</v>
      </c>
      <c r="I172" s="671" t="s">
        <v>38</v>
      </c>
      <c r="L172" s="671" t="s">
        <v>38</v>
      </c>
      <c r="O172" s="671" t="s">
        <v>38</v>
      </c>
      <c r="R172" s="671" t="s">
        <v>38</v>
      </c>
      <c r="U172" s="671" t="s">
        <v>38</v>
      </c>
      <c r="X172" s="671" t="s">
        <v>38</v>
      </c>
      <c r="AB172" s="671" t="s">
        <v>38</v>
      </c>
      <c r="AE172" s="671" t="s">
        <v>38</v>
      </c>
      <c r="AH172" s="671" t="s">
        <v>38</v>
      </c>
      <c r="AK172" s="671" t="s">
        <v>38</v>
      </c>
      <c r="AN172" s="671" t="s">
        <v>38</v>
      </c>
      <c r="AQ172" s="671" t="s">
        <v>38</v>
      </c>
      <c r="AR172" s="656" t="str">
        <f>Select_naics2022[[#This Row],[2022 NAICS Code]]&amp;":  "&amp;Select_naics2022[[#This Row],[2022 NAICS Title]]</f>
        <v xml:space="preserve">311612:  Meat Processed from Carcasses </v>
      </c>
      <c r="AS172" s="656">
        <v>311612</v>
      </c>
      <c r="AT172" s="656" t="s">
        <v>813</v>
      </c>
      <c r="AU172" s="656" t="str">
        <f>Select_naics2022[[#This Row],[2022 NAICS Title]]</f>
        <v xml:space="preserve">Meat Processed from Carcasses </v>
      </c>
      <c r="AY172" s="671" t="s">
        <v>38</v>
      </c>
      <c r="BB172" s="671" t="s">
        <v>38</v>
      </c>
      <c r="BE172" s="671" t="s">
        <v>38</v>
      </c>
      <c r="BH172" s="671" t="s">
        <v>38</v>
      </c>
      <c r="BK172" s="671" t="s">
        <v>38</v>
      </c>
      <c r="BN172" s="671" t="s">
        <v>38</v>
      </c>
      <c r="BQ172" s="671" t="s">
        <v>38</v>
      </c>
      <c r="BT172" s="671" t="s">
        <v>38</v>
      </c>
      <c r="BW172" s="671" t="s">
        <v>38</v>
      </c>
      <c r="BZ172" s="671" t="s">
        <v>38</v>
      </c>
    </row>
    <row r="173" spans="2:78" x14ac:dyDescent="0.25">
      <c r="B173" s="671" t="s">
        <v>38</v>
      </c>
      <c r="I173" s="671" t="s">
        <v>38</v>
      </c>
      <c r="L173" s="671" t="s">
        <v>38</v>
      </c>
      <c r="O173" s="671" t="s">
        <v>38</v>
      </c>
      <c r="R173" s="671" t="s">
        <v>38</v>
      </c>
      <c r="U173" s="671" t="s">
        <v>38</v>
      </c>
      <c r="X173" s="671" t="s">
        <v>38</v>
      </c>
      <c r="AB173" s="671" t="s">
        <v>38</v>
      </c>
      <c r="AE173" s="671" t="s">
        <v>38</v>
      </c>
      <c r="AH173" s="671" t="s">
        <v>38</v>
      </c>
      <c r="AK173" s="671" t="s">
        <v>38</v>
      </c>
      <c r="AN173" s="671" t="s">
        <v>38</v>
      </c>
      <c r="AQ173" s="671" t="s">
        <v>38</v>
      </c>
      <c r="AR173" s="656" t="str">
        <f>Select_naics2022[[#This Row],[2022 NAICS Code]]&amp;":  "&amp;Select_naics2022[[#This Row],[2022 NAICS Title]]</f>
        <v xml:space="preserve">311613:  Rendering and Meat Byproduct Processing </v>
      </c>
      <c r="AS173" s="656">
        <v>311613</v>
      </c>
      <c r="AT173" s="656" t="s">
        <v>814</v>
      </c>
      <c r="AU173" s="656" t="str">
        <f>Select_naics2022[[#This Row],[2022 NAICS Title]]</f>
        <v xml:space="preserve">Rendering and Meat Byproduct Processing </v>
      </c>
      <c r="AY173" s="671" t="s">
        <v>38</v>
      </c>
      <c r="BB173" s="671" t="s">
        <v>38</v>
      </c>
      <c r="BE173" s="671" t="s">
        <v>38</v>
      </c>
      <c r="BH173" s="671" t="s">
        <v>38</v>
      </c>
      <c r="BK173" s="671" t="s">
        <v>38</v>
      </c>
      <c r="BN173" s="671" t="s">
        <v>38</v>
      </c>
      <c r="BQ173" s="671" t="s">
        <v>38</v>
      </c>
      <c r="BT173" s="671" t="s">
        <v>38</v>
      </c>
      <c r="BW173" s="671" t="s">
        <v>38</v>
      </c>
      <c r="BZ173" s="671" t="s">
        <v>38</v>
      </c>
    </row>
    <row r="174" spans="2:78" x14ac:dyDescent="0.25">
      <c r="B174" s="671" t="s">
        <v>38</v>
      </c>
      <c r="I174" s="671" t="s">
        <v>38</v>
      </c>
      <c r="L174" s="671" t="s">
        <v>38</v>
      </c>
      <c r="O174" s="671" t="s">
        <v>38</v>
      </c>
      <c r="R174" s="671" t="s">
        <v>38</v>
      </c>
      <c r="U174" s="671" t="s">
        <v>38</v>
      </c>
      <c r="X174" s="671" t="s">
        <v>38</v>
      </c>
      <c r="AB174" s="671" t="s">
        <v>38</v>
      </c>
      <c r="AE174" s="671" t="s">
        <v>38</v>
      </c>
      <c r="AH174" s="671" t="s">
        <v>38</v>
      </c>
      <c r="AK174" s="671" t="s">
        <v>38</v>
      </c>
      <c r="AN174" s="671" t="s">
        <v>38</v>
      </c>
      <c r="AQ174" s="671" t="s">
        <v>38</v>
      </c>
      <c r="AR174" s="656" t="str">
        <f>Select_naics2022[[#This Row],[2022 NAICS Code]]&amp;":  "&amp;Select_naics2022[[#This Row],[2022 NAICS Title]]</f>
        <v xml:space="preserve">311615:  Poultry Processing </v>
      </c>
      <c r="AS174" s="656">
        <v>311615</v>
      </c>
      <c r="AT174" s="656" t="s">
        <v>815</v>
      </c>
      <c r="AU174" s="656" t="str">
        <f>Select_naics2022[[#This Row],[2022 NAICS Title]]</f>
        <v xml:space="preserve">Poultry Processing </v>
      </c>
      <c r="AY174" s="671" t="s">
        <v>38</v>
      </c>
      <c r="BB174" s="671" t="s">
        <v>38</v>
      </c>
      <c r="BE174" s="671" t="s">
        <v>38</v>
      </c>
      <c r="BH174" s="671" t="s">
        <v>38</v>
      </c>
      <c r="BK174" s="671" t="s">
        <v>38</v>
      </c>
      <c r="BN174" s="671" t="s">
        <v>38</v>
      </c>
      <c r="BQ174" s="671" t="s">
        <v>38</v>
      </c>
      <c r="BT174" s="671" t="s">
        <v>38</v>
      </c>
      <c r="BW174" s="671" t="s">
        <v>38</v>
      </c>
      <c r="BZ174" s="671" t="s">
        <v>38</v>
      </c>
    </row>
    <row r="175" spans="2:78" x14ac:dyDescent="0.25">
      <c r="B175" s="671" t="s">
        <v>38</v>
      </c>
      <c r="I175" s="671" t="s">
        <v>38</v>
      </c>
      <c r="L175" s="671" t="s">
        <v>38</v>
      </c>
      <c r="O175" s="671" t="s">
        <v>38</v>
      </c>
      <c r="R175" s="671" t="s">
        <v>38</v>
      </c>
      <c r="U175" s="671" t="s">
        <v>38</v>
      </c>
      <c r="X175" s="671" t="s">
        <v>38</v>
      </c>
      <c r="AB175" s="671" t="s">
        <v>38</v>
      </c>
      <c r="AE175" s="671" t="s">
        <v>38</v>
      </c>
      <c r="AH175" s="671" t="s">
        <v>38</v>
      </c>
      <c r="AK175" s="671" t="s">
        <v>38</v>
      </c>
      <c r="AN175" s="671" t="s">
        <v>38</v>
      </c>
      <c r="AQ175" s="671" t="s">
        <v>38</v>
      </c>
      <c r="AR175" s="656" t="str">
        <f>Select_naics2022[[#This Row],[2022 NAICS Code]]&amp;":  "&amp;Select_naics2022[[#This Row],[2022 NAICS Title]]</f>
        <v>311710:  Seafood Product Preparation and Packaging</v>
      </c>
      <c r="AS175" s="656">
        <v>311710</v>
      </c>
      <c r="AT175" s="656" t="s">
        <v>816</v>
      </c>
      <c r="AU175" s="656" t="str">
        <f>Select_naics2022[[#This Row],[2022 NAICS Title]]</f>
        <v>Seafood Product Preparation and Packaging</v>
      </c>
      <c r="AY175" s="671" t="s">
        <v>38</v>
      </c>
      <c r="BB175" s="671" t="s">
        <v>38</v>
      </c>
      <c r="BE175" s="671" t="s">
        <v>38</v>
      </c>
      <c r="BH175" s="671" t="s">
        <v>38</v>
      </c>
      <c r="BK175" s="671" t="s">
        <v>38</v>
      </c>
      <c r="BN175" s="671" t="s">
        <v>38</v>
      </c>
      <c r="BQ175" s="671" t="s">
        <v>38</v>
      </c>
      <c r="BT175" s="671" t="s">
        <v>38</v>
      </c>
      <c r="BW175" s="671" t="s">
        <v>38</v>
      </c>
      <c r="BZ175" s="671" t="s">
        <v>38</v>
      </c>
    </row>
    <row r="176" spans="2:78" x14ac:dyDescent="0.25">
      <c r="B176" s="671" t="s">
        <v>38</v>
      </c>
      <c r="I176" s="671" t="s">
        <v>38</v>
      </c>
      <c r="L176" s="671" t="s">
        <v>38</v>
      </c>
      <c r="O176" s="671" t="s">
        <v>38</v>
      </c>
      <c r="R176" s="671" t="s">
        <v>38</v>
      </c>
      <c r="U176" s="671" t="s">
        <v>38</v>
      </c>
      <c r="X176" s="671" t="s">
        <v>38</v>
      </c>
      <c r="AB176" s="671" t="s">
        <v>38</v>
      </c>
      <c r="AE176" s="671" t="s">
        <v>38</v>
      </c>
      <c r="AH176" s="671" t="s">
        <v>38</v>
      </c>
      <c r="AK176" s="671" t="s">
        <v>38</v>
      </c>
      <c r="AN176" s="671" t="s">
        <v>38</v>
      </c>
      <c r="AQ176" s="671" t="s">
        <v>38</v>
      </c>
      <c r="AR176" s="656" t="str">
        <f>Select_naics2022[[#This Row],[2022 NAICS Code]]&amp;":  "&amp;Select_naics2022[[#This Row],[2022 NAICS Title]]</f>
        <v xml:space="preserve">311811:  Retail Bakeries </v>
      </c>
      <c r="AS176" s="656">
        <v>311811</v>
      </c>
      <c r="AT176" s="656" t="s">
        <v>817</v>
      </c>
      <c r="AU176" s="656" t="str">
        <f>Select_naics2022[[#This Row],[2022 NAICS Title]]</f>
        <v xml:space="preserve">Retail Bakeries </v>
      </c>
      <c r="AY176" s="671" t="s">
        <v>38</v>
      </c>
      <c r="BB176" s="671" t="s">
        <v>38</v>
      </c>
      <c r="BE176" s="671" t="s">
        <v>38</v>
      </c>
      <c r="BH176" s="671" t="s">
        <v>38</v>
      </c>
      <c r="BK176" s="671" t="s">
        <v>38</v>
      </c>
      <c r="BN176" s="671" t="s">
        <v>38</v>
      </c>
      <c r="BQ176" s="671" t="s">
        <v>38</v>
      </c>
      <c r="BT176" s="671" t="s">
        <v>38</v>
      </c>
      <c r="BW176" s="671" t="s">
        <v>38</v>
      </c>
      <c r="BZ176" s="671" t="s">
        <v>38</v>
      </c>
    </row>
    <row r="177" spans="2:78" x14ac:dyDescent="0.25">
      <c r="B177" s="671" t="s">
        <v>38</v>
      </c>
      <c r="I177" s="671" t="s">
        <v>38</v>
      </c>
      <c r="L177" s="671" t="s">
        <v>38</v>
      </c>
      <c r="O177" s="671" t="s">
        <v>38</v>
      </c>
      <c r="R177" s="671" t="s">
        <v>38</v>
      </c>
      <c r="U177" s="671" t="s">
        <v>38</v>
      </c>
      <c r="X177" s="671" t="s">
        <v>38</v>
      </c>
      <c r="AB177" s="671" t="s">
        <v>38</v>
      </c>
      <c r="AE177" s="671" t="s">
        <v>38</v>
      </c>
      <c r="AH177" s="671" t="s">
        <v>38</v>
      </c>
      <c r="AK177" s="671" t="s">
        <v>38</v>
      </c>
      <c r="AN177" s="671" t="s">
        <v>38</v>
      </c>
      <c r="AQ177" s="671" t="s">
        <v>38</v>
      </c>
      <c r="AR177" s="656" t="str">
        <f>Select_naics2022[[#This Row],[2022 NAICS Code]]&amp;":  "&amp;Select_naics2022[[#This Row],[2022 NAICS Title]]</f>
        <v xml:space="preserve">311812:  Commercial Bakeries </v>
      </c>
      <c r="AS177" s="656">
        <v>311812</v>
      </c>
      <c r="AT177" s="656" t="s">
        <v>818</v>
      </c>
      <c r="AU177" s="656" t="str">
        <f>Select_naics2022[[#This Row],[2022 NAICS Title]]</f>
        <v xml:space="preserve">Commercial Bakeries </v>
      </c>
      <c r="AY177" s="671" t="s">
        <v>38</v>
      </c>
      <c r="BB177" s="671" t="s">
        <v>38</v>
      </c>
      <c r="BE177" s="671" t="s">
        <v>38</v>
      </c>
      <c r="BH177" s="671" t="s">
        <v>38</v>
      </c>
      <c r="BK177" s="671" t="s">
        <v>38</v>
      </c>
      <c r="BN177" s="671" t="s">
        <v>38</v>
      </c>
      <c r="BQ177" s="671" t="s">
        <v>38</v>
      </c>
      <c r="BT177" s="671" t="s">
        <v>38</v>
      </c>
      <c r="BW177" s="671" t="s">
        <v>38</v>
      </c>
      <c r="BZ177" s="671" t="s">
        <v>38</v>
      </c>
    </row>
    <row r="178" spans="2:78" x14ac:dyDescent="0.25">
      <c r="B178" s="671" t="s">
        <v>38</v>
      </c>
      <c r="I178" s="671" t="s">
        <v>38</v>
      </c>
      <c r="L178" s="671" t="s">
        <v>38</v>
      </c>
      <c r="O178" s="671" t="s">
        <v>38</v>
      </c>
      <c r="R178" s="671" t="s">
        <v>38</v>
      </c>
      <c r="U178" s="671" t="s">
        <v>38</v>
      </c>
      <c r="X178" s="671" t="s">
        <v>38</v>
      </c>
      <c r="AB178" s="671" t="s">
        <v>38</v>
      </c>
      <c r="AE178" s="671" t="s">
        <v>38</v>
      </c>
      <c r="AH178" s="671" t="s">
        <v>38</v>
      </c>
      <c r="AK178" s="671" t="s">
        <v>38</v>
      </c>
      <c r="AN178" s="671" t="s">
        <v>38</v>
      </c>
      <c r="AQ178" s="671" t="s">
        <v>38</v>
      </c>
      <c r="AR178" s="656" t="str">
        <f>Select_naics2022[[#This Row],[2022 NAICS Code]]&amp;":  "&amp;Select_naics2022[[#This Row],[2022 NAICS Title]]</f>
        <v xml:space="preserve">311813:  Frozen Cakes, Pies, and Other Pastries Manufacturing </v>
      </c>
      <c r="AS178" s="656">
        <v>311813</v>
      </c>
      <c r="AT178" s="656" t="s">
        <v>819</v>
      </c>
      <c r="AU178" s="656" t="str">
        <f>Select_naics2022[[#This Row],[2022 NAICS Title]]</f>
        <v xml:space="preserve">Frozen Cakes, Pies, and Other Pastries Manufacturing </v>
      </c>
      <c r="AY178" s="671" t="s">
        <v>38</v>
      </c>
      <c r="BB178" s="671" t="s">
        <v>38</v>
      </c>
      <c r="BE178" s="671" t="s">
        <v>38</v>
      </c>
      <c r="BH178" s="671" t="s">
        <v>38</v>
      </c>
      <c r="BK178" s="671" t="s">
        <v>38</v>
      </c>
      <c r="BN178" s="671" t="s">
        <v>38</v>
      </c>
      <c r="BQ178" s="671" t="s">
        <v>38</v>
      </c>
      <c r="BT178" s="671" t="s">
        <v>38</v>
      </c>
      <c r="BW178" s="671" t="s">
        <v>38</v>
      </c>
      <c r="BZ178" s="671" t="s">
        <v>38</v>
      </c>
    </row>
    <row r="179" spans="2:78" x14ac:dyDescent="0.25">
      <c r="B179" s="671" t="s">
        <v>38</v>
      </c>
      <c r="I179" s="671" t="s">
        <v>38</v>
      </c>
      <c r="L179" s="671" t="s">
        <v>38</v>
      </c>
      <c r="O179" s="671" t="s">
        <v>38</v>
      </c>
      <c r="R179" s="671" t="s">
        <v>38</v>
      </c>
      <c r="U179" s="671" t="s">
        <v>38</v>
      </c>
      <c r="X179" s="671" t="s">
        <v>38</v>
      </c>
      <c r="AB179" s="671" t="s">
        <v>38</v>
      </c>
      <c r="AE179" s="671" t="s">
        <v>38</v>
      </c>
      <c r="AH179" s="671" t="s">
        <v>38</v>
      </c>
      <c r="AK179" s="671" t="s">
        <v>38</v>
      </c>
      <c r="AN179" s="671" t="s">
        <v>38</v>
      </c>
      <c r="AQ179" s="671" t="s">
        <v>38</v>
      </c>
      <c r="AR179" s="656" t="str">
        <f>Select_naics2022[[#This Row],[2022 NAICS Code]]&amp;":  "&amp;Select_naics2022[[#This Row],[2022 NAICS Title]]</f>
        <v xml:space="preserve">311821:  Cookie and Cracker Manufacturing </v>
      </c>
      <c r="AS179" s="656">
        <v>311821</v>
      </c>
      <c r="AT179" s="656" t="s">
        <v>820</v>
      </c>
      <c r="AU179" s="656" t="str">
        <f>Select_naics2022[[#This Row],[2022 NAICS Title]]</f>
        <v xml:space="preserve">Cookie and Cracker Manufacturing </v>
      </c>
      <c r="AY179" s="671" t="s">
        <v>38</v>
      </c>
      <c r="BB179" s="671" t="s">
        <v>38</v>
      </c>
      <c r="BE179" s="671" t="s">
        <v>38</v>
      </c>
      <c r="BH179" s="671" t="s">
        <v>38</v>
      </c>
      <c r="BK179" s="671" t="s">
        <v>38</v>
      </c>
      <c r="BN179" s="671" t="s">
        <v>38</v>
      </c>
      <c r="BQ179" s="671" t="s">
        <v>38</v>
      </c>
      <c r="BT179" s="671" t="s">
        <v>38</v>
      </c>
      <c r="BW179" s="671" t="s">
        <v>38</v>
      </c>
      <c r="BZ179" s="671" t="s">
        <v>38</v>
      </c>
    </row>
    <row r="180" spans="2:78" x14ac:dyDescent="0.25">
      <c r="B180" s="671" t="s">
        <v>38</v>
      </c>
      <c r="I180" s="671" t="s">
        <v>38</v>
      </c>
      <c r="L180" s="671" t="s">
        <v>38</v>
      </c>
      <c r="O180" s="671" t="s">
        <v>38</v>
      </c>
      <c r="R180" s="671" t="s">
        <v>38</v>
      </c>
      <c r="U180" s="671" t="s">
        <v>38</v>
      </c>
      <c r="X180" s="671" t="s">
        <v>38</v>
      </c>
      <c r="AB180" s="671" t="s">
        <v>38</v>
      </c>
      <c r="AE180" s="671" t="s">
        <v>38</v>
      </c>
      <c r="AH180" s="671" t="s">
        <v>38</v>
      </c>
      <c r="AK180" s="671" t="s">
        <v>38</v>
      </c>
      <c r="AN180" s="671" t="s">
        <v>38</v>
      </c>
      <c r="AQ180" s="671" t="s">
        <v>38</v>
      </c>
      <c r="AR180" s="656" t="str">
        <f>Select_naics2022[[#This Row],[2022 NAICS Code]]&amp;":  "&amp;Select_naics2022[[#This Row],[2022 NAICS Title]]</f>
        <v xml:space="preserve">311824:  Dry Pasta, Dough, and Flour Mixes Manufacturing from Purchased Flour </v>
      </c>
      <c r="AS180" s="656">
        <v>311824</v>
      </c>
      <c r="AT180" s="656" t="s">
        <v>821</v>
      </c>
      <c r="AU180" s="656" t="str">
        <f>Select_naics2022[[#This Row],[2022 NAICS Title]]</f>
        <v xml:space="preserve">Dry Pasta, Dough, and Flour Mixes Manufacturing from Purchased Flour </v>
      </c>
      <c r="AY180" s="671" t="s">
        <v>38</v>
      </c>
      <c r="BB180" s="671" t="s">
        <v>38</v>
      </c>
      <c r="BE180" s="671" t="s">
        <v>38</v>
      </c>
      <c r="BH180" s="671" t="s">
        <v>38</v>
      </c>
      <c r="BK180" s="671" t="s">
        <v>38</v>
      </c>
      <c r="BN180" s="671" t="s">
        <v>38</v>
      </c>
      <c r="BQ180" s="671" t="s">
        <v>38</v>
      </c>
      <c r="BT180" s="671" t="s">
        <v>38</v>
      </c>
      <c r="BW180" s="671" t="s">
        <v>38</v>
      </c>
      <c r="BZ180" s="671" t="s">
        <v>38</v>
      </c>
    </row>
    <row r="181" spans="2:78" x14ac:dyDescent="0.25">
      <c r="B181" s="671" t="s">
        <v>38</v>
      </c>
      <c r="I181" s="671" t="s">
        <v>38</v>
      </c>
      <c r="L181" s="671" t="s">
        <v>38</v>
      </c>
      <c r="O181" s="671" t="s">
        <v>38</v>
      </c>
      <c r="R181" s="671" t="s">
        <v>38</v>
      </c>
      <c r="U181" s="671" t="s">
        <v>38</v>
      </c>
      <c r="X181" s="671" t="s">
        <v>38</v>
      </c>
      <c r="AB181" s="671" t="s">
        <v>38</v>
      </c>
      <c r="AE181" s="671" t="s">
        <v>38</v>
      </c>
      <c r="AH181" s="671" t="s">
        <v>38</v>
      </c>
      <c r="AK181" s="671" t="s">
        <v>38</v>
      </c>
      <c r="AN181" s="671" t="s">
        <v>38</v>
      </c>
      <c r="AQ181" s="671" t="s">
        <v>38</v>
      </c>
      <c r="AR181" s="656" t="str">
        <f>Select_naics2022[[#This Row],[2022 NAICS Code]]&amp;":  "&amp;Select_naics2022[[#This Row],[2022 NAICS Title]]</f>
        <v>311830:  Tortilla Manufacturing</v>
      </c>
      <c r="AS181" s="656">
        <v>311830</v>
      </c>
      <c r="AT181" s="656" t="s">
        <v>822</v>
      </c>
      <c r="AU181" s="656" t="str">
        <f>Select_naics2022[[#This Row],[2022 NAICS Title]]</f>
        <v>Tortilla Manufacturing</v>
      </c>
      <c r="AY181" s="671" t="s">
        <v>38</v>
      </c>
      <c r="BB181" s="671" t="s">
        <v>38</v>
      </c>
      <c r="BE181" s="671" t="s">
        <v>38</v>
      </c>
      <c r="BH181" s="671" t="s">
        <v>38</v>
      </c>
      <c r="BK181" s="671" t="s">
        <v>38</v>
      </c>
      <c r="BN181" s="671" t="s">
        <v>38</v>
      </c>
      <c r="BQ181" s="671" t="s">
        <v>38</v>
      </c>
      <c r="BT181" s="671" t="s">
        <v>38</v>
      </c>
      <c r="BW181" s="671" t="s">
        <v>38</v>
      </c>
      <c r="BZ181" s="671" t="s">
        <v>38</v>
      </c>
    </row>
    <row r="182" spans="2:78" x14ac:dyDescent="0.25">
      <c r="B182" s="671" t="s">
        <v>38</v>
      </c>
      <c r="I182" s="671" t="s">
        <v>38</v>
      </c>
      <c r="L182" s="671" t="s">
        <v>38</v>
      </c>
      <c r="O182" s="671" t="s">
        <v>38</v>
      </c>
      <c r="R182" s="671" t="s">
        <v>38</v>
      </c>
      <c r="U182" s="671" t="s">
        <v>38</v>
      </c>
      <c r="X182" s="671" t="s">
        <v>38</v>
      </c>
      <c r="AB182" s="671" t="s">
        <v>38</v>
      </c>
      <c r="AE182" s="671" t="s">
        <v>38</v>
      </c>
      <c r="AH182" s="671" t="s">
        <v>38</v>
      </c>
      <c r="AK182" s="671" t="s">
        <v>38</v>
      </c>
      <c r="AN182" s="671" t="s">
        <v>38</v>
      </c>
      <c r="AQ182" s="671" t="s">
        <v>38</v>
      </c>
      <c r="AR182" s="656" t="str">
        <f>Select_naics2022[[#This Row],[2022 NAICS Code]]&amp;":  "&amp;Select_naics2022[[#This Row],[2022 NAICS Title]]</f>
        <v xml:space="preserve">311911:  Roasted Nuts and Peanut Butter Manufacturing </v>
      </c>
      <c r="AS182" s="656">
        <v>311911</v>
      </c>
      <c r="AT182" s="656" t="s">
        <v>823</v>
      </c>
      <c r="AU182" s="656" t="str">
        <f>Select_naics2022[[#This Row],[2022 NAICS Title]]</f>
        <v xml:space="preserve">Roasted Nuts and Peanut Butter Manufacturing </v>
      </c>
      <c r="AY182" s="671" t="s">
        <v>38</v>
      </c>
      <c r="BB182" s="671" t="s">
        <v>38</v>
      </c>
      <c r="BE182" s="671" t="s">
        <v>38</v>
      </c>
      <c r="BH182" s="671" t="s">
        <v>38</v>
      </c>
      <c r="BK182" s="671" t="s">
        <v>38</v>
      </c>
      <c r="BN182" s="671" t="s">
        <v>38</v>
      </c>
      <c r="BQ182" s="671" t="s">
        <v>38</v>
      </c>
      <c r="BT182" s="671" t="s">
        <v>38</v>
      </c>
      <c r="BW182" s="671" t="s">
        <v>38</v>
      </c>
      <c r="BZ182" s="671" t="s">
        <v>38</v>
      </c>
    </row>
    <row r="183" spans="2:78" x14ac:dyDescent="0.25">
      <c r="B183" s="671" t="s">
        <v>38</v>
      </c>
      <c r="I183" s="671" t="s">
        <v>38</v>
      </c>
      <c r="L183" s="671" t="s">
        <v>38</v>
      </c>
      <c r="O183" s="671" t="s">
        <v>38</v>
      </c>
      <c r="R183" s="671" t="s">
        <v>38</v>
      </c>
      <c r="U183" s="671" t="s">
        <v>38</v>
      </c>
      <c r="X183" s="671" t="s">
        <v>38</v>
      </c>
      <c r="AB183" s="671" t="s">
        <v>38</v>
      </c>
      <c r="AE183" s="671" t="s">
        <v>38</v>
      </c>
      <c r="AH183" s="671" t="s">
        <v>38</v>
      </c>
      <c r="AK183" s="671" t="s">
        <v>38</v>
      </c>
      <c r="AN183" s="671" t="s">
        <v>38</v>
      </c>
      <c r="AQ183" s="671" t="s">
        <v>38</v>
      </c>
      <c r="AR183" s="656" t="str">
        <f>Select_naics2022[[#This Row],[2022 NAICS Code]]&amp;":  "&amp;Select_naics2022[[#This Row],[2022 NAICS Title]]</f>
        <v xml:space="preserve">311919:  Other Snack Food Manufacturing </v>
      </c>
      <c r="AS183" s="656">
        <v>311919</v>
      </c>
      <c r="AT183" s="656" t="s">
        <v>824</v>
      </c>
      <c r="AU183" s="656" t="str">
        <f>Select_naics2022[[#This Row],[2022 NAICS Title]]</f>
        <v xml:space="preserve">Other Snack Food Manufacturing </v>
      </c>
      <c r="AY183" s="671" t="s">
        <v>38</v>
      </c>
      <c r="BB183" s="671" t="s">
        <v>38</v>
      </c>
      <c r="BE183" s="671" t="s">
        <v>38</v>
      </c>
      <c r="BH183" s="671" t="s">
        <v>38</v>
      </c>
      <c r="BK183" s="671" t="s">
        <v>38</v>
      </c>
      <c r="BN183" s="671" t="s">
        <v>38</v>
      </c>
      <c r="BQ183" s="671" t="s">
        <v>38</v>
      </c>
      <c r="BT183" s="671" t="s">
        <v>38</v>
      </c>
      <c r="BW183" s="671" t="s">
        <v>38</v>
      </c>
      <c r="BZ183" s="671" t="s">
        <v>38</v>
      </c>
    </row>
    <row r="184" spans="2:78" x14ac:dyDescent="0.25">
      <c r="B184" s="671" t="s">
        <v>38</v>
      </c>
      <c r="I184" s="671" t="s">
        <v>38</v>
      </c>
      <c r="L184" s="671" t="s">
        <v>38</v>
      </c>
      <c r="O184" s="671" t="s">
        <v>38</v>
      </c>
      <c r="R184" s="671" t="s">
        <v>38</v>
      </c>
      <c r="U184" s="671" t="s">
        <v>38</v>
      </c>
      <c r="X184" s="671" t="s">
        <v>38</v>
      </c>
      <c r="AB184" s="671" t="s">
        <v>38</v>
      </c>
      <c r="AE184" s="671" t="s">
        <v>38</v>
      </c>
      <c r="AH184" s="671" t="s">
        <v>38</v>
      </c>
      <c r="AK184" s="671" t="s">
        <v>38</v>
      </c>
      <c r="AN184" s="671" t="s">
        <v>38</v>
      </c>
      <c r="AQ184" s="671" t="s">
        <v>38</v>
      </c>
      <c r="AR184" s="656" t="str">
        <f>Select_naics2022[[#This Row],[2022 NAICS Code]]&amp;":  "&amp;Select_naics2022[[#This Row],[2022 NAICS Title]]</f>
        <v xml:space="preserve">311920:  Coffee and Tea Manufacturing </v>
      </c>
      <c r="AS184" s="656">
        <v>311920</v>
      </c>
      <c r="AT184" s="656" t="s">
        <v>825</v>
      </c>
      <c r="AU184" s="656" t="str">
        <f>Select_naics2022[[#This Row],[2022 NAICS Title]]</f>
        <v xml:space="preserve">Coffee and Tea Manufacturing </v>
      </c>
      <c r="AY184" s="671" t="s">
        <v>38</v>
      </c>
      <c r="BB184" s="671" t="s">
        <v>38</v>
      </c>
      <c r="BE184" s="671" t="s">
        <v>38</v>
      </c>
      <c r="BH184" s="671" t="s">
        <v>38</v>
      </c>
      <c r="BK184" s="671" t="s">
        <v>38</v>
      </c>
      <c r="BN184" s="671" t="s">
        <v>38</v>
      </c>
      <c r="BQ184" s="671" t="s">
        <v>38</v>
      </c>
      <c r="BT184" s="671" t="s">
        <v>38</v>
      </c>
      <c r="BW184" s="671" t="s">
        <v>38</v>
      </c>
      <c r="BZ184" s="671" t="s">
        <v>38</v>
      </c>
    </row>
    <row r="185" spans="2:78" x14ac:dyDescent="0.25">
      <c r="B185" s="671" t="s">
        <v>38</v>
      </c>
      <c r="I185" s="671" t="s">
        <v>38</v>
      </c>
      <c r="L185" s="671" t="s">
        <v>38</v>
      </c>
      <c r="O185" s="671" t="s">
        <v>38</v>
      </c>
      <c r="R185" s="671" t="s">
        <v>38</v>
      </c>
      <c r="U185" s="671" t="s">
        <v>38</v>
      </c>
      <c r="X185" s="671" t="s">
        <v>38</v>
      </c>
      <c r="AB185" s="671" t="s">
        <v>38</v>
      </c>
      <c r="AE185" s="671" t="s">
        <v>38</v>
      </c>
      <c r="AH185" s="671" t="s">
        <v>38</v>
      </c>
      <c r="AK185" s="671" t="s">
        <v>38</v>
      </c>
      <c r="AN185" s="671" t="s">
        <v>38</v>
      </c>
      <c r="AQ185" s="671" t="s">
        <v>38</v>
      </c>
      <c r="AR185" s="656" t="str">
        <f>Select_naics2022[[#This Row],[2022 NAICS Code]]&amp;":  "&amp;Select_naics2022[[#This Row],[2022 NAICS Title]]</f>
        <v>311930:  Flavoring Syrup and Concentrate Manufacturing</v>
      </c>
      <c r="AS185" s="656">
        <v>311930</v>
      </c>
      <c r="AT185" s="656" t="s">
        <v>826</v>
      </c>
      <c r="AU185" s="656" t="str">
        <f>Select_naics2022[[#This Row],[2022 NAICS Title]]</f>
        <v>Flavoring Syrup and Concentrate Manufacturing</v>
      </c>
      <c r="AY185" s="671" t="s">
        <v>38</v>
      </c>
      <c r="BB185" s="671" t="s">
        <v>38</v>
      </c>
      <c r="BE185" s="671" t="s">
        <v>38</v>
      </c>
      <c r="BH185" s="671" t="s">
        <v>38</v>
      </c>
      <c r="BK185" s="671" t="s">
        <v>38</v>
      </c>
      <c r="BN185" s="671" t="s">
        <v>38</v>
      </c>
      <c r="BQ185" s="671" t="s">
        <v>38</v>
      </c>
      <c r="BT185" s="671" t="s">
        <v>38</v>
      </c>
      <c r="BW185" s="671" t="s">
        <v>38</v>
      </c>
      <c r="BZ185" s="671" t="s">
        <v>38</v>
      </c>
    </row>
    <row r="186" spans="2:78" x14ac:dyDescent="0.25">
      <c r="B186" s="671" t="s">
        <v>38</v>
      </c>
      <c r="I186" s="671" t="s">
        <v>38</v>
      </c>
      <c r="L186" s="671" t="s">
        <v>38</v>
      </c>
      <c r="O186" s="671" t="s">
        <v>38</v>
      </c>
      <c r="R186" s="671" t="s">
        <v>38</v>
      </c>
      <c r="U186" s="671" t="s">
        <v>38</v>
      </c>
      <c r="X186" s="671" t="s">
        <v>38</v>
      </c>
      <c r="AB186" s="671" t="s">
        <v>38</v>
      </c>
      <c r="AE186" s="671" t="s">
        <v>38</v>
      </c>
      <c r="AH186" s="671" t="s">
        <v>38</v>
      </c>
      <c r="AK186" s="671" t="s">
        <v>38</v>
      </c>
      <c r="AN186" s="671" t="s">
        <v>38</v>
      </c>
      <c r="AQ186" s="671" t="s">
        <v>38</v>
      </c>
      <c r="AR186" s="656" t="str">
        <f>Select_naics2022[[#This Row],[2022 NAICS Code]]&amp;":  "&amp;Select_naics2022[[#This Row],[2022 NAICS Title]]</f>
        <v xml:space="preserve">311941:  Mayonnaise, Dressing, and Other Prepared Sauce Manufacturing </v>
      </c>
      <c r="AS186" s="656">
        <v>311941</v>
      </c>
      <c r="AT186" s="656" t="s">
        <v>827</v>
      </c>
      <c r="AU186" s="656" t="str">
        <f>Select_naics2022[[#This Row],[2022 NAICS Title]]</f>
        <v xml:space="preserve">Mayonnaise, Dressing, and Other Prepared Sauce Manufacturing </v>
      </c>
      <c r="AY186" s="671" t="s">
        <v>38</v>
      </c>
      <c r="BB186" s="671" t="s">
        <v>38</v>
      </c>
      <c r="BE186" s="671" t="s">
        <v>38</v>
      </c>
      <c r="BH186" s="671" t="s">
        <v>38</v>
      </c>
      <c r="BK186" s="671" t="s">
        <v>38</v>
      </c>
      <c r="BN186" s="671" t="s">
        <v>38</v>
      </c>
      <c r="BQ186" s="671" t="s">
        <v>38</v>
      </c>
      <c r="BT186" s="671" t="s">
        <v>38</v>
      </c>
      <c r="BW186" s="671" t="s">
        <v>38</v>
      </c>
      <c r="BZ186" s="671" t="s">
        <v>38</v>
      </c>
    </row>
    <row r="187" spans="2:78" x14ac:dyDescent="0.25">
      <c r="B187" s="671" t="s">
        <v>38</v>
      </c>
      <c r="I187" s="671" t="s">
        <v>38</v>
      </c>
      <c r="L187" s="671" t="s">
        <v>38</v>
      </c>
      <c r="O187" s="671" t="s">
        <v>38</v>
      </c>
      <c r="R187" s="671" t="s">
        <v>38</v>
      </c>
      <c r="U187" s="671" t="s">
        <v>38</v>
      </c>
      <c r="X187" s="671" t="s">
        <v>38</v>
      </c>
      <c r="AB187" s="671" t="s">
        <v>38</v>
      </c>
      <c r="AE187" s="671" t="s">
        <v>38</v>
      </c>
      <c r="AH187" s="671" t="s">
        <v>38</v>
      </c>
      <c r="AK187" s="671" t="s">
        <v>38</v>
      </c>
      <c r="AN187" s="671" t="s">
        <v>38</v>
      </c>
      <c r="AQ187" s="671" t="s">
        <v>38</v>
      </c>
      <c r="AR187" s="656" t="str">
        <f>Select_naics2022[[#This Row],[2022 NAICS Code]]&amp;":  "&amp;Select_naics2022[[#This Row],[2022 NAICS Title]]</f>
        <v xml:space="preserve">311942:  Spice and Extract Manufacturing </v>
      </c>
      <c r="AS187" s="656">
        <v>311942</v>
      </c>
      <c r="AT187" s="656" t="s">
        <v>828</v>
      </c>
      <c r="AU187" s="656" t="str">
        <f>Select_naics2022[[#This Row],[2022 NAICS Title]]</f>
        <v xml:space="preserve">Spice and Extract Manufacturing </v>
      </c>
      <c r="AY187" s="671" t="s">
        <v>38</v>
      </c>
      <c r="BB187" s="671" t="s">
        <v>38</v>
      </c>
      <c r="BE187" s="671" t="s">
        <v>38</v>
      </c>
      <c r="BH187" s="671" t="s">
        <v>38</v>
      </c>
      <c r="BK187" s="671" t="s">
        <v>38</v>
      </c>
      <c r="BN187" s="671" t="s">
        <v>38</v>
      </c>
      <c r="BQ187" s="671" t="s">
        <v>38</v>
      </c>
      <c r="BT187" s="671" t="s">
        <v>38</v>
      </c>
      <c r="BW187" s="671" t="s">
        <v>38</v>
      </c>
      <c r="BZ187" s="671" t="s">
        <v>38</v>
      </c>
    </row>
    <row r="188" spans="2:78" x14ac:dyDescent="0.25">
      <c r="B188" s="671" t="s">
        <v>38</v>
      </c>
      <c r="I188" s="671" t="s">
        <v>38</v>
      </c>
      <c r="L188" s="671" t="s">
        <v>38</v>
      </c>
      <c r="O188" s="671" t="s">
        <v>38</v>
      </c>
      <c r="R188" s="671" t="s">
        <v>38</v>
      </c>
      <c r="U188" s="671" t="s">
        <v>38</v>
      </c>
      <c r="X188" s="671" t="s">
        <v>38</v>
      </c>
      <c r="AB188" s="671" t="s">
        <v>38</v>
      </c>
      <c r="AE188" s="671" t="s">
        <v>38</v>
      </c>
      <c r="AH188" s="671" t="s">
        <v>38</v>
      </c>
      <c r="AK188" s="671" t="s">
        <v>38</v>
      </c>
      <c r="AN188" s="671" t="s">
        <v>38</v>
      </c>
      <c r="AQ188" s="671" t="s">
        <v>38</v>
      </c>
      <c r="AR188" s="656" t="str">
        <f>Select_naics2022[[#This Row],[2022 NAICS Code]]&amp;":  "&amp;Select_naics2022[[#This Row],[2022 NAICS Title]]</f>
        <v xml:space="preserve">311991:  Perishable Prepared Food Manufacturing </v>
      </c>
      <c r="AS188" s="656">
        <v>311991</v>
      </c>
      <c r="AT188" s="656" t="s">
        <v>829</v>
      </c>
      <c r="AU188" s="656" t="str">
        <f>Select_naics2022[[#This Row],[2022 NAICS Title]]</f>
        <v xml:space="preserve">Perishable Prepared Food Manufacturing </v>
      </c>
      <c r="AY188" s="671" t="s">
        <v>38</v>
      </c>
      <c r="BB188" s="671" t="s">
        <v>38</v>
      </c>
      <c r="BE188" s="671" t="s">
        <v>38</v>
      </c>
      <c r="BH188" s="671" t="s">
        <v>38</v>
      </c>
      <c r="BK188" s="671" t="s">
        <v>38</v>
      </c>
      <c r="BN188" s="671" t="s">
        <v>38</v>
      </c>
      <c r="BQ188" s="671" t="s">
        <v>38</v>
      </c>
      <c r="BT188" s="671" t="s">
        <v>38</v>
      </c>
      <c r="BW188" s="671" t="s">
        <v>38</v>
      </c>
      <c r="BZ188" s="671" t="s">
        <v>38</v>
      </c>
    </row>
    <row r="189" spans="2:78" x14ac:dyDescent="0.25">
      <c r="B189" s="671" t="s">
        <v>38</v>
      </c>
      <c r="I189" s="671" t="s">
        <v>38</v>
      </c>
      <c r="L189" s="671" t="s">
        <v>38</v>
      </c>
      <c r="O189" s="671" t="s">
        <v>38</v>
      </c>
      <c r="R189" s="671" t="s">
        <v>38</v>
      </c>
      <c r="U189" s="671" t="s">
        <v>38</v>
      </c>
      <c r="X189" s="671" t="s">
        <v>38</v>
      </c>
      <c r="AB189" s="671" t="s">
        <v>38</v>
      </c>
      <c r="AE189" s="671" t="s">
        <v>38</v>
      </c>
      <c r="AH189" s="671" t="s">
        <v>38</v>
      </c>
      <c r="AK189" s="671" t="s">
        <v>38</v>
      </c>
      <c r="AN189" s="671" t="s">
        <v>38</v>
      </c>
      <c r="AQ189" s="671" t="s">
        <v>38</v>
      </c>
      <c r="AR189" s="656" t="str">
        <f>Select_naics2022[[#This Row],[2022 NAICS Code]]&amp;":  "&amp;Select_naics2022[[#This Row],[2022 NAICS Title]]</f>
        <v xml:space="preserve">311999:  All Other Miscellaneous Food Manufacturing </v>
      </c>
      <c r="AS189" s="656">
        <v>311999</v>
      </c>
      <c r="AT189" s="656" t="s">
        <v>830</v>
      </c>
      <c r="AU189" s="656" t="str">
        <f>Select_naics2022[[#This Row],[2022 NAICS Title]]</f>
        <v xml:space="preserve">All Other Miscellaneous Food Manufacturing </v>
      </c>
      <c r="AY189" s="671" t="s">
        <v>38</v>
      </c>
      <c r="BB189" s="671" t="s">
        <v>38</v>
      </c>
      <c r="BE189" s="671" t="s">
        <v>38</v>
      </c>
      <c r="BH189" s="671" t="s">
        <v>38</v>
      </c>
      <c r="BK189" s="671" t="s">
        <v>38</v>
      </c>
      <c r="BN189" s="671" t="s">
        <v>38</v>
      </c>
      <c r="BQ189" s="671" t="s">
        <v>38</v>
      </c>
      <c r="BT189" s="671" t="s">
        <v>38</v>
      </c>
      <c r="BW189" s="671" t="s">
        <v>38</v>
      </c>
      <c r="BZ189" s="671" t="s">
        <v>38</v>
      </c>
    </row>
    <row r="190" spans="2:78" x14ac:dyDescent="0.25">
      <c r="B190" s="671" t="s">
        <v>38</v>
      </c>
      <c r="I190" s="671" t="s">
        <v>38</v>
      </c>
      <c r="L190" s="671" t="s">
        <v>38</v>
      </c>
      <c r="O190" s="671" t="s">
        <v>38</v>
      </c>
      <c r="R190" s="671" t="s">
        <v>38</v>
      </c>
      <c r="U190" s="671" t="s">
        <v>38</v>
      </c>
      <c r="X190" s="671" t="s">
        <v>38</v>
      </c>
      <c r="AB190" s="671" t="s">
        <v>38</v>
      </c>
      <c r="AE190" s="671" t="s">
        <v>38</v>
      </c>
      <c r="AH190" s="671" t="s">
        <v>38</v>
      </c>
      <c r="AK190" s="671" t="s">
        <v>38</v>
      </c>
      <c r="AN190" s="671" t="s">
        <v>38</v>
      </c>
      <c r="AQ190" s="671" t="s">
        <v>38</v>
      </c>
      <c r="AR190" s="656" t="str">
        <f>Select_naics2022[[#This Row],[2022 NAICS Code]]&amp;":  "&amp;Select_naics2022[[#This Row],[2022 NAICS Title]]</f>
        <v xml:space="preserve">312111:  Soft Drink Manufacturing </v>
      </c>
      <c r="AS190" s="656">
        <v>312111</v>
      </c>
      <c r="AT190" s="656" t="s">
        <v>831</v>
      </c>
      <c r="AU190" s="656" t="str">
        <f>Select_naics2022[[#This Row],[2022 NAICS Title]]</f>
        <v xml:space="preserve">Soft Drink Manufacturing </v>
      </c>
      <c r="AY190" s="671" t="s">
        <v>38</v>
      </c>
      <c r="BB190" s="671" t="s">
        <v>38</v>
      </c>
      <c r="BE190" s="671" t="s">
        <v>38</v>
      </c>
      <c r="BH190" s="671" t="s">
        <v>38</v>
      </c>
      <c r="BK190" s="671" t="s">
        <v>38</v>
      </c>
      <c r="BN190" s="671" t="s">
        <v>38</v>
      </c>
      <c r="BQ190" s="671" t="s">
        <v>38</v>
      </c>
      <c r="BT190" s="671" t="s">
        <v>38</v>
      </c>
      <c r="BW190" s="671" t="s">
        <v>38</v>
      </c>
      <c r="BZ190" s="671" t="s">
        <v>38</v>
      </c>
    </row>
    <row r="191" spans="2:78" x14ac:dyDescent="0.25">
      <c r="B191" s="671" t="s">
        <v>38</v>
      </c>
      <c r="I191" s="671" t="s">
        <v>38</v>
      </c>
      <c r="L191" s="671" t="s">
        <v>38</v>
      </c>
      <c r="O191" s="671" t="s">
        <v>38</v>
      </c>
      <c r="R191" s="671" t="s">
        <v>38</v>
      </c>
      <c r="U191" s="671" t="s">
        <v>38</v>
      </c>
      <c r="X191" s="671" t="s">
        <v>38</v>
      </c>
      <c r="AB191" s="671" t="s">
        <v>38</v>
      </c>
      <c r="AE191" s="671" t="s">
        <v>38</v>
      </c>
      <c r="AH191" s="671" t="s">
        <v>38</v>
      </c>
      <c r="AK191" s="671" t="s">
        <v>38</v>
      </c>
      <c r="AN191" s="671" t="s">
        <v>38</v>
      </c>
      <c r="AQ191" s="671" t="s">
        <v>38</v>
      </c>
      <c r="AR191" s="656" t="str">
        <f>Select_naics2022[[#This Row],[2022 NAICS Code]]&amp;":  "&amp;Select_naics2022[[#This Row],[2022 NAICS Title]]</f>
        <v xml:space="preserve">312112:  Bottled Water Manufacturing </v>
      </c>
      <c r="AS191" s="656">
        <v>312112</v>
      </c>
      <c r="AT191" s="656" t="s">
        <v>832</v>
      </c>
      <c r="AU191" s="656" t="str">
        <f>Select_naics2022[[#This Row],[2022 NAICS Title]]</f>
        <v xml:space="preserve">Bottled Water Manufacturing </v>
      </c>
      <c r="AY191" s="671" t="s">
        <v>38</v>
      </c>
      <c r="BB191" s="671" t="s">
        <v>38</v>
      </c>
      <c r="BE191" s="671" t="s">
        <v>38</v>
      </c>
      <c r="BH191" s="671" t="s">
        <v>38</v>
      </c>
      <c r="BK191" s="671" t="s">
        <v>38</v>
      </c>
      <c r="BN191" s="671" t="s">
        <v>38</v>
      </c>
      <c r="BQ191" s="671" t="s">
        <v>38</v>
      </c>
      <c r="BT191" s="671" t="s">
        <v>38</v>
      </c>
      <c r="BW191" s="671" t="s">
        <v>38</v>
      </c>
      <c r="BZ191" s="671" t="s">
        <v>38</v>
      </c>
    </row>
    <row r="192" spans="2:78" x14ac:dyDescent="0.25">
      <c r="B192" s="671" t="s">
        <v>38</v>
      </c>
      <c r="I192" s="671" t="s">
        <v>38</v>
      </c>
      <c r="L192" s="671" t="s">
        <v>38</v>
      </c>
      <c r="O192" s="671" t="s">
        <v>38</v>
      </c>
      <c r="R192" s="671" t="s">
        <v>38</v>
      </c>
      <c r="U192" s="671" t="s">
        <v>38</v>
      </c>
      <c r="X192" s="671" t="s">
        <v>38</v>
      </c>
      <c r="AB192" s="671" t="s">
        <v>38</v>
      </c>
      <c r="AE192" s="671" t="s">
        <v>38</v>
      </c>
      <c r="AH192" s="671" t="s">
        <v>38</v>
      </c>
      <c r="AK192" s="671" t="s">
        <v>38</v>
      </c>
      <c r="AN192" s="671" t="s">
        <v>38</v>
      </c>
      <c r="AQ192" s="671" t="s">
        <v>38</v>
      </c>
      <c r="AR192" s="656" t="str">
        <f>Select_naics2022[[#This Row],[2022 NAICS Code]]&amp;":  "&amp;Select_naics2022[[#This Row],[2022 NAICS Title]]</f>
        <v xml:space="preserve">312113:  Ice Manufacturing </v>
      </c>
      <c r="AS192" s="656">
        <v>312113</v>
      </c>
      <c r="AT192" s="656" t="s">
        <v>833</v>
      </c>
      <c r="AU192" s="656" t="str">
        <f>Select_naics2022[[#This Row],[2022 NAICS Title]]</f>
        <v xml:space="preserve">Ice Manufacturing </v>
      </c>
      <c r="AY192" s="671" t="s">
        <v>38</v>
      </c>
      <c r="BB192" s="671" t="s">
        <v>38</v>
      </c>
      <c r="BE192" s="671" t="s">
        <v>38</v>
      </c>
      <c r="BH192" s="671" t="s">
        <v>38</v>
      </c>
      <c r="BK192" s="671" t="s">
        <v>38</v>
      </c>
      <c r="BN192" s="671" t="s">
        <v>38</v>
      </c>
      <c r="BQ192" s="671" t="s">
        <v>38</v>
      </c>
      <c r="BT192" s="671" t="s">
        <v>38</v>
      </c>
      <c r="BW192" s="671" t="s">
        <v>38</v>
      </c>
      <c r="BZ192" s="671" t="s">
        <v>38</v>
      </c>
    </row>
    <row r="193" spans="2:78" x14ac:dyDescent="0.25">
      <c r="B193" s="671" t="s">
        <v>38</v>
      </c>
      <c r="I193" s="671" t="s">
        <v>38</v>
      </c>
      <c r="L193" s="671" t="s">
        <v>38</v>
      </c>
      <c r="O193" s="671" t="s">
        <v>38</v>
      </c>
      <c r="R193" s="671" t="s">
        <v>38</v>
      </c>
      <c r="U193" s="671" t="s">
        <v>38</v>
      </c>
      <c r="X193" s="671" t="s">
        <v>38</v>
      </c>
      <c r="AB193" s="671" t="s">
        <v>38</v>
      </c>
      <c r="AE193" s="671" t="s">
        <v>38</v>
      </c>
      <c r="AH193" s="671" t="s">
        <v>38</v>
      </c>
      <c r="AK193" s="671" t="s">
        <v>38</v>
      </c>
      <c r="AN193" s="671" t="s">
        <v>38</v>
      </c>
      <c r="AQ193" s="671" t="s">
        <v>38</v>
      </c>
      <c r="AR193" s="656" t="str">
        <f>Select_naics2022[[#This Row],[2022 NAICS Code]]&amp;":  "&amp;Select_naics2022[[#This Row],[2022 NAICS Title]]</f>
        <v>312120:  Breweries</v>
      </c>
      <c r="AS193" s="656">
        <v>312120</v>
      </c>
      <c r="AT193" s="656" t="s">
        <v>834</v>
      </c>
      <c r="AU193" s="656" t="str">
        <f>Select_naics2022[[#This Row],[2022 NAICS Title]]</f>
        <v>Breweries</v>
      </c>
      <c r="AY193" s="671" t="s">
        <v>38</v>
      </c>
      <c r="BB193" s="671" t="s">
        <v>38</v>
      </c>
      <c r="BE193" s="671" t="s">
        <v>38</v>
      </c>
      <c r="BH193" s="671" t="s">
        <v>38</v>
      </c>
      <c r="BK193" s="671" t="s">
        <v>38</v>
      </c>
      <c r="BN193" s="671" t="s">
        <v>38</v>
      </c>
      <c r="BQ193" s="671" t="s">
        <v>38</v>
      </c>
      <c r="BT193" s="671" t="s">
        <v>38</v>
      </c>
      <c r="BW193" s="671" t="s">
        <v>38</v>
      </c>
      <c r="BZ193" s="671" t="s">
        <v>38</v>
      </c>
    </row>
    <row r="194" spans="2:78" x14ac:dyDescent="0.25">
      <c r="B194" s="671" t="s">
        <v>38</v>
      </c>
      <c r="I194" s="671" t="s">
        <v>38</v>
      </c>
      <c r="L194" s="671" t="s">
        <v>38</v>
      </c>
      <c r="O194" s="671" t="s">
        <v>38</v>
      </c>
      <c r="R194" s="671" t="s">
        <v>38</v>
      </c>
      <c r="U194" s="671" t="s">
        <v>38</v>
      </c>
      <c r="X194" s="671" t="s">
        <v>38</v>
      </c>
      <c r="AB194" s="671" t="s">
        <v>38</v>
      </c>
      <c r="AE194" s="671" t="s">
        <v>38</v>
      </c>
      <c r="AH194" s="671" t="s">
        <v>38</v>
      </c>
      <c r="AK194" s="671" t="s">
        <v>38</v>
      </c>
      <c r="AN194" s="671" t="s">
        <v>38</v>
      </c>
      <c r="AQ194" s="671" t="s">
        <v>38</v>
      </c>
      <c r="AR194" s="656" t="str">
        <f>Select_naics2022[[#This Row],[2022 NAICS Code]]&amp;":  "&amp;Select_naics2022[[#This Row],[2022 NAICS Title]]</f>
        <v xml:space="preserve">312130:  Wineries </v>
      </c>
      <c r="AS194" s="656">
        <v>312130</v>
      </c>
      <c r="AT194" s="656" t="s">
        <v>835</v>
      </c>
      <c r="AU194" s="656" t="str">
        <f>Select_naics2022[[#This Row],[2022 NAICS Title]]</f>
        <v xml:space="preserve">Wineries </v>
      </c>
      <c r="AY194" s="671" t="s">
        <v>38</v>
      </c>
      <c r="BB194" s="671" t="s">
        <v>38</v>
      </c>
      <c r="BE194" s="671" t="s">
        <v>38</v>
      </c>
      <c r="BH194" s="671" t="s">
        <v>38</v>
      </c>
      <c r="BK194" s="671" t="s">
        <v>38</v>
      </c>
      <c r="BN194" s="671" t="s">
        <v>38</v>
      </c>
      <c r="BQ194" s="671" t="s">
        <v>38</v>
      </c>
      <c r="BT194" s="671" t="s">
        <v>38</v>
      </c>
      <c r="BW194" s="671" t="s">
        <v>38</v>
      </c>
      <c r="BZ194" s="671" t="s">
        <v>38</v>
      </c>
    </row>
    <row r="195" spans="2:78" x14ac:dyDescent="0.25">
      <c r="B195" s="671" t="s">
        <v>38</v>
      </c>
      <c r="I195" s="671" t="s">
        <v>38</v>
      </c>
      <c r="L195" s="671" t="s">
        <v>38</v>
      </c>
      <c r="O195" s="671" t="s">
        <v>38</v>
      </c>
      <c r="R195" s="671" t="s">
        <v>38</v>
      </c>
      <c r="U195" s="671" t="s">
        <v>38</v>
      </c>
      <c r="X195" s="671" t="s">
        <v>38</v>
      </c>
      <c r="AB195" s="671" t="s">
        <v>38</v>
      </c>
      <c r="AE195" s="671" t="s">
        <v>38</v>
      </c>
      <c r="AH195" s="671" t="s">
        <v>38</v>
      </c>
      <c r="AK195" s="671" t="s">
        <v>38</v>
      </c>
      <c r="AN195" s="671" t="s">
        <v>38</v>
      </c>
      <c r="AQ195" s="671" t="s">
        <v>38</v>
      </c>
      <c r="AR195" s="656" t="str">
        <f>Select_naics2022[[#This Row],[2022 NAICS Code]]&amp;":  "&amp;Select_naics2022[[#This Row],[2022 NAICS Title]]</f>
        <v xml:space="preserve">312140:  Distilleries </v>
      </c>
      <c r="AS195" s="656">
        <v>312140</v>
      </c>
      <c r="AT195" s="656" t="s">
        <v>836</v>
      </c>
      <c r="AU195" s="656" t="str">
        <f>Select_naics2022[[#This Row],[2022 NAICS Title]]</f>
        <v xml:space="preserve">Distilleries </v>
      </c>
      <c r="AY195" s="671" t="s">
        <v>38</v>
      </c>
      <c r="BB195" s="671" t="s">
        <v>38</v>
      </c>
      <c r="BE195" s="671" t="s">
        <v>38</v>
      </c>
      <c r="BH195" s="671" t="s">
        <v>38</v>
      </c>
      <c r="BK195" s="671" t="s">
        <v>38</v>
      </c>
      <c r="BN195" s="671" t="s">
        <v>38</v>
      </c>
      <c r="BQ195" s="671" t="s">
        <v>38</v>
      </c>
      <c r="BT195" s="671" t="s">
        <v>38</v>
      </c>
      <c r="BW195" s="671" t="s">
        <v>38</v>
      </c>
      <c r="BZ195" s="671" t="s">
        <v>38</v>
      </c>
    </row>
    <row r="196" spans="2:78" x14ac:dyDescent="0.25">
      <c r="B196" s="671" t="s">
        <v>38</v>
      </c>
      <c r="I196" s="671" t="s">
        <v>38</v>
      </c>
      <c r="L196" s="671" t="s">
        <v>38</v>
      </c>
      <c r="O196" s="671" t="s">
        <v>38</v>
      </c>
      <c r="R196" s="671" t="s">
        <v>38</v>
      </c>
      <c r="U196" s="671" t="s">
        <v>38</v>
      </c>
      <c r="X196" s="671" t="s">
        <v>38</v>
      </c>
      <c r="AB196" s="671" t="s">
        <v>38</v>
      </c>
      <c r="AE196" s="671" t="s">
        <v>38</v>
      </c>
      <c r="AH196" s="671" t="s">
        <v>38</v>
      </c>
      <c r="AK196" s="671" t="s">
        <v>38</v>
      </c>
      <c r="AN196" s="671" t="s">
        <v>38</v>
      </c>
      <c r="AQ196" s="671" t="s">
        <v>38</v>
      </c>
      <c r="AR196" s="656" t="str">
        <f>Select_naics2022[[#This Row],[2022 NAICS Code]]&amp;":  "&amp;Select_naics2022[[#This Row],[2022 NAICS Title]]</f>
        <v xml:space="preserve">312230:  Tobacco Manufacturing </v>
      </c>
      <c r="AS196" s="656">
        <v>312230</v>
      </c>
      <c r="AT196" s="656" t="s">
        <v>837</v>
      </c>
      <c r="AU196" s="656" t="str">
        <f>Select_naics2022[[#This Row],[2022 NAICS Title]]</f>
        <v xml:space="preserve">Tobacco Manufacturing </v>
      </c>
      <c r="AY196" s="671" t="s">
        <v>38</v>
      </c>
      <c r="BB196" s="671" t="s">
        <v>38</v>
      </c>
      <c r="BE196" s="671" t="s">
        <v>38</v>
      </c>
      <c r="BH196" s="671" t="s">
        <v>38</v>
      </c>
      <c r="BK196" s="671" t="s">
        <v>38</v>
      </c>
      <c r="BN196" s="671" t="s">
        <v>38</v>
      </c>
      <c r="BQ196" s="671" t="s">
        <v>38</v>
      </c>
      <c r="BT196" s="671" t="s">
        <v>38</v>
      </c>
      <c r="BW196" s="671" t="s">
        <v>38</v>
      </c>
      <c r="BZ196" s="671" t="s">
        <v>38</v>
      </c>
    </row>
    <row r="197" spans="2:78" x14ac:dyDescent="0.25">
      <c r="B197" s="671" t="s">
        <v>38</v>
      </c>
      <c r="I197" s="671" t="s">
        <v>38</v>
      </c>
      <c r="L197" s="671" t="s">
        <v>38</v>
      </c>
      <c r="O197" s="671" t="s">
        <v>38</v>
      </c>
      <c r="R197" s="671" t="s">
        <v>38</v>
      </c>
      <c r="U197" s="671" t="s">
        <v>38</v>
      </c>
      <c r="X197" s="671" t="s">
        <v>38</v>
      </c>
      <c r="AB197" s="671" t="s">
        <v>38</v>
      </c>
      <c r="AE197" s="671" t="s">
        <v>38</v>
      </c>
      <c r="AH197" s="671" t="s">
        <v>38</v>
      </c>
      <c r="AK197" s="671" t="s">
        <v>38</v>
      </c>
      <c r="AN197" s="671" t="s">
        <v>38</v>
      </c>
      <c r="AQ197" s="671" t="s">
        <v>38</v>
      </c>
      <c r="AR197" s="656" t="str">
        <f>Select_naics2022[[#This Row],[2022 NAICS Code]]&amp;":  "&amp;Select_naics2022[[#This Row],[2022 NAICS Title]]</f>
        <v xml:space="preserve">313110:  Fiber, Yarn, and Thread Mills </v>
      </c>
      <c r="AS197" s="656">
        <v>313110</v>
      </c>
      <c r="AT197" s="656" t="s">
        <v>838</v>
      </c>
      <c r="AU197" s="656" t="str">
        <f>Select_naics2022[[#This Row],[2022 NAICS Title]]</f>
        <v xml:space="preserve">Fiber, Yarn, and Thread Mills </v>
      </c>
      <c r="AY197" s="671" t="s">
        <v>38</v>
      </c>
      <c r="BB197" s="671" t="s">
        <v>38</v>
      </c>
      <c r="BE197" s="671" t="s">
        <v>38</v>
      </c>
      <c r="BH197" s="671" t="s">
        <v>38</v>
      </c>
      <c r="BK197" s="671" t="s">
        <v>38</v>
      </c>
      <c r="BN197" s="671" t="s">
        <v>38</v>
      </c>
      <c r="BQ197" s="671" t="s">
        <v>38</v>
      </c>
      <c r="BT197" s="671" t="s">
        <v>38</v>
      </c>
      <c r="BW197" s="671" t="s">
        <v>38</v>
      </c>
      <c r="BZ197" s="671" t="s">
        <v>38</v>
      </c>
    </row>
    <row r="198" spans="2:78" x14ac:dyDescent="0.25">
      <c r="B198" s="671" t="s">
        <v>38</v>
      </c>
      <c r="I198" s="671" t="s">
        <v>38</v>
      </c>
      <c r="L198" s="671" t="s">
        <v>38</v>
      </c>
      <c r="O198" s="671" t="s">
        <v>38</v>
      </c>
      <c r="R198" s="671" t="s">
        <v>38</v>
      </c>
      <c r="U198" s="671" t="s">
        <v>38</v>
      </c>
      <c r="X198" s="671" t="s">
        <v>38</v>
      </c>
      <c r="AB198" s="671" t="s">
        <v>38</v>
      </c>
      <c r="AE198" s="671" t="s">
        <v>38</v>
      </c>
      <c r="AH198" s="671" t="s">
        <v>38</v>
      </c>
      <c r="AK198" s="671" t="s">
        <v>38</v>
      </c>
      <c r="AN198" s="671" t="s">
        <v>38</v>
      </c>
      <c r="AQ198" s="671" t="s">
        <v>38</v>
      </c>
      <c r="AR198" s="656" t="str">
        <f>Select_naics2022[[#This Row],[2022 NAICS Code]]&amp;":  "&amp;Select_naics2022[[#This Row],[2022 NAICS Title]]</f>
        <v>313210:  Broadwoven Fabric Mills</v>
      </c>
      <c r="AS198" s="656">
        <v>313210</v>
      </c>
      <c r="AT198" s="656" t="s">
        <v>839</v>
      </c>
      <c r="AU198" s="656" t="str">
        <f>Select_naics2022[[#This Row],[2022 NAICS Title]]</f>
        <v>Broadwoven Fabric Mills</v>
      </c>
      <c r="AY198" s="671" t="s">
        <v>38</v>
      </c>
      <c r="BB198" s="671" t="s">
        <v>38</v>
      </c>
      <c r="BE198" s="671" t="s">
        <v>38</v>
      </c>
      <c r="BH198" s="671" t="s">
        <v>38</v>
      </c>
      <c r="BK198" s="671" t="s">
        <v>38</v>
      </c>
      <c r="BN198" s="671" t="s">
        <v>38</v>
      </c>
      <c r="BQ198" s="671" t="s">
        <v>38</v>
      </c>
      <c r="BT198" s="671" t="s">
        <v>38</v>
      </c>
      <c r="BW198" s="671" t="s">
        <v>38</v>
      </c>
      <c r="BZ198" s="671" t="s">
        <v>38</v>
      </c>
    </row>
    <row r="199" spans="2:78" x14ac:dyDescent="0.25">
      <c r="B199" s="671" t="s">
        <v>38</v>
      </c>
      <c r="I199" s="671" t="s">
        <v>38</v>
      </c>
      <c r="L199" s="671" t="s">
        <v>38</v>
      </c>
      <c r="O199" s="671" t="s">
        <v>38</v>
      </c>
      <c r="R199" s="671" t="s">
        <v>38</v>
      </c>
      <c r="U199" s="671" t="s">
        <v>38</v>
      </c>
      <c r="X199" s="671" t="s">
        <v>38</v>
      </c>
      <c r="AB199" s="671" t="s">
        <v>38</v>
      </c>
      <c r="AE199" s="671" t="s">
        <v>38</v>
      </c>
      <c r="AH199" s="671" t="s">
        <v>38</v>
      </c>
      <c r="AK199" s="671" t="s">
        <v>38</v>
      </c>
      <c r="AN199" s="671" t="s">
        <v>38</v>
      </c>
      <c r="AQ199" s="671" t="s">
        <v>38</v>
      </c>
      <c r="AR199" s="656" t="str">
        <f>Select_naics2022[[#This Row],[2022 NAICS Code]]&amp;":  "&amp;Select_naics2022[[#This Row],[2022 NAICS Title]]</f>
        <v>313220:  Narrow Fabric Mills and Schiffli Machine Embroidery</v>
      </c>
      <c r="AS199" s="656">
        <v>313220</v>
      </c>
      <c r="AT199" s="656" t="s">
        <v>840</v>
      </c>
      <c r="AU199" s="656" t="str">
        <f>Select_naics2022[[#This Row],[2022 NAICS Title]]</f>
        <v>Narrow Fabric Mills and Schiffli Machine Embroidery</v>
      </c>
      <c r="AY199" s="671" t="s">
        <v>38</v>
      </c>
      <c r="BB199" s="671" t="s">
        <v>38</v>
      </c>
      <c r="BE199" s="671" t="s">
        <v>38</v>
      </c>
      <c r="BH199" s="671" t="s">
        <v>38</v>
      </c>
      <c r="BK199" s="671" t="s">
        <v>38</v>
      </c>
      <c r="BN199" s="671" t="s">
        <v>38</v>
      </c>
      <c r="BQ199" s="671" t="s">
        <v>38</v>
      </c>
      <c r="BT199" s="671" t="s">
        <v>38</v>
      </c>
      <c r="BW199" s="671" t="s">
        <v>38</v>
      </c>
      <c r="BZ199" s="671" t="s">
        <v>38</v>
      </c>
    </row>
    <row r="200" spans="2:78" x14ac:dyDescent="0.25">
      <c r="B200" s="671" t="s">
        <v>38</v>
      </c>
      <c r="I200" s="671" t="s">
        <v>38</v>
      </c>
      <c r="L200" s="671" t="s">
        <v>38</v>
      </c>
      <c r="O200" s="671" t="s">
        <v>38</v>
      </c>
      <c r="R200" s="671" t="s">
        <v>38</v>
      </c>
      <c r="U200" s="671" t="s">
        <v>38</v>
      </c>
      <c r="X200" s="671" t="s">
        <v>38</v>
      </c>
      <c r="AB200" s="671" t="s">
        <v>38</v>
      </c>
      <c r="AE200" s="671" t="s">
        <v>38</v>
      </c>
      <c r="AH200" s="671" t="s">
        <v>38</v>
      </c>
      <c r="AK200" s="671" t="s">
        <v>38</v>
      </c>
      <c r="AN200" s="671" t="s">
        <v>38</v>
      </c>
      <c r="AQ200" s="671" t="s">
        <v>38</v>
      </c>
      <c r="AR200" s="656" t="str">
        <f>Select_naics2022[[#This Row],[2022 NAICS Code]]&amp;":  "&amp;Select_naics2022[[#This Row],[2022 NAICS Title]]</f>
        <v>313230:  Nonwoven Fabric Mills</v>
      </c>
      <c r="AS200" s="656">
        <v>313230</v>
      </c>
      <c r="AT200" s="656" t="s">
        <v>841</v>
      </c>
      <c r="AU200" s="656" t="str">
        <f>Select_naics2022[[#This Row],[2022 NAICS Title]]</f>
        <v>Nonwoven Fabric Mills</v>
      </c>
      <c r="AY200" s="671" t="s">
        <v>38</v>
      </c>
      <c r="BB200" s="671" t="s">
        <v>38</v>
      </c>
      <c r="BE200" s="671" t="s">
        <v>38</v>
      </c>
      <c r="BH200" s="671" t="s">
        <v>38</v>
      </c>
      <c r="BK200" s="671" t="s">
        <v>38</v>
      </c>
      <c r="BN200" s="671" t="s">
        <v>38</v>
      </c>
      <c r="BQ200" s="671" t="s">
        <v>38</v>
      </c>
      <c r="BT200" s="671" t="s">
        <v>38</v>
      </c>
      <c r="BW200" s="671" t="s">
        <v>38</v>
      </c>
      <c r="BZ200" s="671" t="s">
        <v>38</v>
      </c>
    </row>
    <row r="201" spans="2:78" x14ac:dyDescent="0.25">
      <c r="B201" s="671" t="s">
        <v>38</v>
      </c>
      <c r="I201" s="671" t="s">
        <v>38</v>
      </c>
      <c r="L201" s="671" t="s">
        <v>38</v>
      </c>
      <c r="O201" s="671" t="s">
        <v>38</v>
      </c>
      <c r="R201" s="671" t="s">
        <v>38</v>
      </c>
      <c r="U201" s="671" t="s">
        <v>38</v>
      </c>
      <c r="X201" s="671" t="s">
        <v>38</v>
      </c>
      <c r="AB201" s="671" t="s">
        <v>38</v>
      </c>
      <c r="AE201" s="671" t="s">
        <v>38</v>
      </c>
      <c r="AH201" s="671" t="s">
        <v>38</v>
      </c>
      <c r="AK201" s="671" t="s">
        <v>38</v>
      </c>
      <c r="AN201" s="671" t="s">
        <v>38</v>
      </c>
      <c r="AQ201" s="671" t="s">
        <v>38</v>
      </c>
      <c r="AR201" s="656" t="str">
        <f>Select_naics2022[[#This Row],[2022 NAICS Code]]&amp;":  "&amp;Select_naics2022[[#This Row],[2022 NAICS Title]]</f>
        <v>313240:  Knit Fabric Mills</v>
      </c>
      <c r="AS201" s="656">
        <v>313240</v>
      </c>
      <c r="AT201" s="656" t="s">
        <v>842</v>
      </c>
      <c r="AU201" s="656" t="str">
        <f>Select_naics2022[[#This Row],[2022 NAICS Title]]</f>
        <v>Knit Fabric Mills</v>
      </c>
      <c r="AY201" s="671" t="s">
        <v>38</v>
      </c>
      <c r="BB201" s="671" t="s">
        <v>38</v>
      </c>
      <c r="BE201" s="671" t="s">
        <v>38</v>
      </c>
      <c r="BH201" s="671" t="s">
        <v>38</v>
      </c>
      <c r="BK201" s="671" t="s">
        <v>38</v>
      </c>
      <c r="BN201" s="671" t="s">
        <v>38</v>
      </c>
      <c r="BQ201" s="671" t="s">
        <v>38</v>
      </c>
      <c r="BT201" s="671" t="s">
        <v>38</v>
      </c>
      <c r="BW201" s="671" t="s">
        <v>38</v>
      </c>
      <c r="BZ201" s="671" t="s">
        <v>38</v>
      </c>
    </row>
    <row r="202" spans="2:78" x14ac:dyDescent="0.25">
      <c r="B202" s="671" t="s">
        <v>38</v>
      </c>
      <c r="I202" s="671" t="s">
        <v>38</v>
      </c>
      <c r="L202" s="671" t="s">
        <v>38</v>
      </c>
      <c r="O202" s="671" t="s">
        <v>38</v>
      </c>
      <c r="R202" s="671" t="s">
        <v>38</v>
      </c>
      <c r="U202" s="671" t="s">
        <v>38</v>
      </c>
      <c r="X202" s="671" t="s">
        <v>38</v>
      </c>
      <c r="AB202" s="671" t="s">
        <v>38</v>
      </c>
      <c r="AE202" s="671" t="s">
        <v>38</v>
      </c>
      <c r="AH202" s="671" t="s">
        <v>38</v>
      </c>
      <c r="AK202" s="671" t="s">
        <v>38</v>
      </c>
      <c r="AN202" s="671" t="s">
        <v>38</v>
      </c>
      <c r="AQ202" s="671" t="s">
        <v>38</v>
      </c>
      <c r="AR202" s="656" t="str">
        <f>Select_naics2022[[#This Row],[2022 NAICS Code]]&amp;":  "&amp;Select_naics2022[[#This Row],[2022 NAICS Title]]</f>
        <v xml:space="preserve">313310:  Textile and Fabric Finishing Mills </v>
      </c>
      <c r="AS202" s="656">
        <v>313310</v>
      </c>
      <c r="AT202" s="656" t="s">
        <v>3494</v>
      </c>
      <c r="AU202" s="656" t="str">
        <f>Select_naics2022[[#This Row],[2022 NAICS Title]]</f>
        <v xml:space="preserve">Textile and Fabric Finishing Mills </v>
      </c>
      <c r="AY202" s="671" t="s">
        <v>38</v>
      </c>
      <c r="BB202" s="671" t="s">
        <v>38</v>
      </c>
      <c r="BE202" s="671" t="s">
        <v>38</v>
      </c>
      <c r="BH202" s="671" t="s">
        <v>38</v>
      </c>
      <c r="BK202" s="671" t="s">
        <v>38</v>
      </c>
      <c r="BN202" s="671" t="s">
        <v>38</v>
      </c>
      <c r="BQ202" s="671" t="s">
        <v>38</v>
      </c>
      <c r="BT202" s="671" t="s">
        <v>38</v>
      </c>
      <c r="BW202" s="671" t="s">
        <v>38</v>
      </c>
      <c r="BZ202" s="671" t="s">
        <v>38</v>
      </c>
    </row>
    <row r="203" spans="2:78" x14ac:dyDescent="0.25">
      <c r="B203" s="671" t="s">
        <v>38</v>
      </c>
      <c r="I203" s="671" t="s">
        <v>38</v>
      </c>
      <c r="L203" s="671" t="s">
        <v>38</v>
      </c>
      <c r="O203" s="671" t="s">
        <v>38</v>
      </c>
      <c r="R203" s="671" t="s">
        <v>38</v>
      </c>
      <c r="U203" s="671" t="s">
        <v>38</v>
      </c>
      <c r="X203" s="671" t="s">
        <v>38</v>
      </c>
      <c r="AB203" s="671" t="s">
        <v>38</v>
      </c>
      <c r="AE203" s="671" t="s">
        <v>38</v>
      </c>
      <c r="AH203" s="671" t="s">
        <v>38</v>
      </c>
      <c r="AK203" s="671" t="s">
        <v>38</v>
      </c>
      <c r="AN203" s="671" t="s">
        <v>38</v>
      </c>
      <c r="AQ203" s="671" t="s">
        <v>38</v>
      </c>
      <c r="AR203" s="656" t="str">
        <f>Select_naics2022[[#This Row],[2022 NAICS Code]]&amp;":  "&amp;Select_naics2022[[#This Row],[2022 NAICS Title]]</f>
        <v>313320:  Fabric Coating Mills</v>
      </c>
      <c r="AS203" s="656">
        <v>313320</v>
      </c>
      <c r="AT203" s="656" t="s">
        <v>843</v>
      </c>
      <c r="AU203" s="656" t="str">
        <f>Select_naics2022[[#This Row],[2022 NAICS Title]]</f>
        <v>Fabric Coating Mills</v>
      </c>
      <c r="AY203" s="671" t="s">
        <v>38</v>
      </c>
      <c r="BB203" s="671" t="s">
        <v>38</v>
      </c>
      <c r="BE203" s="671" t="s">
        <v>38</v>
      </c>
      <c r="BH203" s="671" t="s">
        <v>38</v>
      </c>
      <c r="BK203" s="671" t="s">
        <v>38</v>
      </c>
      <c r="BN203" s="671" t="s">
        <v>38</v>
      </c>
      <c r="BQ203" s="671" t="s">
        <v>38</v>
      </c>
      <c r="BT203" s="671" t="s">
        <v>38</v>
      </c>
      <c r="BW203" s="671" t="s">
        <v>38</v>
      </c>
      <c r="BZ203" s="671" t="s">
        <v>38</v>
      </c>
    </row>
    <row r="204" spans="2:78" x14ac:dyDescent="0.25">
      <c r="B204" s="671" t="s">
        <v>38</v>
      </c>
      <c r="I204" s="671" t="s">
        <v>38</v>
      </c>
      <c r="L204" s="671" t="s">
        <v>38</v>
      </c>
      <c r="O204" s="671" t="s">
        <v>38</v>
      </c>
      <c r="R204" s="671" t="s">
        <v>38</v>
      </c>
      <c r="U204" s="671" t="s">
        <v>38</v>
      </c>
      <c r="X204" s="671" t="s">
        <v>38</v>
      </c>
      <c r="AB204" s="671" t="s">
        <v>38</v>
      </c>
      <c r="AE204" s="671" t="s">
        <v>38</v>
      </c>
      <c r="AH204" s="671" t="s">
        <v>38</v>
      </c>
      <c r="AK204" s="671" t="s">
        <v>38</v>
      </c>
      <c r="AN204" s="671" t="s">
        <v>38</v>
      </c>
      <c r="AQ204" s="671" t="s">
        <v>38</v>
      </c>
      <c r="AR204" s="656" t="str">
        <f>Select_naics2022[[#This Row],[2022 NAICS Code]]&amp;":  "&amp;Select_naics2022[[#This Row],[2022 NAICS Title]]</f>
        <v>314110:  Carpet and Rug Mills</v>
      </c>
      <c r="AS204" s="656">
        <v>314110</v>
      </c>
      <c r="AT204" s="656" t="s">
        <v>844</v>
      </c>
      <c r="AU204" s="656" t="str">
        <f>Select_naics2022[[#This Row],[2022 NAICS Title]]</f>
        <v>Carpet and Rug Mills</v>
      </c>
      <c r="AY204" s="671" t="s">
        <v>38</v>
      </c>
      <c r="BB204" s="671" t="s">
        <v>38</v>
      </c>
      <c r="BE204" s="671" t="s">
        <v>38</v>
      </c>
      <c r="BH204" s="671" t="s">
        <v>38</v>
      </c>
      <c r="BK204" s="671" t="s">
        <v>38</v>
      </c>
      <c r="BN204" s="671" t="s">
        <v>38</v>
      </c>
      <c r="BQ204" s="671" t="s">
        <v>38</v>
      </c>
      <c r="BT204" s="671" t="s">
        <v>38</v>
      </c>
      <c r="BW204" s="671" t="s">
        <v>38</v>
      </c>
      <c r="BZ204" s="671" t="s">
        <v>38</v>
      </c>
    </row>
    <row r="205" spans="2:78" x14ac:dyDescent="0.25">
      <c r="B205" s="671" t="s">
        <v>38</v>
      </c>
      <c r="I205" s="671" t="s">
        <v>38</v>
      </c>
      <c r="L205" s="671" t="s">
        <v>38</v>
      </c>
      <c r="O205" s="671" t="s">
        <v>38</v>
      </c>
      <c r="R205" s="671" t="s">
        <v>38</v>
      </c>
      <c r="U205" s="671" t="s">
        <v>38</v>
      </c>
      <c r="X205" s="671" t="s">
        <v>38</v>
      </c>
      <c r="AB205" s="671" t="s">
        <v>38</v>
      </c>
      <c r="AE205" s="671" t="s">
        <v>38</v>
      </c>
      <c r="AH205" s="671" t="s">
        <v>38</v>
      </c>
      <c r="AK205" s="671" t="s">
        <v>38</v>
      </c>
      <c r="AN205" s="671" t="s">
        <v>38</v>
      </c>
      <c r="AQ205" s="671" t="s">
        <v>38</v>
      </c>
      <c r="AR205" s="656" t="str">
        <f>Select_naics2022[[#This Row],[2022 NAICS Code]]&amp;":  "&amp;Select_naics2022[[#This Row],[2022 NAICS Title]]</f>
        <v>314120:  Curtain and Linen Mills</v>
      </c>
      <c r="AS205" s="656">
        <v>314120</v>
      </c>
      <c r="AT205" s="656" t="s">
        <v>845</v>
      </c>
      <c r="AU205" s="656" t="str">
        <f>Select_naics2022[[#This Row],[2022 NAICS Title]]</f>
        <v>Curtain and Linen Mills</v>
      </c>
      <c r="AY205" s="671" t="s">
        <v>38</v>
      </c>
      <c r="BB205" s="671" t="s">
        <v>38</v>
      </c>
      <c r="BE205" s="671" t="s">
        <v>38</v>
      </c>
      <c r="BH205" s="671" t="s">
        <v>38</v>
      </c>
      <c r="BK205" s="671" t="s">
        <v>38</v>
      </c>
      <c r="BN205" s="671" t="s">
        <v>38</v>
      </c>
      <c r="BQ205" s="671" t="s">
        <v>38</v>
      </c>
      <c r="BT205" s="671" t="s">
        <v>38</v>
      </c>
      <c r="BW205" s="671" t="s">
        <v>38</v>
      </c>
      <c r="BZ205" s="671" t="s">
        <v>38</v>
      </c>
    </row>
    <row r="206" spans="2:78" x14ac:dyDescent="0.25">
      <c r="B206" s="671" t="s">
        <v>38</v>
      </c>
      <c r="I206" s="671" t="s">
        <v>38</v>
      </c>
      <c r="L206" s="671" t="s">
        <v>38</v>
      </c>
      <c r="O206" s="671" t="s">
        <v>38</v>
      </c>
      <c r="R206" s="671" t="s">
        <v>38</v>
      </c>
      <c r="U206" s="671" t="s">
        <v>38</v>
      </c>
      <c r="X206" s="671" t="s">
        <v>38</v>
      </c>
      <c r="AB206" s="671" t="s">
        <v>38</v>
      </c>
      <c r="AE206" s="671" t="s">
        <v>38</v>
      </c>
      <c r="AH206" s="671" t="s">
        <v>38</v>
      </c>
      <c r="AK206" s="671" t="s">
        <v>38</v>
      </c>
      <c r="AN206" s="671" t="s">
        <v>38</v>
      </c>
      <c r="AQ206" s="671" t="s">
        <v>38</v>
      </c>
      <c r="AR206" s="656" t="str">
        <f>Select_naics2022[[#This Row],[2022 NAICS Code]]&amp;":  "&amp;Select_naics2022[[#This Row],[2022 NAICS Title]]</f>
        <v xml:space="preserve">314910:  Textile Bag and Canvas Mills </v>
      </c>
      <c r="AS206" s="656">
        <v>314910</v>
      </c>
      <c r="AT206" s="656" t="s">
        <v>846</v>
      </c>
      <c r="AU206" s="656" t="str">
        <f>Select_naics2022[[#This Row],[2022 NAICS Title]]</f>
        <v xml:space="preserve">Textile Bag and Canvas Mills </v>
      </c>
      <c r="AY206" s="671" t="s">
        <v>38</v>
      </c>
      <c r="BB206" s="671" t="s">
        <v>38</v>
      </c>
      <c r="BE206" s="671" t="s">
        <v>38</v>
      </c>
      <c r="BH206" s="671" t="s">
        <v>38</v>
      </c>
      <c r="BK206" s="671" t="s">
        <v>38</v>
      </c>
      <c r="BN206" s="671" t="s">
        <v>38</v>
      </c>
      <c r="BQ206" s="671" t="s">
        <v>38</v>
      </c>
      <c r="BT206" s="671" t="s">
        <v>38</v>
      </c>
      <c r="BW206" s="671" t="s">
        <v>38</v>
      </c>
      <c r="BZ206" s="671" t="s">
        <v>38</v>
      </c>
    </row>
    <row r="207" spans="2:78" x14ac:dyDescent="0.25">
      <c r="B207" s="671" t="s">
        <v>38</v>
      </c>
      <c r="I207" s="671" t="s">
        <v>38</v>
      </c>
      <c r="L207" s="671" t="s">
        <v>38</v>
      </c>
      <c r="O207" s="671" t="s">
        <v>38</v>
      </c>
      <c r="R207" s="671" t="s">
        <v>38</v>
      </c>
      <c r="U207" s="671" t="s">
        <v>38</v>
      </c>
      <c r="X207" s="671" t="s">
        <v>38</v>
      </c>
      <c r="AB207" s="671" t="s">
        <v>38</v>
      </c>
      <c r="AE207" s="671" t="s">
        <v>38</v>
      </c>
      <c r="AH207" s="671" t="s">
        <v>38</v>
      </c>
      <c r="AK207" s="671" t="s">
        <v>38</v>
      </c>
      <c r="AN207" s="671" t="s">
        <v>38</v>
      </c>
      <c r="AQ207" s="671" t="s">
        <v>38</v>
      </c>
      <c r="AR207" s="656" t="str">
        <f>Select_naics2022[[#This Row],[2022 NAICS Code]]&amp;":  "&amp;Select_naics2022[[#This Row],[2022 NAICS Title]]</f>
        <v xml:space="preserve">314994:  Rope, Cordage, Twine, Tire Cord, and Tire Fabric Mills </v>
      </c>
      <c r="AS207" s="656">
        <v>314994</v>
      </c>
      <c r="AT207" s="656" t="s">
        <v>847</v>
      </c>
      <c r="AU207" s="656" t="str">
        <f>Select_naics2022[[#This Row],[2022 NAICS Title]]</f>
        <v xml:space="preserve">Rope, Cordage, Twine, Tire Cord, and Tire Fabric Mills </v>
      </c>
      <c r="AY207" s="671" t="s">
        <v>38</v>
      </c>
      <c r="BB207" s="671" t="s">
        <v>38</v>
      </c>
      <c r="BE207" s="671" t="s">
        <v>38</v>
      </c>
      <c r="BH207" s="671" t="s">
        <v>38</v>
      </c>
      <c r="BK207" s="671" t="s">
        <v>38</v>
      </c>
      <c r="BN207" s="671" t="s">
        <v>38</v>
      </c>
      <c r="BQ207" s="671" t="s">
        <v>38</v>
      </c>
      <c r="BT207" s="671" t="s">
        <v>38</v>
      </c>
      <c r="BW207" s="671" t="s">
        <v>38</v>
      </c>
      <c r="BZ207" s="671" t="s">
        <v>38</v>
      </c>
    </row>
    <row r="208" spans="2:78" x14ac:dyDescent="0.25">
      <c r="B208" s="671" t="s">
        <v>38</v>
      </c>
      <c r="I208" s="671" t="s">
        <v>38</v>
      </c>
      <c r="L208" s="671" t="s">
        <v>38</v>
      </c>
      <c r="O208" s="671" t="s">
        <v>38</v>
      </c>
      <c r="R208" s="671" t="s">
        <v>38</v>
      </c>
      <c r="U208" s="671" t="s">
        <v>38</v>
      </c>
      <c r="X208" s="671" t="s">
        <v>38</v>
      </c>
      <c r="AB208" s="671" t="s">
        <v>38</v>
      </c>
      <c r="AE208" s="671" t="s">
        <v>38</v>
      </c>
      <c r="AH208" s="671" t="s">
        <v>38</v>
      </c>
      <c r="AK208" s="671" t="s">
        <v>38</v>
      </c>
      <c r="AN208" s="671" t="s">
        <v>38</v>
      </c>
      <c r="AQ208" s="671" t="s">
        <v>38</v>
      </c>
      <c r="AR208" s="656" t="str">
        <f>Select_naics2022[[#This Row],[2022 NAICS Code]]&amp;":  "&amp;Select_naics2022[[#This Row],[2022 NAICS Title]]</f>
        <v xml:space="preserve">314999:  All Other Miscellaneous Textile Product Mills </v>
      </c>
      <c r="AS208" s="656">
        <v>314999</v>
      </c>
      <c r="AT208" s="656" t="s">
        <v>848</v>
      </c>
      <c r="AU208" s="656" t="str">
        <f>Select_naics2022[[#This Row],[2022 NAICS Title]]</f>
        <v xml:space="preserve">All Other Miscellaneous Textile Product Mills </v>
      </c>
      <c r="AY208" s="671" t="s">
        <v>38</v>
      </c>
      <c r="BB208" s="671" t="s">
        <v>38</v>
      </c>
      <c r="BE208" s="671" t="s">
        <v>38</v>
      </c>
      <c r="BH208" s="671" t="s">
        <v>38</v>
      </c>
      <c r="BK208" s="671" t="s">
        <v>38</v>
      </c>
      <c r="BN208" s="671" t="s">
        <v>38</v>
      </c>
      <c r="BQ208" s="671" t="s">
        <v>38</v>
      </c>
      <c r="BT208" s="671" t="s">
        <v>38</v>
      </c>
      <c r="BW208" s="671" t="s">
        <v>38</v>
      </c>
      <c r="BZ208" s="671" t="s">
        <v>38</v>
      </c>
    </row>
    <row r="209" spans="2:78" x14ac:dyDescent="0.25">
      <c r="B209" s="671" t="s">
        <v>38</v>
      </c>
      <c r="I209" s="671" t="s">
        <v>38</v>
      </c>
      <c r="L209" s="671" t="s">
        <v>38</v>
      </c>
      <c r="O209" s="671" t="s">
        <v>38</v>
      </c>
      <c r="R209" s="671" t="s">
        <v>38</v>
      </c>
      <c r="U209" s="671" t="s">
        <v>38</v>
      </c>
      <c r="X209" s="671" t="s">
        <v>38</v>
      </c>
      <c r="AB209" s="671" t="s">
        <v>38</v>
      </c>
      <c r="AE209" s="671" t="s">
        <v>38</v>
      </c>
      <c r="AH209" s="671" t="s">
        <v>38</v>
      </c>
      <c r="AK209" s="671" t="s">
        <v>38</v>
      </c>
      <c r="AN209" s="671" t="s">
        <v>38</v>
      </c>
      <c r="AQ209" s="671" t="s">
        <v>38</v>
      </c>
      <c r="AR209" s="656" t="str">
        <f>Select_naics2022[[#This Row],[2022 NAICS Code]]&amp;":  "&amp;Select_naics2022[[#This Row],[2022 NAICS Title]]</f>
        <v>315120:  Apparel Knitting Mills</v>
      </c>
      <c r="AS209" s="656">
        <v>315120</v>
      </c>
      <c r="AT209" s="656" t="s">
        <v>849</v>
      </c>
      <c r="AU209" s="656" t="str">
        <f>Select_naics2022[[#This Row],[2022 NAICS Title]]</f>
        <v>Apparel Knitting Mills</v>
      </c>
      <c r="AY209" s="671" t="s">
        <v>38</v>
      </c>
      <c r="BB209" s="671" t="s">
        <v>38</v>
      </c>
      <c r="BE209" s="671" t="s">
        <v>38</v>
      </c>
      <c r="BH209" s="671" t="s">
        <v>38</v>
      </c>
      <c r="BK209" s="671" t="s">
        <v>38</v>
      </c>
      <c r="BN209" s="671" t="s">
        <v>38</v>
      </c>
      <c r="BQ209" s="671" t="s">
        <v>38</v>
      </c>
      <c r="BT209" s="671" t="s">
        <v>38</v>
      </c>
      <c r="BW209" s="671" t="s">
        <v>38</v>
      </c>
      <c r="BZ209" s="671" t="s">
        <v>38</v>
      </c>
    </row>
    <row r="210" spans="2:78" x14ac:dyDescent="0.25">
      <c r="B210" s="671" t="s">
        <v>38</v>
      </c>
      <c r="I210" s="671" t="s">
        <v>38</v>
      </c>
      <c r="L210" s="671" t="s">
        <v>38</v>
      </c>
      <c r="O210" s="671" t="s">
        <v>38</v>
      </c>
      <c r="R210" s="671" t="s">
        <v>38</v>
      </c>
      <c r="U210" s="671" t="s">
        <v>38</v>
      </c>
      <c r="X210" s="671" t="s">
        <v>38</v>
      </c>
      <c r="AB210" s="671" t="s">
        <v>38</v>
      </c>
      <c r="AE210" s="671" t="s">
        <v>38</v>
      </c>
      <c r="AH210" s="671" t="s">
        <v>38</v>
      </c>
      <c r="AK210" s="671" t="s">
        <v>38</v>
      </c>
      <c r="AN210" s="671" t="s">
        <v>38</v>
      </c>
      <c r="AQ210" s="671" t="s">
        <v>38</v>
      </c>
      <c r="AR210" s="656" t="str">
        <f>Select_naics2022[[#This Row],[2022 NAICS Code]]&amp;":  "&amp;Select_naics2022[[#This Row],[2022 NAICS Title]]</f>
        <v xml:space="preserve">315210:  Cut and Sew Apparel Contractors </v>
      </c>
      <c r="AS210" s="656">
        <v>315210</v>
      </c>
      <c r="AT210" s="656" t="s">
        <v>850</v>
      </c>
      <c r="AU210" s="656" t="str">
        <f>Select_naics2022[[#This Row],[2022 NAICS Title]]</f>
        <v xml:space="preserve">Cut and Sew Apparel Contractors </v>
      </c>
      <c r="AY210" s="671" t="s">
        <v>38</v>
      </c>
      <c r="BB210" s="671" t="s">
        <v>38</v>
      </c>
      <c r="BE210" s="671" t="s">
        <v>38</v>
      </c>
      <c r="BH210" s="671" t="s">
        <v>38</v>
      </c>
      <c r="BK210" s="671" t="s">
        <v>38</v>
      </c>
      <c r="BN210" s="671" t="s">
        <v>38</v>
      </c>
      <c r="BQ210" s="671" t="s">
        <v>38</v>
      </c>
      <c r="BT210" s="671" t="s">
        <v>38</v>
      </c>
      <c r="BW210" s="671" t="s">
        <v>38</v>
      </c>
      <c r="BZ210" s="671" t="s">
        <v>38</v>
      </c>
    </row>
    <row r="211" spans="2:78" x14ac:dyDescent="0.25">
      <c r="B211" s="671" t="s">
        <v>38</v>
      </c>
      <c r="I211" s="671" t="s">
        <v>38</v>
      </c>
      <c r="L211" s="671" t="s">
        <v>38</v>
      </c>
      <c r="O211" s="671" t="s">
        <v>38</v>
      </c>
      <c r="R211" s="671" t="s">
        <v>38</v>
      </c>
      <c r="U211" s="671" t="s">
        <v>38</v>
      </c>
      <c r="X211" s="671" t="s">
        <v>38</v>
      </c>
      <c r="AB211" s="671" t="s">
        <v>38</v>
      </c>
      <c r="AE211" s="671" t="s">
        <v>38</v>
      </c>
      <c r="AH211" s="671" t="s">
        <v>38</v>
      </c>
      <c r="AK211" s="671" t="s">
        <v>38</v>
      </c>
      <c r="AN211" s="671" t="s">
        <v>38</v>
      </c>
      <c r="AQ211" s="671" t="s">
        <v>38</v>
      </c>
      <c r="AR211" s="656" t="str">
        <f>Select_naics2022[[#This Row],[2022 NAICS Code]]&amp;":  "&amp;Select_naics2022[[#This Row],[2022 NAICS Title]]</f>
        <v xml:space="preserve">315250:  Cut and Sew Apparel Manufacturing (except Contractors) </v>
      </c>
      <c r="AS211" s="656">
        <v>315250</v>
      </c>
      <c r="AT211" s="656" t="s">
        <v>851</v>
      </c>
      <c r="AU211" s="656" t="str">
        <f>Select_naics2022[[#This Row],[2022 NAICS Title]]</f>
        <v xml:space="preserve">Cut and Sew Apparel Manufacturing (except Contractors) </v>
      </c>
      <c r="AY211" s="671" t="s">
        <v>38</v>
      </c>
      <c r="BB211" s="671" t="s">
        <v>38</v>
      </c>
      <c r="BE211" s="671" t="s">
        <v>38</v>
      </c>
      <c r="BH211" s="671" t="s">
        <v>38</v>
      </c>
      <c r="BK211" s="671" t="s">
        <v>38</v>
      </c>
      <c r="BN211" s="671" t="s">
        <v>38</v>
      </c>
      <c r="BQ211" s="671" t="s">
        <v>38</v>
      </c>
      <c r="BT211" s="671" t="s">
        <v>38</v>
      </c>
      <c r="BW211" s="671" t="s">
        <v>38</v>
      </c>
      <c r="BZ211" s="671" t="s">
        <v>38</v>
      </c>
    </row>
    <row r="212" spans="2:78" x14ac:dyDescent="0.25">
      <c r="B212" s="671" t="s">
        <v>38</v>
      </c>
      <c r="I212" s="671" t="s">
        <v>38</v>
      </c>
      <c r="L212" s="671" t="s">
        <v>38</v>
      </c>
      <c r="O212" s="671" t="s">
        <v>38</v>
      </c>
      <c r="R212" s="671" t="s">
        <v>38</v>
      </c>
      <c r="U212" s="671" t="s">
        <v>38</v>
      </c>
      <c r="X212" s="671" t="s">
        <v>38</v>
      </c>
      <c r="AB212" s="671" t="s">
        <v>38</v>
      </c>
      <c r="AE212" s="671" t="s">
        <v>38</v>
      </c>
      <c r="AH212" s="671" t="s">
        <v>38</v>
      </c>
      <c r="AK212" s="671" t="s">
        <v>38</v>
      </c>
      <c r="AN212" s="671" t="s">
        <v>38</v>
      </c>
      <c r="AQ212" s="671" t="s">
        <v>38</v>
      </c>
      <c r="AR212" s="656" t="str">
        <f>Select_naics2022[[#This Row],[2022 NAICS Code]]&amp;":  "&amp;Select_naics2022[[#This Row],[2022 NAICS Title]]</f>
        <v xml:space="preserve">315990:  Apparel Accessories and Other Apparel Manufacturing </v>
      </c>
      <c r="AS212" s="656">
        <v>315990</v>
      </c>
      <c r="AT212" s="656" t="s">
        <v>852</v>
      </c>
      <c r="AU212" s="656" t="str">
        <f>Select_naics2022[[#This Row],[2022 NAICS Title]]</f>
        <v xml:space="preserve">Apparel Accessories and Other Apparel Manufacturing </v>
      </c>
      <c r="AY212" s="671" t="s">
        <v>38</v>
      </c>
      <c r="BB212" s="671" t="s">
        <v>38</v>
      </c>
      <c r="BE212" s="671" t="s">
        <v>38</v>
      </c>
      <c r="BH212" s="671" t="s">
        <v>38</v>
      </c>
      <c r="BK212" s="671" t="s">
        <v>38</v>
      </c>
      <c r="BN212" s="671" t="s">
        <v>38</v>
      </c>
      <c r="BQ212" s="671" t="s">
        <v>38</v>
      </c>
      <c r="BT212" s="671" t="s">
        <v>38</v>
      </c>
      <c r="BW212" s="671" t="s">
        <v>38</v>
      </c>
      <c r="BZ212" s="671" t="s">
        <v>38</v>
      </c>
    </row>
    <row r="213" spans="2:78" x14ac:dyDescent="0.25">
      <c r="B213" s="671" t="s">
        <v>38</v>
      </c>
      <c r="I213" s="671" t="s">
        <v>38</v>
      </c>
      <c r="L213" s="671" t="s">
        <v>38</v>
      </c>
      <c r="O213" s="671" t="s">
        <v>38</v>
      </c>
      <c r="R213" s="671" t="s">
        <v>38</v>
      </c>
      <c r="U213" s="671" t="s">
        <v>38</v>
      </c>
      <c r="X213" s="671" t="s">
        <v>38</v>
      </c>
      <c r="AB213" s="671" t="s">
        <v>38</v>
      </c>
      <c r="AE213" s="671" t="s">
        <v>38</v>
      </c>
      <c r="AH213" s="671" t="s">
        <v>38</v>
      </c>
      <c r="AK213" s="671" t="s">
        <v>38</v>
      </c>
      <c r="AN213" s="671" t="s">
        <v>38</v>
      </c>
      <c r="AQ213" s="671" t="s">
        <v>38</v>
      </c>
      <c r="AR213" s="656" t="str">
        <f>Select_naics2022[[#This Row],[2022 NAICS Code]]&amp;":  "&amp;Select_naics2022[[#This Row],[2022 NAICS Title]]</f>
        <v>316110:  Leather and Hide Tanning and Finishing</v>
      </c>
      <c r="AS213" s="656">
        <v>316110</v>
      </c>
      <c r="AT213" s="656" t="s">
        <v>853</v>
      </c>
      <c r="AU213" s="656" t="str">
        <f>Select_naics2022[[#This Row],[2022 NAICS Title]]</f>
        <v>Leather and Hide Tanning and Finishing</v>
      </c>
      <c r="AY213" s="671" t="s">
        <v>38</v>
      </c>
      <c r="BB213" s="671" t="s">
        <v>38</v>
      </c>
      <c r="BE213" s="671" t="s">
        <v>38</v>
      </c>
      <c r="BH213" s="671" t="s">
        <v>38</v>
      </c>
      <c r="BK213" s="671" t="s">
        <v>38</v>
      </c>
      <c r="BN213" s="671" t="s">
        <v>38</v>
      </c>
      <c r="BQ213" s="671" t="s">
        <v>38</v>
      </c>
      <c r="BT213" s="671" t="s">
        <v>38</v>
      </c>
      <c r="BW213" s="671" t="s">
        <v>38</v>
      </c>
      <c r="BZ213" s="671" t="s">
        <v>38</v>
      </c>
    </row>
    <row r="214" spans="2:78" x14ac:dyDescent="0.25">
      <c r="B214" s="671" t="s">
        <v>38</v>
      </c>
      <c r="I214" s="671" t="s">
        <v>38</v>
      </c>
      <c r="L214" s="671" t="s">
        <v>38</v>
      </c>
      <c r="O214" s="671" t="s">
        <v>38</v>
      </c>
      <c r="R214" s="671" t="s">
        <v>38</v>
      </c>
      <c r="U214" s="671" t="s">
        <v>38</v>
      </c>
      <c r="X214" s="671" t="s">
        <v>38</v>
      </c>
      <c r="AB214" s="671" t="s">
        <v>38</v>
      </c>
      <c r="AE214" s="671" t="s">
        <v>38</v>
      </c>
      <c r="AH214" s="671" t="s">
        <v>38</v>
      </c>
      <c r="AK214" s="671" t="s">
        <v>38</v>
      </c>
      <c r="AN214" s="671" t="s">
        <v>38</v>
      </c>
      <c r="AQ214" s="671" t="s">
        <v>38</v>
      </c>
      <c r="AR214" s="656" t="str">
        <f>Select_naics2022[[#This Row],[2022 NAICS Code]]&amp;":  "&amp;Select_naics2022[[#This Row],[2022 NAICS Title]]</f>
        <v xml:space="preserve">316210:  Footwear Manufacturing </v>
      </c>
      <c r="AS214" s="656">
        <v>316210</v>
      </c>
      <c r="AT214" s="656" t="s">
        <v>854</v>
      </c>
      <c r="AU214" s="656" t="str">
        <f>Select_naics2022[[#This Row],[2022 NAICS Title]]</f>
        <v xml:space="preserve">Footwear Manufacturing </v>
      </c>
      <c r="AY214" s="671" t="s">
        <v>38</v>
      </c>
      <c r="BB214" s="671" t="s">
        <v>38</v>
      </c>
      <c r="BE214" s="671" t="s">
        <v>38</v>
      </c>
      <c r="BH214" s="671" t="s">
        <v>38</v>
      </c>
      <c r="BK214" s="671" t="s">
        <v>38</v>
      </c>
      <c r="BN214" s="671" t="s">
        <v>38</v>
      </c>
      <c r="BQ214" s="671" t="s">
        <v>38</v>
      </c>
      <c r="BT214" s="671" t="s">
        <v>38</v>
      </c>
      <c r="BW214" s="671" t="s">
        <v>38</v>
      </c>
      <c r="BZ214" s="671" t="s">
        <v>38</v>
      </c>
    </row>
    <row r="215" spans="2:78" x14ac:dyDescent="0.25">
      <c r="B215" s="671" t="s">
        <v>38</v>
      </c>
      <c r="I215" s="671" t="s">
        <v>38</v>
      </c>
      <c r="L215" s="671" t="s">
        <v>38</v>
      </c>
      <c r="O215" s="671" t="s">
        <v>38</v>
      </c>
      <c r="R215" s="671" t="s">
        <v>38</v>
      </c>
      <c r="U215" s="671" t="s">
        <v>38</v>
      </c>
      <c r="X215" s="671" t="s">
        <v>38</v>
      </c>
      <c r="AB215" s="671" t="s">
        <v>38</v>
      </c>
      <c r="AE215" s="671" t="s">
        <v>38</v>
      </c>
      <c r="AH215" s="671" t="s">
        <v>38</v>
      </c>
      <c r="AK215" s="671" t="s">
        <v>38</v>
      </c>
      <c r="AN215" s="671" t="s">
        <v>38</v>
      </c>
      <c r="AQ215" s="671" t="s">
        <v>38</v>
      </c>
      <c r="AR215" s="656" t="str">
        <f>Select_naics2022[[#This Row],[2022 NAICS Code]]&amp;":  "&amp;Select_naics2022[[#This Row],[2022 NAICS Title]]</f>
        <v xml:space="preserve">316990:  Other Leather and Allied Product Manufacturing </v>
      </c>
      <c r="AS215" s="656">
        <v>316990</v>
      </c>
      <c r="AT215" s="656" t="s">
        <v>855</v>
      </c>
      <c r="AU215" s="656" t="str">
        <f>Select_naics2022[[#This Row],[2022 NAICS Title]]</f>
        <v xml:space="preserve">Other Leather and Allied Product Manufacturing </v>
      </c>
      <c r="AY215" s="671" t="s">
        <v>38</v>
      </c>
      <c r="BB215" s="671" t="s">
        <v>38</v>
      </c>
      <c r="BE215" s="671" t="s">
        <v>38</v>
      </c>
      <c r="BH215" s="671" t="s">
        <v>38</v>
      </c>
      <c r="BK215" s="671" t="s">
        <v>38</v>
      </c>
      <c r="BN215" s="671" t="s">
        <v>38</v>
      </c>
      <c r="BQ215" s="671" t="s">
        <v>38</v>
      </c>
      <c r="BT215" s="671" t="s">
        <v>38</v>
      </c>
      <c r="BW215" s="671" t="s">
        <v>38</v>
      </c>
      <c r="BZ215" s="671" t="s">
        <v>38</v>
      </c>
    </row>
    <row r="216" spans="2:78" x14ac:dyDescent="0.25">
      <c r="B216" s="671" t="s">
        <v>38</v>
      </c>
      <c r="I216" s="671" t="s">
        <v>38</v>
      </c>
      <c r="L216" s="671" t="s">
        <v>38</v>
      </c>
      <c r="O216" s="671" t="s">
        <v>38</v>
      </c>
      <c r="R216" s="671" t="s">
        <v>38</v>
      </c>
      <c r="U216" s="671" t="s">
        <v>38</v>
      </c>
      <c r="X216" s="671" t="s">
        <v>38</v>
      </c>
      <c r="AB216" s="671" t="s">
        <v>38</v>
      </c>
      <c r="AE216" s="671" t="s">
        <v>38</v>
      </c>
      <c r="AH216" s="671" t="s">
        <v>38</v>
      </c>
      <c r="AK216" s="671" t="s">
        <v>38</v>
      </c>
      <c r="AN216" s="671" t="s">
        <v>38</v>
      </c>
      <c r="AQ216" s="671" t="s">
        <v>38</v>
      </c>
      <c r="AR216" s="656" t="str">
        <f>Select_naics2022[[#This Row],[2022 NAICS Code]]&amp;":  "&amp;Select_naics2022[[#This Row],[2022 NAICS Title]]</f>
        <v xml:space="preserve">321113:  Sawmills </v>
      </c>
      <c r="AS216" s="656">
        <v>321113</v>
      </c>
      <c r="AT216" s="656" t="s">
        <v>856</v>
      </c>
      <c r="AU216" s="656" t="str">
        <f>Select_naics2022[[#This Row],[2022 NAICS Title]]</f>
        <v xml:space="preserve">Sawmills </v>
      </c>
      <c r="AY216" s="671" t="s">
        <v>38</v>
      </c>
      <c r="BB216" s="671" t="s">
        <v>38</v>
      </c>
      <c r="BE216" s="671" t="s">
        <v>38</v>
      </c>
      <c r="BH216" s="671" t="s">
        <v>38</v>
      </c>
      <c r="BK216" s="671" t="s">
        <v>38</v>
      </c>
      <c r="BN216" s="671" t="s">
        <v>38</v>
      </c>
      <c r="BQ216" s="671" t="s">
        <v>38</v>
      </c>
      <c r="BT216" s="671" t="s">
        <v>38</v>
      </c>
      <c r="BW216" s="671" t="s">
        <v>38</v>
      </c>
      <c r="BZ216" s="671" t="s">
        <v>38</v>
      </c>
    </row>
    <row r="217" spans="2:78" x14ac:dyDescent="0.25">
      <c r="B217" s="671" t="s">
        <v>38</v>
      </c>
      <c r="I217" s="671" t="s">
        <v>38</v>
      </c>
      <c r="L217" s="671" t="s">
        <v>38</v>
      </c>
      <c r="O217" s="671" t="s">
        <v>38</v>
      </c>
      <c r="R217" s="671" t="s">
        <v>38</v>
      </c>
      <c r="U217" s="671" t="s">
        <v>38</v>
      </c>
      <c r="X217" s="671" t="s">
        <v>38</v>
      </c>
      <c r="AB217" s="671" t="s">
        <v>38</v>
      </c>
      <c r="AE217" s="671" t="s">
        <v>38</v>
      </c>
      <c r="AH217" s="671" t="s">
        <v>38</v>
      </c>
      <c r="AK217" s="671" t="s">
        <v>38</v>
      </c>
      <c r="AN217" s="671" t="s">
        <v>38</v>
      </c>
      <c r="AQ217" s="671" t="s">
        <v>38</v>
      </c>
      <c r="AR217" s="656" t="str">
        <f>Select_naics2022[[#This Row],[2022 NAICS Code]]&amp;":  "&amp;Select_naics2022[[#This Row],[2022 NAICS Title]]</f>
        <v xml:space="preserve">321114:  Wood Preservation </v>
      </c>
      <c r="AS217" s="656">
        <v>321114</v>
      </c>
      <c r="AT217" s="656" t="s">
        <v>857</v>
      </c>
      <c r="AU217" s="656" t="str">
        <f>Select_naics2022[[#This Row],[2022 NAICS Title]]</f>
        <v xml:space="preserve">Wood Preservation </v>
      </c>
      <c r="AY217" s="671" t="s">
        <v>38</v>
      </c>
      <c r="BB217" s="671" t="s">
        <v>38</v>
      </c>
      <c r="BE217" s="671" t="s">
        <v>38</v>
      </c>
      <c r="BH217" s="671" t="s">
        <v>38</v>
      </c>
      <c r="BK217" s="671" t="s">
        <v>38</v>
      </c>
      <c r="BN217" s="671" t="s">
        <v>38</v>
      </c>
      <c r="BQ217" s="671" t="s">
        <v>38</v>
      </c>
      <c r="BT217" s="671" t="s">
        <v>38</v>
      </c>
      <c r="BW217" s="671" t="s">
        <v>38</v>
      </c>
      <c r="BZ217" s="671" t="s">
        <v>38</v>
      </c>
    </row>
    <row r="218" spans="2:78" x14ac:dyDescent="0.25">
      <c r="B218" s="671" t="s">
        <v>38</v>
      </c>
      <c r="I218" s="671" t="s">
        <v>38</v>
      </c>
      <c r="L218" s="671" t="s">
        <v>38</v>
      </c>
      <c r="O218" s="671" t="s">
        <v>38</v>
      </c>
      <c r="R218" s="671" t="s">
        <v>38</v>
      </c>
      <c r="U218" s="671" t="s">
        <v>38</v>
      </c>
      <c r="X218" s="671" t="s">
        <v>38</v>
      </c>
      <c r="AB218" s="671" t="s">
        <v>38</v>
      </c>
      <c r="AE218" s="671" t="s">
        <v>38</v>
      </c>
      <c r="AH218" s="671" t="s">
        <v>38</v>
      </c>
      <c r="AK218" s="671" t="s">
        <v>38</v>
      </c>
      <c r="AN218" s="671" t="s">
        <v>38</v>
      </c>
      <c r="AQ218" s="671" t="s">
        <v>38</v>
      </c>
      <c r="AR218" s="656" t="str">
        <f>Select_naics2022[[#This Row],[2022 NAICS Code]]&amp;":  "&amp;Select_naics2022[[#This Row],[2022 NAICS Title]]</f>
        <v xml:space="preserve">321211:  Hardwood Veneer and Plywood Manufacturing </v>
      </c>
      <c r="AS218" s="656">
        <v>321211</v>
      </c>
      <c r="AT218" s="656" t="s">
        <v>858</v>
      </c>
      <c r="AU218" s="656" t="str">
        <f>Select_naics2022[[#This Row],[2022 NAICS Title]]</f>
        <v xml:space="preserve">Hardwood Veneer and Plywood Manufacturing </v>
      </c>
      <c r="AY218" s="671" t="s">
        <v>38</v>
      </c>
      <c r="BB218" s="671" t="s">
        <v>38</v>
      </c>
      <c r="BE218" s="671" t="s">
        <v>38</v>
      </c>
      <c r="BH218" s="671" t="s">
        <v>38</v>
      </c>
      <c r="BK218" s="671" t="s">
        <v>38</v>
      </c>
      <c r="BN218" s="671" t="s">
        <v>38</v>
      </c>
      <c r="BQ218" s="671" t="s">
        <v>38</v>
      </c>
      <c r="BT218" s="671" t="s">
        <v>38</v>
      </c>
      <c r="BW218" s="671" t="s">
        <v>38</v>
      </c>
      <c r="BZ218" s="671" t="s">
        <v>38</v>
      </c>
    </row>
    <row r="219" spans="2:78" x14ac:dyDescent="0.25">
      <c r="B219" s="671" t="s">
        <v>38</v>
      </c>
      <c r="I219" s="671" t="s">
        <v>38</v>
      </c>
      <c r="L219" s="671" t="s">
        <v>38</v>
      </c>
      <c r="O219" s="671" t="s">
        <v>38</v>
      </c>
      <c r="R219" s="671" t="s">
        <v>38</v>
      </c>
      <c r="U219" s="671" t="s">
        <v>38</v>
      </c>
      <c r="X219" s="671" t="s">
        <v>38</v>
      </c>
      <c r="AB219" s="671" t="s">
        <v>38</v>
      </c>
      <c r="AE219" s="671" t="s">
        <v>38</v>
      </c>
      <c r="AH219" s="671" t="s">
        <v>38</v>
      </c>
      <c r="AK219" s="671" t="s">
        <v>38</v>
      </c>
      <c r="AN219" s="671" t="s">
        <v>38</v>
      </c>
      <c r="AQ219" s="671" t="s">
        <v>38</v>
      </c>
      <c r="AR219" s="656" t="str">
        <f>Select_naics2022[[#This Row],[2022 NAICS Code]]&amp;":  "&amp;Select_naics2022[[#This Row],[2022 NAICS Title]]</f>
        <v xml:space="preserve">321212:  Softwood Veneer and Plywood Manufacturing </v>
      </c>
      <c r="AS219" s="656">
        <v>321212</v>
      </c>
      <c r="AT219" s="656" t="s">
        <v>859</v>
      </c>
      <c r="AU219" s="656" t="str">
        <f>Select_naics2022[[#This Row],[2022 NAICS Title]]</f>
        <v xml:space="preserve">Softwood Veneer and Plywood Manufacturing </v>
      </c>
      <c r="AY219" s="671" t="s">
        <v>38</v>
      </c>
      <c r="BB219" s="671" t="s">
        <v>38</v>
      </c>
      <c r="BE219" s="671" t="s">
        <v>38</v>
      </c>
      <c r="BH219" s="671" t="s">
        <v>38</v>
      </c>
      <c r="BK219" s="671" t="s">
        <v>38</v>
      </c>
      <c r="BN219" s="671" t="s">
        <v>38</v>
      </c>
      <c r="BQ219" s="671" t="s">
        <v>38</v>
      </c>
      <c r="BT219" s="671" t="s">
        <v>38</v>
      </c>
      <c r="BW219" s="671" t="s">
        <v>38</v>
      </c>
      <c r="BZ219" s="671" t="s">
        <v>38</v>
      </c>
    </row>
    <row r="220" spans="2:78" x14ac:dyDescent="0.25">
      <c r="B220" s="671" t="s">
        <v>38</v>
      </c>
      <c r="I220" s="671" t="s">
        <v>38</v>
      </c>
      <c r="L220" s="671" t="s">
        <v>38</v>
      </c>
      <c r="O220" s="671" t="s">
        <v>38</v>
      </c>
      <c r="R220" s="671" t="s">
        <v>38</v>
      </c>
      <c r="U220" s="671" t="s">
        <v>38</v>
      </c>
      <c r="X220" s="671" t="s">
        <v>38</v>
      </c>
      <c r="AB220" s="671" t="s">
        <v>38</v>
      </c>
      <c r="AE220" s="671" t="s">
        <v>38</v>
      </c>
      <c r="AH220" s="671" t="s">
        <v>38</v>
      </c>
      <c r="AK220" s="671" t="s">
        <v>38</v>
      </c>
      <c r="AN220" s="671" t="s">
        <v>38</v>
      </c>
      <c r="AQ220" s="671" t="s">
        <v>38</v>
      </c>
      <c r="AR220" s="656" t="str">
        <f>Select_naics2022[[#This Row],[2022 NAICS Code]]&amp;":  "&amp;Select_naics2022[[#This Row],[2022 NAICS Title]]</f>
        <v xml:space="preserve">321215:  Engineered Wood Member Manufacturing </v>
      </c>
      <c r="AS220" s="656">
        <v>321215</v>
      </c>
      <c r="AT220" s="656" t="s">
        <v>860</v>
      </c>
      <c r="AU220" s="656" t="str">
        <f>Select_naics2022[[#This Row],[2022 NAICS Title]]</f>
        <v xml:space="preserve">Engineered Wood Member Manufacturing </v>
      </c>
      <c r="AY220" s="671" t="s">
        <v>38</v>
      </c>
      <c r="BB220" s="671" t="s">
        <v>38</v>
      </c>
      <c r="BE220" s="671" t="s">
        <v>38</v>
      </c>
      <c r="BH220" s="671" t="s">
        <v>38</v>
      </c>
      <c r="BK220" s="671" t="s">
        <v>38</v>
      </c>
      <c r="BN220" s="671" t="s">
        <v>38</v>
      </c>
      <c r="BQ220" s="671" t="s">
        <v>38</v>
      </c>
      <c r="BT220" s="671" t="s">
        <v>38</v>
      </c>
      <c r="BW220" s="671" t="s">
        <v>38</v>
      </c>
      <c r="BZ220" s="671" t="s">
        <v>38</v>
      </c>
    </row>
    <row r="221" spans="2:78" x14ac:dyDescent="0.25">
      <c r="B221" s="671" t="s">
        <v>38</v>
      </c>
      <c r="I221" s="671" t="s">
        <v>38</v>
      </c>
      <c r="L221" s="671" t="s">
        <v>38</v>
      </c>
      <c r="O221" s="671" t="s">
        <v>38</v>
      </c>
      <c r="R221" s="671" t="s">
        <v>38</v>
      </c>
      <c r="U221" s="671" t="s">
        <v>38</v>
      </c>
      <c r="X221" s="671" t="s">
        <v>38</v>
      </c>
      <c r="AB221" s="671" t="s">
        <v>38</v>
      </c>
      <c r="AE221" s="671" t="s">
        <v>38</v>
      </c>
      <c r="AH221" s="671" t="s">
        <v>38</v>
      </c>
      <c r="AK221" s="671" t="s">
        <v>38</v>
      </c>
      <c r="AN221" s="671" t="s">
        <v>38</v>
      </c>
      <c r="AQ221" s="671" t="s">
        <v>38</v>
      </c>
      <c r="AR221" s="656" t="str">
        <f>Select_naics2022[[#This Row],[2022 NAICS Code]]&amp;":  "&amp;Select_naics2022[[#This Row],[2022 NAICS Title]]</f>
        <v xml:space="preserve">321219:  Reconstituted Wood Product Manufacturing </v>
      </c>
      <c r="AS221" s="656">
        <v>321219</v>
      </c>
      <c r="AT221" s="656" t="s">
        <v>861</v>
      </c>
      <c r="AU221" s="656" t="str">
        <f>Select_naics2022[[#This Row],[2022 NAICS Title]]</f>
        <v xml:space="preserve">Reconstituted Wood Product Manufacturing </v>
      </c>
      <c r="AY221" s="671" t="s">
        <v>38</v>
      </c>
      <c r="BB221" s="671" t="s">
        <v>38</v>
      </c>
      <c r="BE221" s="671" t="s">
        <v>38</v>
      </c>
      <c r="BH221" s="671" t="s">
        <v>38</v>
      </c>
      <c r="BK221" s="671" t="s">
        <v>38</v>
      </c>
      <c r="BN221" s="671" t="s">
        <v>38</v>
      </c>
      <c r="BQ221" s="671" t="s">
        <v>38</v>
      </c>
      <c r="BT221" s="671" t="s">
        <v>38</v>
      </c>
      <c r="BW221" s="671" t="s">
        <v>38</v>
      </c>
      <c r="BZ221" s="671" t="s">
        <v>38</v>
      </c>
    </row>
    <row r="222" spans="2:78" x14ac:dyDescent="0.25">
      <c r="B222" s="671" t="s">
        <v>38</v>
      </c>
      <c r="I222" s="671" t="s">
        <v>38</v>
      </c>
      <c r="L222" s="671" t="s">
        <v>38</v>
      </c>
      <c r="O222" s="671" t="s">
        <v>38</v>
      </c>
      <c r="R222" s="671" t="s">
        <v>38</v>
      </c>
      <c r="U222" s="671" t="s">
        <v>38</v>
      </c>
      <c r="X222" s="671" t="s">
        <v>38</v>
      </c>
      <c r="AB222" s="671" t="s">
        <v>38</v>
      </c>
      <c r="AE222" s="671" t="s">
        <v>38</v>
      </c>
      <c r="AH222" s="671" t="s">
        <v>38</v>
      </c>
      <c r="AK222" s="671" t="s">
        <v>38</v>
      </c>
      <c r="AN222" s="671" t="s">
        <v>38</v>
      </c>
      <c r="AQ222" s="671" t="s">
        <v>38</v>
      </c>
      <c r="AR222" s="656" t="str">
        <f>Select_naics2022[[#This Row],[2022 NAICS Code]]&amp;":  "&amp;Select_naics2022[[#This Row],[2022 NAICS Title]]</f>
        <v xml:space="preserve">321911:  Wood Window and Door Manufacturing </v>
      </c>
      <c r="AS222" s="656">
        <v>321911</v>
      </c>
      <c r="AT222" s="656" t="s">
        <v>862</v>
      </c>
      <c r="AU222" s="656" t="str">
        <f>Select_naics2022[[#This Row],[2022 NAICS Title]]</f>
        <v xml:space="preserve">Wood Window and Door Manufacturing </v>
      </c>
      <c r="AY222" s="671" t="s">
        <v>38</v>
      </c>
      <c r="BB222" s="671" t="s">
        <v>38</v>
      </c>
      <c r="BE222" s="671" t="s">
        <v>38</v>
      </c>
      <c r="BH222" s="671" t="s">
        <v>38</v>
      </c>
      <c r="BK222" s="671" t="s">
        <v>38</v>
      </c>
      <c r="BN222" s="671" t="s">
        <v>38</v>
      </c>
      <c r="BQ222" s="671" t="s">
        <v>38</v>
      </c>
      <c r="BT222" s="671" t="s">
        <v>38</v>
      </c>
      <c r="BW222" s="671" t="s">
        <v>38</v>
      </c>
      <c r="BZ222" s="671" t="s">
        <v>38</v>
      </c>
    </row>
    <row r="223" spans="2:78" x14ac:dyDescent="0.25">
      <c r="B223" s="671" t="s">
        <v>38</v>
      </c>
      <c r="I223" s="671" t="s">
        <v>38</v>
      </c>
      <c r="L223" s="671" t="s">
        <v>38</v>
      </c>
      <c r="O223" s="671" t="s">
        <v>38</v>
      </c>
      <c r="R223" s="671" t="s">
        <v>38</v>
      </c>
      <c r="U223" s="671" t="s">
        <v>38</v>
      </c>
      <c r="X223" s="671" t="s">
        <v>38</v>
      </c>
      <c r="AB223" s="671" t="s">
        <v>38</v>
      </c>
      <c r="AE223" s="671" t="s">
        <v>38</v>
      </c>
      <c r="AH223" s="671" t="s">
        <v>38</v>
      </c>
      <c r="AK223" s="671" t="s">
        <v>38</v>
      </c>
      <c r="AN223" s="671" t="s">
        <v>38</v>
      </c>
      <c r="AQ223" s="671" t="s">
        <v>38</v>
      </c>
      <c r="AR223" s="656" t="str">
        <f>Select_naics2022[[#This Row],[2022 NAICS Code]]&amp;":  "&amp;Select_naics2022[[#This Row],[2022 NAICS Title]]</f>
        <v xml:space="preserve">321912:  Cut Stock, Resawing Lumber, and Planing </v>
      </c>
      <c r="AS223" s="656">
        <v>321912</v>
      </c>
      <c r="AT223" s="656" t="s">
        <v>863</v>
      </c>
      <c r="AU223" s="656" t="str">
        <f>Select_naics2022[[#This Row],[2022 NAICS Title]]</f>
        <v xml:space="preserve">Cut Stock, Resawing Lumber, and Planing </v>
      </c>
      <c r="AY223" s="671" t="s">
        <v>38</v>
      </c>
      <c r="BB223" s="671" t="s">
        <v>38</v>
      </c>
      <c r="BE223" s="671" t="s">
        <v>38</v>
      </c>
      <c r="BH223" s="671" t="s">
        <v>38</v>
      </c>
      <c r="BK223" s="671" t="s">
        <v>38</v>
      </c>
      <c r="BN223" s="671" t="s">
        <v>38</v>
      </c>
      <c r="BQ223" s="671" t="s">
        <v>38</v>
      </c>
      <c r="BT223" s="671" t="s">
        <v>38</v>
      </c>
      <c r="BW223" s="671" t="s">
        <v>38</v>
      </c>
      <c r="BZ223" s="671" t="s">
        <v>38</v>
      </c>
    </row>
    <row r="224" spans="2:78" x14ac:dyDescent="0.25">
      <c r="B224" s="671" t="s">
        <v>38</v>
      </c>
      <c r="I224" s="671" t="s">
        <v>38</v>
      </c>
      <c r="L224" s="671" t="s">
        <v>38</v>
      </c>
      <c r="O224" s="671" t="s">
        <v>38</v>
      </c>
      <c r="R224" s="671" t="s">
        <v>38</v>
      </c>
      <c r="U224" s="671" t="s">
        <v>38</v>
      </c>
      <c r="X224" s="671" t="s">
        <v>38</v>
      </c>
      <c r="AB224" s="671" t="s">
        <v>38</v>
      </c>
      <c r="AE224" s="671" t="s">
        <v>38</v>
      </c>
      <c r="AH224" s="671" t="s">
        <v>38</v>
      </c>
      <c r="AK224" s="671" t="s">
        <v>38</v>
      </c>
      <c r="AN224" s="671" t="s">
        <v>38</v>
      </c>
      <c r="AQ224" s="671" t="s">
        <v>38</v>
      </c>
      <c r="AR224" s="656" t="str">
        <f>Select_naics2022[[#This Row],[2022 NAICS Code]]&amp;":  "&amp;Select_naics2022[[#This Row],[2022 NAICS Title]]</f>
        <v xml:space="preserve">321918:  Other Millwork (including Flooring) </v>
      </c>
      <c r="AS224" s="656">
        <v>321918</v>
      </c>
      <c r="AT224" s="656" t="s">
        <v>864</v>
      </c>
      <c r="AU224" s="656" t="str">
        <f>Select_naics2022[[#This Row],[2022 NAICS Title]]</f>
        <v xml:space="preserve">Other Millwork (including Flooring) </v>
      </c>
      <c r="AY224" s="671" t="s">
        <v>38</v>
      </c>
      <c r="BB224" s="671" t="s">
        <v>38</v>
      </c>
      <c r="BE224" s="671" t="s">
        <v>38</v>
      </c>
      <c r="BH224" s="671" t="s">
        <v>38</v>
      </c>
      <c r="BK224" s="671" t="s">
        <v>38</v>
      </c>
      <c r="BN224" s="671" t="s">
        <v>38</v>
      </c>
      <c r="BQ224" s="671" t="s">
        <v>38</v>
      </c>
      <c r="BT224" s="671" t="s">
        <v>38</v>
      </c>
      <c r="BW224" s="671" t="s">
        <v>38</v>
      </c>
      <c r="BZ224" s="671" t="s">
        <v>38</v>
      </c>
    </row>
    <row r="225" spans="2:78" x14ac:dyDescent="0.25">
      <c r="B225" s="671" t="s">
        <v>38</v>
      </c>
      <c r="I225" s="671" t="s">
        <v>38</v>
      </c>
      <c r="L225" s="671" t="s">
        <v>38</v>
      </c>
      <c r="O225" s="671" t="s">
        <v>38</v>
      </c>
      <c r="R225" s="671" t="s">
        <v>38</v>
      </c>
      <c r="U225" s="671" t="s">
        <v>38</v>
      </c>
      <c r="X225" s="671" t="s">
        <v>38</v>
      </c>
      <c r="AB225" s="671" t="s">
        <v>38</v>
      </c>
      <c r="AE225" s="671" t="s">
        <v>38</v>
      </c>
      <c r="AH225" s="671" t="s">
        <v>38</v>
      </c>
      <c r="AK225" s="671" t="s">
        <v>38</v>
      </c>
      <c r="AN225" s="671" t="s">
        <v>38</v>
      </c>
      <c r="AQ225" s="671" t="s">
        <v>38</v>
      </c>
      <c r="AR225" s="656" t="str">
        <f>Select_naics2022[[#This Row],[2022 NAICS Code]]&amp;":  "&amp;Select_naics2022[[#This Row],[2022 NAICS Title]]</f>
        <v>321920:  Wood Container and Pallet Manufacturing</v>
      </c>
      <c r="AS225" s="656">
        <v>321920</v>
      </c>
      <c r="AT225" s="656" t="s">
        <v>865</v>
      </c>
      <c r="AU225" s="656" t="str">
        <f>Select_naics2022[[#This Row],[2022 NAICS Title]]</f>
        <v>Wood Container and Pallet Manufacturing</v>
      </c>
      <c r="AY225" s="671" t="s">
        <v>38</v>
      </c>
      <c r="BB225" s="671" t="s">
        <v>38</v>
      </c>
      <c r="BE225" s="671" t="s">
        <v>38</v>
      </c>
      <c r="BH225" s="671" t="s">
        <v>38</v>
      </c>
      <c r="BK225" s="671" t="s">
        <v>38</v>
      </c>
      <c r="BN225" s="671" t="s">
        <v>38</v>
      </c>
      <c r="BQ225" s="671" t="s">
        <v>38</v>
      </c>
      <c r="BT225" s="671" t="s">
        <v>38</v>
      </c>
      <c r="BW225" s="671" t="s">
        <v>38</v>
      </c>
      <c r="BZ225" s="671" t="s">
        <v>38</v>
      </c>
    </row>
    <row r="226" spans="2:78" x14ac:dyDescent="0.25">
      <c r="B226" s="671" t="s">
        <v>38</v>
      </c>
      <c r="I226" s="671" t="s">
        <v>38</v>
      </c>
      <c r="L226" s="671" t="s">
        <v>38</v>
      </c>
      <c r="O226" s="671" t="s">
        <v>38</v>
      </c>
      <c r="R226" s="671" t="s">
        <v>38</v>
      </c>
      <c r="U226" s="671" t="s">
        <v>38</v>
      </c>
      <c r="X226" s="671" t="s">
        <v>38</v>
      </c>
      <c r="AB226" s="671" t="s">
        <v>38</v>
      </c>
      <c r="AE226" s="671" t="s">
        <v>38</v>
      </c>
      <c r="AH226" s="671" t="s">
        <v>38</v>
      </c>
      <c r="AK226" s="671" t="s">
        <v>38</v>
      </c>
      <c r="AN226" s="671" t="s">
        <v>38</v>
      </c>
      <c r="AQ226" s="671" t="s">
        <v>38</v>
      </c>
      <c r="AR226" s="656" t="str">
        <f>Select_naics2022[[#This Row],[2022 NAICS Code]]&amp;":  "&amp;Select_naics2022[[#This Row],[2022 NAICS Title]]</f>
        <v xml:space="preserve">321991:  Manufactured Home (Mobile Home) Manufacturing </v>
      </c>
      <c r="AS226" s="656">
        <v>321991</v>
      </c>
      <c r="AT226" s="656" t="s">
        <v>866</v>
      </c>
      <c r="AU226" s="656" t="str">
        <f>Select_naics2022[[#This Row],[2022 NAICS Title]]</f>
        <v xml:space="preserve">Manufactured Home (Mobile Home) Manufacturing </v>
      </c>
      <c r="AY226" s="671" t="s">
        <v>38</v>
      </c>
      <c r="BB226" s="671" t="s">
        <v>38</v>
      </c>
      <c r="BE226" s="671" t="s">
        <v>38</v>
      </c>
      <c r="BH226" s="671" t="s">
        <v>38</v>
      </c>
      <c r="BK226" s="671" t="s">
        <v>38</v>
      </c>
      <c r="BN226" s="671" t="s">
        <v>38</v>
      </c>
      <c r="BQ226" s="671" t="s">
        <v>38</v>
      </c>
      <c r="BT226" s="671" t="s">
        <v>38</v>
      </c>
      <c r="BW226" s="671" t="s">
        <v>38</v>
      </c>
      <c r="BZ226" s="671" t="s">
        <v>38</v>
      </c>
    </row>
    <row r="227" spans="2:78" x14ac:dyDescent="0.25">
      <c r="B227" s="671" t="s">
        <v>38</v>
      </c>
      <c r="I227" s="671" t="s">
        <v>38</v>
      </c>
      <c r="L227" s="671" t="s">
        <v>38</v>
      </c>
      <c r="O227" s="671" t="s">
        <v>38</v>
      </c>
      <c r="R227" s="671" t="s">
        <v>38</v>
      </c>
      <c r="U227" s="671" t="s">
        <v>38</v>
      </c>
      <c r="X227" s="671" t="s">
        <v>38</v>
      </c>
      <c r="AB227" s="671" t="s">
        <v>38</v>
      </c>
      <c r="AE227" s="671" t="s">
        <v>38</v>
      </c>
      <c r="AH227" s="671" t="s">
        <v>38</v>
      </c>
      <c r="AK227" s="671" t="s">
        <v>38</v>
      </c>
      <c r="AN227" s="671" t="s">
        <v>38</v>
      </c>
      <c r="AQ227" s="671" t="s">
        <v>38</v>
      </c>
      <c r="AR227" s="656" t="str">
        <f>Select_naics2022[[#This Row],[2022 NAICS Code]]&amp;":  "&amp;Select_naics2022[[#This Row],[2022 NAICS Title]]</f>
        <v xml:space="preserve">321992:  Prefabricated Wood Building Manufacturing </v>
      </c>
      <c r="AS227" s="656">
        <v>321992</v>
      </c>
      <c r="AT227" s="656" t="s">
        <v>867</v>
      </c>
      <c r="AU227" s="656" t="str">
        <f>Select_naics2022[[#This Row],[2022 NAICS Title]]</f>
        <v xml:space="preserve">Prefabricated Wood Building Manufacturing </v>
      </c>
      <c r="AY227" s="671" t="s">
        <v>38</v>
      </c>
      <c r="BB227" s="671" t="s">
        <v>38</v>
      </c>
      <c r="BE227" s="671" t="s">
        <v>38</v>
      </c>
      <c r="BH227" s="671" t="s">
        <v>38</v>
      </c>
      <c r="BK227" s="671" t="s">
        <v>38</v>
      </c>
      <c r="BN227" s="671" t="s">
        <v>38</v>
      </c>
      <c r="BQ227" s="671" t="s">
        <v>38</v>
      </c>
      <c r="BT227" s="671" t="s">
        <v>38</v>
      </c>
      <c r="BW227" s="671" t="s">
        <v>38</v>
      </c>
      <c r="BZ227" s="671" t="s">
        <v>38</v>
      </c>
    </row>
    <row r="228" spans="2:78" x14ac:dyDescent="0.25">
      <c r="B228" s="671" t="s">
        <v>38</v>
      </c>
      <c r="I228" s="671" t="s">
        <v>38</v>
      </c>
      <c r="L228" s="671" t="s">
        <v>38</v>
      </c>
      <c r="O228" s="671" t="s">
        <v>38</v>
      </c>
      <c r="R228" s="671" t="s">
        <v>38</v>
      </c>
      <c r="U228" s="671" t="s">
        <v>38</v>
      </c>
      <c r="X228" s="671" t="s">
        <v>38</v>
      </c>
      <c r="AB228" s="671" t="s">
        <v>38</v>
      </c>
      <c r="AE228" s="671" t="s">
        <v>38</v>
      </c>
      <c r="AH228" s="671" t="s">
        <v>38</v>
      </c>
      <c r="AK228" s="671" t="s">
        <v>38</v>
      </c>
      <c r="AN228" s="671" t="s">
        <v>38</v>
      </c>
      <c r="AQ228" s="671" t="s">
        <v>38</v>
      </c>
      <c r="AR228" s="656" t="str">
        <f>Select_naics2022[[#This Row],[2022 NAICS Code]]&amp;":  "&amp;Select_naics2022[[#This Row],[2022 NAICS Title]]</f>
        <v xml:space="preserve">321999:  All Other Miscellaneous Wood Product Manufacturing </v>
      </c>
      <c r="AS228" s="656">
        <v>321999</v>
      </c>
      <c r="AT228" s="656" t="s">
        <v>868</v>
      </c>
      <c r="AU228" s="656" t="str">
        <f>Select_naics2022[[#This Row],[2022 NAICS Title]]</f>
        <v xml:space="preserve">All Other Miscellaneous Wood Product Manufacturing </v>
      </c>
      <c r="AY228" s="671" t="s">
        <v>38</v>
      </c>
      <c r="BB228" s="671" t="s">
        <v>38</v>
      </c>
      <c r="BE228" s="671" t="s">
        <v>38</v>
      </c>
      <c r="BH228" s="671" t="s">
        <v>38</v>
      </c>
      <c r="BK228" s="671" t="s">
        <v>38</v>
      </c>
      <c r="BN228" s="671" t="s">
        <v>38</v>
      </c>
      <c r="BQ228" s="671" t="s">
        <v>38</v>
      </c>
      <c r="BT228" s="671" t="s">
        <v>38</v>
      </c>
      <c r="BW228" s="671" t="s">
        <v>38</v>
      </c>
      <c r="BZ228" s="671" t="s">
        <v>38</v>
      </c>
    </row>
    <row r="229" spans="2:78" x14ac:dyDescent="0.25">
      <c r="B229" s="671" t="s">
        <v>38</v>
      </c>
      <c r="I229" s="671" t="s">
        <v>38</v>
      </c>
      <c r="L229" s="671" t="s">
        <v>38</v>
      </c>
      <c r="O229" s="671" t="s">
        <v>38</v>
      </c>
      <c r="R229" s="671" t="s">
        <v>38</v>
      </c>
      <c r="U229" s="671" t="s">
        <v>38</v>
      </c>
      <c r="X229" s="671" t="s">
        <v>38</v>
      </c>
      <c r="AB229" s="671" t="s">
        <v>38</v>
      </c>
      <c r="AE229" s="671" t="s">
        <v>38</v>
      </c>
      <c r="AH229" s="671" t="s">
        <v>38</v>
      </c>
      <c r="AK229" s="671" t="s">
        <v>38</v>
      </c>
      <c r="AN229" s="671" t="s">
        <v>38</v>
      </c>
      <c r="AQ229" s="671" t="s">
        <v>38</v>
      </c>
      <c r="AR229" s="656" t="str">
        <f>Select_naics2022[[#This Row],[2022 NAICS Code]]&amp;":  "&amp;Select_naics2022[[#This Row],[2022 NAICS Title]]</f>
        <v xml:space="preserve">322110:  Pulp Mills </v>
      </c>
      <c r="AS229" s="656">
        <v>322110</v>
      </c>
      <c r="AT229" s="656" t="s">
        <v>869</v>
      </c>
      <c r="AU229" s="656" t="str">
        <f>Select_naics2022[[#This Row],[2022 NAICS Title]]</f>
        <v xml:space="preserve">Pulp Mills </v>
      </c>
      <c r="AY229" s="671" t="s">
        <v>38</v>
      </c>
      <c r="BB229" s="671" t="s">
        <v>38</v>
      </c>
      <c r="BE229" s="671" t="s">
        <v>38</v>
      </c>
      <c r="BH229" s="671" t="s">
        <v>38</v>
      </c>
      <c r="BK229" s="671" t="s">
        <v>38</v>
      </c>
      <c r="BN229" s="671" t="s">
        <v>38</v>
      </c>
      <c r="BQ229" s="671" t="s">
        <v>38</v>
      </c>
      <c r="BT229" s="671" t="s">
        <v>38</v>
      </c>
      <c r="BW229" s="671" t="s">
        <v>38</v>
      </c>
      <c r="BZ229" s="671" t="s">
        <v>38</v>
      </c>
    </row>
    <row r="230" spans="2:78" x14ac:dyDescent="0.25">
      <c r="B230" s="671" t="s">
        <v>38</v>
      </c>
      <c r="I230" s="671" t="s">
        <v>38</v>
      </c>
      <c r="L230" s="671" t="s">
        <v>38</v>
      </c>
      <c r="O230" s="671" t="s">
        <v>38</v>
      </c>
      <c r="R230" s="671" t="s">
        <v>38</v>
      </c>
      <c r="U230" s="671" t="s">
        <v>38</v>
      </c>
      <c r="X230" s="671" t="s">
        <v>38</v>
      </c>
      <c r="AB230" s="671" t="s">
        <v>38</v>
      </c>
      <c r="AE230" s="671" t="s">
        <v>38</v>
      </c>
      <c r="AH230" s="671" t="s">
        <v>38</v>
      </c>
      <c r="AK230" s="671" t="s">
        <v>38</v>
      </c>
      <c r="AN230" s="671" t="s">
        <v>38</v>
      </c>
      <c r="AQ230" s="671" t="s">
        <v>38</v>
      </c>
      <c r="AR230" s="656" t="str">
        <f>Select_naics2022[[#This Row],[2022 NAICS Code]]&amp;":  "&amp;Select_naics2022[[#This Row],[2022 NAICS Title]]</f>
        <v xml:space="preserve">322120:  Paper Mills </v>
      </c>
      <c r="AS230" s="656">
        <v>322120</v>
      </c>
      <c r="AT230" s="656" t="s">
        <v>870</v>
      </c>
      <c r="AU230" s="656" t="str">
        <f>Select_naics2022[[#This Row],[2022 NAICS Title]]</f>
        <v xml:space="preserve">Paper Mills </v>
      </c>
      <c r="AY230" s="671" t="s">
        <v>38</v>
      </c>
      <c r="BB230" s="671" t="s">
        <v>38</v>
      </c>
      <c r="BE230" s="671" t="s">
        <v>38</v>
      </c>
      <c r="BH230" s="671" t="s">
        <v>38</v>
      </c>
      <c r="BK230" s="671" t="s">
        <v>38</v>
      </c>
      <c r="BN230" s="671" t="s">
        <v>38</v>
      </c>
      <c r="BQ230" s="671" t="s">
        <v>38</v>
      </c>
      <c r="BT230" s="671" t="s">
        <v>38</v>
      </c>
      <c r="BW230" s="671" t="s">
        <v>38</v>
      </c>
      <c r="BZ230" s="671" t="s">
        <v>38</v>
      </c>
    </row>
    <row r="231" spans="2:78" x14ac:dyDescent="0.25">
      <c r="B231" s="671" t="s">
        <v>38</v>
      </c>
      <c r="I231" s="671" t="s">
        <v>38</v>
      </c>
      <c r="L231" s="671" t="s">
        <v>38</v>
      </c>
      <c r="O231" s="671" t="s">
        <v>38</v>
      </c>
      <c r="R231" s="671" t="s">
        <v>38</v>
      </c>
      <c r="U231" s="671" t="s">
        <v>38</v>
      </c>
      <c r="X231" s="671" t="s">
        <v>38</v>
      </c>
      <c r="AB231" s="671" t="s">
        <v>38</v>
      </c>
      <c r="AE231" s="671" t="s">
        <v>38</v>
      </c>
      <c r="AH231" s="671" t="s">
        <v>38</v>
      </c>
      <c r="AK231" s="671" t="s">
        <v>38</v>
      </c>
      <c r="AN231" s="671" t="s">
        <v>38</v>
      </c>
      <c r="AQ231" s="671" t="s">
        <v>38</v>
      </c>
      <c r="AR231" s="656" t="str">
        <f>Select_naics2022[[#This Row],[2022 NAICS Code]]&amp;":  "&amp;Select_naics2022[[#This Row],[2022 NAICS Title]]</f>
        <v xml:space="preserve">322130:  Paperboard Mills </v>
      </c>
      <c r="AS231" s="656">
        <v>322130</v>
      </c>
      <c r="AT231" s="656" t="s">
        <v>871</v>
      </c>
      <c r="AU231" s="656" t="str">
        <f>Select_naics2022[[#This Row],[2022 NAICS Title]]</f>
        <v xml:space="preserve">Paperboard Mills </v>
      </c>
      <c r="AY231" s="671" t="s">
        <v>38</v>
      </c>
      <c r="BB231" s="671" t="s">
        <v>38</v>
      </c>
      <c r="BE231" s="671" t="s">
        <v>38</v>
      </c>
      <c r="BH231" s="671" t="s">
        <v>38</v>
      </c>
      <c r="BK231" s="671" t="s">
        <v>38</v>
      </c>
      <c r="BN231" s="671" t="s">
        <v>38</v>
      </c>
      <c r="BQ231" s="671" t="s">
        <v>38</v>
      </c>
      <c r="BT231" s="671" t="s">
        <v>38</v>
      </c>
      <c r="BW231" s="671" t="s">
        <v>38</v>
      </c>
      <c r="BZ231" s="671" t="s">
        <v>38</v>
      </c>
    </row>
    <row r="232" spans="2:78" x14ac:dyDescent="0.25">
      <c r="B232" s="671" t="s">
        <v>38</v>
      </c>
      <c r="I232" s="671" t="s">
        <v>38</v>
      </c>
      <c r="L232" s="671" t="s">
        <v>38</v>
      </c>
      <c r="O232" s="671" t="s">
        <v>38</v>
      </c>
      <c r="R232" s="671" t="s">
        <v>38</v>
      </c>
      <c r="U232" s="671" t="s">
        <v>38</v>
      </c>
      <c r="X232" s="671" t="s">
        <v>38</v>
      </c>
      <c r="AB232" s="671" t="s">
        <v>38</v>
      </c>
      <c r="AE232" s="671" t="s">
        <v>38</v>
      </c>
      <c r="AH232" s="671" t="s">
        <v>38</v>
      </c>
      <c r="AK232" s="671" t="s">
        <v>38</v>
      </c>
      <c r="AN232" s="671" t="s">
        <v>38</v>
      </c>
      <c r="AQ232" s="671" t="s">
        <v>38</v>
      </c>
      <c r="AR232" s="656" t="str">
        <f>Select_naics2022[[#This Row],[2022 NAICS Code]]&amp;":  "&amp;Select_naics2022[[#This Row],[2022 NAICS Title]]</f>
        <v xml:space="preserve">322211:  Corrugated and Solid Fiber Box Manufacturing </v>
      </c>
      <c r="AS232" s="656">
        <v>322211</v>
      </c>
      <c r="AT232" s="656" t="s">
        <v>872</v>
      </c>
      <c r="AU232" s="656" t="str">
        <f>Select_naics2022[[#This Row],[2022 NAICS Title]]</f>
        <v xml:space="preserve">Corrugated and Solid Fiber Box Manufacturing </v>
      </c>
      <c r="AY232" s="671" t="s">
        <v>38</v>
      </c>
      <c r="BB232" s="671" t="s">
        <v>38</v>
      </c>
      <c r="BE232" s="671" t="s">
        <v>38</v>
      </c>
      <c r="BH232" s="671" t="s">
        <v>38</v>
      </c>
      <c r="BK232" s="671" t="s">
        <v>38</v>
      </c>
      <c r="BN232" s="671" t="s">
        <v>38</v>
      </c>
      <c r="BQ232" s="671" t="s">
        <v>38</v>
      </c>
      <c r="BT232" s="671" t="s">
        <v>38</v>
      </c>
      <c r="BW232" s="671" t="s">
        <v>38</v>
      </c>
      <c r="BZ232" s="671" t="s">
        <v>38</v>
      </c>
    </row>
    <row r="233" spans="2:78" x14ac:dyDescent="0.25">
      <c r="B233" s="671" t="s">
        <v>38</v>
      </c>
      <c r="I233" s="671" t="s">
        <v>38</v>
      </c>
      <c r="L233" s="671" t="s">
        <v>38</v>
      </c>
      <c r="O233" s="671" t="s">
        <v>38</v>
      </c>
      <c r="R233" s="671" t="s">
        <v>38</v>
      </c>
      <c r="U233" s="671" t="s">
        <v>38</v>
      </c>
      <c r="X233" s="671" t="s">
        <v>38</v>
      </c>
      <c r="AB233" s="671" t="s">
        <v>38</v>
      </c>
      <c r="AE233" s="671" t="s">
        <v>38</v>
      </c>
      <c r="AH233" s="671" t="s">
        <v>38</v>
      </c>
      <c r="AK233" s="671" t="s">
        <v>38</v>
      </c>
      <c r="AN233" s="671" t="s">
        <v>38</v>
      </c>
      <c r="AQ233" s="671" t="s">
        <v>38</v>
      </c>
      <c r="AR233" s="656" t="str">
        <f>Select_naics2022[[#This Row],[2022 NAICS Code]]&amp;":  "&amp;Select_naics2022[[#This Row],[2022 NAICS Title]]</f>
        <v xml:space="preserve">322212:  Folding Paperboard Box Manufacturing </v>
      </c>
      <c r="AS233" s="656">
        <v>322212</v>
      </c>
      <c r="AT233" s="656" t="s">
        <v>873</v>
      </c>
      <c r="AU233" s="656" t="str">
        <f>Select_naics2022[[#This Row],[2022 NAICS Title]]</f>
        <v xml:space="preserve">Folding Paperboard Box Manufacturing </v>
      </c>
      <c r="AY233" s="671" t="s">
        <v>38</v>
      </c>
      <c r="BB233" s="671" t="s">
        <v>38</v>
      </c>
      <c r="BE233" s="671" t="s">
        <v>38</v>
      </c>
      <c r="BH233" s="671" t="s">
        <v>38</v>
      </c>
      <c r="BK233" s="671" t="s">
        <v>38</v>
      </c>
      <c r="BN233" s="671" t="s">
        <v>38</v>
      </c>
      <c r="BQ233" s="671" t="s">
        <v>38</v>
      </c>
      <c r="BT233" s="671" t="s">
        <v>38</v>
      </c>
      <c r="BW233" s="671" t="s">
        <v>38</v>
      </c>
      <c r="BZ233" s="671" t="s">
        <v>38</v>
      </c>
    </row>
    <row r="234" spans="2:78" x14ac:dyDescent="0.25">
      <c r="B234" s="671" t="s">
        <v>38</v>
      </c>
      <c r="I234" s="671" t="s">
        <v>38</v>
      </c>
      <c r="L234" s="671" t="s">
        <v>38</v>
      </c>
      <c r="O234" s="671" t="s">
        <v>38</v>
      </c>
      <c r="R234" s="671" t="s">
        <v>38</v>
      </c>
      <c r="U234" s="671" t="s">
        <v>38</v>
      </c>
      <c r="X234" s="671" t="s">
        <v>38</v>
      </c>
      <c r="AB234" s="671" t="s">
        <v>38</v>
      </c>
      <c r="AE234" s="671" t="s">
        <v>38</v>
      </c>
      <c r="AH234" s="671" t="s">
        <v>38</v>
      </c>
      <c r="AK234" s="671" t="s">
        <v>38</v>
      </c>
      <c r="AN234" s="671" t="s">
        <v>38</v>
      </c>
      <c r="AQ234" s="671" t="s">
        <v>38</v>
      </c>
      <c r="AR234" s="656" t="str">
        <f>Select_naics2022[[#This Row],[2022 NAICS Code]]&amp;":  "&amp;Select_naics2022[[#This Row],[2022 NAICS Title]]</f>
        <v xml:space="preserve">322219:  Other Paperboard Container Manufacturing </v>
      </c>
      <c r="AS234" s="656">
        <v>322219</v>
      </c>
      <c r="AT234" s="656" t="s">
        <v>874</v>
      </c>
      <c r="AU234" s="656" t="str">
        <f>Select_naics2022[[#This Row],[2022 NAICS Title]]</f>
        <v xml:space="preserve">Other Paperboard Container Manufacturing </v>
      </c>
      <c r="AY234" s="671" t="s">
        <v>38</v>
      </c>
      <c r="BB234" s="671" t="s">
        <v>38</v>
      </c>
      <c r="BE234" s="671" t="s">
        <v>38</v>
      </c>
      <c r="BH234" s="671" t="s">
        <v>38</v>
      </c>
      <c r="BK234" s="671" t="s">
        <v>38</v>
      </c>
      <c r="BN234" s="671" t="s">
        <v>38</v>
      </c>
      <c r="BQ234" s="671" t="s">
        <v>38</v>
      </c>
      <c r="BT234" s="671" t="s">
        <v>38</v>
      </c>
      <c r="BW234" s="671" t="s">
        <v>38</v>
      </c>
      <c r="BZ234" s="671" t="s">
        <v>38</v>
      </c>
    </row>
    <row r="235" spans="2:78" x14ac:dyDescent="0.25">
      <c r="B235" s="671" t="s">
        <v>38</v>
      </c>
      <c r="I235" s="671" t="s">
        <v>38</v>
      </c>
      <c r="L235" s="671" t="s">
        <v>38</v>
      </c>
      <c r="O235" s="671" t="s">
        <v>38</v>
      </c>
      <c r="R235" s="671" t="s">
        <v>38</v>
      </c>
      <c r="U235" s="671" t="s">
        <v>38</v>
      </c>
      <c r="X235" s="671" t="s">
        <v>38</v>
      </c>
      <c r="AB235" s="671" t="s">
        <v>38</v>
      </c>
      <c r="AE235" s="671" t="s">
        <v>38</v>
      </c>
      <c r="AH235" s="671" t="s">
        <v>38</v>
      </c>
      <c r="AK235" s="671" t="s">
        <v>38</v>
      </c>
      <c r="AN235" s="671" t="s">
        <v>38</v>
      </c>
      <c r="AQ235" s="671" t="s">
        <v>38</v>
      </c>
      <c r="AR235" s="656" t="str">
        <f>Select_naics2022[[#This Row],[2022 NAICS Code]]&amp;":  "&amp;Select_naics2022[[#This Row],[2022 NAICS Title]]</f>
        <v>322220:  Paper Bag and Coated and Treated Paper Manufacturing</v>
      </c>
      <c r="AS235" s="656">
        <v>322220</v>
      </c>
      <c r="AT235" s="656" t="s">
        <v>875</v>
      </c>
      <c r="AU235" s="656" t="str">
        <f>Select_naics2022[[#This Row],[2022 NAICS Title]]</f>
        <v>Paper Bag and Coated and Treated Paper Manufacturing</v>
      </c>
      <c r="AY235" s="671" t="s">
        <v>38</v>
      </c>
      <c r="BB235" s="671" t="s">
        <v>38</v>
      </c>
      <c r="BE235" s="671" t="s">
        <v>38</v>
      </c>
      <c r="BH235" s="671" t="s">
        <v>38</v>
      </c>
      <c r="BK235" s="671" t="s">
        <v>38</v>
      </c>
      <c r="BN235" s="671" t="s">
        <v>38</v>
      </c>
      <c r="BQ235" s="671" t="s">
        <v>38</v>
      </c>
      <c r="BT235" s="671" t="s">
        <v>38</v>
      </c>
      <c r="BW235" s="671" t="s">
        <v>38</v>
      </c>
      <c r="BZ235" s="671" t="s">
        <v>38</v>
      </c>
    </row>
    <row r="236" spans="2:78" x14ac:dyDescent="0.25">
      <c r="B236" s="671" t="s">
        <v>38</v>
      </c>
      <c r="I236" s="671" t="s">
        <v>38</v>
      </c>
      <c r="L236" s="671" t="s">
        <v>38</v>
      </c>
      <c r="O236" s="671" t="s">
        <v>38</v>
      </c>
      <c r="R236" s="671" t="s">
        <v>38</v>
      </c>
      <c r="U236" s="671" t="s">
        <v>38</v>
      </c>
      <c r="X236" s="671" t="s">
        <v>38</v>
      </c>
      <c r="AB236" s="671" t="s">
        <v>38</v>
      </c>
      <c r="AE236" s="671" t="s">
        <v>38</v>
      </c>
      <c r="AH236" s="671" t="s">
        <v>38</v>
      </c>
      <c r="AK236" s="671" t="s">
        <v>38</v>
      </c>
      <c r="AN236" s="671" t="s">
        <v>38</v>
      </c>
      <c r="AQ236" s="671" t="s">
        <v>38</v>
      </c>
      <c r="AR236" s="656" t="str">
        <f>Select_naics2022[[#This Row],[2022 NAICS Code]]&amp;":  "&amp;Select_naics2022[[#This Row],[2022 NAICS Title]]</f>
        <v>322230:  Stationery Product Manufacturing</v>
      </c>
      <c r="AS236" s="656">
        <v>322230</v>
      </c>
      <c r="AT236" s="656" t="s">
        <v>876</v>
      </c>
      <c r="AU236" s="656" t="str">
        <f>Select_naics2022[[#This Row],[2022 NAICS Title]]</f>
        <v>Stationery Product Manufacturing</v>
      </c>
      <c r="AY236" s="671" t="s">
        <v>38</v>
      </c>
      <c r="BB236" s="671" t="s">
        <v>38</v>
      </c>
      <c r="BE236" s="671" t="s">
        <v>38</v>
      </c>
      <c r="BH236" s="671" t="s">
        <v>38</v>
      </c>
      <c r="BK236" s="671" t="s">
        <v>38</v>
      </c>
      <c r="BN236" s="671" t="s">
        <v>38</v>
      </c>
      <c r="BQ236" s="671" t="s">
        <v>38</v>
      </c>
      <c r="BT236" s="671" t="s">
        <v>38</v>
      </c>
      <c r="BW236" s="671" t="s">
        <v>38</v>
      </c>
      <c r="BZ236" s="671" t="s">
        <v>38</v>
      </c>
    </row>
    <row r="237" spans="2:78" x14ac:dyDescent="0.25">
      <c r="B237" s="671" t="s">
        <v>38</v>
      </c>
      <c r="I237" s="671" t="s">
        <v>38</v>
      </c>
      <c r="L237" s="671" t="s">
        <v>38</v>
      </c>
      <c r="O237" s="671" t="s">
        <v>38</v>
      </c>
      <c r="R237" s="671" t="s">
        <v>38</v>
      </c>
      <c r="U237" s="671" t="s">
        <v>38</v>
      </c>
      <c r="X237" s="671" t="s">
        <v>38</v>
      </c>
      <c r="AB237" s="671" t="s">
        <v>38</v>
      </c>
      <c r="AE237" s="671" t="s">
        <v>38</v>
      </c>
      <c r="AH237" s="671" t="s">
        <v>38</v>
      </c>
      <c r="AK237" s="671" t="s">
        <v>38</v>
      </c>
      <c r="AN237" s="671" t="s">
        <v>38</v>
      </c>
      <c r="AQ237" s="671" t="s">
        <v>38</v>
      </c>
      <c r="AR237" s="656" t="str">
        <f>Select_naics2022[[#This Row],[2022 NAICS Code]]&amp;":  "&amp;Select_naics2022[[#This Row],[2022 NAICS Title]]</f>
        <v xml:space="preserve">322291:  Sanitary Paper Product Manufacturing </v>
      </c>
      <c r="AS237" s="656">
        <v>322291</v>
      </c>
      <c r="AT237" s="656" t="s">
        <v>877</v>
      </c>
      <c r="AU237" s="656" t="str">
        <f>Select_naics2022[[#This Row],[2022 NAICS Title]]</f>
        <v xml:space="preserve">Sanitary Paper Product Manufacturing </v>
      </c>
      <c r="AY237" s="671" t="s">
        <v>38</v>
      </c>
      <c r="BB237" s="671" t="s">
        <v>38</v>
      </c>
      <c r="BE237" s="671" t="s">
        <v>38</v>
      </c>
      <c r="BH237" s="671" t="s">
        <v>38</v>
      </c>
      <c r="BK237" s="671" t="s">
        <v>38</v>
      </c>
      <c r="BN237" s="671" t="s">
        <v>38</v>
      </c>
      <c r="BQ237" s="671" t="s">
        <v>38</v>
      </c>
      <c r="BT237" s="671" t="s">
        <v>38</v>
      </c>
      <c r="BW237" s="671" t="s">
        <v>38</v>
      </c>
      <c r="BZ237" s="671" t="s">
        <v>38</v>
      </c>
    </row>
    <row r="238" spans="2:78" x14ac:dyDescent="0.25">
      <c r="B238" s="671" t="s">
        <v>38</v>
      </c>
      <c r="I238" s="671" t="s">
        <v>38</v>
      </c>
      <c r="L238" s="671" t="s">
        <v>38</v>
      </c>
      <c r="O238" s="671" t="s">
        <v>38</v>
      </c>
      <c r="R238" s="671" t="s">
        <v>38</v>
      </c>
      <c r="U238" s="671" t="s">
        <v>38</v>
      </c>
      <c r="X238" s="671" t="s">
        <v>38</v>
      </c>
      <c r="AB238" s="671" t="s">
        <v>38</v>
      </c>
      <c r="AE238" s="671" t="s">
        <v>38</v>
      </c>
      <c r="AH238" s="671" t="s">
        <v>38</v>
      </c>
      <c r="AK238" s="671" t="s">
        <v>38</v>
      </c>
      <c r="AN238" s="671" t="s">
        <v>38</v>
      </c>
      <c r="AQ238" s="671" t="s">
        <v>38</v>
      </c>
      <c r="AR238" s="656" t="str">
        <f>Select_naics2022[[#This Row],[2022 NAICS Code]]&amp;":  "&amp;Select_naics2022[[#This Row],[2022 NAICS Title]]</f>
        <v xml:space="preserve">322299:  All Other Converted Paper Product Manufacturing </v>
      </c>
      <c r="AS238" s="656">
        <v>322299</v>
      </c>
      <c r="AT238" s="656" t="s">
        <v>878</v>
      </c>
      <c r="AU238" s="656" t="str">
        <f>Select_naics2022[[#This Row],[2022 NAICS Title]]</f>
        <v xml:space="preserve">All Other Converted Paper Product Manufacturing </v>
      </c>
      <c r="AY238" s="671" t="s">
        <v>38</v>
      </c>
      <c r="BB238" s="671" t="s">
        <v>38</v>
      </c>
      <c r="BE238" s="671" t="s">
        <v>38</v>
      </c>
      <c r="BH238" s="671" t="s">
        <v>38</v>
      </c>
      <c r="BK238" s="671" t="s">
        <v>38</v>
      </c>
      <c r="BN238" s="671" t="s">
        <v>38</v>
      </c>
      <c r="BQ238" s="671" t="s">
        <v>38</v>
      </c>
      <c r="BT238" s="671" t="s">
        <v>38</v>
      </c>
      <c r="BW238" s="671" t="s">
        <v>38</v>
      </c>
      <c r="BZ238" s="671" t="s">
        <v>38</v>
      </c>
    </row>
    <row r="239" spans="2:78" x14ac:dyDescent="0.25">
      <c r="B239" s="671" t="s">
        <v>38</v>
      </c>
      <c r="I239" s="671" t="s">
        <v>38</v>
      </c>
      <c r="L239" s="671" t="s">
        <v>38</v>
      </c>
      <c r="O239" s="671" t="s">
        <v>38</v>
      </c>
      <c r="R239" s="671" t="s">
        <v>38</v>
      </c>
      <c r="U239" s="671" t="s">
        <v>38</v>
      </c>
      <c r="X239" s="671" t="s">
        <v>38</v>
      </c>
      <c r="AB239" s="671" t="s">
        <v>38</v>
      </c>
      <c r="AE239" s="671" t="s">
        <v>38</v>
      </c>
      <c r="AH239" s="671" t="s">
        <v>38</v>
      </c>
      <c r="AK239" s="671" t="s">
        <v>38</v>
      </c>
      <c r="AN239" s="671" t="s">
        <v>38</v>
      </c>
      <c r="AQ239" s="671" t="s">
        <v>38</v>
      </c>
      <c r="AR239" s="656" t="str">
        <f>Select_naics2022[[#This Row],[2022 NAICS Code]]&amp;":  "&amp;Select_naics2022[[#This Row],[2022 NAICS Title]]</f>
        <v xml:space="preserve">323111:  Commercial Printing (except Screen and Books) </v>
      </c>
      <c r="AS239" s="656">
        <v>323111</v>
      </c>
      <c r="AT239" s="656" t="s">
        <v>879</v>
      </c>
      <c r="AU239" s="656" t="str">
        <f>Select_naics2022[[#This Row],[2022 NAICS Title]]</f>
        <v xml:space="preserve">Commercial Printing (except Screen and Books) </v>
      </c>
      <c r="AY239" s="671" t="s">
        <v>38</v>
      </c>
      <c r="BB239" s="671" t="s">
        <v>38</v>
      </c>
      <c r="BE239" s="671" t="s">
        <v>38</v>
      </c>
      <c r="BH239" s="671" t="s">
        <v>38</v>
      </c>
      <c r="BK239" s="671" t="s">
        <v>38</v>
      </c>
      <c r="BN239" s="671" t="s">
        <v>38</v>
      </c>
      <c r="BQ239" s="671" t="s">
        <v>38</v>
      </c>
      <c r="BT239" s="671" t="s">
        <v>38</v>
      </c>
      <c r="BW239" s="671" t="s">
        <v>38</v>
      </c>
      <c r="BZ239" s="671" t="s">
        <v>38</v>
      </c>
    </row>
    <row r="240" spans="2:78" x14ac:dyDescent="0.25">
      <c r="B240" s="671" t="s">
        <v>38</v>
      </c>
      <c r="I240" s="671" t="s">
        <v>38</v>
      </c>
      <c r="L240" s="671" t="s">
        <v>38</v>
      </c>
      <c r="O240" s="671" t="s">
        <v>38</v>
      </c>
      <c r="R240" s="671" t="s">
        <v>38</v>
      </c>
      <c r="U240" s="671" t="s">
        <v>38</v>
      </c>
      <c r="X240" s="671" t="s">
        <v>38</v>
      </c>
      <c r="AB240" s="671" t="s">
        <v>38</v>
      </c>
      <c r="AE240" s="671" t="s">
        <v>38</v>
      </c>
      <c r="AH240" s="671" t="s">
        <v>38</v>
      </c>
      <c r="AK240" s="671" t="s">
        <v>38</v>
      </c>
      <c r="AN240" s="671" t="s">
        <v>38</v>
      </c>
      <c r="AQ240" s="671" t="s">
        <v>38</v>
      </c>
      <c r="AR240" s="656" t="str">
        <f>Select_naics2022[[#This Row],[2022 NAICS Code]]&amp;":  "&amp;Select_naics2022[[#This Row],[2022 NAICS Title]]</f>
        <v xml:space="preserve">323113:  Commercial Screen Printing </v>
      </c>
      <c r="AS240" s="656">
        <v>323113</v>
      </c>
      <c r="AT240" s="656" t="s">
        <v>880</v>
      </c>
      <c r="AU240" s="656" t="str">
        <f>Select_naics2022[[#This Row],[2022 NAICS Title]]</f>
        <v xml:space="preserve">Commercial Screen Printing </v>
      </c>
      <c r="AY240" s="671" t="s">
        <v>38</v>
      </c>
      <c r="BB240" s="671" t="s">
        <v>38</v>
      </c>
      <c r="BE240" s="671" t="s">
        <v>38</v>
      </c>
      <c r="BH240" s="671" t="s">
        <v>38</v>
      </c>
      <c r="BK240" s="671" t="s">
        <v>38</v>
      </c>
      <c r="BN240" s="671" t="s">
        <v>38</v>
      </c>
      <c r="BQ240" s="671" t="s">
        <v>38</v>
      </c>
      <c r="BT240" s="671" t="s">
        <v>38</v>
      </c>
      <c r="BW240" s="671" t="s">
        <v>38</v>
      </c>
      <c r="BZ240" s="671" t="s">
        <v>38</v>
      </c>
    </row>
    <row r="241" spans="2:78" x14ac:dyDescent="0.25">
      <c r="B241" s="671" t="s">
        <v>38</v>
      </c>
      <c r="I241" s="671" t="s">
        <v>38</v>
      </c>
      <c r="L241" s="671" t="s">
        <v>38</v>
      </c>
      <c r="O241" s="671" t="s">
        <v>38</v>
      </c>
      <c r="R241" s="671" t="s">
        <v>38</v>
      </c>
      <c r="U241" s="671" t="s">
        <v>38</v>
      </c>
      <c r="X241" s="671" t="s">
        <v>38</v>
      </c>
      <c r="AB241" s="671" t="s">
        <v>38</v>
      </c>
      <c r="AE241" s="671" t="s">
        <v>38</v>
      </c>
      <c r="AH241" s="671" t="s">
        <v>38</v>
      </c>
      <c r="AK241" s="671" t="s">
        <v>38</v>
      </c>
      <c r="AN241" s="671" t="s">
        <v>38</v>
      </c>
      <c r="AQ241" s="671" t="s">
        <v>38</v>
      </c>
      <c r="AR241" s="656" t="str">
        <f>Select_naics2022[[#This Row],[2022 NAICS Code]]&amp;":  "&amp;Select_naics2022[[#This Row],[2022 NAICS Title]]</f>
        <v xml:space="preserve">323117:  Books Printing </v>
      </c>
      <c r="AS241" s="656">
        <v>323117</v>
      </c>
      <c r="AT241" s="656" t="s">
        <v>881</v>
      </c>
      <c r="AU241" s="656" t="str">
        <f>Select_naics2022[[#This Row],[2022 NAICS Title]]</f>
        <v xml:space="preserve">Books Printing </v>
      </c>
      <c r="AY241" s="671" t="s">
        <v>38</v>
      </c>
      <c r="BB241" s="671" t="s">
        <v>38</v>
      </c>
      <c r="BE241" s="671" t="s">
        <v>38</v>
      </c>
      <c r="BH241" s="671" t="s">
        <v>38</v>
      </c>
      <c r="BK241" s="671" t="s">
        <v>38</v>
      </c>
      <c r="BN241" s="671" t="s">
        <v>38</v>
      </c>
      <c r="BQ241" s="671" t="s">
        <v>38</v>
      </c>
      <c r="BT241" s="671" t="s">
        <v>38</v>
      </c>
      <c r="BW241" s="671" t="s">
        <v>38</v>
      </c>
      <c r="BZ241" s="671" t="s">
        <v>38</v>
      </c>
    </row>
    <row r="242" spans="2:78" x14ac:dyDescent="0.25">
      <c r="B242" s="671" t="s">
        <v>38</v>
      </c>
      <c r="I242" s="671" t="s">
        <v>38</v>
      </c>
      <c r="L242" s="671" t="s">
        <v>38</v>
      </c>
      <c r="O242" s="671" t="s">
        <v>38</v>
      </c>
      <c r="R242" s="671" t="s">
        <v>38</v>
      </c>
      <c r="U242" s="671" t="s">
        <v>38</v>
      </c>
      <c r="X242" s="671" t="s">
        <v>38</v>
      </c>
      <c r="AB242" s="671" t="s">
        <v>38</v>
      </c>
      <c r="AE242" s="671" t="s">
        <v>38</v>
      </c>
      <c r="AH242" s="671" t="s">
        <v>38</v>
      </c>
      <c r="AK242" s="671" t="s">
        <v>38</v>
      </c>
      <c r="AN242" s="671" t="s">
        <v>38</v>
      </c>
      <c r="AQ242" s="671" t="s">
        <v>38</v>
      </c>
      <c r="AR242" s="656" t="str">
        <f>Select_naics2022[[#This Row],[2022 NAICS Code]]&amp;":  "&amp;Select_naics2022[[#This Row],[2022 NAICS Title]]</f>
        <v>323120:  Support Activities for Printing</v>
      </c>
      <c r="AS242" s="656">
        <v>323120</v>
      </c>
      <c r="AT242" s="656" t="s">
        <v>882</v>
      </c>
      <c r="AU242" s="656" t="str">
        <f>Select_naics2022[[#This Row],[2022 NAICS Title]]</f>
        <v>Support Activities for Printing</v>
      </c>
      <c r="AY242" s="671" t="s">
        <v>38</v>
      </c>
      <c r="BB242" s="671" t="s">
        <v>38</v>
      </c>
      <c r="BE242" s="671" t="s">
        <v>38</v>
      </c>
      <c r="BH242" s="671" t="s">
        <v>38</v>
      </c>
      <c r="BK242" s="671" t="s">
        <v>38</v>
      </c>
      <c r="BN242" s="671" t="s">
        <v>38</v>
      </c>
      <c r="BQ242" s="671" t="s">
        <v>38</v>
      </c>
      <c r="BT242" s="671" t="s">
        <v>38</v>
      </c>
      <c r="BW242" s="671" t="s">
        <v>38</v>
      </c>
      <c r="BZ242" s="671" t="s">
        <v>38</v>
      </c>
    </row>
    <row r="243" spans="2:78" x14ac:dyDescent="0.25">
      <c r="B243" s="671" t="s">
        <v>38</v>
      </c>
      <c r="I243" s="671" t="s">
        <v>38</v>
      </c>
      <c r="L243" s="671" t="s">
        <v>38</v>
      </c>
      <c r="O243" s="671" t="s">
        <v>38</v>
      </c>
      <c r="R243" s="671" t="s">
        <v>38</v>
      </c>
      <c r="U243" s="671" t="s">
        <v>38</v>
      </c>
      <c r="X243" s="671" t="s">
        <v>38</v>
      </c>
      <c r="AB243" s="671" t="s">
        <v>38</v>
      </c>
      <c r="AE243" s="671" t="s">
        <v>38</v>
      </c>
      <c r="AH243" s="671" t="s">
        <v>38</v>
      </c>
      <c r="AK243" s="671" t="s">
        <v>38</v>
      </c>
      <c r="AN243" s="671" t="s">
        <v>38</v>
      </c>
      <c r="AQ243" s="671" t="s">
        <v>38</v>
      </c>
      <c r="AR243" s="656" t="str">
        <f>Select_naics2022[[#This Row],[2022 NAICS Code]]&amp;":  "&amp;Select_naics2022[[#This Row],[2022 NAICS Title]]</f>
        <v>324110:  Petroleum Refineries</v>
      </c>
      <c r="AS243" s="656">
        <v>324110</v>
      </c>
      <c r="AT243" s="656" t="s">
        <v>883</v>
      </c>
      <c r="AU243" s="656" t="str">
        <f>Select_naics2022[[#This Row],[2022 NAICS Title]]</f>
        <v>Petroleum Refineries</v>
      </c>
      <c r="AY243" s="671" t="s">
        <v>38</v>
      </c>
      <c r="BB243" s="671" t="s">
        <v>38</v>
      </c>
      <c r="BE243" s="671" t="s">
        <v>38</v>
      </c>
      <c r="BH243" s="671" t="s">
        <v>38</v>
      </c>
      <c r="BK243" s="671" t="s">
        <v>38</v>
      </c>
      <c r="BN243" s="671" t="s">
        <v>38</v>
      </c>
      <c r="BQ243" s="671" t="s">
        <v>38</v>
      </c>
      <c r="BT243" s="671" t="s">
        <v>38</v>
      </c>
      <c r="BW243" s="671" t="s">
        <v>38</v>
      </c>
      <c r="BZ243" s="671" t="s">
        <v>38</v>
      </c>
    </row>
    <row r="244" spans="2:78" x14ac:dyDescent="0.25">
      <c r="B244" s="671" t="s">
        <v>38</v>
      </c>
      <c r="I244" s="671" t="s">
        <v>38</v>
      </c>
      <c r="L244" s="671" t="s">
        <v>38</v>
      </c>
      <c r="O244" s="671" t="s">
        <v>38</v>
      </c>
      <c r="R244" s="671" t="s">
        <v>38</v>
      </c>
      <c r="U244" s="671" t="s">
        <v>38</v>
      </c>
      <c r="X244" s="671" t="s">
        <v>38</v>
      </c>
      <c r="AB244" s="671" t="s">
        <v>38</v>
      </c>
      <c r="AE244" s="671" t="s">
        <v>38</v>
      </c>
      <c r="AH244" s="671" t="s">
        <v>38</v>
      </c>
      <c r="AK244" s="671" t="s">
        <v>38</v>
      </c>
      <c r="AN244" s="671" t="s">
        <v>38</v>
      </c>
      <c r="AQ244" s="671" t="s">
        <v>38</v>
      </c>
      <c r="AR244" s="656" t="str">
        <f>Select_naics2022[[#This Row],[2022 NAICS Code]]&amp;":  "&amp;Select_naics2022[[#This Row],[2022 NAICS Title]]</f>
        <v xml:space="preserve">324121:  Asphalt Paving Mixture and Block Manufacturing </v>
      </c>
      <c r="AS244" s="656">
        <v>324121</v>
      </c>
      <c r="AT244" s="656" t="s">
        <v>884</v>
      </c>
      <c r="AU244" s="656" t="str">
        <f>Select_naics2022[[#This Row],[2022 NAICS Title]]</f>
        <v xml:space="preserve">Asphalt Paving Mixture and Block Manufacturing </v>
      </c>
      <c r="AY244" s="671" t="s">
        <v>38</v>
      </c>
      <c r="BB244" s="671" t="s">
        <v>38</v>
      </c>
      <c r="BE244" s="671" t="s">
        <v>38</v>
      </c>
      <c r="BH244" s="671" t="s">
        <v>38</v>
      </c>
      <c r="BK244" s="671" t="s">
        <v>38</v>
      </c>
      <c r="BN244" s="671" t="s">
        <v>38</v>
      </c>
      <c r="BQ244" s="671" t="s">
        <v>38</v>
      </c>
      <c r="BT244" s="671" t="s">
        <v>38</v>
      </c>
      <c r="BW244" s="671" t="s">
        <v>38</v>
      </c>
      <c r="BZ244" s="671" t="s">
        <v>38</v>
      </c>
    </row>
    <row r="245" spans="2:78" x14ac:dyDescent="0.25">
      <c r="B245" s="671" t="s">
        <v>38</v>
      </c>
      <c r="I245" s="671" t="s">
        <v>38</v>
      </c>
      <c r="L245" s="671" t="s">
        <v>38</v>
      </c>
      <c r="O245" s="671" t="s">
        <v>38</v>
      </c>
      <c r="R245" s="671" t="s">
        <v>38</v>
      </c>
      <c r="U245" s="671" t="s">
        <v>38</v>
      </c>
      <c r="X245" s="671" t="s">
        <v>38</v>
      </c>
      <c r="AB245" s="671" t="s">
        <v>38</v>
      </c>
      <c r="AE245" s="671" t="s">
        <v>38</v>
      </c>
      <c r="AH245" s="671" t="s">
        <v>38</v>
      </c>
      <c r="AK245" s="671" t="s">
        <v>38</v>
      </c>
      <c r="AN245" s="671" t="s">
        <v>38</v>
      </c>
      <c r="AQ245" s="671" t="s">
        <v>38</v>
      </c>
      <c r="AR245" s="656" t="str">
        <f>Select_naics2022[[#This Row],[2022 NAICS Code]]&amp;":  "&amp;Select_naics2022[[#This Row],[2022 NAICS Title]]</f>
        <v xml:space="preserve">324122:  Asphalt Shingle and Coating Materials Manufacturing </v>
      </c>
      <c r="AS245" s="656">
        <v>324122</v>
      </c>
      <c r="AT245" s="656" t="s">
        <v>885</v>
      </c>
      <c r="AU245" s="656" t="str">
        <f>Select_naics2022[[#This Row],[2022 NAICS Title]]</f>
        <v xml:space="preserve">Asphalt Shingle and Coating Materials Manufacturing </v>
      </c>
      <c r="AY245" s="671" t="s">
        <v>38</v>
      </c>
      <c r="BB245" s="671" t="s">
        <v>38</v>
      </c>
      <c r="BE245" s="671" t="s">
        <v>38</v>
      </c>
      <c r="BH245" s="671" t="s">
        <v>38</v>
      </c>
      <c r="BK245" s="671" t="s">
        <v>38</v>
      </c>
      <c r="BN245" s="671" t="s">
        <v>38</v>
      </c>
      <c r="BQ245" s="671" t="s">
        <v>38</v>
      </c>
      <c r="BT245" s="671" t="s">
        <v>38</v>
      </c>
      <c r="BW245" s="671" t="s">
        <v>38</v>
      </c>
      <c r="BZ245" s="671" t="s">
        <v>38</v>
      </c>
    </row>
    <row r="246" spans="2:78" x14ac:dyDescent="0.25">
      <c r="B246" s="671" t="s">
        <v>38</v>
      </c>
      <c r="I246" s="671" t="s">
        <v>38</v>
      </c>
      <c r="L246" s="671" t="s">
        <v>38</v>
      </c>
      <c r="O246" s="671" t="s">
        <v>38</v>
      </c>
      <c r="R246" s="671" t="s">
        <v>38</v>
      </c>
      <c r="U246" s="671" t="s">
        <v>38</v>
      </c>
      <c r="X246" s="671" t="s">
        <v>38</v>
      </c>
      <c r="AB246" s="671" t="s">
        <v>38</v>
      </c>
      <c r="AE246" s="671" t="s">
        <v>38</v>
      </c>
      <c r="AH246" s="671" t="s">
        <v>38</v>
      </c>
      <c r="AK246" s="671" t="s">
        <v>38</v>
      </c>
      <c r="AN246" s="671" t="s">
        <v>38</v>
      </c>
      <c r="AQ246" s="671" t="s">
        <v>38</v>
      </c>
      <c r="AR246" s="656" t="str">
        <f>Select_naics2022[[#This Row],[2022 NAICS Code]]&amp;":  "&amp;Select_naics2022[[#This Row],[2022 NAICS Title]]</f>
        <v xml:space="preserve">324191:  Petroleum Lubricating Oil and Grease Manufacturing </v>
      </c>
      <c r="AS246" s="656">
        <v>324191</v>
      </c>
      <c r="AT246" s="656" t="s">
        <v>886</v>
      </c>
      <c r="AU246" s="656" t="str">
        <f>Select_naics2022[[#This Row],[2022 NAICS Title]]</f>
        <v xml:space="preserve">Petroleum Lubricating Oil and Grease Manufacturing </v>
      </c>
      <c r="AY246" s="671" t="s">
        <v>38</v>
      </c>
      <c r="BB246" s="671" t="s">
        <v>38</v>
      </c>
      <c r="BE246" s="671" t="s">
        <v>38</v>
      </c>
      <c r="BH246" s="671" t="s">
        <v>38</v>
      </c>
      <c r="BK246" s="671" t="s">
        <v>38</v>
      </c>
      <c r="BN246" s="671" t="s">
        <v>38</v>
      </c>
      <c r="BQ246" s="671" t="s">
        <v>38</v>
      </c>
      <c r="BT246" s="671" t="s">
        <v>38</v>
      </c>
      <c r="BW246" s="671" t="s">
        <v>38</v>
      </c>
      <c r="BZ246" s="671" t="s">
        <v>38</v>
      </c>
    </row>
    <row r="247" spans="2:78" x14ac:dyDescent="0.25">
      <c r="B247" s="671" t="s">
        <v>38</v>
      </c>
      <c r="I247" s="671" t="s">
        <v>38</v>
      </c>
      <c r="L247" s="671" t="s">
        <v>38</v>
      </c>
      <c r="O247" s="671" t="s">
        <v>38</v>
      </c>
      <c r="R247" s="671" t="s">
        <v>38</v>
      </c>
      <c r="U247" s="671" t="s">
        <v>38</v>
      </c>
      <c r="X247" s="671" t="s">
        <v>38</v>
      </c>
      <c r="AB247" s="671" t="s">
        <v>38</v>
      </c>
      <c r="AE247" s="671" t="s">
        <v>38</v>
      </c>
      <c r="AH247" s="671" t="s">
        <v>38</v>
      </c>
      <c r="AK247" s="671" t="s">
        <v>38</v>
      </c>
      <c r="AN247" s="671" t="s">
        <v>38</v>
      </c>
      <c r="AQ247" s="671" t="s">
        <v>38</v>
      </c>
      <c r="AR247" s="656" t="str">
        <f>Select_naics2022[[#This Row],[2022 NAICS Code]]&amp;":  "&amp;Select_naics2022[[#This Row],[2022 NAICS Title]]</f>
        <v xml:space="preserve">324199:  All Other Petroleum and Coal Products Manufacturing </v>
      </c>
      <c r="AS247" s="656">
        <v>324199</v>
      </c>
      <c r="AT247" s="656" t="s">
        <v>887</v>
      </c>
      <c r="AU247" s="656" t="str">
        <f>Select_naics2022[[#This Row],[2022 NAICS Title]]</f>
        <v xml:space="preserve">All Other Petroleum and Coal Products Manufacturing </v>
      </c>
      <c r="AY247" s="671" t="s">
        <v>38</v>
      </c>
      <c r="BB247" s="671" t="s">
        <v>38</v>
      </c>
      <c r="BE247" s="671" t="s">
        <v>38</v>
      </c>
      <c r="BH247" s="671" t="s">
        <v>38</v>
      </c>
      <c r="BK247" s="671" t="s">
        <v>38</v>
      </c>
      <c r="BN247" s="671" t="s">
        <v>38</v>
      </c>
      <c r="BQ247" s="671" t="s">
        <v>38</v>
      </c>
      <c r="BT247" s="671" t="s">
        <v>38</v>
      </c>
      <c r="BW247" s="671" t="s">
        <v>38</v>
      </c>
      <c r="BZ247" s="671" t="s">
        <v>38</v>
      </c>
    </row>
    <row r="248" spans="2:78" x14ac:dyDescent="0.25">
      <c r="B248" s="671" t="s">
        <v>38</v>
      </c>
      <c r="I248" s="671" t="s">
        <v>38</v>
      </c>
      <c r="L248" s="671" t="s">
        <v>38</v>
      </c>
      <c r="O248" s="671" t="s">
        <v>38</v>
      </c>
      <c r="R248" s="671" t="s">
        <v>38</v>
      </c>
      <c r="U248" s="671" t="s">
        <v>38</v>
      </c>
      <c r="X248" s="671" t="s">
        <v>38</v>
      </c>
      <c r="AB248" s="671" t="s">
        <v>38</v>
      </c>
      <c r="AE248" s="671" t="s">
        <v>38</v>
      </c>
      <c r="AH248" s="671" t="s">
        <v>38</v>
      </c>
      <c r="AK248" s="671" t="s">
        <v>38</v>
      </c>
      <c r="AN248" s="671" t="s">
        <v>38</v>
      </c>
      <c r="AQ248" s="671" t="s">
        <v>38</v>
      </c>
      <c r="AR248" s="656" t="str">
        <f>Select_naics2022[[#This Row],[2022 NAICS Code]]&amp;":  "&amp;Select_naics2022[[#This Row],[2022 NAICS Title]]</f>
        <v>325110:  Petrochemical Manufacturing</v>
      </c>
      <c r="AS248" s="656">
        <v>325110</v>
      </c>
      <c r="AT248" s="656" t="s">
        <v>888</v>
      </c>
      <c r="AU248" s="656" t="str">
        <f>Select_naics2022[[#This Row],[2022 NAICS Title]]</f>
        <v>Petrochemical Manufacturing</v>
      </c>
      <c r="AY248" s="671" t="s">
        <v>38</v>
      </c>
      <c r="BB248" s="671" t="s">
        <v>38</v>
      </c>
      <c r="BE248" s="671" t="s">
        <v>38</v>
      </c>
      <c r="BH248" s="671" t="s">
        <v>38</v>
      </c>
      <c r="BK248" s="671" t="s">
        <v>38</v>
      </c>
      <c r="BN248" s="671" t="s">
        <v>38</v>
      </c>
      <c r="BQ248" s="671" t="s">
        <v>38</v>
      </c>
      <c r="BT248" s="671" t="s">
        <v>38</v>
      </c>
      <c r="BW248" s="671" t="s">
        <v>38</v>
      </c>
      <c r="BZ248" s="671" t="s">
        <v>38</v>
      </c>
    </row>
    <row r="249" spans="2:78" x14ac:dyDescent="0.25">
      <c r="B249" s="671" t="s">
        <v>38</v>
      </c>
      <c r="I249" s="671" t="s">
        <v>38</v>
      </c>
      <c r="L249" s="671" t="s">
        <v>38</v>
      </c>
      <c r="O249" s="671" t="s">
        <v>38</v>
      </c>
      <c r="R249" s="671" t="s">
        <v>38</v>
      </c>
      <c r="U249" s="671" t="s">
        <v>38</v>
      </c>
      <c r="X249" s="671" t="s">
        <v>38</v>
      </c>
      <c r="AB249" s="671" t="s">
        <v>38</v>
      </c>
      <c r="AE249" s="671" t="s">
        <v>38</v>
      </c>
      <c r="AH249" s="671" t="s">
        <v>38</v>
      </c>
      <c r="AK249" s="671" t="s">
        <v>38</v>
      </c>
      <c r="AN249" s="671" t="s">
        <v>38</v>
      </c>
      <c r="AQ249" s="671" t="s">
        <v>38</v>
      </c>
      <c r="AR249" s="656" t="str">
        <f>Select_naics2022[[#This Row],[2022 NAICS Code]]&amp;":  "&amp;Select_naics2022[[#This Row],[2022 NAICS Title]]</f>
        <v>325120:  Industrial Gas Manufacturing</v>
      </c>
      <c r="AS249" s="656">
        <v>325120</v>
      </c>
      <c r="AT249" s="656" t="s">
        <v>889</v>
      </c>
      <c r="AU249" s="656" t="str">
        <f>Select_naics2022[[#This Row],[2022 NAICS Title]]</f>
        <v>Industrial Gas Manufacturing</v>
      </c>
      <c r="AY249" s="671" t="s">
        <v>38</v>
      </c>
      <c r="BB249" s="671" t="s">
        <v>38</v>
      </c>
      <c r="BE249" s="671" t="s">
        <v>38</v>
      </c>
      <c r="BH249" s="671" t="s">
        <v>38</v>
      </c>
      <c r="BK249" s="671" t="s">
        <v>38</v>
      </c>
      <c r="BN249" s="671" t="s">
        <v>38</v>
      </c>
      <c r="BQ249" s="671" t="s">
        <v>38</v>
      </c>
      <c r="BT249" s="671" t="s">
        <v>38</v>
      </c>
      <c r="BW249" s="671" t="s">
        <v>38</v>
      </c>
      <c r="BZ249" s="671" t="s">
        <v>38</v>
      </c>
    </row>
    <row r="250" spans="2:78" x14ac:dyDescent="0.25">
      <c r="B250" s="671" t="s">
        <v>38</v>
      </c>
      <c r="I250" s="671" t="s">
        <v>38</v>
      </c>
      <c r="L250" s="671" t="s">
        <v>38</v>
      </c>
      <c r="O250" s="671" t="s">
        <v>38</v>
      </c>
      <c r="R250" s="671" t="s">
        <v>38</v>
      </c>
      <c r="U250" s="671" t="s">
        <v>38</v>
      </c>
      <c r="X250" s="671" t="s">
        <v>38</v>
      </c>
      <c r="AB250" s="671" t="s">
        <v>38</v>
      </c>
      <c r="AE250" s="671" t="s">
        <v>38</v>
      </c>
      <c r="AH250" s="671" t="s">
        <v>38</v>
      </c>
      <c r="AK250" s="671" t="s">
        <v>38</v>
      </c>
      <c r="AN250" s="671" t="s">
        <v>38</v>
      </c>
      <c r="AQ250" s="671" t="s">
        <v>38</v>
      </c>
      <c r="AR250" s="656" t="str">
        <f>Select_naics2022[[#This Row],[2022 NAICS Code]]&amp;":  "&amp;Select_naics2022[[#This Row],[2022 NAICS Title]]</f>
        <v>325130:  Synthetic Dye and Pigment Manufacturing</v>
      </c>
      <c r="AS250" s="656">
        <v>325130</v>
      </c>
      <c r="AT250" s="656" t="s">
        <v>890</v>
      </c>
      <c r="AU250" s="656" t="str">
        <f>Select_naics2022[[#This Row],[2022 NAICS Title]]</f>
        <v>Synthetic Dye and Pigment Manufacturing</v>
      </c>
      <c r="AY250" s="671" t="s">
        <v>38</v>
      </c>
      <c r="BB250" s="671" t="s">
        <v>38</v>
      </c>
      <c r="BE250" s="671" t="s">
        <v>38</v>
      </c>
      <c r="BH250" s="671" t="s">
        <v>38</v>
      </c>
      <c r="BK250" s="671" t="s">
        <v>38</v>
      </c>
      <c r="BN250" s="671" t="s">
        <v>38</v>
      </c>
      <c r="BQ250" s="671" t="s">
        <v>38</v>
      </c>
      <c r="BT250" s="671" t="s">
        <v>38</v>
      </c>
      <c r="BW250" s="671" t="s">
        <v>38</v>
      </c>
      <c r="BZ250" s="671" t="s">
        <v>38</v>
      </c>
    </row>
    <row r="251" spans="2:78" x14ac:dyDescent="0.25">
      <c r="B251" s="671" t="s">
        <v>38</v>
      </c>
      <c r="I251" s="671" t="s">
        <v>38</v>
      </c>
      <c r="L251" s="671" t="s">
        <v>38</v>
      </c>
      <c r="O251" s="671" t="s">
        <v>38</v>
      </c>
      <c r="R251" s="671" t="s">
        <v>38</v>
      </c>
      <c r="U251" s="671" t="s">
        <v>38</v>
      </c>
      <c r="X251" s="671" t="s">
        <v>38</v>
      </c>
      <c r="AB251" s="671" t="s">
        <v>38</v>
      </c>
      <c r="AE251" s="671" t="s">
        <v>38</v>
      </c>
      <c r="AH251" s="671" t="s">
        <v>38</v>
      </c>
      <c r="AK251" s="671" t="s">
        <v>38</v>
      </c>
      <c r="AN251" s="671" t="s">
        <v>38</v>
      </c>
      <c r="AQ251" s="671" t="s">
        <v>38</v>
      </c>
      <c r="AR251" s="656" t="str">
        <f>Select_naics2022[[#This Row],[2022 NAICS Code]]&amp;":  "&amp;Select_naics2022[[#This Row],[2022 NAICS Title]]</f>
        <v xml:space="preserve">325180:  Other Basic Inorganic Chemical Manufacturing </v>
      </c>
      <c r="AS251" s="656">
        <v>325180</v>
      </c>
      <c r="AT251" s="656" t="s">
        <v>891</v>
      </c>
      <c r="AU251" s="656" t="str">
        <f>Select_naics2022[[#This Row],[2022 NAICS Title]]</f>
        <v xml:space="preserve">Other Basic Inorganic Chemical Manufacturing </v>
      </c>
      <c r="AY251" s="671" t="s">
        <v>38</v>
      </c>
      <c r="BB251" s="671" t="s">
        <v>38</v>
      </c>
      <c r="BE251" s="671" t="s">
        <v>38</v>
      </c>
      <c r="BH251" s="671" t="s">
        <v>38</v>
      </c>
      <c r="BK251" s="671" t="s">
        <v>38</v>
      </c>
      <c r="BN251" s="671" t="s">
        <v>38</v>
      </c>
      <c r="BQ251" s="671" t="s">
        <v>38</v>
      </c>
      <c r="BT251" s="671" t="s">
        <v>38</v>
      </c>
      <c r="BW251" s="671" t="s">
        <v>38</v>
      </c>
      <c r="BZ251" s="671" t="s">
        <v>38</v>
      </c>
    </row>
    <row r="252" spans="2:78" x14ac:dyDescent="0.25">
      <c r="X252" s="671" t="s">
        <v>38</v>
      </c>
      <c r="AR252" s="656" t="str">
        <f>Select_naics2022[[#This Row],[2022 NAICS Code]]&amp;":  "&amp;Select_naics2022[[#This Row],[2022 NAICS Title]]</f>
        <v xml:space="preserve">325193:  Ethyl Alcohol Manufacturing </v>
      </c>
      <c r="AS252" s="656">
        <v>325193</v>
      </c>
      <c r="AT252" s="656" t="s">
        <v>892</v>
      </c>
      <c r="AU252" s="656" t="str">
        <f>Select_naics2022[[#This Row],[2022 NAICS Title]]</f>
        <v xml:space="preserve">Ethyl Alcohol Manufacturing </v>
      </c>
    </row>
    <row r="253" spans="2:78" x14ac:dyDescent="0.25">
      <c r="X253" s="671" t="s">
        <v>38</v>
      </c>
      <c r="AR253" s="656" t="str">
        <f>Select_naics2022[[#This Row],[2022 NAICS Code]]&amp;":  "&amp;Select_naics2022[[#This Row],[2022 NAICS Title]]</f>
        <v xml:space="preserve">325194:  Cyclic Crude, Intermediate, and Gum and Wood Chemical Manufacturing </v>
      </c>
      <c r="AS253" s="656">
        <v>325194</v>
      </c>
      <c r="AT253" s="656" t="s">
        <v>893</v>
      </c>
      <c r="AU253" s="656" t="str">
        <f>Select_naics2022[[#This Row],[2022 NAICS Title]]</f>
        <v xml:space="preserve">Cyclic Crude, Intermediate, and Gum and Wood Chemical Manufacturing </v>
      </c>
    </row>
    <row r="254" spans="2:78" x14ac:dyDescent="0.25">
      <c r="X254" s="671" t="s">
        <v>38</v>
      </c>
      <c r="AR254" s="656" t="str">
        <f>Select_naics2022[[#This Row],[2022 NAICS Code]]&amp;":  "&amp;Select_naics2022[[#This Row],[2022 NAICS Title]]</f>
        <v xml:space="preserve">325199:  All Other Basic Organic Chemical Manufacturing </v>
      </c>
      <c r="AS254" s="656">
        <v>325199</v>
      </c>
      <c r="AT254" s="656" t="s">
        <v>894</v>
      </c>
      <c r="AU254" s="656" t="str">
        <f>Select_naics2022[[#This Row],[2022 NAICS Title]]</f>
        <v xml:space="preserve">All Other Basic Organic Chemical Manufacturing </v>
      </c>
    </row>
    <row r="255" spans="2:78" x14ac:dyDescent="0.25">
      <c r="X255" s="671" t="s">
        <v>38</v>
      </c>
      <c r="AR255" s="656" t="str">
        <f>Select_naics2022[[#This Row],[2022 NAICS Code]]&amp;":  "&amp;Select_naics2022[[#This Row],[2022 NAICS Title]]</f>
        <v xml:space="preserve">325211:  Plastics Material and Resin Manufacturing </v>
      </c>
      <c r="AS255" s="656">
        <v>325211</v>
      </c>
      <c r="AT255" s="656" t="s">
        <v>895</v>
      </c>
      <c r="AU255" s="656" t="str">
        <f>Select_naics2022[[#This Row],[2022 NAICS Title]]</f>
        <v xml:space="preserve">Plastics Material and Resin Manufacturing </v>
      </c>
    </row>
    <row r="256" spans="2:78" x14ac:dyDescent="0.25">
      <c r="X256" s="671" t="s">
        <v>38</v>
      </c>
      <c r="AR256" s="656" t="str">
        <f>Select_naics2022[[#This Row],[2022 NAICS Code]]&amp;":  "&amp;Select_naics2022[[#This Row],[2022 NAICS Title]]</f>
        <v xml:space="preserve">325212:  Synthetic Rubber Manufacturing </v>
      </c>
      <c r="AS256" s="656">
        <v>325212</v>
      </c>
      <c r="AT256" s="656" t="s">
        <v>896</v>
      </c>
      <c r="AU256" s="656" t="str">
        <f>Select_naics2022[[#This Row],[2022 NAICS Title]]</f>
        <v xml:space="preserve">Synthetic Rubber Manufacturing </v>
      </c>
    </row>
    <row r="257" spans="24:47" x14ac:dyDescent="0.25">
      <c r="X257" s="671" t="s">
        <v>38</v>
      </c>
      <c r="AR257" s="656" t="str">
        <f>Select_naics2022[[#This Row],[2022 NAICS Code]]&amp;":  "&amp;Select_naics2022[[#This Row],[2022 NAICS Title]]</f>
        <v>325220:  Artificial and Synthetic Fibers and Filaments Manufacturing</v>
      </c>
      <c r="AS257" s="656">
        <v>325220</v>
      </c>
      <c r="AT257" s="656" t="s">
        <v>897</v>
      </c>
      <c r="AU257" s="656" t="str">
        <f>Select_naics2022[[#This Row],[2022 NAICS Title]]</f>
        <v>Artificial and Synthetic Fibers and Filaments Manufacturing</v>
      </c>
    </row>
    <row r="258" spans="24:47" x14ac:dyDescent="0.25">
      <c r="X258" s="671" t="s">
        <v>38</v>
      </c>
      <c r="AR258" s="656" t="str">
        <f>Select_naics2022[[#This Row],[2022 NAICS Code]]&amp;":  "&amp;Select_naics2022[[#This Row],[2022 NAICS Title]]</f>
        <v xml:space="preserve">325311:  Nitrogenous Fertilizer Manufacturing </v>
      </c>
      <c r="AS258" s="656">
        <v>325311</v>
      </c>
      <c r="AT258" s="656" t="s">
        <v>898</v>
      </c>
      <c r="AU258" s="656" t="str">
        <f>Select_naics2022[[#This Row],[2022 NAICS Title]]</f>
        <v xml:space="preserve">Nitrogenous Fertilizer Manufacturing </v>
      </c>
    </row>
    <row r="259" spans="24:47" x14ac:dyDescent="0.25">
      <c r="X259" s="671" t="s">
        <v>38</v>
      </c>
      <c r="AR259" s="656" t="str">
        <f>Select_naics2022[[#This Row],[2022 NAICS Code]]&amp;":  "&amp;Select_naics2022[[#This Row],[2022 NAICS Title]]</f>
        <v xml:space="preserve">325312:  Phosphatic Fertilizer Manufacturing </v>
      </c>
      <c r="AS259" s="656">
        <v>325312</v>
      </c>
      <c r="AT259" s="656" t="s">
        <v>899</v>
      </c>
      <c r="AU259" s="656" t="str">
        <f>Select_naics2022[[#This Row],[2022 NAICS Title]]</f>
        <v xml:space="preserve">Phosphatic Fertilizer Manufacturing </v>
      </c>
    </row>
    <row r="260" spans="24:47" x14ac:dyDescent="0.25">
      <c r="X260" s="671" t="s">
        <v>38</v>
      </c>
      <c r="AR260" s="656" t="str">
        <f>Select_naics2022[[#This Row],[2022 NAICS Code]]&amp;":  "&amp;Select_naics2022[[#This Row],[2022 NAICS Title]]</f>
        <v xml:space="preserve">325314:  Fertilizer (Mixing Only) Manufacturing </v>
      </c>
      <c r="AS260" s="656">
        <v>325314</v>
      </c>
      <c r="AT260" s="656" t="s">
        <v>900</v>
      </c>
      <c r="AU260" s="656" t="str">
        <f>Select_naics2022[[#This Row],[2022 NAICS Title]]</f>
        <v xml:space="preserve">Fertilizer (Mixing Only) Manufacturing </v>
      </c>
    </row>
    <row r="261" spans="24:47" x14ac:dyDescent="0.25">
      <c r="AR261" s="656" t="str">
        <f>Select_naics2022[[#This Row],[2022 NAICS Code]]&amp;":  "&amp;Select_naics2022[[#This Row],[2022 NAICS Title]]</f>
        <v>325315:  Compost Manufacturing</v>
      </c>
      <c r="AS261" s="656">
        <v>325315</v>
      </c>
      <c r="AT261" s="656" t="s">
        <v>901</v>
      </c>
      <c r="AU261" s="656" t="str">
        <f>Select_naics2022[[#This Row],[2022 NAICS Title]]</f>
        <v>Compost Manufacturing</v>
      </c>
    </row>
    <row r="262" spans="24:47" x14ac:dyDescent="0.25">
      <c r="AR262" s="656" t="str">
        <f>Select_naics2022[[#This Row],[2022 NAICS Code]]&amp;":  "&amp;Select_naics2022[[#This Row],[2022 NAICS Title]]</f>
        <v>325320:  Pesticide and Other Agricultural Chemical Manufacturing</v>
      </c>
      <c r="AS262" s="656">
        <v>325320</v>
      </c>
      <c r="AT262" s="656" t="s">
        <v>902</v>
      </c>
      <c r="AU262" s="656" t="str">
        <f>Select_naics2022[[#This Row],[2022 NAICS Title]]</f>
        <v>Pesticide and Other Agricultural Chemical Manufacturing</v>
      </c>
    </row>
    <row r="263" spans="24:47" x14ac:dyDescent="0.25">
      <c r="AR263" s="656" t="str">
        <f>Select_naics2022[[#This Row],[2022 NAICS Code]]&amp;":  "&amp;Select_naics2022[[#This Row],[2022 NAICS Title]]</f>
        <v xml:space="preserve">325411:  Medicinal and Botanical Manufacturing </v>
      </c>
      <c r="AS263" s="656">
        <v>325411</v>
      </c>
      <c r="AT263" s="656" t="s">
        <v>903</v>
      </c>
      <c r="AU263" s="656" t="str">
        <f>Select_naics2022[[#This Row],[2022 NAICS Title]]</f>
        <v xml:space="preserve">Medicinal and Botanical Manufacturing </v>
      </c>
    </row>
    <row r="264" spans="24:47" x14ac:dyDescent="0.25">
      <c r="AR264" s="656" t="str">
        <f>Select_naics2022[[#This Row],[2022 NAICS Code]]&amp;":  "&amp;Select_naics2022[[#This Row],[2022 NAICS Title]]</f>
        <v xml:space="preserve">325412:  Pharmaceutical Preparation Manufacturing </v>
      </c>
      <c r="AS264" s="656">
        <v>325412</v>
      </c>
      <c r="AT264" s="656" t="s">
        <v>904</v>
      </c>
      <c r="AU264" s="656" t="str">
        <f>Select_naics2022[[#This Row],[2022 NAICS Title]]</f>
        <v xml:space="preserve">Pharmaceutical Preparation Manufacturing </v>
      </c>
    </row>
    <row r="265" spans="24:47" x14ac:dyDescent="0.25">
      <c r="AR265" s="656" t="str">
        <f>Select_naics2022[[#This Row],[2022 NAICS Code]]&amp;":  "&amp;Select_naics2022[[#This Row],[2022 NAICS Title]]</f>
        <v xml:space="preserve">325413:  In-Vitro Diagnostic Substance Manufacturing </v>
      </c>
      <c r="AS265" s="656">
        <v>325413</v>
      </c>
      <c r="AT265" s="656" t="s">
        <v>905</v>
      </c>
      <c r="AU265" s="656" t="str">
        <f>Select_naics2022[[#This Row],[2022 NAICS Title]]</f>
        <v xml:space="preserve">In-Vitro Diagnostic Substance Manufacturing </v>
      </c>
    </row>
    <row r="266" spans="24:47" x14ac:dyDescent="0.25">
      <c r="AR266" s="656" t="str">
        <f>Select_naics2022[[#This Row],[2022 NAICS Code]]&amp;":  "&amp;Select_naics2022[[#This Row],[2022 NAICS Title]]</f>
        <v xml:space="preserve">325414:  Biological Product (except Diagnostic) Manufacturing </v>
      </c>
      <c r="AS266" s="656">
        <v>325414</v>
      </c>
      <c r="AT266" s="656" t="s">
        <v>906</v>
      </c>
      <c r="AU266" s="656" t="str">
        <f>Select_naics2022[[#This Row],[2022 NAICS Title]]</f>
        <v xml:space="preserve">Biological Product (except Diagnostic) Manufacturing </v>
      </c>
    </row>
    <row r="267" spans="24:47" x14ac:dyDescent="0.25">
      <c r="AR267" s="656" t="str">
        <f>Select_naics2022[[#This Row],[2022 NAICS Code]]&amp;":  "&amp;Select_naics2022[[#This Row],[2022 NAICS Title]]</f>
        <v>325510:  Paint and Coating Manufacturing</v>
      </c>
      <c r="AS267" s="656">
        <v>325510</v>
      </c>
      <c r="AT267" s="656" t="s">
        <v>907</v>
      </c>
      <c r="AU267" s="656" t="str">
        <f>Select_naics2022[[#This Row],[2022 NAICS Title]]</f>
        <v>Paint and Coating Manufacturing</v>
      </c>
    </row>
    <row r="268" spans="24:47" x14ac:dyDescent="0.25">
      <c r="AR268" s="656" t="str">
        <f>Select_naics2022[[#This Row],[2022 NAICS Code]]&amp;":  "&amp;Select_naics2022[[#This Row],[2022 NAICS Title]]</f>
        <v>325520:  Adhesive Manufacturing</v>
      </c>
      <c r="AS268" s="656">
        <v>325520</v>
      </c>
      <c r="AT268" s="656" t="s">
        <v>908</v>
      </c>
      <c r="AU268" s="656" t="str">
        <f>Select_naics2022[[#This Row],[2022 NAICS Title]]</f>
        <v>Adhesive Manufacturing</v>
      </c>
    </row>
    <row r="269" spans="24:47" x14ac:dyDescent="0.25">
      <c r="AR269" s="656" t="str">
        <f>Select_naics2022[[#This Row],[2022 NAICS Code]]&amp;":  "&amp;Select_naics2022[[#This Row],[2022 NAICS Title]]</f>
        <v xml:space="preserve">325611:  Soap and Other Detergent Manufacturing </v>
      </c>
      <c r="AS269" s="656">
        <v>325611</v>
      </c>
      <c r="AT269" s="656" t="s">
        <v>909</v>
      </c>
      <c r="AU269" s="656" t="str">
        <f>Select_naics2022[[#This Row],[2022 NAICS Title]]</f>
        <v xml:space="preserve">Soap and Other Detergent Manufacturing </v>
      </c>
    </row>
    <row r="270" spans="24:47" x14ac:dyDescent="0.25">
      <c r="AR270" s="656" t="str">
        <f>Select_naics2022[[#This Row],[2022 NAICS Code]]&amp;":  "&amp;Select_naics2022[[#This Row],[2022 NAICS Title]]</f>
        <v xml:space="preserve">325612:  Polish and Other Sanitation Good Manufacturing </v>
      </c>
      <c r="AS270" s="656">
        <v>325612</v>
      </c>
      <c r="AT270" s="656" t="s">
        <v>910</v>
      </c>
      <c r="AU270" s="656" t="str">
        <f>Select_naics2022[[#This Row],[2022 NAICS Title]]</f>
        <v xml:space="preserve">Polish and Other Sanitation Good Manufacturing </v>
      </c>
    </row>
    <row r="271" spans="24:47" x14ac:dyDescent="0.25">
      <c r="AR271" s="656" t="str">
        <f>Select_naics2022[[#This Row],[2022 NAICS Code]]&amp;":  "&amp;Select_naics2022[[#This Row],[2022 NAICS Title]]</f>
        <v xml:space="preserve">325613:  Surface Active Agent Manufacturing </v>
      </c>
      <c r="AS271" s="656">
        <v>325613</v>
      </c>
      <c r="AT271" s="656" t="s">
        <v>911</v>
      </c>
      <c r="AU271" s="656" t="str">
        <f>Select_naics2022[[#This Row],[2022 NAICS Title]]</f>
        <v xml:space="preserve">Surface Active Agent Manufacturing </v>
      </c>
    </row>
    <row r="272" spans="24:47" x14ac:dyDescent="0.25">
      <c r="AR272" s="656" t="str">
        <f>Select_naics2022[[#This Row],[2022 NAICS Code]]&amp;":  "&amp;Select_naics2022[[#This Row],[2022 NAICS Title]]</f>
        <v>325620:  Toilet Preparation Manufacturing</v>
      </c>
      <c r="AS272" s="656">
        <v>325620</v>
      </c>
      <c r="AT272" s="656" t="s">
        <v>912</v>
      </c>
      <c r="AU272" s="656" t="str">
        <f>Select_naics2022[[#This Row],[2022 NAICS Title]]</f>
        <v>Toilet Preparation Manufacturing</v>
      </c>
    </row>
    <row r="273" spans="44:47" x14ac:dyDescent="0.25">
      <c r="AR273" s="656" t="str">
        <f>Select_naics2022[[#This Row],[2022 NAICS Code]]&amp;":  "&amp;Select_naics2022[[#This Row],[2022 NAICS Title]]</f>
        <v>325910:  Printing Ink Manufacturing</v>
      </c>
      <c r="AS273" s="656">
        <v>325910</v>
      </c>
      <c r="AT273" s="656" t="s">
        <v>913</v>
      </c>
      <c r="AU273" s="656" t="str">
        <f>Select_naics2022[[#This Row],[2022 NAICS Title]]</f>
        <v>Printing Ink Manufacturing</v>
      </c>
    </row>
    <row r="274" spans="44:47" x14ac:dyDescent="0.25">
      <c r="AR274" s="656" t="str">
        <f>Select_naics2022[[#This Row],[2022 NAICS Code]]&amp;":  "&amp;Select_naics2022[[#This Row],[2022 NAICS Title]]</f>
        <v>325920:  Explosives Manufacturing</v>
      </c>
      <c r="AS274" s="656">
        <v>325920</v>
      </c>
      <c r="AT274" s="656" t="s">
        <v>914</v>
      </c>
      <c r="AU274" s="656" t="str">
        <f>Select_naics2022[[#This Row],[2022 NAICS Title]]</f>
        <v>Explosives Manufacturing</v>
      </c>
    </row>
    <row r="275" spans="44:47" x14ac:dyDescent="0.25">
      <c r="AR275" s="656" t="str">
        <f>Select_naics2022[[#This Row],[2022 NAICS Code]]&amp;":  "&amp;Select_naics2022[[#This Row],[2022 NAICS Title]]</f>
        <v xml:space="preserve">325991:  Custom Compounding of Purchased Resins </v>
      </c>
      <c r="AS275" s="656">
        <v>325991</v>
      </c>
      <c r="AT275" s="656" t="s">
        <v>915</v>
      </c>
      <c r="AU275" s="656" t="str">
        <f>Select_naics2022[[#This Row],[2022 NAICS Title]]</f>
        <v xml:space="preserve">Custom Compounding of Purchased Resins </v>
      </c>
    </row>
    <row r="276" spans="44:47" x14ac:dyDescent="0.25">
      <c r="AR276" s="656" t="str">
        <f>Select_naics2022[[#This Row],[2022 NAICS Code]]&amp;":  "&amp;Select_naics2022[[#This Row],[2022 NAICS Title]]</f>
        <v xml:space="preserve">325992:  Photographic Film, Paper, Plate, Chemical, and Copy Toner Manufacturing </v>
      </c>
      <c r="AS276" s="656">
        <v>325992</v>
      </c>
      <c r="AT276" s="656" t="s">
        <v>916</v>
      </c>
      <c r="AU276" s="656" t="str">
        <f>Select_naics2022[[#This Row],[2022 NAICS Title]]</f>
        <v xml:space="preserve">Photographic Film, Paper, Plate, Chemical, and Copy Toner Manufacturing </v>
      </c>
    </row>
    <row r="277" spans="44:47" x14ac:dyDescent="0.25">
      <c r="AR277" s="656" t="str">
        <f>Select_naics2022[[#This Row],[2022 NAICS Code]]&amp;":  "&amp;Select_naics2022[[#This Row],[2022 NAICS Title]]</f>
        <v xml:space="preserve">325998:  All Other Miscellaneous Chemical Product and Preparation Manufacturing </v>
      </c>
      <c r="AS277" s="656">
        <v>325998</v>
      </c>
      <c r="AT277" s="656" t="s">
        <v>917</v>
      </c>
      <c r="AU277" s="656" t="str">
        <f>Select_naics2022[[#This Row],[2022 NAICS Title]]</f>
        <v xml:space="preserve">All Other Miscellaneous Chemical Product and Preparation Manufacturing </v>
      </c>
    </row>
    <row r="278" spans="44:47" x14ac:dyDescent="0.25">
      <c r="AR278" s="656" t="str">
        <f>Select_naics2022[[#This Row],[2022 NAICS Code]]&amp;":  "&amp;Select_naics2022[[#This Row],[2022 NAICS Title]]</f>
        <v xml:space="preserve">326111:  Plastics Bag and Pouch Manufacturing </v>
      </c>
      <c r="AS278" s="656">
        <v>326111</v>
      </c>
      <c r="AT278" s="656" t="s">
        <v>918</v>
      </c>
      <c r="AU278" s="656" t="str">
        <f>Select_naics2022[[#This Row],[2022 NAICS Title]]</f>
        <v xml:space="preserve">Plastics Bag and Pouch Manufacturing </v>
      </c>
    </row>
    <row r="279" spans="44:47" x14ac:dyDescent="0.25">
      <c r="AR279" s="656" t="str">
        <f>Select_naics2022[[#This Row],[2022 NAICS Code]]&amp;":  "&amp;Select_naics2022[[#This Row],[2022 NAICS Title]]</f>
        <v xml:space="preserve">326112:  Plastics Packaging Film and Sheet (including Laminated) Manufacturing </v>
      </c>
      <c r="AS279" s="656">
        <v>326112</v>
      </c>
      <c r="AT279" s="656" t="s">
        <v>919</v>
      </c>
      <c r="AU279" s="656" t="str">
        <f>Select_naics2022[[#This Row],[2022 NAICS Title]]</f>
        <v xml:space="preserve">Plastics Packaging Film and Sheet (including Laminated) Manufacturing </v>
      </c>
    </row>
    <row r="280" spans="44:47" x14ac:dyDescent="0.25">
      <c r="AR280" s="656" t="str">
        <f>Select_naics2022[[#This Row],[2022 NAICS Code]]&amp;":  "&amp;Select_naics2022[[#This Row],[2022 NAICS Title]]</f>
        <v xml:space="preserve">326113:  Unlaminated Plastics Film and Sheet (except Packaging) Manufacturing </v>
      </c>
      <c r="AS280" s="656">
        <v>326113</v>
      </c>
      <c r="AT280" s="656" t="s">
        <v>920</v>
      </c>
      <c r="AU280" s="656" t="str">
        <f>Select_naics2022[[#This Row],[2022 NAICS Title]]</f>
        <v xml:space="preserve">Unlaminated Plastics Film and Sheet (except Packaging) Manufacturing </v>
      </c>
    </row>
    <row r="281" spans="44:47" x14ac:dyDescent="0.25">
      <c r="AR281" s="656" t="str">
        <f>Select_naics2022[[#This Row],[2022 NAICS Code]]&amp;":  "&amp;Select_naics2022[[#This Row],[2022 NAICS Title]]</f>
        <v xml:space="preserve">326121:  Unlaminated Plastics Profile Shape Manufacturing </v>
      </c>
      <c r="AS281" s="656">
        <v>326121</v>
      </c>
      <c r="AT281" s="656" t="s">
        <v>921</v>
      </c>
      <c r="AU281" s="656" t="str">
        <f>Select_naics2022[[#This Row],[2022 NAICS Title]]</f>
        <v xml:space="preserve">Unlaminated Plastics Profile Shape Manufacturing </v>
      </c>
    </row>
    <row r="282" spans="44:47" x14ac:dyDescent="0.25">
      <c r="AR282" s="656" t="str">
        <f>Select_naics2022[[#This Row],[2022 NAICS Code]]&amp;":  "&amp;Select_naics2022[[#This Row],[2022 NAICS Title]]</f>
        <v xml:space="preserve">326122:  Plastics Pipe and Pipe Fitting Manufacturing </v>
      </c>
      <c r="AS282" s="656">
        <v>326122</v>
      </c>
      <c r="AT282" s="656" t="s">
        <v>922</v>
      </c>
      <c r="AU282" s="656" t="str">
        <f>Select_naics2022[[#This Row],[2022 NAICS Title]]</f>
        <v xml:space="preserve">Plastics Pipe and Pipe Fitting Manufacturing </v>
      </c>
    </row>
    <row r="283" spans="44:47" x14ac:dyDescent="0.25">
      <c r="AR283" s="656" t="str">
        <f>Select_naics2022[[#This Row],[2022 NAICS Code]]&amp;":  "&amp;Select_naics2022[[#This Row],[2022 NAICS Title]]</f>
        <v>326130:  Laminated Plastics Plate, Sheet (except Packaging), and Shape Manufacturing</v>
      </c>
      <c r="AS283" s="656">
        <v>326130</v>
      </c>
      <c r="AT283" s="656" t="s">
        <v>923</v>
      </c>
      <c r="AU283" s="656" t="str">
        <f>Select_naics2022[[#This Row],[2022 NAICS Title]]</f>
        <v>Laminated Plastics Plate, Sheet (except Packaging), and Shape Manufacturing</v>
      </c>
    </row>
    <row r="284" spans="44:47" x14ac:dyDescent="0.25">
      <c r="AR284" s="656" t="str">
        <f>Select_naics2022[[#This Row],[2022 NAICS Code]]&amp;":  "&amp;Select_naics2022[[#This Row],[2022 NAICS Title]]</f>
        <v>326140:  Polystyrene Foam Product Manufacturing</v>
      </c>
      <c r="AS284" s="656">
        <v>326140</v>
      </c>
      <c r="AT284" s="656" t="s">
        <v>924</v>
      </c>
      <c r="AU284" s="656" t="str">
        <f>Select_naics2022[[#This Row],[2022 NAICS Title]]</f>
        <v>Polystyrene Foam Product Manufacturing</v>
      </c>
    </row>
    <row r="285" spans="44:47" x14ac:dyDescent="0.25">
      <c r="AR285" s="656" t="str">
        <f>Select_naics2022[[#This Row],[2022 NAICS Code]]&amp;":  "&amp;Select_naics2022[[#This Row],[2022 NAICS Title]]</f>
        <v>326150:  Urethane and Other Foam Product (except Polystyrene) Manufacturing</v>
      </c>
      <c r="AS285" s="656">
        <v>326150</v>
      </c>
      <c r="AT285" s="656" t="s">
        <v>925</v>
      </c>
      <c r="AU285" s="656" t="str">
        <f>Select_naics2022[[#This Row],[2022 NAICS Title]]</f>
        <v>Urethane and Other Foam Product (except Polystyrene) Manufacturing</v>
      </c>
    </row>
    <row r="286" spans="44:47" x14ac:dyDescent="0.25">
      <c r="AR286" s="656" t="str">
        <f>Select_naics2022[[#This Row],[2022 NAICS Code]]&amp;":  "&amp;Select_naics2022[[#This Row],[2022 NAICS Title]]</f>
        <v>326160:  Plastics Bottle Manufacturing</v>
      </c>
      <c r="AS286" s="656">
        <v>326160</v>
      </c>
      <c r="AT286" s="656" t="s">
        <v>926</v>
      </c>
      <c r="AU286" s="656" t="str">
        <f>Select_naics2022[[#This Row],[2022 NAICS Title]]</f>
        <v>Plastics Bottle Manufacturing</v>
      </c>
    </row>
    <row r="287" spans="44:47" x14ac:dyDescent="0.25">
      <c r="AR287" s="656" t="str">
        <f>Select_naics2022[[#This Row],[2022 NAICS Code]]&amp;":  "&amp;Select_naics2022[[#This Row],[2022 NAICS Title]]</f>
        <v xml:space="preserve">326191:  Plastics Plumbing Fixture Manufacturing </v>
      </c>
      <c r="AS287" s="656">
        <v>326191</v>
      </c>
      <c r="AT287" s="656" t="s">
        <v>927</v>
      </c>
      <c r="AU287" s="656" t="str">
        <f>Select_naics2022[[#This Row],[2022 NAICS Title]]</f>
        <v xml:space="preserve">Plastics Plumbing Fixture Manufacturing </v>
      </c>
    </row>
    <row r="288" spans="44:47" x14ac:dyDescent="0.25">
      <c r="AR288" s="656" t="str">
        <f>Select_naics2022[[#This Row],[2022 NAICS Code]]&amp;":  "&amp;Select_naics2022[[#This Row],[2022 NAICS Title]]</f>
        <v xml:space="preserve">326199:  All Other Plastics Product Manufacturing </v>
      </c>
      <c r="AS288" s="656">
        <v>326199</v>
      </c>
      <c r="AT288" s="656" t="s">
        <v>928</v>
      </c>
      <c r="AU288" s="656" t="str">
        <f>Select_naics2022[[#This Row],[2022 NAICS Title]]</f>
        <v xml:space="preserve">All Other Plastics Product Manufacturing </v>
      </c>
    </row>
    <row r="289" spans="44:47" x14ac:dyDescent="0.25">
      <c r="AR289" s="656" t="str">
        <f>Select_naics2022[[#This Row],[2022 NAICS Code]]&amp;":  "&amp;Select_naics2022[[#This Row],[2022 NAICS Title]]</f>
        <v xml:space="preserve">326211:  Tire Manufacturing (except Retreading) </v>
      </c>
      <c r="AS289" s="656">
        <v>326211</v>
      </c>
      <c r="AT289" s="656" t="s">
        <v>929</v>
      </c>
      <c r="AU289" s="656" t="str">
        <f>Select_naics2022[[#This Row],[2022 NAICS Title]]</f>
        <v xml:space="preserve">Tire Manufacturing (except Retreading) </v>
      </c>
    </row>
    <row r="290" spans="44:47" x14ac:dyDescent="0.25">
      <c r="AR290" s="656" t="str">
        <f>Select_naics2022[[#This Row],[2022 NAICS Code]]&amp;":  "&amp;Select_naics2022[[#This Row],[2022 NAICS Title]]</f>
        <v xml:space="preserve">326212:  Tire Retreading </v>
      </c>
      <c r="AS290" s="656">
        <v>326212</v>
      </c>
      <c r="AT290" s="656" t="s">
        <v>930</v>
      </c>
      <c r="AU290" s="656" t="str">
        <f>Select_naics2022[[#This Row],[2022 NAICS Title]]</f>
        <v xml:space="preserve">Tire Retreading </v>
      </c>
    </row>
    <row r="291" spans="44:47" x14ac:dyDescent="0.25">
      <c r="AR291" s="656" t="str">
        <f>Select_naics2022[[#This Row],[2022 NAICS Code]]&amp;":  "&amp;Select_naics2022[[#This Row],[2022 NAICS Title]]</f>
        <v>326220:  Rubber and Plastics Hoses and Belting Manufacturing</v>
      </c>
      <c r="AS291" s="656">
        <v>326220</v>
      </c>
      <c r="AT291" s="656" t="s">
        <v>931</v>
      </c>
      <c r="AU291" s="656" t="str">
        <f>Select_naics2022[[#This Row],[2022 NAICS Title]]</f>
        <v>Rubber and Plastics Hoses and Belting Manufacturing</v>
      </c>
    </row>
    <row r="292" spans="44:47" x14ac:dyDescent="0.25">
      <c r="AR292" s="656" t="str">
        <f>Select_naics2022[[#This Row],[2022 NAICS Code]]&amp;":  "&amp;Select_naics2022[[#This Row],[2022 NAICS Title]]</f>
        <v xml:space="preserve">326291:  Rubber Product Manufacturing for Mechanical Use </v>
      </c>
      <c r="AS292" s="656">
        <v>326291</v>
      </c>
      <c r="AT292" s="656" t="s">
        <v>932</v>
      </c>
      <c r="AU292" s="656" t="str">
        <f>Select_naics2022[[#This Row],[2022 NAICS Title]]</f>
        <v xml:space="preserve">Rubber Product Manufacturing for Mechanical Use </v>
      </c>
    </row>
    <row r="293" spans="44:47" x14ac:dyDescent="0.25">
      <c r="AR293" s="656" t="str">
        <f>Select_naics2022[[#This Row],[2022 NAICS Code]]&amp;":  "&amp;Select_naics2022[[#This Row],[2022 NAICS Title]]</f>
        <v xml:space="preserve">326299:  All Other Rubber Product Manufacturing </v>
      </c>
      <c r="AS293" s="656">
        <v>326299</v>
      </c>
      <c r="AT293" s="656" t="s">
        <v>933</v>
      </c>
      <c r="AU293" s="656" t="str">
        <f>Select_naics2022[[#This Row],[2022 NAICS Title]]</f>
        <v xml:space="preserve">All Other Rubber Product Manufacturing </v>
      </c>
    </row>
    <row r="294" spans="44:47" x14ac:dyDescent="0.25">
      <c r="AR294" s="656" t="str">
        <f>Select_naics2022[[#This Row],[2022 NAICS Code]]&amp;":  "&amp;Select_naics2022[[#This Row],[2022 NAICS Title]]</f>
        <v xml:space="preserve">327110:  Pottery, Ceramics, and Plumbing Fixture Manufacturing </v>
      </c>
      <c r="AS294" s="656">
        <v>327110</v>
      </c>
      <c r="AT294" s="656" t="s">
        <v>934</v>
      </c>
      <c r="AU294" s="656" t="str">
        <f>Select_naics2022[[#This Row],[2022 NAICS Title]]</f>
        <v xml:space="preserve">Pottery, Ceramics, and Plumbing Fixture Manufacturing </v>
      </c>
    </row>
    <row r="295" spans="44:47" x14ac:dyDescent="0.25">
      <c r="AR295" s="656" t="str">
        <f>Select_naics2022[[#This Row],[2022 NAICS Code]]&amp;":  "&amp;Select_naics2022[[#This Row],[2022 NAICS Title]]</f>
        <v xml:space="preserve">327120:  Clay Building Material and Refractories Manufacturing </v>
      </c>
      <c r="AS295" s="656">
        <v>327120</v>
      </c>
      <c r="AT295" s="656" t="s">
        <v>935</v>
      </c>
      <c r="AU295" s="656" t="str">
        <f>Select_naics2022[[#This Row],[2022 NAICS Title]]</f>
        <v xml:space="preserve">Clay Building Material and Refractories Manufacturing </v>
      </c>
    </row>
    <row r="296" spans="44:47" x14ac:dyDescent="0.25">
      <c r="AR296" s="656" t="str">
        <f>Select_naics2022[[#This Row],[2022 NAICS Code]]&amp;":  "&amp;Select_naics2022[[#This Row],[2022 NAICS Title]]</f>
        <v xml:space="preserve">327211:  Flat Glass Manufacturing </v>
      </c>
      <c r="AS296" s="656">
        <v>327211</v>
      </c>
      <c r="AT296" s="656" t="s">
        <v>936</v>
      </c>
      <c r="AU296" s="656" t="str">
        <f>Select_naics2022[[#This Row],[2022 NAICS Title]]</f>
        <v xml:space="preserve">Flat Glass Manufacturing </v>
      </c>
    </row>
    <row r="297" spans="44:47" x14ac:dyDescent="0.25">
      <c r="AR297" s="656" t="str">
        <f>Select_naics2022[[#This Row],[2022 NAICS Code]]&amp;":  "&amp;Select_naics2022[[#This Row],[2022 NAICS Title]]</f>
        <v xml:space="preserve">327212:  Other Pressed and Blown Glass and Glassware Manufacturing </v>
      </c>
      <c r="AS297" s="656">
        <v>327212</v>
      </c>
      <c r="AT297" s="656" t="s">
        <v>937</v>
      </c>
      <c r="AU297" s="656" t="str">
        <f>Select_naics2022[[#This Row],[2022 NAICS Title]]</f>
        <v xml:space="preserve">Other Pressed and Blown Glass and Glassware Manufacturing </v>
      </c>
    </row>
    <row r="298" spans="44:47" x14ac:dyDescent="0.25">
      <c r="AR298" s="656" t="str">
        <f>Select_naics2022[[#This Row],[2022 NAICS Code]]&amp;":  "&amp;Select_naics2022[[#This Row],[2022 NAICS Title]]</f>
        <v xml:space="preserve">327213:  Glass Container Manufacturing </v>
      </c>
      <c r="AS298" s="656">
        <v>327213</v>
      </c>
      <c r="AT298" s="656" t="s">
        <v>938</v>
      </c>
      <c r="AU298" s="656" t="str">
        <f>Select_naics2022[[#This Row],[2022 NAICS Title]]</f>
        <v xml:space="preserve">Glass Container Manufacturing </v>
      </c>
    </row>
    <row r="299" spans="44:47" x14ac:dyDescent="0.25">
      <c r="AR299" s="656" t="str">
        <f>Select_naics2022[[#This Row],[2022 NAICS Code]]&amp;":  "&amp;Select_naics2022[[#This Row],[2022 NAICS Title]]</f>
        <v xml:space="preserve">327215:  Glass Product Manufacturing Made of Purchased Glass </v>
      </c>
      <c r="AS299" s="656">
        <v>327215</v>
      </c>
      <c r="AT299" s="656" t="s">
        <v>939</v>
      </c>
      <c r="AU299" s="656" t="str">
        <f>Select_naics2022[[#This Row],[2022 NAICS Title]]</f>
        <v xml:space="preserve">Glass Product Manufacturing Made of Purchased Glass </v>
      </c>
    </row>
    <row r="300" spans="44:47" x14ac:dyDescent="0.25">
      <c r="AR300" s="656" t="str">
        <f>Select_naics2022[[#This Row],[2022 NAICS Code]]&amp;":  "&amp;Select_naics2022[[#This Row],[2022 NAICS Title]]</f>
        <v>327310:  Cement Manufacturing</v>
      </c>
      <c r="AS300" s="656">
        <v>327310</v>
      </c>
      <c r="AT300" s="656" t="s">
        <v>940</v>
      </c>
      <c r="AU300" s="656" t="str">
        <f>Select_naics2022[[#This Row],[2022 NAICS Title]]</f>
        <v>Cement Manufacturing</v>
      </c>
    </row>
    <row r="301" spans="44:47" x14ac:dyDescent="0.25">
      <c r="AR301" s="656" t="str">
        <f>Select_naics2022[[#This Row],[2022 NAICS Code]]&amp;":  "&amp;Select_naics2022[[#This Row],[2022 NAICS Title]]</f>
        <v>327320:  Ready-Mix Concrete Manufacturing</v>
      </c>
      <c r="AS301" s="656">
        <v>327320</v>
      </c>
      <c r="AT301" s="656" t="s">
        <v>941</v>
      </c>
      <c r="AU301" s="656" t="str">
        <f>Select_naics2022[[#This Row],[2022 NAICS Title]]</f>
        <v>Ready-Mix Concrete Manufacturing</v>
      </c>
    </row>
    <row r="302" spans="44:47" x14ac:dyDescent="0.25">
      <c r="AR302" s="656" t="str">
        <f>Select_naics2022[[#This Row],[2022 NAICS Code]]&amp;":  "&amp;Select_naics2022[[#This Row],[2022 NAICS Title]]</f>
        <v xml:space="preserve">327331:  Concrete Block and Brick Manufacturing </v>
      </c>
      <c r="AS302" s="656">
        <v>327331</v>
      </c>
      <c r="AT302" s="656" t="s">
        <v>942</v>
      </c>
      <c r="AU302" s="656" t="str">
        <f>Select_naics2022[[#This Row],[2022 NAICS Title]]</f>
        <v xml:space="preserve">Concrete Block and Brick Manufacturing </v>
      </c>
    </row>
    <row r="303" spans="44:47" x14ac:dyDescent="0.25">
      <c r="AR303" s="656" t="str">
        <f>Select_naics2022[[#This Row],[2022 NAICS Code]]&amp;":  "&amp;Select_naics2022[[#This Row],[2022 NAICS Title]]</f>
        <v xml:space="preserve">327332:  Concrete Pipe Manufacturing </v>
      </c>
      <c r="AS303" s="656">
        <v>327332</v>
      </c>
      <c r="AT303" s="656" t="s">
        <v>943</v>
      </c>
      <c r="AU303" s="656" t="str">
        <f>Select_naics2022[[#This Row],[2022 NAICS Title]]</f>
        <v xml:space="preserve">Concrete Pipe Manufacturing </v>
      </c>
    </row>
    <row r="304" spans="44:47" x14ac:dyDescent="0.25">
      <c r="AR304" s="656" t="str">
        <f>Select_naics2022[[#This Row],[2022 NAICS Code]]&amp;":  "&amp;Select_naics2022[[#This Row],[2022 NAICS Title]]</f>
        <v xml:space="preserve">327390:  Other Concrete Product Manufacturing </v>
      </c>
      <c r="AS304" s="656">
        <v>327390</v>
      </c>
      <c r="AT304" s="656" t="s">
        <v>944</v>
      </c>
      <c r="AU304" s="656" t="str">
        <f>Select_naics2022[[#This Row],[2022 NAICS Title]]</f>
        <v xml:space="preserve">Other Concrete Product Manufacturing </v>
      </c>
    </row>
    <row r="305" spans="44:47" x14ac:dyDescent="0.25">
      <c r="AR305" s="656" t="str">
        <f>Select_naics2022[[#This Row],[2022 NAICS Code]]&amp;":  "&amp;Select_naics2022[[#This Row],[2022 NAICS Title]]</f>
        <v>327410:  Lime Manufacturing</v>
      </c>
      <c r="AS305" s="656">
        <v>327410</v>
      </c>
      <c r="AT305" s="656" t="s">
        <v>945</v>
      </c>
      <c r="AU305" s="656" t="str">
        <f>Select_naics2022[[#This Row],[2022 NAICS Title]]</f>
        <v>Lime Manufacturing</v>
      </c>
    </row>
    <row r="306" spans="44:47" x14ac:dyDescent="0.25">
      <c r="AR306" s="656" t="str">
        <f>Select_naics2022[[#This Row],[2022 NAICS Code]]&amp;":  "&amp;Select_naics2022[[#This Row],[2022 NAICS Title]]</f>
        <v>327420:  Gypsum Product Manufacturing</v>
      </c>
      <c r="AS306" s="656">
        <v>327420</v>
      </c>
      <c r="AT306" s="656" t="s">
        <v>946</v>
      </c>
      <c r="AU306" s="656" t="str">
        <f>Select_naics2022[[#This Row],[2022 NAICS Title]]</f>
        <v>Gypsum Product Manufacturing</v>
      </c>
    </row>
    <row r="307" spans="44:47" x14ac:dyDescent="0.25">
      <c r="AR307" s="656" t="str">
        <f>Select_naics2022[[#This Row],[2022 NAICS Code]]&amp;":  "&amp;Select_naics2022[[#This Row],[2022 NAICS Title]]</f>
        <v>327910:  Abrasive Product Manufacturing</v>
      </c>
      <c r="AS307" s="656">
        <v>327910</v>
      </c>
      <c r="AT307" s="656" t="s">
        <v>947</v>
      </c>
      <c r="AU307" s="656" t="str">
        <f>Select_naics2022[[#This Row],[2022 NAICS Title]]</f>
        <v>Abrasive Product Manufacturing</v>
      </c>
    </row>
    <row r="308" spans="44:47" x14ac:dyDescent="0.25">
      <c r="AR308" s="656" t="str">
        <f>Select_naics2022[[#This Row],[2022 NAICS Code]]&amp;":  "&amp;Select_naics2022[[#This Row],[2022 NAICS Title]]</f>
        <v xml:space="preserve">327991:  Cut Stone and Stone Product Manufacturing </v>
      </c>
      <c r="AS308" s="656">
        <v>327991</v>
      </c>
      <c r="AT308" s="656" t="s">
        <v>948</v>
      </c>
      <c r="AU308" s="656" t="str">
        <f>Select_naics2022[[#This Row],[2022 NAICS Title]]</f>
        <v xml:space="preserve">Cut Stone and Stone Product Manufacturing </v>
      </c>
    </row>
    <row r="309" spans="44:47" x14ac:dyDescent="0.25">
      <c r="AR309" s="656" t="str">
        <f>Select_naics2022[[#This Row],[2022 NAICS Code]]&amp;":  "&amp;Select_naics2022[[#This Row],[2022 NAICS Title]]</f>
        <v xml:space="preserve">327992:  Ground or Treated Mineral and Earth Manufacturing </v>
      </c>
      <c r="AS309" s="656">
        <v>327992</v>
      </c>
      <c r="AT309" s="656" t="s">
        <v>949</v>
      </c>
      <c r="AU309" s="656" t="str">
        <f>Select_naics2022[[#This Row],[2022 NAICS Title]]</f>
        <v xml:space="preserve">Ground or Treated Mineral and Earth Manufacturing </v>
      </c>
    </row>
    <row r="310" spans="44:47" x14ac:dyDescent="0.25">
      <c r="AR310" s="656" t="str">
        <f>Select_naics2022[[#This Row],[2022 NAICS Code]]&amp;":  "&amp;Select_naics2022[[#This Row],[2022 NAICS Title]]</f>
        <v xml:space="preserve">327993:  Mineral Wool Manufacturing </v>
      </c>
      <c r="AS310" s="656">
        <v>327993</v>
      </c>
      <c r="AT310" s="656" t="s">
        <v>950</v>
      </c>
      <c r="AU310" s="656" t="str">
        <f>Select_naics2022[[#This Row],[2022 NAICS Title]]</f>
        <v xml:space="preserve">Mineral Wool Manufacturing </v>
      </c>
    </row>
    <row r="311" spans="44:47" x14ac:dyDescent="0.25">
      <c r="AR311" s="656" t="str">
        <f>Select_naics2022[[#This Row],[2022 NAICS Code]]&amp;":  "&amp;Select_naics2022[[#This Row],[2022 NAICS Title]]</f>
        <v xml:space="preserve">327999:  All Other Miscellaneous Nonmetallic Mineral Product Manufacturing </v>
      </c>
      <c r="AS311" s="656">
        <v>327999</v>
      </c>
      <c r="AT311" s="656" t="s">
        <v>951</v>
      </c>
      <c r="AU311" s="656" t="str">
        <f>Select_naics2022[[#This Row],[2022 NAICS Title]]</f>
        <v xml:space="preserve">All Other Miscellaneous Nonmetallic Mineral Product Manufacturing </v>
      </c>
    </row>
    <row r="312" spans="44:47" x14ac:dyDescent="0.25">
      <c r="AR312" s="656" t="str">
        <f>Select_naics2022[[#This Row],[2022 NAICS Code]]&amp;":  "&amp;Select_naics2022[[#This Row],[2022 NAICS Title]]</f>
        <v xml:space="preserve">331110:  Iron and Steel Mills and Ferroalloy Manufacturing </v>
      </c>
      <c r="AS312" s="656">
        <v>331110</v>
      </c>
      <c r="AT312" s="656" t="s">
        <v>952</v>
      </c>
      <c r="AU312" s="656" t="str">
        <f>Select_naics2022[[#This Row],[2022 NAICS Title]]</f>
        <v xml:space="preserve">Iron and Steel Mills and Ferroalloy Manufacturing </v>
      </c>
    </row>
    <row r="313" spans="44:47" x14ac:dyDescent="0.25">
      <c r="AR313" s="656" t="str">
        <f>Select_naics2022[[#This Row],[2022 NAICS Code]]&amp;":  "&amp;Select_naics2022[[#This Row],[2022 NAICS Title]]</f>
        <v>331210:  Iron and Steel Pipe and Tube Manufacturing from Purchased Steel</v>
      </c>
      <c r="AS313" s="656">
        <v>331210</v>
      </c>
      <c r="AT313" s="656" t="s">
        <v>953</v>
      </c>
      <c r="AU313" s="656" t="str">
        <f>Select_naics2022[[#This Row],[2022 NAICS Title]]</f>
        <v>Iron and Steel Pipe and Tube Manufacturing from Purchased Steel</v>
      </c>
    </row>
    <row r="314" spans="44:47" x14ac:dyDescent="0.25">
      <c r="AR314" s="656" t="str">
        <f>Select_naics2022[[#This Row],[2022 NAICS Code]]&amp;":  "&amp;Select_naics2022[[#This Row],[2022 NAICS Title]]</f>
        <v xml:space="preserve">331221:  Rolled Steel Shape Manufacturing </v>
      </c>
      <c r="AS314" s="656">
        <v>331221</v>
      </c>
      <c r="AT314" s="656" t="s">
        <v>954</v>
      </c>
      <c r="AU314" s="656" t="str">
        <f>Select_naics2022[[#This Row],[2022 NAICS Title]]</f>
        <v xml:space="preserve">Rolled Steel Shape Manufacturing </v>
      </c>
    </row>
    <row r="315" spans="44:47" x14ac:dyDescent="0.25">
      <c r="AR315" s="656" t="str">
        <f>Select_naics2022[[#This Row],[2022 NAICS Code]]&amp;":  "&amp;Select_naics2022[[#This Row],[2022 NAICS Title]]</f>
        <v xml:space="preserve">331222:  Steel Wire Drawing </v>
      </c>
      <c r="AS315" s="656">
        <v>331222</v>
      </c>
      <c r="AT315" s="656" t="s">
        <v>955</v>
      </c>
      <c r="AU315" s="656" t="str">
        <f>Select_naics2022[[#This Row],[2022 NAICS Title]]</f>
        <v xml:space="preserve">Steel Wire Drawing </v>
      </c>
    </row>
    <row r="316" spans="44:47" x14ac:dyDescent="0.25">
      <c r="AR316" s="656" t="str">
        <f>Select_naics2022[[#This Row],[2022 NAICS Code]]&amp;":  "&amp;Select_naics2022[[#This Row],[2022 NAICS Title]]</f>
        <v xml:space="preserve">331313:  Alumina Refining and Primary Aluminum Production </v>
      </c>
      <c r="AS316" s="656">
        <v>331313</v>
      </c>
      <c r="AT316" s="656" t="s">
        <v>956</v>
      </c>
      <c r="AU316" s="656" t="str">
        <f>Select_naics2022[[#This Row],[2022 NAICS Title]]</f>
        <v xml:space="preserve">Alumina Refining and Primary Aluminum Production </v>
      </c>
    </row>
    <row r="317" spans="44:47" x14ac:dyDescent="0.25">
      <c r="AR317" s="656" t="str">
        <f>Select_naics2022[[#This Row],[2022 NAICS Code]]&amp;":  "&amp;Select_naics2022[[#This Row],[2022 NAICS Title]]</f>
        <v xml:space="preserve">331314:  Secondary Smelting and Alloying of Aluminum </v>
      </c>
      <c r="AS317" s="656">
        <v>331314</v>
      </c>
      <c r="AT317" s="656" t="s">
        <v>957</v>
      </c>
      <c r="AU317" s="656" t="str">
        <f>Select_naics2022[[#This Row],[2022 NAICS Title]]</f>
        <v xml:space="preserve">Secondary Smelting and Alloying of Aluminum </v>
      </c>
    </row>
    <row r="318" spans="44:47" x14ac:dyDescent="0.25">
      <c r="AR318" s="656" t="str">
        <f>Select_naics2022[[#This Row],[2022 NAICS Code]]&amp;":  "&amp;Select_naics2022[[#This Row],[2022 NAICS Title]]</f>
        <v xml:space="preserve">331315:  Aluminum Sheet, Plate, and Foil Manufacturing </v>
      </c>
      <c r="AS318" s="656">
        <v>331315</v>
      </c>
      <c r="AT318" s="656" t="s">
        <v>958</v>
      </c>
      <c r="AU318" s="656" t="str">
        <f>Select_naics2022[[#This Row],[2022 NAICS Title]]</f>
        <v xml:space="preserve">Aluminum Sheet, Plate, and Foil Manufacturing </v>
      </c>
    </row>
    <row r="319" spans="44:47" x14ac:dyDescent="0.25">
      <c r="AR319" s="656" t="str">
        <f>Select_naics2022[[#This Row],[2022 NAICS Code]]&amp;":  "&amp;Select_naics2022[[#This Row],[2022 NAICS Title]]</f>
        <v xml:space="preserve">331318:  Other Aluminum Rolling, Drawing, and Extruding </v>
      </c>
      <c r="AS319" s="656">
        <v>331318</v>
      </c>
      <c r="AT319" s="656" t="s">
        <v>959</v>
      </c>
      <c r="AU319" s="656" t="str">
        <f>Select_naics2022[[#This Row],[2022 NAICS Title]]</f>
        <v xml:space="preserve">Other Aluminum Rolling, Drawing, and Extruding </v>
      </c>
    </row>
    <row r="320" spans="44:47" x14ac:dyDescent="0.25">
      <c r="AR320" s="656" t="str">
        <f>Select_naics2022[[#This Row],[2022 NAICS Code]]&amp;":  "&amp;Select_naics2022[[#This Row],[2022 NAICS Title]]</f>
        <v xml:space="preserve">331410:  Nonferrous Metal (except Aluminum) Smelting and Refining </v>
      </c>
      <c r="AS320" s="656">
        <v>331410</v>
      </c>
      <c r="AT320" s="656" t="s">
        <v>960</v>
      </c>
      <c r="AU320" s="656" t="str">
        <f>Select_naics2022[[#This Row],[2022 NAICS Title]]</f>
        <v xml:space="preserve">Nonferrous Metal (except Aluminum) Smelting and Refining </v>
      </c>
    </row>
    <row r="321" spans="44:47" x14ac:dyDescent="0.25">
      <c r="AR321" s="656" t="str">
        <f>Select_naics2022[[#This Row],[2022 NAICS Code]]&amp;":  "&amp;Select_naics2022[[#This Row],[2022 NAICS Title]]</f>
        <v>331420:  Copper Rolling, Drawing, Extruding, and Alloying</v>
      </c>
      <c r="AS321" s="656">
        <v>331420</v>
      </c>
      <c r="AT321" s="656" t="s">
        <v>961</v>
      </c>
      <c r="AU321" s="656" t="str">
        <f>Select_naics2022[[#This Row],[2022 NAICS Title]]</f>
        <v>Copper Rolling, Drawing, Extruding, and Alloying</v>
      </c>
    </row>
    <row r="322" spans="44:47" x14ac:dyDescent="0.25">
      <c r="AR322" s="656" t="str">
        <f>Select_naics2022[[#This Row],[2022 NAICS Code]]&amp;":  "&amp;Select_naics2022[[#This Row],[2022 NAICS Title]]</f>
        <v xml:space="preserve">331491:  Nonferrous Metal (except Copper and Aluminum) Rolling, Drawing, and Extruding </v>
      </c>
      <c r="AS322" s="656">
        <v>331491</v>
      </c>
      <c r="AT322" s="656" t="s">
        <v>962</v>
      </c>
      <c r="AU322" s="656" t="str">
        <f>Select_naics2022[[#This Row],[2022 NAICS Title]]</f>
        <v xml:space="preserve">Nonferrous Metal (except Copper and Aluminum) Rolling, Drawing, and Extruding </v>
      </c>
    </row>
    <row r="323" spans="44:47" x14ac:dyDescent="0.25">
      <c r="AR323" s="656" t="str">
        <f>Select_naics2022[[#This Row],[2022 NAICS Code]]&amp;":  "&amp;Select_naics2022[[#This Row],[2022 NAICS Title]]</f>
        <v xml:space="preserve">331492:  Secondary Smelting, Refining, and Alloying of Nonferrous Metal (except Copper and Aluminum) </v>
      </c>
      <c r="AS323" s="656">
        <v>331492</v>
      </c>
      <c r="AT323" s="656" t="s">
        <v>963</v>
      </c>
      <c r="AU323" s="656" t="str">
        <f>Select_naics2022[[#This Row],[2022 NAICS Title]]</f>
        <v xml:space="preserve">Secondary Smelting, Refining, and Alloying of Nonferrous Metal (except Copper and Aluminum) </v>
      </c>
    </row>
    <row r="324" spans="44:47" x14ac:dyDescent="0.25">
      <c r="AR324" s="656" t="str">
        <f>Select_naics2022[[#This Row],[2022 NAICS Code]]&amp;":  "&amp;Select_naics2022[[#This Row],[2022 NAICS Title]]</f>
        <v xml:space="preserve">331511:  Iron Foundries </v>
      </c>
      <c r="AS324" s="656">
        <v>331511</v>
      </c>
      <c r="AT324" s="656" t="s">
        <v>964</v>
      </c>
      <c r="AU324" s="656" t="str">
        <f>Select_naics2022[[#This Row],[2022 NAICS Title]]</f>
        <v xml:space="preserve">Iron Foundries </v>
      </c>
    </row>
    <row r="325" spans="44:47" x14ac:dyDescent="0.25">
      <c r="AR325" s="656" t="str">
        <f>Select_naics2022[[#This Row],[2022 NAICS Code]]&amp;":  "&amp;Select_naics2022[[#This Row],[2022 NAICS Title]]</f>
        <v xml:space="preserve">331512:  Steel Investment Foundries </v>
      </c>
      <c r="AS325" s="656">
        <v>331512</v>
      </c>
      <c r="AT325" s="656" t="s">
        <v>965</v>
      </c>
      <c r="AU325" s="656" t="str">
        <f>Select_naics2022[[#This Row],[2022 NAICS Title]]</f>
        <v xml:space="preserve">Steel Investment Foundries </v>
      </c>
    </row>
    <row r="326" spans="44:47" x14ac:dyDescent="0.25">
      <c r="AR326" s="656" t="str">
        <f>Select_naics2022[[#This Row],[2022 NAICS Code]]&amp;":  "&amp;Select_naics2022[[#This Row],[2022 NAICS Title]]</f>
        <v xml:space="preserve">331513:  Steel Foundries (except Investment) </v>
      </c>
      <c r="AS326" s="656">
        <v>331513</v>
      </c>
      <c r="AT326" s="656" t="s">
        <v>966</v>
      </c>
      <c r="AU326" s="656" t="str">
        <f>Select_naics2022[[#This Row],[2022 NAICS Title]]</f>
        <v xml:space="preserve">Steel Foundries (except Investment) </v>
      </c>
    </row>
    <row r="327" spans="44:47" x14ac:dyDescent="0.25">
      <c r="AR327" s="656" t="str">
        <f>Select_naics2022[[#This Row],[2022 NAICS Code]]&amp;":  "&amp;Select_naics2022[[#This Row],[2022 NAICS Title]]</f>
        <v xml:space="preserve">331523:  Nonferrous Metal Die-Casting Foundries </v>
      </c>
      <c r="AS327" s="656">
        <v>331523</v>
      </c>
      <c r="AT327" s="656" t="s">
        <v>967</v>
      </c>
      <c r="AU327" s="656" t="str">
        <f>Select_naics2022[[#This Row],[2022 NAICS Title]]</f>
        <v xml:space="preserve">Nonferrous Metal Die-Casting Foundries </v>
      </c>
    </row>
    <row r="328" spans="44:47" x14ac:dyDescent="0.25">
      <c r="AR328" s="656" t="str">
        <f>Select_naics2022[[#This Row],[2022 NAICS Code]]&amp;":  "&amp;Select_naics2022[[#This Row],[2022 NAICS Title]]</f>
        <v xml:space="preserve">331524:  Aluminum Foundries (except Die-Casting) </v>
      </c>
      <c r="AS328" s="656">
        <v>331524</v>
      </c>
      <c r="AT328" s="656" t="s">
        <v>968</v>
      </c>
      <c r="AU328" s="656" t="str">
        <f>Select_naics2022[[#This Row],[2022 NAICS Title]]</f>
        <v xml:space="preserve">Aluminum Foundries (except Die-Casting) </v>
      </c>
    </row>
    <row r="329" spans="44:47" x14ac:dyDescent="0.25">
      <c r="AR329" s="656" t="str">
        <f>Select_naics2022[[#This Row],[2022 NAICS Code]]&amp;":  "&amp;Select_naics2022[[#This Row],[2022 NAICS Title]]</f>
        <v xml:space="preserve">331529:  Other Nonferrous Metal Foundries (except Die-Casting) </v>
      </c>
      <c r="AS329" s="656">
        <v>331529</v>
      </c>
      <c r="AT329" s="656" t="s">
        <v>969</v>
      </c>
      <c r="AU329" s="656" t="str">
        <f>Select_naics2022[[#This Row],[2022 NAICS Title]]</f>
        <v xml:space="preserve">Other Nonferrous Metal Foundries (except Die-Casting) </v>
      </c>
    </row>
    <row r="330" spans="44:47" x14ac:dyDescent="0.25">
      <c r="AR330" s="656" t="str">
        <f>Select_naics2022[[#This Row],[2022 NAICS Code]]&amp;":  "&amp;Select_naics2022[[#This Row],[2022 NAICS Title]]</f>
        <v xml:space="preserve">332111:  Iron and Steel Forging </v>
      </c>
      <c r="AS330" s="656">
        <v>332111</v>
      </c>
      <c r="AT330" s="656" t="s">
        <v>970</v>
      </c>
      <c r="AU330" s="656" t="str">
        <f>Select_naics2022[[#This Row],[2022 NAICS Title]]</f>
        <v xml:space="preserve">Iron and Steel Forging </v>
      </c>
    </row>
    <row r="331" spans="44:47" x14ac:dyDescent="0.25">
      <c r="AR331" s="656" t="str">
        <f>Select_naics2022[[#This Row],[2022 NAICS Code]]&amp;":  "&amp;Select_naics2022[[#This Row],[2022 NAICS Title]]</f>
        <v xml:space="preserve">332112:  Nonferrous Forging </v>
      </c>
      <c r="AS331" s="656">
        <v>332112</v>
      </c>
      <c r="AT331" s="656" t="s">
        <v>971</v>
      </c>
      <c r="AU331" s="656" t="str">
        <f>Select_naics2022[[#This Row],[2022 NAICS Title]]</f>
        <v xml:space="preserve">Nonferrous Forging </v>
      </c>
    </row>
    <row r="332" spans="44:47" x14ac:dyDescent="0.25">
      <c r="AR332" s="656" t="str">
        <f>Select_naics2022[[#This Row],[2022 NAICS Code]]&amp;":  "&amp;Select_naics2022[[#This Row],[2022 NAICS Title]]</f>
        <v xml:space="preserve">332114:  Custom Roll Forming </v>
      </c>
      <c r="AS332" s="656">
        <v>332114</v>
      </c>
      <c r="AT332" s="656" t="s">
        <v>972</v>
      </c>
      <c r="AU332" s="656" t="str">
        <f>Select_naics2022[[#This Row],[2022 NAICS Title]]</f>
        <v xml:space="preserve">Custom Roll Forming </v>
      </c>
    </row>
    <row r="333" spans="44:47" x14ac:dyDescent="0.25">
      <c r="AR333" s="656" t="str">
        <f>Select_naics2022[[#This Row],[2022 NAICS Code]]&amp;":  "&amp;Select_naics2022[[#This Row],[2022 NAICS Title]]</f>
        <v xml:space="preserve">332117:  Powder Metallurgy Part Manufacturing </v>
      </c>
      <c r="AS333" s="656">
        <v>332117</v>
      </c>
      <c r="AT333" s="656" t="s">
        <v>973</v>
      </c>
      <c r="AU333" s="656" t="str">
        <f>Select_naics2022[[#This Row],[2022 NAICS Title]]</f>
        <v xml:space="preserve">Powder Metallurgy Part Manufacturing </v>
      </c>
    </row>
    <row r="334" spans="44:47" x14ac:dyDescent="0.25">
      <c r="AR334" s="656" t="str">
        <f>Select_naics2022[[#This Row],[2022 NAICS Code]]&amp;":  "&amp;Select_naics2022[[#This Row],[2022 NAICS Title]]</f>
        <v xml:space="preserve">332119:  Metal Crown, Closure, and Other Metal Stamping (except Automotive) </v>
      </c>
      <c r="AS334" s="656">
        <v>332119</v>
      </c>
      <c r="AT334" s="656" t="s">
        <v>974</v>
      </c>
      <c r="AU334" s="656" t="str">
        <f>Select_naics2022[[#This Row],[2022 NAICS Title]]</f>
        <v xml:space="preserve">Metal Crown, Closure, and Other Metal Stamping (except Automotive) </v>
      </c>
    </row>
    <row r="335" spans="44:47" x14ac:dyDescent="0.25">
      <c r="AR335" s="656" t="str">
        <f>Select_naics2022[[#This Row],[2022 NAICS Code]]&amp;":  "&amp;Select_naics2022[[#This Row],[2022 NAICS Title]]</f>
        <v xml:space="preserve">332215:  Metal Kitchen Cookware, Utensil, Cutlery, and Flatware (except Precious) Manufacturing </v>
      </c>
      <c r="AS335" s="656">
        <v>332215</v>
      </c>
      <c r="AT335" s="656" t="s">
        <v>975</v>
      </c>
      <c r="AU335" s="656" t="str">
        <f>Select_naics2022[[#This Row],[2022 NAICS Title]]</f>
        <v xml:space="preserve">Metal Kitchen Cookware, Utensil, Cutlery, and Flatware (except Precious) Manufacturing </v>
      </c>
    </row>
    <row r="336" spans="44:47" x14ac:dyDescent="0.25">
      <c r="AR336" s="656" t="str">
        <f>Select_naics2022[[#This Row],[2022 NAICS Code]]&amp;":  "&amp;Select_naics2022[[#This Row],[2022 NAICS Title]]</f>
        <v xml:space="preserve">332216:  Saw Blade and Handtool Manufacturing </v>
      </c>
      <c r="AS336" s="656">
        <v>332216</v>
      </c>
      <c r="AT336" s="656" t="s">
        <v>976</v>
      </c>
      <c r="AU336" s="656" t="str">
        <f>Select_naics2022[[#This Row],[2022 NAICS Title]]</f>
        <v xml:space="preserve">Saw Blade and Handtool Manufacturing </v>
      </c>
    </row>
    <row r="337" spans="44:47" x14ac:dyDescent="0.25">
      <c r="AR337" s="656" t="str">
        <f>Select_naics2022[[#This Row],[2022 NAICS Code]]&amp;":  "&amp;Select_naics2022[[#This Row],[2022 NAICS Title]]</f>
        <v xml:space="preserve">332311:  Prefabricated Metal Building and Component Manufacturing </v>
      </c>
      <c r="AS337" s="656">
        <v>332311</v>
      </c>
      <c r="AT337" s="656" t="s">
        <v>977</v>
      </c>
      <c r="AU337" s="656" t="str">
        <f>Select_naics2022[[#This Row],[2022 NAICS Title]]</f>
        <v xml:space="preserve">Prefabricated Metal Building and Component Manufacturing </v>
      </c>
    </row>
    <row r="338" spans="44:47" x14ac:dyDescent="0.25">
      <c r="AR338" s="656" t="str">
        <f>Select_naics2022[[#This Row],[2022 NAICS Code]]&amp;":  "&amp;Select_naics2022[[#This Row],[2022 NAICS Title]]</f>
        <v xml:space="preserve">332312:  Fabricated Structural Metal Manufacturing </v>
      </c>
      <c r="AS338" s="656">
        <v>332312</v>
      </c>
      <c r="AT338" s="656" t="s">
        <v>978</v>
      </c>
      <c r="AU338" s="656" t="str">
        <f>Select_naics2022[[#This Row],[2022 NAICS Title]]</f>
        <v xml:space="preserve">Fabricated Structural Metal Manufacturing </v>
      </c>
    </row>
    <row r="339" spans="44:47" x14ac:dyDescent="0.25">
      <c r="AR339" s="656" t="str">
        <f>Select_naics2022[[#This Row],[2022 NAICS Code]]&amp;":  "&amp;Select_naics2022[[#This Row],[2022 NAICS Title]]</f>
        <v xml:space="preserve">332313:  Plate Work Manufacturing </v>
      </c>
      <c r="AS339" s="656">
        <v>332313</v>
      </c>
      <c r="AT339" s="656" t="s">
        <v>979</v>
      </c>
      <c r="AU339" s="656" t="str">
        <f>Select_naics2022[[#This Row],[2022 NAICS Title]]</f>
        <v xml:space="preserve">Plate Work Manufacturing </v>
      </c>
    </row>
    <row r="340" spans="44:47" x14ac:dyDescent="0.25">
      <c r="AR340" s="656" t="str">
        <f>Select_naics2022[[#This Row],[2022 NAICS Code]]&amp;":  "&amp;Select_naics2022[[#This Row],[2022 NAICS Title]]</f>
        <v xml:space="preserve">332321:  Metal Window and Door Manufacturing </v>
      </c>
      <c r="AS340" s="656">
        <v>332321</v>
      </c>
      <c r="AT340" s="656" t="s">
        <v>980</v>
      </c>
      <c r="AU340" s="656" t="str">
        <f>Select_naics2022[[#This Row],[2022 NAICS Title]]</f>
        <v xml:space="preserve">Metal Window and Door Manufacturing </v>
      </c>
    </row>
    <row r="341" spans="44:47" x14ac:dyDescent="0.25">
      <c r="AR341" s="656" t="str">
        <f>Select_naics2022[[#This Row],[2022 NAICS Code]]&amp;":  "&amp;Select_naics2022[[#This Row],[2022 NAICS Title]]</f>
        <v xml:space="preserve">332322:  Sheet Metal Work Manufacturing </v>
      </c>
      <c r="AS341" s="656">
        <v>332322</v>
      </c>
      <c r="AT341" s="656" t="s">
        <v>981</v>
      </c>
      <c r="AU341" s="656" t="str">
        <f>Select_naics2022[[#This Row],[2022 NAICS Title]]</f>
        <v xml:space="preserve">Sheet Metal Work Manufacturing </v>
      </c>
    </row>
    <row r="342" spans="44:47" x14ac:dyDescent="0.25">
      <c r="AR342" s="656" t="str">
        <f>Select_naics2022[[#This Row],[2022 NAICS Code]]&amp;":  "&amp;Select_naics2022[[#This Row],[2022 NAICS Title]]</f>
        <v xml:space="preserve">332323:  Ornamental and Architectural Metal Work Manufacturing </v>
      </c>
      <c r="AS342" s="656">
        <v>332323</v>
      </c>
      <c r="AT342" s="656" t="s">
        <v>982</v>
      </c>
      <c r="AU342" s="656" t="str">
        <f>Select_naics2022[[#This Row],[2022 NAICS Title]]</f>
        <v xml:space="preserve">Ornamental and Architectural Metal Work Manufacturing </v>
      </c>
    </row>
    <row r="343" spans="44:47" x14ac:dyDescent="0.25">
      <c r="AR343" s="656" t="str">
        <f>Select_naics2022[[#This Row],[2022 NAICS Code]]&amp;":  "&amp;Select_naics2022[[#This Row],[2022 NAICS Title]]</f>
        <v>332410:  Power Boiler and Heat Exchanger Manufacturing</v>
      </c>
      <c r="AS343" s="656">
        <v>332410</v>
      </c>
      <c r="AT343" s="656" t="s">
        <v>983</v>
      </c>
      <c r="AU343" s="656" t="str">
        <f>Select_naics2022[[#This Row],[2022 NAICS Title]]</f>
        <v>Power Boiler and Heat Exchanger Manufacturing</v>
      </c>
    </row>
    <row r="344" spans="44:47" x14ac:dyDescent="0.25">
      <c r="AR344" s="656" t="str">
        <f>Select_naics2022[[#This Row],[2022 NAICS Code]]&amp;":  "&amp;Select_naics2022[[#This Row],[2022 NAICS Title]]</f>
        <v>332420:  Metal Tank (Heavy Gauge) Manufacturing</v>
      </c>
      <c r="AS344" s="656">
        <v>332420</v>
      </c>
      <c r="AT344" s="656" t="s">
        <v>984</v>
      </c>
      <c r="AU344" s="656" t="str">
        <f>Select_naics2022[[#This Row],[2022 NAICS Title]]</f>
        <v>Metal Tank (Heavy Gauge) Manufacturing</v>
      </c>
    </row>
    <row r="345" spans="44:47" x14ac:dyDescent="0.25">
      <c r="AR345" s="656" t="str">
        <f>Select_naics2022[[#This Row],[2022 NAICS Code]]&amp;":  "&amp;Select_naics2022[[#This Row],[2022 NAICS Title]]</f>
        <v xml:space="preserve">332431:  Metal Can Manufacturing </v>
      </c>
      <c r="AS345" s="656">
        <v>332431</v>
      </c>
      <c r="AT345" s="656" t="s">
        <v>985</v>
      </c>
      <c r="AU345" s="656" t="str">
        <f>Select_naics2022[[#This Row],[2022 NAICS Title]]</f>
        <v xml:space="preserve">Metal Can Manufacturing </v>
      </c>
    </row>
    <row r="346" spans="44:47" x14ac:dyDescent="0.25">
      <c r="AR346" s="656" t="str">
        <f>Select_naics2022[[#This Row],[2022 NAICS Code]]&amp;":  "&amp;Select_naics2022[[#This Row],[2022 NAICS Title]]</f>
        <v xml:space="preserve">332439:  Other Metal Container Manufacturing </v>
      </c>
      <c r="AS346" s="656">
        <v>332439</v>
      </c>
      <c r="AT346" s="656" t="s">
        <v>986</v>
      </c>
      <c r="AU346" s="656" t="str">
        <f>Select_naics2022[[#This Row],[2022 NAICS Title]]</f>
        <v xml:space="preserve">Other Metal Container Manufacturing </v>
      </c>
    </row>
    <row r="347" spans="44:47" x14ac:dyDescent="0.25">
      <c r="AR347" s="656" t="str">
        <f>Select_naics2022[[#This Row],[2022 NAICS Code]]&amp;":  "&amp;Select_naics2022[[#This Row],[2022 NAICS Title]]</f>
        <v>332510:  Hardware Manufacturing</v>
      </c>
      <c r="AS347" s="656">
        <v>332510</v>
      </c>
      <c r="AT347" s="656" t="s">
        <v>987</v>
      </c>
      <c r="AU347" s="656" t="str">
        <f>Select_naics2022[[#This Row],[2022 NAICS Title]]</f>
        <v>Hardware Manufacturing</v>
      </c>
    </row>
    <row r="348" spans="44:47" x14ac:dyDescent="0.25">
      <c r="AR348" s="656" t="str">
        <f>Select_naics2022[[#This Row],[2022 NAICS Code]]&amp;":  "&amp;Select_naics2022[[#This Row],[2022 NAICS Title]]</f>
        <v xml:space="preserve">332613:  Spring Manufacturing </v>
      </c>
      <c r="AS348" s="656">
        <v>332613</v>
      </c>
      <c r="AT348" s="656" t="s">
        <v>988</v>
      </c>
      <c r="AU348" s="656" t="str">
        <f>Select_naics2022[[#This Row],[2022 NAICS Title]]</f>
        <v xml:space="preserve">Spring Manufacturing </v>
      </c>
    </row>
    <row r="349" spans="44:47" x14ac:dyDescent="0.25">
      <c r="AR349" s="656" t="str">
        <f>Select_naics2022[[#This Row],[2022 NAICS Code]]&amp;":  "&amp;Select_naics2022[[#This Row],[2022 NAICS Title]]</f>
        <v xml:space="preserve">332618:  Other Fabricated Wire Product Manufacturing </v>
      </c>
      <c r="AS349" s="656">
        <v>332618</v>
      </c>
      <c r="AT349" s="656" t="s">
        <v>989</v>
      </c>
      <c r="AU349" s="656" t="str">
        <f>Select_naics2022[[#This Row],[2022 NAICS Title]]</f>
        <v xml:space="preserve">Other Fabricated Wire Product Manufacturing </v>
      </c>
    </row>
    <row r="350" spans="44:47" x14ac:dyDescent="0.25">
      <c r="AR350" s="656" t="str">
        <f>Select_naics2022[[#This Row],[2022 NAICS Code]]&amp;":  "&amp;Select_naics2022[[#This Row],[2022 NAICS Title]]</f>
        <v>332710:  Machine Shops</v>
      </c>
      <c r="AS350" s="656">
        <v>332710</v>
      </c>
      <c r="AT350" s="656" t="s">
        <v>990</v>
      </c>
      <c r="AU350" s="656" t="str">
        <f>Select_naics2022[[#This Row],[2022 NAICS Title]]</f>
        <v>Machine Shops</v>
      </c>
    </row>
    <row r="351" spans="44:47" x14ac:dyDescent="0.25">
      <c r="AR351" s="656" t="str">
        <f>Select_naics2022[[#This Row],[2022 NAICS Code]]&amp;":  "&amp;Select_naics2022[[#This Row],[2022 NAICS Title]]</f>
        <v xml:space="preserve">332721:  Precision Turned Product Manufacturing </v>
      </c>
      <c r="AS351" s="656">
        <v>332721</v>
      </c>
      <c r="AT351" s="656" t="s">
        <v>991</v>
      </c>
      <c r="AU351" s="656" t="str">
        <f>Select_naics2022[[#This Row],[2022 NAICS Title]]</f>
        <v xml:space="preserve">Precision Turned Product Manufacturing </v>
      </c>
    </row>
    <row r="352" spans="44:47" x14ac:dyDescent="0.25">
      <c r="AR352" s="656" t="str">
        <f>Select_naics2022[[#This Row],[2022 NAICS Code]]&amp;":  "&amp;Select_naics2022[[#This Row],[2022 NAICS Title]]</f>
        <v xml:space="preserve">332722:  Bolt, Nut, Screw, Rivet, and Washer Manufacturing </v>
      </c>
      <c r="AS352" s="656">
        <v>332722</v>
      </c>
      <c r="AT352" s="656" t="s">
        <v>992</v>
      </c>
      <c r="AU352" s="656" t="str">
        <f>Select_naics2022[[#This Row],[2022 NAICS Title]]</f>
        <v xml:space="preserve">Bolt, Nut, Screw, Rivet, and Washer Manufacturing </v>
      </c>
    </row>
    <row r="353" spans="44:47" x14ac:dyDescent="0.25">
      <c r="AR353" s="656" t="str">
        <f>Select_naics2022[[#This Row],[2022 NAICS Code]]&amp;":  "&amp;Select_naics2022[[#This Row],[2022 NAICS Title]]</f>
        <v xml:space="preserve">332811:  Metal Heat Treating </v>
      </c>
      <c r="AS353" s="656">
        <v>332811</v>
      </c>
      <c r="AT353" s="656" t="s">
        <v>993</v>
      </c>
      <c r="AU353" s="656" t="str">
        <f>Select_naics2022[[#This Row],[2022 NAICS Title]]</f>
        <v xml:space="preserve">Metal Heat Treating </v>
      </c>
    </row>
    <row r="354" spans="44:47" x14ac:dyDescent="0.25">
      <c r="AR354" s="656" t="str">
        <f>Select_naics2022[[#This Row],[2022 NAICS Code]]&amp;":  "&amp;Select_naics2022[[#This Row],[2022 NAICS Title]]</f>
        <v xml:space="preserve">332812:  Metal Coating, Engraving (except Jewelry and Silverware), and Allied Services to Manufacturers </v>
      </c>
      <c r="AS354" s="656">
        <v>332812</v>
      </c>
      <c r="AT354" s="656" t="s">
        <v>994</v>
      </c>
      <c r="AU354" s="656" t="str">
        <f>Select_naics2022[[#This Row],[2022 NAICS Title]]</f>
        <v xml:space="preserve">Metal Coating, Engraving (except Jewelry and Silverware), and Allied Services to Manufacturers </v>
      </c>
    </row>
    <row r="355" spans="44:47" x14ac:dyDescent="0.25">
      <c r="AR355" s="656" t="str">
        <f>Select_naics2022[[#This Row],[2022 NAICS Code]]&amp;":  "&amp;Select_naics2022[[#This Row],[2022 NAICS Title]]</f>
        <v xml:space="preserve">332813:  Electroplating, Plating, Polishing, Anodizing, and Coloring </v>
      </c>
      <c r="AS355" s="656">
        <v>332813</v>
      </c>
      <c r="AT355" s="656" t="s">
        <v>995</v>
      </c>
      <c r="AU355" s="656" t="str">
        <f>Select_naics2022[[#This Row],[2022 NAICS Title]]</f>
        <v xml:space="preserve">Electroplating, Plating, Polishing, Anodizing, and Coloring </v>
      </c>
    </row>
    <row r="356" spans="44:47" x14ac:dyDescent="0.25">
      <c r="AR356" s="656" t="str">
        <f>Select_naics2022[[#This Row],[2022 NAICS Code]]&amp;":  "&amp;Select_naics2022[[#This Row],[2022 NAICS Title]]</f>
        <v xml:space="preserve">332911:  Industrial Valve Manufacturing </v>
      </c>
      <c r="AS356" s="656">
        <v>332911</v>
      </c>
      <c r="AT356" s="656" t="s">
        <v>996</v>
      </c>
      <c r="AU356" s="656" t="str">
        <f>Select_naics2022[[#This Row],[2022 NAICS Title]]</f>
        <v xml:space="preserve">Industrial Valve Manufacturing </v>
      </c>
    </row>
    <row r="357" spans="44:47" x14ac:dyDescent="0.25">
      <c r="AR357" s="656" t="str">
        <f>Select_naics2022[[#This Row],[2022 NAICS Code]]&amp;":  "&amp;Select_naics2022[[#This Row],[2022 NAICS Title]]</f>
        <v xml:space="preserve">332912:  Fluid Power Valve and Hose Fitting Manufacturing </v>
      </c>
      <c r="AS357" s="656">
        <v>332912</v>
      </c>
      <c r="AT357" s="656" t="s">
        <v>997</v>
      </c>
      <c r="AU357" s="656" t="str">
        <f>Select_naics2022[[#This Row],[2022 NAICS Title]]</f>
        <v xml:space="preserve">Fluid Power Valve and Hose Fitting Manufacturing </v>
      </c>
    </row>
    <row r="358" spans="44:47" x14ac:dyDescent="0.25">
      <c r="AR358" s="656" t="str">
        <f>Select_naics2022[[#This Row],[2022 NAICS Code]]&amp;":  "&amp;Select_naics2022[[#This Row],[2022 NAICS Title]]</f>
        <v xml:space="preserve">332913:  Plumbing Fixture Fitting and Trim Manufacturing </v>
      </c>
      <c r="AS358" s="656">
        <v>332913</v>
      </c>
      <c r="AT358" s="656" t="s">
        <v>998</v>
      </c>
      <c r="AU358" s="656" t="str">
        <f>Select_naics2022[[#This Row],[2022 NAICS Title]]</f>
        <v xml:space="preserve">Plumbing Fixture Fitting and Trim Manufacturing </v>
      </c>
    </row>
    <row r="359" spans="44:47" x14ac:dyDescent="0.25">
      <c r="AR359" s="656" t="str">
        <f>Select_naics2022[[#This Row],[2022 NAICS Code]]&amp;":  "&amp;Select_naics2022[[#This Row],[2022 NAICS Title]]</f>
        <v xml:space="preserve">332919:  Other Metal Valve and Pipe Fitting Manufacturing </v>
      </c>
      <c r="AS359" s="656">
        <v>332919</v>
      </c>
      <c r="AT359" s="656" t="s">
        <v>999</v>
      </c>
      <c r="AU359" s="656" t="str">
        <f>Select_naics2022[[#This Row],[2022 NAICS Title]]</f>
        <v xml:space="preserve">Other Metal Valve and Pipe Fitting Manufacturing </v>
      </c>
    </row>
    <row r="360" spans="44:47" x14ac:dyDescent="0.25">
      <c r="AR360" s="656" t="str">
        <f>Select_naics2022[[#This Row],[2022 NAICS Code]]&amp;":  "&amp;Select_naics2022[[#This Row],[2022 NAICS Title]]</f>
        <v>332991:  Ball and Roller Bearing Manufacturing</v>
      </c>
      <c r="AS360" s="656">
        <v>332991</v>
      </c>
      <c r="AT360" s="656" t="s">
        <v>1000</v>
      </c>
      <c r="AU360" s="656" t="str">
        <f>Select_naics2022[[#This Row],[2022 NAICS Title]]</f>
        <v>Ball and Roller Bearing Manufacturing</v>
      </c>
    </row>
    <row r="361" spans="44:47" x14ac:dyDescent="0.25">
      <c r="AR361" s="656" t="str">
        <f>Select_naics2022[[#This Row],[2022 NAICS Code]]&amp;":  "&amp;Select_naics2022[[#This Row],[2022 NAICS Title]]</f>
        <v xml:space="preserve">332992:  Small Arms Ammunition Manufacturing </v>
      </c>
      <c r="AS361" s="656">
        <v>332992</v>
      </c>
      <c r="AT361" s="656" t="s">
        <v>1001</v>
      </c>
      <c r="AU361" s="656" t="str">
        <f>Select_naics2022[[#This Row],[2022 NAICS Title]]</f>
        <v xml:space="preserve">Small Arms Ammunition Manufacturing </v>
      </c>
    </row>
    <row r="362" spans="44:47" x14ac:dyDescent="0.25">
      <c r="AR362" s="656" t="str">
        <f>Select_naics2022[[#This Row],[2022 NAICS Code]]&amp;":  "&amp;Select_naics2022[[#This Row],[2022 NAICS Title]]</f>
        <v xml:space="preserve">332993:  Ammunition (except Small Arms) Manufacturing </v>
      </c>
      <c r="AS362" s="656">
        <v>332993</v>
      </c>
      <c r="AT362" s="656" t="s">
        <v>1002</v>
      </c>
      <c r="AU362" s="656" t="str">
        <f>Select_naics2022[[#This Row],[2022 NAICS Title]]</f>
        <v xml:space="preserve">Ammunition (except Small Arms) Manufacturing </v>
      </c>
    </row>
    <row r="363" spans="44:47" x14ac:dyDescent="0.25">
      <c r="AR363" s="656" t="str">
        <f>Select_naics2022[[#This Row],[2022 NAICS Code]]&amp;":  "&amp;Select_naics2022[[#This Row],[2022 NAICS Title]]</f>
        <v xml:space="preserve">332994:  Small Arms, Ordnance, and Ordnance Accessories Manufacturing </v>
      </c>
      <c r="AS363" s="656">
        <v>332994</v>
      </c>
      <c r="AT363" s="656" t="s">
        <v>1003</v>
      </c>
      <c r="AU363" s="656" t="str">
        <f>Select_naics2022[[#This Row],[2022 NAICS Title]]</f>
        <v xml:space="preserve">Small Arms, Ordnance, and Ordnance Accessories Manufacturing </v>
      </c>
    </row>
    <row r="364" spans="44:47" x14ac:dyDescent="0.25">
      <c r="AR364" s="656" t="str">
        <f>Select_naics2022[[#This Row],[2022 NAICS Code]]&amp;":  "&amp;Select_naics2022[[#This Row],[2022 NAICS Title]]</f>
        <v xml:space="preserve">332996:  Fabricated Pipe and Pipe Fitting Manufacturing </v>
      </c>
      <c r="AS364" s="656">
        <v>332996</v>
      </c>
      <c r="AT364" s="656" t="s">
        <v>1004</v>
      </c>
      <c r="AU364" s="656" t="str">
        <f>Select_naics2022[[#This Row],[2022 NAICS Title]]</f>
        <v xml:space="preserve">Fabricated Pipe and Pipe Fitting Manufacturing </v>
      </c>
    </row>
    <row r="365" spans="44:47" x14ac:dyDescent="0.25">
      <c r="AR365" s="656" t="str">
        <f>Select_naics2022[[#This Row],[2022 NAICS Code]]&amp;":  "&amp;Select_naics2022[[#This Row],[2022 NAICS Title]]</f>
        <v xml:space="preserve">332999:  All Other Miscellaneous Fabricated Metal Product Manufacturing </v>
      </c>
      <c r="AS365" s="656">
        <v>332999</v>
      </c>
      <c r="AT365" s="656" t="s">
        <v>1005</v>
      </c>
      <c r="AU365" s="656" t="str">
        <f>Select_naics2022[[#This Row],[2022 NAICS Title]]</f>
        <v xml:space="preserve">All Other Miscellaneous Fabricated Metal Product Manufacturing </v>
      </c>
    </row>
    <row r="366" spans="44:47" x14ac:dyDescent="0.25">
      <c r="AR366" s="656" t="str">
        <f>Select_naics2022[[#This Row],[2022 NAICS Code]]&amp;":  "&amp;Select_naics2022[[#This Row],[2022 NAICS Title]]</f>
        <v xml:space="preserve">333111:  Farm Machinery and Equipment Manufacturing </v>
      </c>
      <c r="AS366" s="656">
        <v>333111</v>
      </c>
      <c r="AT366" s="656" t="s">
        <v>1006</v>
      </c>
      <c r="AU366" s="656" t="str">
        <f>Select_naics2022[[#This Row],[2022 NAICS Title]]</f>
        <v xml:space="preserve">Farm Machinery and Equipment Manufacturing </v>
      </c>
    </row>
    <row r="367" spans="44:47" x14ac:dyDescent="0.25">
      <c r="AR367" s="656" t="str">
        <f>Select_naics2022[[#This Row],[2022 NAICS Code]]&amp;":  "&amp;Select_naics2022[[#This Row],[2022 NAICS Title]]</f>
        <v xml:space="preserve">333112:  Lawn and Garden Tractor and Home Lawn and Garden Equipment Manufacturing </v>
      </c>
      <c r="AS367" s="656">
        <v>333112</v>
      </c>
      <c r="AT367" s="656" t="s">
        <v>1007</v>
      </c>
      <c r="AU367" s="656" t="str">
        <f>Select_naics2022[[#This Row],[2022 NAICS Title]]</f>
        <v xml:space="preserve">Lawn and Garden Tractor and Home Lawn and Garden Equipment Manufacturing </v>
      </c>
    </row>
    <row r="368" spans="44:47" x14ac:dyDescent="0.25">
      <c r="AR368" s="656" t="str">
        <f>Select_naics2022[[#This Row],[2022 NAICS Code]]&amp;":  "&amp;Select_naics2022[[#This Row],[2022 NAICS Title]]</f>
        <v>333120:  Construction Machinery Manufacturing</v>
      </c>
      <c r="AS368" s="656">
        <v>333120</v>
      </c>
      <c r="AT368" s="656" t="s">
        <v>1008</v>
      </c>
      <c r="AU368" s="656" t="str">
        <f>Select_naics2022[[#This Row],[2022 NAICS Title]]</f>
        <v>Construction Machinery Manufacturing</v>
      </c>
    </row>
    <row r="369" spans="44:47" x14ac:dyDescent="0.25">
      <c r="AR369" s="656" t="str">
        <f>Select_naics2022[[#This Row],[2022 NAICS Code]]&amp;":  "&amp;Select_naics2022[[#This Row],[2022 NAICS Title]]</f>
        <v xml:space="preserve">333131:  Mining Machinery and Equipment Manufacturing </v>
      </c>
      <c r="AS369" s="656">
        <v>333131</v>
      </c>
      <c r="AT369" s="656" t="s">
        <v>1009</v>
      </c>
      <c r="AU369" s="656" t="str">
        <f>Select_naics2022[[#This Row],[2022 NAICS Title]]</f>
        <v xml:space="preserve">Mining Machinery and Equipment Manufacturing </v>
      </c>
    </row>
    <row r="370" spans="44:47" x14ac:dyDescent="0.25">
      <c r="AR370" s="656" t="str">
        <f>Select_naics2022[[#This Row],[2022 NAICS Code]]&amp;":  "&amp;Select_naics2022[[#This Row],[2022 NAICS Title]]</f>
        <v xml:space="preserve">333132:  Oil and Gas Field Machinery and Equipment Manufacturing </v>
      </c>
      <c r="AS370" s="656">
        <v>333132</v>
      </c>
      <c r="AT370" s="656" t="s">
        <v>1010</v>
      </c>
      <c r="AU370" s="656" t="str">
        <f>Select_naics2022[[#This Row],[2022 NAICS Title]]</f>
        <v xml:space="preserve">Oil and Gas Field Machinery and Equipment Manufacturing </v>
      </c>
    </row>
    <row r="371" spans="44:47" x14ac:dyDescent="0.25">
      <c r="AR371" s="656" t="str">
        <f>Select_naics2022[[#This Row],[2022 NAICS Code]]&amp;":  "&amp;Select_naics2022[[#This Row],[2022 NAICS Title]]</f>
        <v xml:space="preserve">333241:  Food Product Machinery Manufacturing </v>
      </c>
      <c r="AS371" s="656">
        <v>333241</v>
      </c>
      <c r="AT371" s="656" t="s">
        <v>1011</v>
      </c>
      <c r="AU371" s="656" t="str">
        <f>Select_naics2022[[#This Row],[2022 NAICS Title]]</f>
        <v xml:space="preserve">Food Product Machinery Manufacturing </v>
      </c>
    </row>
    <row r="372" spans="44:47" x14ac:dyDescent="0.25">
      <c r="AR372" s="656" t="str">
        <f>Select_naics2022[[#This Row],[2022 NAICS Code]]&amp;":  "&amp;Select_naics2022[[#This Row],[2022 NAICS Title]]</f>
        <v xml:space="preserve">333242:  Semiconductor Machinery Manufacturing </v>
      </c>
      <c r="AS372" s="656">
        <v>333242</v>
      </c>
      <c r="AT372" s="656" t="s">
        <v>1012</v>
      </c>
      <c r="AU372" s="656" t="str">
        <f>Select_naics2022[[#This Row],[2022 NAICS Title]]</f>
        <v xml:space="preserve">Semiconductor Machinery Manufacturing </v>
      </c>
    </row>
    <row r="373" spans="44:47" x14ac:dyDescent="0.25">
      <c r="AR373" s="656" t="str">
        <f>Select_naics2022[[#This Row],[2022 NAICS Code]]&amp;":  "&amp;Select_naics2022[[#This Row],[2022 NAICS Title]]</f>
        <v xml:space="preserve">333243:  Sawmill, Woodworking, and Paper Machinery Manufacturing </v>
      </c>
      <c r="AS373" s="656">
        <v>333243</v>
      </c>
      <c r="AT373" s="656" t="s">
        <v>1013</v>
      </c>
      <c r="AU373" s="656" t="str">
        <f>Select_naics2022[[#This Row],[2022 NAICS Title]]</f>
        <v xml:space="preserve">Sawmill, Woodworking, and Paper Machinery Manufacturing </v>
      </c>
    </row>
    <row r="374" spans="44:47" x14ac:dyDescent="0.25">
      <c r="AR374" s="656" t="str">
        <f>Select_naics2022[[#This Row],[2022 NAICS Code]]&amp;":  "&amp;Select_naics2022[[#This Row],[2022 NAICS Title]]</f>
        <v xml:space="preserve">333248:  All Other Industrial Machinery Manufacturing </v>
      </c>
      <c r="AS374" s="656">
        <v>333248</v>
      </c>
      <c r="AT374" s="656" t="s">
        <v>1014</v>
      </c>
      <c r="AU374" s="656" t="str">
        <f>Select_naics2022[[#This Row],[2022 NAICS Title]]</f>
        <v xml:space="preserve">All Other Industrial Machinery Manufacturing </v>
      </c>
    </row>
    <row r="375" spans="44:47" x14ac:dyDescent="0.25">
      <c r="AR375" s="656" t="str">
        <f>Select_naics2022[[#This Row],[2022 NAICS Code]]&amp;":  "&amp;Select_naics2022[[#This Row],[2022 NAICS Title]]</f>
        <v xml:space="preserve">333310:  Commercial and Service Industry Machinery Manufacturing </v>
      </c>
      <c r="AS375" s="656">
        <v>333310</v>
      </c>
      <c r="AT375" s="656" t="s">
        <v>1015</v>
      </c>
      <c r="AU375" s="656" t="str">
        <f>Select_naics2022[[#This Row],[2022 NAICS Title]]</f>
        <v xml:space="preserve">Commercial and Service Industry Machinery Manufacturing </v>
      </c>
    </row>
    <row r="376" spans="44:47" x14ac:dyDescent="0.25">
      <c r="AR376" s="656" t="str">
        <f>Select_naics2022[[#This Row],[2022 NAICS Code]]&amp;":  "&amp;Select_naics2022[[#This Row],[2022 NAICS Title]]</f>
        <v xml:space="preserve">333413:  Industrial and Commercial Fan and Blower and Air Purification Equipment Manufacturing </v>
      </c>
      <c r="AS376" s="656">
        <v>333413</v>
      </c>
      <c r="AT376" s="656" t="s">
        <v>1016</v>
      </c>
      <c r="AU376" s="656" t="str">
        <f>Select_naics2022[[#This Row],[2022 NAICS Title]]</f>
        <v xml:space="preserve">Industrial and Commercial Fan and Blower and Air Purification Equipment Manufacturing </v>
      </c>
    </row>
    <row r="377" spans="44:47" x14ac:dyDescent="0.25">
      <c r="AR377" s="656" t="str">
        <f>Select_naics2022[[#This Row],[2022 NAICS Code]]&amp;":  "&amp;Select_naics2022[[#This Row],[2022 NAICS Title]]</f>
        <v xml:space="preserve">333414:  Heating Equipment (except Warm Air Furnaces) Manufacturing </v>
      </c>
      <c r="AS377" s="656">
        <v>333414</v>
      </c>
      <c r="AT377" s="656" t="s">
        <v>1017</v>
      </c>
      <c r="AU377" s="656" t="str">
        <f>Select_naics2022[[#This Row],[2022 NAICS Title]]</f>
        <v xml:space="preserve">Heating Equipment (except Warm Air Furnaces) Manufacturing </v>
      </c>
    </row>
    <row r="378" spans="44:47" x14ac:dyDescent="0.25">
      <c r="AR378" s="656" t="str">
        <f>Select_naics2022[[#This Row],[2022 NAICS Code]]&amp;":  "&amp;Select_naics2022[[#This Row],[2022 NAICS Title]]</f>
        <v xml:space="preserve">333415:  Air-Conditioning and Warm Air Heating Equipment and Commercial and Industrial Refrigeration Equipment Manufacturing </v>
      </c>
      <c r="AS378" s="656">
        <v>333415</v>
      </c>
      <c r="AT378" s="656" t="s">
        <v>1018</v>
      </c>
      <c r="AU378" s="656" t="str">
        <f>Select_naics2022[[#This Row],[2022 NAICS Title]]</f>
        <v xml:space="preserve">Air-Conditioning and Warm Air Heating Equipment and Commercial and Industrial Refrigeration Equipment Manufacturing </v>
      </c>
    </row>
    <row r="379" spans="44:47" x14ac:dyDescent="0.25">
      <c r="AR379" s="656" t="str">
        <f>Select_naics2022[[#This Row],[2022 NAICS Code]]&amp;":  "&amp;Select_naics2022[[#This Row],[2022 NAICS Title]]</f>
        <v xml:space="preserve">333511:  Industrial Mold Manufacturing </v>
      </c>
      <c r="AS379" s="656">
        <v>333511</v>
      </c>
      <c r="AT379" s="656" t="s">
        <v>1019</v>
      </c>
      <c r="AU379" s="656" t="str">
        <f>Select_naics2022[[#This Row],[2022 NAICS Title]]</f>
        <v xml:space="preserve">Industrial Mold Manufacturing </v>
      </c>
    </row>
    <row r="380" spans="44:47" x14ac:dyDescent="0.25">
      <c r="AR380" s="656" t="str">
        <f>Select_naics2022[[#This Row],[2022 NAICS Code]]&amp;":  "&amp;Select_naics2022[[#This Row],[2022 NAICS Title]]</f>
        <v xml:space="preserve">333514:  Special Die and Tool, Die Set, Jig, and Fixture Manufacturing </v>
      </c>
      <c r="AS380" s="656">
        <v>333514</v>
      </c>
      <c r="AT380" s="656" t="s">
        <v>1020</v>
      </c>
      <c r="AU380" s="656" t="str">
        <f>Select_naics2022[[#This Row],[2022 NAICS Title]]</f>
        <v xml:space="preserve">Special Die and Tool, Die Set, Jig, and Fixture Manufacturing </v>
      </c>
    </row>
    <row r="381" spans="44:47" x14ac:dyDescent="0.25">
      <c r="AR381" s="656" t="str">
        <f>Select_naics2022[[#This Row],[2022 NAICS Code]]&amp;":  "&amp;Select_naics2022[[#This Row],[2022 NAICS Title]]</f>
        <v xml:space="preserve">333515:  Cutting Tool and Machine Tool Accessory Manufacturing </v>
      </c>
      <c r="AS381" s="656">
        <v>333515</v>
      </c>
      <c r="AT381" s="656" t="s">
        <v>1021</v>
      </c>
      <c r="AU381" s="656" t="str">
        <f>Select_naics2022[[#This Row],[2022 NAICS Title]]</f>
        <v xml:space="preserve">Cutting Tool and Machine Tool Accessory Manufacturing </v>
      </c>
    </row>
    <row r="382" spans="44:47" x14ac:dyDescent="0.25">
      <c r="AR382" s="656" t="str">
        <f>Select_naics2022[[#This Row],[2022 NAICS Code]]&amp;":  "&amp;Select_naics2022[[#This Row],[2022 NAICS Title]]</f>
        <v xml:space="preserve">333517:  Machine Tool Manufacturing </v>
      </c>
      <c r="AS382" s="656">
        <v>333517</v>
      </c>
      <c r="AT382" s="656" t="s">
        <v>1022</v>
      </c>
      <c r="AU382" s="656" t="str">
        <f>Select_naics2022[[#This Row],[2022 NAICS Title]]</f>
        <v xml:space="preserve">Machine Tool Manufacturing </v>
      </c>
    </row>
    <row r="383" spans="44:47" x14ac:dyDescent="0.25">
      <c r="AR383" s="656" t="str">
        <f>Select_naics2022[[#This Row],[2022 NAICS Code]]&amp;":  "&amp;Select_naics2022[[#This Row],[2022 NAICS Title]]</f>
        <v xml:space="preserve">333519:  Rolling Mill and Other Metalworking Machinery Manufacturing </v>
      </c>
      <c r="AS383" s="656">
        <v>333519</v>
      </c>
      <c r="AT383" s="656" t="s">
        <v>1023</v>
      </c>
      <c r="AU383" s="656" t="str">
        <f>Select_naics2022[[#This Row],[2022 NAICS Title]]</f>
        <v xml:space="preserve">Rolling Mill and Other Metalworking Machinery Manufacturing </v>
      </c>
    </row>
    <row r="384" spans="44:47" x14ac:dyDescent="0.25">
      <c r="AR384" s="656" t="str">
        <f>Select_naics2022[[#This Row],[2022 NAICS Code]]&amp;":  "&amp;Select_naics2022[[#This Row],[2022 NAICS Title]]</f>
        <v xml:space="preserve">333611:  Turbine and Turbine Generator Set Units Manufacturing </v>
      </c>
      <c r="AS384" s="656">
        <v>333611</v>
      </c>
      <c r="AT384" s="656" t="s">
        <v>1024</v>
      </c>
      <c r="AU384" s="656" t="str">
        <f>Select_naics2022[[#This Row],[2022 NAICS Title]]</f>
        <v xml:space="preserve">Turbine and Turbine Generator Set Units Manufacturing </v>
      </c>
    </row>
    <row r="385" spans="44:47" x14ac:dyDescent="0.25">
      <c r="AR385" s="656" t="str">
        <f>Select_naics2022[[#This Row],[2022 NAICS Code]]&amp;":  "&amp;Select_naics2022[[#This Row],[2022 NAICS Title]]</f>
        <v xml:space="preserve">333612:  Speed Changer, Industrial High-Speed Drive, and Gear Manufacturing </v>
      </c>
      <c r="AS385" s="656">
        <v>333612</v>
      </c>
      <c r="AT385" s="656" t="s">
        <v>1025</v>
      </c>
      <c r="AU385" s="656" t="str">
        <f>Select_naics2022[[#This Row],[2022 NAICS Title]]</f>
        <v xml:space="preserve">Speed Changer, Industrial High-Speed Drive, and Gear Manufacturing </v>
      </c>
    </row>
    <row r="386" spans="44:47" x14ac:dyDescent="0.25">
      <c r="AR386" s="656" t="str">
        <f>Select_naics2022[[#This Row],[2022 NAICS Code]]&amp;":  "&amp;Select_naics2022[[#This Row],[2022 NAICS Title]]</f>
        <v xml:space="preserve">333613:  Mechanical Power Transmission Equipment Manufacturing </v>
      </c>
      <c r="AS386" s="656">
        <v>333613</v>
      </c>
      <c r="AT386" s="656" t="s">
        <v>1026</v>
      </c>
      <c r="AU386" s="656" t="str">
        <f>Select_naics2022[[#This Row],[2022 NAICS Title]]</f>
        <v xml:space="preserve">Mechanical Power Transmission Equipment Manufacturing </v>
      </c>
    </row>
    <row r="387" spans="44:47" x14ac:dyDescent="0.25">
      <c r="AR387" s="656" t="str">
        <f>Select_naics2022[[#This Row],[2022 NAICS Code]]&amp;":  "&amp;Select_naics2022[[#This Row],[2022 NAICS Title]]</f>
        <v xml:space="preserve">333618:  Other Engine Equipment Manufacturing </v>
      </c>
      <c r="AS387" s="656">
        <v>333618</v>
      </c>
      <c r="AT387" s="656" t="s">
        <v>1027</v>
      </c>
      <c r="AU387" s="656" t="str">
        <f>Select_naics2022[[#This Row],[2022 NAICS Title]]</f>
        <v xml:space="preserve">Other Engine Equipment Manufacturing </v>
      </c>
    </row>
    <row r="388" spans="44:47" x14ac:dyDescent="0.25">
      <c r="AR388" s="656" t="str">
        <f>Select_naics2022[[#This Row],[2022 NAICS Code]]&amp;":  "&amp;Select_naics2022[[#This Row],[2022 NAICS Title]]</f>
        <v xml:space="preserve">333912:  Air and Gas Compressor Manufacturing </v>
      </c>
      <c r="AS388" s="656">
        <v>333912</v>
      </c>
      <c r="AT388" s="656" t="s">
        <v>1028</v>
      </c>
      <c r="AU388" s="656" t="str">
        <f>Select_naics2022[[#This Row],[2022 NAICS Title]]</f>
        <v xml:space="preserve">Air and Gas Compressor Manufacturing </v>
      </c>
    </row>
    <row r="389" spans="44:47" x14ac:dyDescent="0.25">
      <c r="AR389" s="656" t="str">
        <f>Select_naics2022[[#This Row],[2022 NAICS Code]]&amp;":  "&amp;Select_naics2022[[#This Row],[2022 NAICS Title]]</f>
        <v xml:space="preserve">333914:  Measuring, Dispensing, and Other Pumping Equipment Manufacturing </v>
      </c>
      <c r="AS389" s="656">
        <v>333914</v>
      </c>
      <c r="AT389" s="656" t="s">
        <v>1029</v>
      </c>
      <c r="AU389" s="656" t="str">
        <f>Select_naics2022[[#This Row],[2022 NAICS Title]]</f>
        <v xml:space="preserve">Measuring, Dispensing, and Other Pumping Equipment Manufacturing </v>
      </c>
    </row>
    <row r="390" spans="44:47" x14ac:dyDescent="0.25">
      <c r="AR390" s="656" t="str">
        <f>Select_naics2022[[#This Row],[2022 NAICS Code]]&amp;":  "&amp;Select_naics2022[[#This Row],[2022 NAICS Title]]</f>
        <v xml:space="preserve">333921:  Elevator and Moving Stairway Manufacturing </v>
      </c>
      <c r="AS390" s="656">
        <v>333921</v>
      </c>
      <c r="AT390" s="656" t="s">
        <v>1030</v>
      </c>
      <c r="AU390" s="656" t="str">
        <f>Select_naics2022[[#This Row],[2022 NAICS Title]]</f>
        <v xml:space="preserve">Elevator and Moving Stairway Manufacturing </v>
      </c>
    </row>
    <row r="391" spans="44:47" x14ac:dyDescent="0.25">
      <c r="AR391" s="656" t="str">
        <f>Select_naics2022[[#This Row],[2022 NAICS Code]]&amp;":  "&amp;Select_naics2022[[#This Row],[2022 NAICS Title]]</f>
        <v xml:space="preserve">333922:  Conveyor and Conveying Equipment Manufacturing </v>
      </c>
      <c r="AS391" s="656">
        <v>333922</v>
      </c>
      <c r="AT391" s="656" t="s">
        <v>1031</v>
      </c>
      <c r="AU391" s="656" t="str">
        <f>Select_naics2022[[#This Row],[2022 NAICS Title]]</f>
        <v xml:space="preserve">Conveyor and Conveying Equipment Manufacturing </v>
      </c>
    </row>
    <row r="392" spans="44:47" x14ac:dyDescent="0.25">
      <c r="AR392" s="656" t="str">
        <f>Select_naics2022[[#This Row],[2022 NAICS Code]]&amp;":  "&amp;Select_naics2022[[#This Row],[2022 NAICS Title]]</f>
        <v xml:space="preserve">333923:  Overhead Traveling Crane, Hoist, and Monorail System Manufacturing </v>
      </c>
      <c r="AS392" s="656">
        <v>333923</v>
      </c>
      <c r="AT392" s="656" t="s">
        <v>1032</v>
      </c>
      <c r="AU392" s="656" t="str">
        <f>Select_naics2022[[#This Row],[2022 NAICS Title]]</f>
        <v xml:space="preserve">Overhead Traveling Crane, Hoist, and Monorail System Manufacturing </v>
      </c>
    </row>
    <row r="393" spans="44:47" x14ac:dyDescent="0.25">
      <c r="AR393" s="656" t="str">
        <f>Select_naics2022[[#This Row],[2022 NAICS Code]]&amp;":  "&amp;Select_naics2022[[#This Row],[2022 NAICS Title]]</f>
        <v xml:space="preserve">333924:  Industrial Truck, Tractor, Trailer, and Stacker Machinery Manufacturing </v>
      </c>
      <c r="AS393" s="656">
        <v>333924</v>
      </c>
      <c r="AT393" s="656" t="s">
        <v>1033</v>
      </c>
      <c r="AU393" s="656" t="str">
        <f>Select_naics2022[[#This Row],[2022 NAICS Title]]</f>
        <v xml:space="preserve">Industrial Truck, Tractor, Trailer, and Stacker Machinery Manufacturing </v>
      </c>
    </row>
    <row r="394" spans="44:47" x14ac:dyDescent="0.25">
      <c r="AR394" s="656" t="str">
        <f>Select_naics2022[[#This Row],[2022 NAICS Code]]&amp;":  "&amp;Select_naics2022[[#This Row],[2022 NAICS Title]]</f>
        <v xml:space="preserve">333991:  Power-Driven Handtool Manufacturing </v>
      </c>
      <c r="AS394" s="656">
        <v>333991</v>
      </c>
      <c r="AT394" s="656" t="s">
        <v>1034</v>
      </c>
      <c r="AU394" s="656" t="str">
        <f>Select_naics2022[[#This Row],[2022 NAICS Title]]</f>
        <v xml:space="preserve">Power-Driven Handtool Manufacturing </v>
      </c>
    </row>
    <row r="395" spans="44:47" x14ac:dyDescent="0.25">
      <c r="AR395" s="656" t="str">
        <f>Select_naics2022[[#This Row],[2022 NAICS Code]]&amp;":  "&amp;Select_naics2022[[#This Row],[2022 NAICS Title]]</f>
        <v xml:space="preserve">333992:  Welding and Soldering Equipment Manufacturing </v>
      </c>
      <c r="AS395" s="656">
        <v>333992</v>
      </c>
      <c r="AT395" s="656" t="s">
        <v>1035</v>
      </c>
      <c r="AU395" s="656" t="str">
        <f>Select_naics2022[[#This Row],[2022 NAICS Title]]</f>
        <v xml:space="preserve">Welding and Soldering Equipment Manufacturing </v>
      </c>
    </row>
    <row r="396" spans="44:47" x14ac:dyDescent="0.25">
      <c r="AR396" s="656" t="str">
        <f>Select_naics2022[[#This Row],[2022 NAICS Code]]&amp;":  "&amp;Select_naics2022[[#This Row],[2022 NAICS Title]]</f>
        <v xml:space="preserve">333993:  Packaging Machinery Manufacturing </v>
      </c>
      <c r="AS396" s="656">
        <v>333993</v>
      </c>
      <c r="AT396" s="656" t="s">
        <v>1036</v>
      </c>
      <c r="AU396" s="656" t="str">
        <f>Select_naics2022[[#This Row],[2022 NAICS Title]]</f>
        <v xml:space="preserve">Packaging Machinery Manufacturing </v>
      </c>
    </row>
    <row r="397" spans="44:47" x14ac:dyDescent="0.25">
      <c r="AR397" s="656" t="str">
        <f>Select_naics2022[[#This Row],[2022 NAICS Code]]&amp;":  "&amp;Select_naics2022[[#This Row],[2022 NAICS Title]]</f>
        <v xml:space="preserve">333994:  Industrial Process Furnace and Oven Manufacturing </v>
      </c>
      <c r="AS397" s="656">
        <v>333994</v>
      </c>
      <c r="AT397" s="656" t="s">
        <v>1037</v>
      </c>
      <c r="AU397" s="656" t="str">
        <f>Select_naics2022[[#This Row],[2022 NAICS Title]]</f>
        <v xml:space="preserve">Industrial Process Furnace and Oven Manufacturing </v>
      </c>
    </row>
    <row r="398" spans="44:47" x14ac:dyDescent="0.25">
      <c r="AR398" s="656" t="str">
        <f>Select_naics2022[[#This Row],[2022 NAICS Code]]&amp;":  "&amp;Select_naics2022[[#This Row],[2022 NAICS Title]]</f>
        <v xml:space="preserve">333995:  Fluid Power Cylinder and Actuator Manufacturing </v>
      </c>
      <c r="AS398" s="656">
        <v>333995</v>
      </c>
      <c r="AT398" s="656" t="s">
        <v>1038</v>
      </c>
      <c r="AU398" s="656" t="str">
        <f>Select_naics2022[[#This Row],[2022 NAICS Title]]</f>
        <v xml:space="preserve">Fluid Power Cylinder and Actuator Manufacturing </v>
      </c>
    </row>
    <row r="399" spans="44:47" x14ac:dyDescent="0.25">
      <c r="AR399" s="656" t="str">
        <f>Select_naics2022[[#This Row],[2022 NAICS Code]]&amp;":  "&amp;Select_naics2022[[#This Row],[2022 NAICS Title]]</f>
        <v xml:space="preserve">333996:  Fluid Power Pump and Motor Manufacturing </v>
      </c>
      <c r="AS399" s="656">
        <v>333996</v>
      </c>
      <c r="AT399" s="656" t="s">
        <v>1039</v>
      </c>
      <c r="AU399" s="656" t="str">
        <f>Select_naics2022[[#This Row],[2022 NAICS Title]]</f>
        <v xml:space="preserve">Fluid Power Pump and Motor Manufacturing </v>
      </c>
    </row>
    <row r="400" spans="44:47" x14ac:dyDescent="0.25">
      <c r="AR400" s="656" t="str">
        <f>Select_naics2022[[#This Row],[2022 NAICS Code]]&amp;":  "&amp;Select_naics2022[[#This Row],[2022 NAICS Title]]</f>
        <v xml:space="preserve">333998:  All Other Miscellaneous General Purpose Machinery Manufacturing </v>
      </c>
      <c r="AS400" s="656">
        <v>333998</v>
      </c>
      <c r="AT400" s="656" t="s">
        <v>1040</v>
      </c>
      <c r="AU400" s="656" t="str">
        <f>Select_naics2022[[#This Row],[2022 NAICS Title]]</f>
        <v xml:space="preserve">All Other Miscellaneous General Purpose Machinery Manufacturing </v>
      </c>
    </row>
    <row r="401" spans="44:47" x14ac:dyDescent="0.25">
      <c r="AR401" s="656" t="str">
        <f>Select_naics2022[[#This Row],[2022 NAICS Code]]&amp;":  "&amp;Select_naics2022[[#This Row],[2022 NAICS Title]]</f>
        <v xml:space="preserve">334111:  Electronic Computer Manufacturing </v>
      </c>
      <c r="AS401" s="656">
        <v>334111</v>
      </c>
      <c r="AT401" s="656" t="s">
        <v>1041</v>
      </c>
      <c r="AU401" s="656" t="str">
        <f>Select_naics2022[[#This Row],[2022 NAICS Title]]</f>
        <v xml:space="preserve">Electronic Computer Manufacturing </v>
      </c>
    </row>
    <row r="402" spans="44:47" x14ac:dyDescent="0.25">
      <c r="AR402" s="656" t="str">
        <f>Select_naics2022[[#This Row],[2022 NAICS Code]]&amp;":  "&amp;Select_naics2022[[#This Row],[2022 NAICS Title]]</f>
        <v xml:space="preserve">334112:  Computer Storage Device Manufacturing </v>
      </c>
      <c r="AS402" s="656">
        <v>334112</v>
      </c>
      <c r="AT402" s="656" t="s">
        <v>1042</v>
      </c>
      <c r="AU402" s="656" t="str">
        <f>Select_naics2022[[#This Row],[2022 NAICS Title]]</f>
        <v xml:space="preserve">Computer Storage Device Manufacturing </v>
      </c>
    </row>
    <row r="403" spans="44:47" x14ac:dyDescent="0.25">
      <c r="AR403" s="656" t="str">
        <f>Select_naics2022[[#This Row],[2022 NAICS Code]]&amp;":  "&amp;Select_naics2022[[#This Row],[2022 NAICS Title]]</f>
        <v xml:space="preserve">334118:  Computer Terminal and Other Computer Peripheral Equipment Manufacturing </v>
      </c>
      <c r="AS403" s="656">
        <v>334118</v>
      </c>
      <c r="AT403" s="656" t="s">
        <v>1043</v>
      </c>
      <c r="AU403" s="656" t="str">
        <f>Select_naics2022[[#This Row],[2022 NAICS Title]]</f>
        <v xml:space="preserve">Computer Terminal and Other Computer Peripheral Equipment Manufacturing </v>
      </c>
    </row>
    <row r="404" spans="44:47" x14ac:dyDescent="0.25">
      <c r="AR404" s="656" t="str">
        <f>Select_naics2022[[#This Row],[2022 NAICS Code]]&amp;":  "&amp;Select_naics2022[[#This Row],[2022 NAICS Title]]</f>
        <v>334210:  Telephone Apparatus Manufacturing</v>
      </c>
      <c r="AS404" s="656">
        <v>334210</v>
      </c>
      <c r="AT404" s="656" t="s">
        <v>1044</v>
      </c>
      <c r="AU404" s="656" t="str">
        <f>Select_naics2022[[#This Row],[2022 NAICS Title]]</f>
        <v>Telephone Apparatus Manufacturing</v>
      </c>
    </row>
    <row r="405" spans="44:47" x14ac:dyDescent="0.25">
      <c r="AR405" s="656" t="str">
        <f>Select_naics2022[[#This Row],[2022 NAICS Code]]&amp;":  "&amp;Select_naics2022[[#This Row],[2022 NAICS Title]]</f>
        <v>334220:  Radio and Television Broadcasting and Wireless Communications Equipment Manufacturing</v>
      </c>
      <c r="AS405" s="656">
        <v>334220</v>
      </c>
      <c r="AT405" s="656" t="s">
        <v>1045</v>
      </c>
      <c r="AU405" s="656" t="str">
        <f>Select_naics2022[[#This Row],[2022 NAICS Title]]</f>
        <v>Radio and Television Broadcasting and Wireless Communications Equipment Manufacturing</v>
      </c>
    </row>
    <row r="406" spans="44:47" x14ac:dyDescent="0.25">
      <c r="AR406" s="656" t="str">
        <f>Select_naics2022[[#This Row],[2022 NAICS Code]]&amp;":  "&amp;Select_naics2022[[#This Row],[2022 NAICS Title]]</f>
        <v>334290:  Other Communications Equipment Manufacturing</v>
      </c>
      <c r="AS406" s="656">
        <v>334290</v>
      </c>
      <c r="AT406" s="656" t="s">
        <v>1046</v>
      </c>
      <c r="AU406" s="656" t="str">
        <f>Select_naics2022[[#This Row],[2022 NAICS Title]]</f>
        <v>Other Communications Equipment Manufacturing</v>
      </c>
    </row>
    <row r="407" spans="44:47" x14ac:dyDescent="0.25">
      <c r="AR407" s="656" t="str">
        <f>Select_naics2022[[#This Row],[2022 NAICS Code]]&amp;":  "&amp;Select_naics2022[[#This Row],[2022 NAICS Title]]</f>
        <v>334310:  Audio and Video Equipment Manufacturing</v>
      </c>
      <c r="AS407" s="656">
        <v>334310</v>
      </c>
      <c r="AT407" s="656" t="s">
        <v>1047</v>
      </c>
      <c r="AU407" s="656" t="str">
        <f>Select_naics2022[[#This Row],[2022 NAICS Title]]</f>
        <v>Audio and Video Equipment Manufacturing</v>
      </c>
    </row>
    <row r="408" spans="44:47" x14ac:dyDescent="0.25">
      <c r="AR408" s="656" t="str">
        <f>Select_naics2022[[#This Row],[2022 NAICS Code]]&amp;":  "&amp;Select_naics2022[[#This Row],[2022 NAICS Title]]</f>
        <v xml:space="preserve">334412:  Bare Printed Circuit Board Manufacturing  </v>
      </c>
      <c r="AS408" s="656">
        <v>334412</v>
      </c>
      <c r="AT408" s="656" t="s">
        <v>1048</v>
      </c>
      <c r="AU408" s="656" t="str">
        <f>Select_naics2022[[#This Row],[2022 NAICS Title]]</f>
        <v xml:space="preserve">Bare Printed Circuit Board Manufacturing  </v>
      </c>
    </row>
    <row r="409" spans="44:47" x14ac:dyDescent="0.25">
      <c r="AR409" s="656" t="str">
        <f>Select_naics2022[[#This Row],[2022 NAICS Code]]&amp;":  "&amp;Select_naics2022[[#This Row],[2022 NAICS Title]]</f>
        <v xml:space="preserve">334413:  Semiconductor and Related Device Manufacturing </v>
      </c>
      <c r="AS409" s="656">
        <v>334413</v>
      </c>
      <c r="AT409" s="656" t="s">
        <v>1049</v>
      </c>
      <c r="AU409" s="656" t="str">
        <f>Select_naics2022[[#This Row],[2022 NAICS Title]]</f>
        <v xml:space="preserve">Semiconductor and Related Device Manufacturing </v>
      </c>
    </row>
    <row r="410" spans="44:47" x14ac:dyDescent="0.25">
      <c r="AR410" s="656" t="str">
        <f>Select_naics2022[[#This Row],[2022 NAICS Code]]&amp;":  "&amp;Select_naics2022[[#This Row],[2022 NAICS Title]]</f>
        <v xml:space="preserve">334416:  Capacitor, Resistor, Coil, Transformer, and Other Inductor Manufacturing </v>
      </c>
      <c r="AS410" s="656">
        <v>334416</v>
      </c>
      <c r="AT410" s="656" t="s">
        <v>1050</v>
      </c>
      <c r="AU410" s="656" t="str">
        <f>Select_naics2022[[#This Row],[2022 NAICS Title]]</f>
        <v xml:space="preserve">Capacitor, Resistor, Coil, Transformer, and Other Inductor Manufacturing </v>
      </c>
    </row>
    <row r="411" spans="44:47" x14ac:dyDescent="0.25">
      <c r="AR411" s="656" t="str">
        <f>Select_naics2022[[#This Row],[2022 NAICS Code]]&amp;":  "&amp;Select_naics2022[[#This Row],[2022 NAICS Title]]</f>
        <v xml:space="preserve">334417:  Electronic Connector Manufacturing </v>
      </c>
      <c r="AS411" s="656">
        <v>334417</v>
      </c>
      <c r="AT411" s="656" t="s">
        <v>1051</v>
      </c>
      <c r="AU411" s="656" t="str">
        <f>Select_naics2022[[#This Row],[2022 NAICS Title]]</f>
        <v xml:space="preserve">Electronic Connector Manufacturing </v>
      </c>
    </row>
    <row r="412" spans="44:47" x14ac:dyDescent="0.25">
      <c r="AR412" s="656" t="str">
        <f>Select_naics2022[[#This Row],[2022 NAICS Code]]&amp;":  "&amp;Select_naics2022[[#This Row],[2022 NAICS Title]]</f>
        <v xml:space="preserve">334418:  Printed Circuit Assembly (Electronic Assembly) Manufacturing </v>
      </c>
      <c r="AS412" s="656">
        <v>334418</v>
      </c>
      <c r="AT412" s="656" t="s">
        <v>1052</v>
      </c>
      <c r="AU412" s="656" t="str">
        <f>Select_naics2022[[#This Row],[2022 NAICS Title]]</f>
        <v xml:space="preserve">Printed Circuit Assembly (Electronic Assembly) Manufacturing </v>
      </c>
    </row>
    <row r="413" spans="44:47" x14ac:dyDescent="0.25">
      <c r="AR413" s="656" t="str">
        <f>Select_naics2022[[#This Row],[2022 NAICS Code]]&amp;":  "&amp;Select_naics2022[[#This Row],[2022 NAICS Title]]</f>
        <v xml:space="preserve">334419:  Other Electronic Component Manufacturing </v>
      </c>
      <c r="AS413" s="656">
        <v>334419</v>
      </c>
      <c r="AT413" s="656" t="s">
        <v>1053</v>
      </c>
      <c r="AU413" s="656" t="str">
        <f>Select_naics2022[[#This Row],[2022 NAICS Title]]</f>
        <v xml:space="preserve">Other Electronic Component Manufacturing </v>
      </c>
    </row>
    <row r="414" spans="44:47" x14ac:dyDescent="0.25">
      <c r="AR414" s="656" t="str">
        <f>Select_naics2022[[#This Row],[2022 NAICS Code]]&amp;":  "&amp;Select_naics2022[[#This Row],[2022 NAICS Title]]</f>
        <v xml:space="preserve">334510:  Electromedical and Electrotherapeutic Apparatus Manufacturing </v>
      </c>
      <c r="AS414" s="656">
        <v>334510</v>
      </c>
      <c r="AT414" s="656" t="s">
        <v>1054</v>
      </c>
      <c r="AU414" s="656" t="str">
        <f>Select_naics2022[[#This Row],[2022 NAICS Title]]</f>
        <v xml:space="preserve">Electromedical and Electrotherapeutic Apparatus Manufacturing </v>
      </c>
    </row>
    <row r="415" spans="44:47" x14ac:dyDescent="0.25">
      <c r="AR415" s="656" t="str">
        <f>Select_naics2022[[#This Row],[2022 NAICS Code]]&amp;":  "&amp;Select_naics2022[[#This Row],[2022 NAICS Title]]</f>
        <v xml:space="preserve">334511:  Search, Detection, Navigation, Guidance, Aeronautical, and Nautical System and Instrument Manufacturing </v>
      </c>
      <c r="AS415" s="656">
        <v>334511</v>
      </c>
      <c r="AT415" s="656" t="s">
        <v>1055</v>
      </c>
      <c r="AU415" s="656" t="str">
        <f>Select_naics2022[[#This Row],[2022 NAICS Title]]</f>
        <v xml:space="preserve">Search, Detection, Navigation, Guidance, Aeronautical, and Nautical System and Instrument Manufacturing </v>
      </c>
    </row>
    <row r="416" spans="44:47" x14ac:dyDescent="0.25">
      <c r="AR416" s="656" t="str">
        <f>Select_naics2022[[#This Row],[2022 NAICS Code]]&amp;":  "&amp;Select_naics2022[[#This Row],[2022 NAICS Title]]</f>
        <v xml:space="preserve">334512:  Automatic Environmental Control Manufacturing for Residential, Commercial, and Appliance Use </v>
      </c>
      <c r="AS416" s="656">
        <v>334512</v>
      </c>
      <c r="AT416" s="656" t="s">
        <v>1056</v>
      </c>
      <c r="AU416" s="656" t="str">
        <f>Select_naics2022[[#This Row],[2022 NAICS Title]]</f>
        <v xml:space="preserve">Automatic Environmental Control Manufacturing for Residential, Commercial, and Appliance Use </v>
      </c>
    </row>
    <row r="417" spans="44:47" x14ac:dyDescent="0.25">
      <c r="AR417" s="656" t="str">
        <f>Select_naics2022[[#This Row],[2022 NAICS Code]]&amp;":  "&amp;Select_naics2022[[#This Row],[2022 NAICS Title]]</f>
        <v xml:space="preserve">334513:  Instruments and Related Products Manufacturing for Measuring, Displaying, and Controlling Industrial Process Variables </v>
      </c>
      <c r="AS417" s="656">
        <v>334513</v>
      </c>
      <c r="AT417" s="656" t="s">
        <v>1057</v>
      </c>
      <c r="AU417" s="656" t="str">
        <f>Select_naics2022[[#This Row],[2022 NAICS Title]]</f>
        <v xml:space="preserve">Instruments and Related Products Manufacturing for Measuring, Displaying, and Controlling Industrial Process Variables </v>
      </c>
    </row>
    <row r="418" spans="44:47" x14ac:dyDescent="0.25">
      <c r="AR418" s="656" t="str">
        <f>Select_naics2022[[#This Row],[2022 NAICS Code]]&amp;":  "&amp;Select_naics2022[[#This Row],[2022 NAICS Title]]</f>
        <v xml:space="preserve">334514:  Totalizing Fluid Meter and Counting Device Manufacturing </v>
      </c>
      <c r="AS418" s="656">
        <v>334514</v>
      </c>
      <c r="AT418" s="656" t="s">
        <v>1058</v>
      </c>
      <c r="AU418" s="656" t="str">
        <f>Select_naics2022[[#This Row],[2022 NAICS Title]]</f>
        <v xml:space="preserve">Totalizing Fluid Meter and Counting Device Manufacturing </v>
      </c>
    </row>
    <row r="419" spans="44:47" x14ac:dyDescent="0.25">
      <c r="AR419" s="656" t="str">
        <f>Select_naics2022[[#This Row],[2022 NAICS Code]]&amp;":  "&amp;Select_naics2022[[#This Row],[2022 NAICS Title]]</f>
        <v xml:space="preserve">334515:  Instrument Manufacturing for Measuring and Testing Electricity and Electrical Signals </v>
      </c>
      <c r="AS419" s="656">
        <v>334515</v>
      </c>
      <c r="AT419" s="656" t="s">
        <v>1059</v>
      </c>
      <c r="AU419" s="656" t="str">
        <f>Select_naics2022[[#This Row],[2022 NAICS Title]]</f>
        <v xml:space="preserve">Instrument Manufacturing for Measuring and Testing Electricity and Electrical Signals </v>
      </c>
    </row>
    <row r="420" spans="44:47" x14ac:dyDescent="0.25">
      <c r="AR420" s="656" t="str">
        <f>Select_naics2022[[#This Row],[2022 NAICS Code]]&amp;":  "&amp;Select_naics2022[[#This Row],[2022 NAICS Title]]</f>
        <v xml:space="preserve">334516:  Analytical Laboratory Instrument Manufacturing </v>
      </c>
      <c r="AS420" s="656">
        <v>334516</v>
      </c>
      <c r="AT420" s="656" t="s">
        <v>1060</v>
      </c>
      <c r="AU420" s="656" t="str">
        <f>Select_naics2022[[#This Row],[2022 NAICS Title]]</f>
        <v xml:space="preserve">Analytical Laboratory Instrument Manufacturing </v>
      </c>
    </row>
    <row r="421" spans="44:47" x14ac:dyDescent="0.25">
      <c r="AR421" s="656" t="str">
        <f>Select_naics2022[[#This Row],[2022 NAICS Code]]&amp;":  "&amp;Select_naics2022[[#This Row],[2022 NAICS Title]]</f>
        <v xml:space="preserve">334517:  Irradiation Apparatus Manufacturing </v>
      </c>
      <c r="AS421" s="656">
        <v>334517</v>
      </c>
      <c r="AT421" s="656" t="s">
        <v>1061</v>
      </c>
      <c r="AU421" s="656" t="str">
        <f>Select_naics2022[[#This Row],[2022 NAICS Title]]</f>
        <v xml:space="preserve">Irradiation Apparatus Manufacturing </v>
      </c>
    </row>
    <row r="422" spans="44:47" x14ac:dyDescent="0.25">
      <c r="AR422" s="656" t="str">
        <f>Select_naics2022[[#This Row],[2022 NAICS Code]]&amp;":  "&amp;Select_naics2022[[#This Row],[2022 NAICS Title]]</f>
        <v xml:space="preserve">334519:  Other Measuring and Controlling Device Manufacturing </v>
      </c>
      <c r="AS422" s="656">
        <v>334519</v>
      </c>
      <c r="AT422" s="656" t="s">
        <v>1062</v>
      </c>
      <c r="AU422" s="656" t="str">
        <f>Select_naics2022[[#This Row],[2022 NAICS Title]]</f>
        <v xml:space="preserve">Other Measuring and Controlling Device Manufacturing </v>
      </c>
    </row>
    <row r="423" spans="44:47" x14ac:dyDescent="0.25">
      <c r="AR423" s="656" t="str">
        <f>Select_naics2022[[#This Row],[2022 NAICS Code]]&amp;":  "&amp;Select_naics2022[[#This Row],[2022 NAICS Title]]</f>
        <v xml:space="preserve">334610:  Manufacturing and Reproducing Magnetic and Optical Media </v>
      </c>
      <c r="AS423" s="656">
        <v>334610</v>
      </c>
      <c r="AT423" s="656" t="s">
        <v>1063</v>
      </c>
      <c r="AU423" s="656" t="str">
        <f>Select_naics2022[[#This Row],[2022 NAICS Title]]</f>
        <v xml:space="preserve">Manufacturing and Reproducing Magnetic and Optical Media </v>
      </c>
    </row>
    <row r="424" spans="44:47" x14ac:dyDescent="0.25">
      <c r="AR424" s="656" t="str">
        <f>Select_naics2022[[#This Row],[2022 NAICS Code]]&amp;":  "&amp;Select_naics2022[[#This Row],[2022 NAICS Title]]</f>
        <v xml:space="preserve">335131:  Residential Electric Lighting Fixture Manufacturing </v>
      </c>
      <c r="AS424" s="656">
        <v>335131</v>
      </c>
      <c r="AT424" s="656" t="s">
        <v>1064</v>
      </c>
      <c r="AU424" s="656" t="str">
        <f>Select_naics2022[[#This Row],[2022 NAICS Title]]</f>
        <v xml:space="preserve">Residential Electric Lighting Fixture Manufacturing </v>
      </c>
    </row>
    <row r="425" spans="44:47" x14ac:dyDescent="0.25">
      <c r="AR425" s="656" t="str">
        <f>Select_naics2022[[#This Row],[2022 NAICS Code]]&amp;":  "&amp;Select_naics2022[[#This Row],[2022 NAICS Title]]</f>
        <v xml:space="preserve">335132:  Commercial, Industrial, and Institutional Electric Lighting Fixture Manufacturing </v>
      </c>
      <c r="AS425" s="656">
        <v>335132</v>
      </c>
      <c r="AT425" s="656" t="s">
        <v>1065</v>
      </c>
      <c r="AU425" s="656" t="str">
        <f>Select_naics2022[[#This Row],[2022 NAICS Title]]</f>
        <v xml:space="preserve">Commercial, Industrial, and Institutional Electric Lighting Fixture Manufacturing </v>
      </c>
    </row>
    <row r="426" spans="44:47" x14ac:dyDescent="0.25">
      <c r="AR426" s="656" t="str">
        <f>Select_naics2022[[#This Row],[2022 NAICS Code]]&amp;":  "&amp;Select_naics2022[[#This Row],[2022 NAICS Title]]</f>
        <v xml:space="preserve">335139:  Electric Lamp Bulb and Other Lighting Equipment Manufacturing </v>
      </c>
      <c r="AS426" s="656">
        <v>335139</v>
      </c>
      <c r="AT426" s="656" t="s">
        <v>1066</v>
      </c>
      <c r="AU426" s="656" t="str">
        <f>Select_naics2022[[#This Row],[2022 NAICS Title]]</f>
        <v xml:space="preserve">Electric Lamp Bulb and Other Lighting Equipment Manufacturing </v>
      </c>
    </row>
    <row r="427" spans="44:47" x14ac:dyDescent="0.25">
      <c r="AR427" s="656" t="str">
        <f>Select_naics2022[[#This Row],[2022 NAICS Code]]&amp;":  "&amp;Select_naics2022[[#This Row],[2022 NAICS Title]]</f>
        <v>335210:  Small Electrical Appliance Manufacturing</v>
      </c>
      <c r="AS427" s="656">
        <v>335210</v>
      </c>
      <c r="AT427" s="656" t="s">
        <v>1067</v>
      </c>
      <c r="AU427" s="656" t="str">
        <f>Select_naics2022[[#This Row],[2022 NAICS Title]]</f>
        <v>Small Electrical Appliance Manufacturing</v>
      </c>
    </row>
    <row r="428" spans="44:47" x14ac:dyDescent="0.25">
      <c r="AR428" s="656" t="str">
        <f>Select_naics2022[[#This Row],[2022 NAICS Code]]&amp;":  "&amp;Select_naics2022[[#This Row],[2022 NAICS Title]]</f>
        <v xml:space="preserve">335220:  Major Household Appliance Manufacturing </v>
      </c>
      <c r="AS428" s="656">
        <v>335220</v>
      </c>
      <c r="AT428" s="656" t="s">
        <v>1068</v>
      </c>
      <c r="AU428" s="656" t="str">
        <f>Select_naics2022[[#This Row],[2022 NAICS Title]]</f>
        <v xml:space="preserve">Major Household Appliance Manufacturing </v>
      </c>
    </row>
    <row r="429" spans="44:47" x14ac:dyDescent="0.25">
      <c r="AR429" s="656" t="str">
        <f>Select_naics2022[[#This Row],[2022 NAICS Code]]&amp;":  "&amp;Select_naics2022[[#This Row],[2022 NAICS Title]]</f>
        <v xml:space="preserve">335311:  Power, Distribution, and Specialty Transformer Manufacturing </v>
      </c>
      <c r="AS429" s="656">
        <v>335311</v>
      </c>
      <c r="AT429" s="656" t="s">
        <v>1069</v>
      </c>
      <c r="AU429" s="656" t="str">
        <f>Select_naics2022[[#This Row],[2022 NAICS Title]]</f>
        <v xml:space="preserve">Power, Distribution, and Specialty Transformer Manufacturing </v>
      </c>
    </row>
    <row r="430" spans="44:47" x14ac:dyDescent="0.25">
      <c r="AR430" s="656" t="str">
        <f>Select_naics2022[[#This Row],[2022 NAICS Code]]&amp;":  "&amp;Select_naics2022[[#This Row],[2022 NAICS Title]]</f>
        <v xml:space="preserve">335312:  Motor and Generator Manufacturing </v>
      </c>
      <c r="AS430" s="656">
        <v>335312</v>
      </c>
      <c r="AT430" s="656" t="s">
        <v>1070</v>
      </c>
      <c r="AU430" s="656" t="str">
        <f>Select_naics2022[[#This Row],[2022 NAICS Title]]</f>
        <v xml:space="preserve">Motor and Generator Manufacturing </v>
      </c>
    </row>
    <row r="431" spans="44:47" x14ac:dyDescent="0.25">
      <c r="AR431" s="656" t="str">
        <f>Select_naics2022[[#This Row],[2022 NAICS Code]]&amp;":  "&amp;Select_naics2022[[#This Row],[2022 NAICS Title]]</f>
        <v xml:space="preserve">335313:  Switchgear and Switchboard Apparatus Manufacturing </v>
      </c>
      <c r="AS431" s="656">
        <v>335313</v>
      </c>
      <c r="AT431" s="656" t="s">
        <v>1071</v>
      </c>
      <c r="AU431" s="656" t="str">
        <f>Select_naics2022[[#This Row],[2022 NAICS Title]]</f>
        <v xml:space="preserve">Switchgear and Switchboard Apparatus Manufacturing </v>
      </c>
    </row>
    <row r="432" spans="44:47" x14ac:dyDescent="0.25">
      <c r="AR432" s="656" t="str">
        <f>Select_naics2022[[#This Row],[2022 NAICS Code]]&amp;":  "&amp;Select_naics2022[[#This Row],[2022 NAICS Title]]</f>
        <v xml:space="preserve">335314:  Relay and Industrial Control Manufacturing </v>
      </c>
      <c r="AS432" s="656">
        <v>335314</v>
      </c>
      <c r="AT432" s="656" t="s">
        <v>1072</v>
      </c>
      <c r="AU432" s="656" t="str">
        <f>Select_naics2022[[#This Row],[2022 NAICS Title]]</f>
        <v xml:space="preserve">Relay and Industrial Control Manufacturing </v>
      </c>
    </row>
    <row r="433" spans="44:47" x14ac:dyDescent="0.25">
      <c r="AR433" s="656" t="str">
        <f>Select_naics2022[[#This Row],[2022 NAICS Code]]&amp;":  "&amp;Select_naics2022[[#This Row],[2022 NAICS Title]]</f>
        <v xml:space="preserve">335910:  Battery Manufacturing </v>
      </c>
      <c r="AS433" s="656">
        <v>335910</v>
      </c>
      <c r="AT433" s="656" t="s">
        <v>1073</v>
      </c>
      <c r="AU433" s="656" t="str">
        <f>Select_naics2022[[#This Row],[2022 NAICS Title]]</f>
        <v xml:space="preserve">Battery Manufacturing </v>
      </c>
    </row>
    <row r="434" spans="44:47" x14ac:dyDescent="0.25">
      <c r="AR434" s="656" t="str">
        <f>Select_naics2022[[#This Row],[2022 NAICS Code]]&amp;":  "&amp;Select_naics2022[[#This Row],[2022 NAICS Title]]</f>
        <v xml:space="preserve">335921:  Fiber Optic Cable Manufacturing </v>
      </c>
      <c r="AS434" s="656">
        <v>335921</v>
      </c>
      <c r="AT434" s="656" t="s">
        <v>1074</v>
      </c>
      <c r="AU434" s="656" t="str">
        <f>Select_naics2022[[#This Row],[2022 NAICS Title]]</f>
        <v xml:space="preserve">Fiber Optic Cable Manufacturing </v>
      </c>
    </row>
    <row r="435" spans="44:47" x14ac:dyDescent="0.25">
      <c r="AR435" s="656" t="str">
        <f>Select_naics2022[[#This Row],[2022 NAICS Code]]&amp;":  "&amp;Select_naics2022[[#This Row],[2022 NAICS Title]]</f>
        <v xml:space="preserve">335929:  Other Communication and Energy Wire Manufacturing </v>
      </c>
      <c r="AS435" s="656">
        <v>335929</v>
      </c>
      <c r="AT435" s="656" t="s">
        <v>1075</v>
      </c>
      <c r="AU435" s="656" t="str">
        <f>Select_naics2022[[#This Row],[2022 NAICS Title]]</f>
        <v xml:space="preserve">Other Communication and Energy Wire Manufacturing </v>
      </c>
    </row>
    <row r="436" spans="44:47" x14ac:dyDescent="0.25">
      <c r="AR436" s="656" t="str">
        <f>Select_naics2022[[#This Row],[2022 NAICS Code]]&amp;":  "&amp;Select_naics2022[[#This Row],[2022 NAICS Title]]</f>
        <v xml:space="preserve">335931:  Current-Carrying Wiring Device Manufacturing </v>
      </c>
      <c r="AS436" s="656">
        <v>335931</v>
      </c>
      <c r="AT436" s="656" t="s">
        <v>1076</v>
      </c>
      <c r="AU436" s="656" t="str">
        <f>Select_naics2022[[#This Row],[2022 NAICS Title]]</f>
        <v xml:space="preserve">Current-Carrying Wiring Device Manufacturing </v>
      </c>
    </row>
    <row r="437" spans="44:47" x14ac:dyDescent="0.25">
      <c r="AR437" s="656" t="str">
        <f>Select_naics2022[[#This Row],[2022 NAICS Code]]&amp;":  "&amp;Select_naics2022[[#This Row],[2022 NAICS Title]]</f>
        <v xml:space="preserve">335932:  Noncurrent-Carrying Wiring Device Manufacturing </v>
      </c>
      <c r="AS437" s="656">
        <v>335932</v>
      </c>
      <c r="AT437" s="656" t="s">
        <v>1077</v>
      </c>
      <c r="AU437" s="656" t="str">
        <f>Select_naics2022[[#This Row],[2022 NAICS Title]]</f>
        <v xml:space="preserve">Noncurrent-Carrying Wiring Device Manufacturing </v>
      </c>
    </row>
    <row r="438" spans="44:47" x14ac:dyDescent="0.25">
      <c r="AR438" s="656" t="str">
        <f>Select_naics2022[[#This Row],[2022 NAICS Code]]&amp;":  "&amp;Select_naics2022[[#This Row],[2022 NAICS Title]]</f>
        <v xml:space="preserve">335991:  Carbon and Graphite Product Manufacturing </v>
      </c>
      <c r="AS438" s="656">
        <v>335991</v>
      </c>
      <c r="AT438" s="656" t="s">
        <v>1078</v>
      </c>
      <c r="AU438" s="656" t="str">
        <f>Select_naics2022[[#This Row],[2022 NAICS Title]]</f>
        <v xml:space="preserve">Carbon and Graphite Product Manufacturing </v>
      </c>
    </row>
    <row r="439" spans="44:47" x14ac:dyDescent="0.25">
      <c r="AR439" s="656" t="str">
        <f>Select_naics2022[[#This Row],[2022 NAICS Code]]&amp;":  "&amp;Select_naics2022[[#This Row],[2022 NAICS Title]]</f>
        <v xml:space="preserve">335999:  All Other Miscellaneous Electrical Equipment and Component Manufacturing </v>
      </c>
      <c r="AS439" s="656">
        <v>335999</v>
      </c>
      <c r="AT439" s="656" t="s">
        <v>1079</v>
      </c>
      <c r="AU439" s="656" t="str">
        <f>Select_naics2022[[#This Row],[2022 NAICS Title]]</f>
        <v xml:space="preserve">All Other Miscellaneous Electrical Equipment and Component Manufacturing </v>
      </c>
    </row>
    <row r="440" spans="44:47" x14ac:dyDescent="0.25">
      <c r="AR440" s="656" t="str">
        <f>Select_naics2022[[#This Row],[2022 NAICS Code]]&amp;":  "&amp;Select_naics2022[[#This Row],[2022 NAICS Title]]</f>
        <v xml:space="preserve">336110:  Automobile and Light Duty Motor Vehicle Manufacturing </v>
      </c>
      <c r="AS440" s="656">
        <v>336110</v>
      </c>
      <c r="AT440" s="656" t="s">
        <v>1080</v>
      </c>
      <c r="AU440" s="656" t="str">
        <f>Select_naics2022[[#This Row],[2022 NAICS Title]]</f>
        <v xml:space="preserve">Automobile and Light Duty Motor Vehicle Manufacturing </v>
      </c>
    </row>
    <row r="441" spans="44:47" x14ac:dyDescent="0.25">
      <c r="AR441" s="656" t="str">
        <f>Select_naics2022[[#This Row],[2022 NAICS Code]]&amp;":  "&amp;Select_naics2022[[#This Row],[2022 NAICS Title]]</f>
        <v>336120:  Heavy Duty Truck Manufacturing</v>
      </c>
      <c r="AS441" s="656">
        <v>336120</v>
      </c>
      <c r="AT441" s="656" t="s">
        <v>1081</v>
      </c>
      <c r="AU441" s="656" t="str">
        <f>Select_naics2022[[#This Row],[2022 NAICS Title]]</f>
        <v>Heavy Duty Truck Manufacturing</v>
      </c>
    </row>
    <row r="442" spans="44:47" x14ac:dyDescent="0.25">
      <c r="AR442" s="656" t="str">
        <f>Select_naics2022[[#This Row],[2022 NAICS Code]]&amp;":  "&amp;Select_naics2022[[#This Row],[2022 NAICS Title]]</f>
        <v xml:space="preserve">336211:  Motor Vehicle Body Manufacturing </v>
      </c>
      <c r="AS442" s="656">
        <v>336211</v>
      </c>
      <c r="AT442" s="656" t="s">
        <v>1082</v>
      </c>
      <c r="AU442" s="656" t="str">
        <f>Select_naics2022[[#This Row],[2022 NAICS Title]]</f>
        <v xml:space="preserve">Motor Vehicle Body Manufacturing </v>
      </c>
    </row>
    <row r="443" spans="44:47" x14ac:dyDescent="0.25">
      <c r="AR443" s="656" t="str">
        <f>Select_naics2022[[#This Row],[2022 NAICS Code]]&amp;":  "&amp;Select_naics2022[[#This Row],[2022 NAICS Title]]</f>
        <v xml:space="preserve">336212:  Truck Trailer Manufacturing </v>
      </c>
      <c r="AS443" s="656">
        <v>336212</v>
      </c>
      <c r="AT443" s="656" t="s">
        <v>1083</v>
      </c>
      <c r="AU443" s="656" t="str">
        <f>Select_naics2022[[#This Row],[2022 NAICS Title]]</f>
        <v xml:space="preserve">Truck Trailer Manufacturing </v>
      </c>
    </row>
    <row r="444" spans="44:47" x14ac:dyDescent="0.25">
      <c r="AR444" s="656" t="str">
        <f>Select_naics2022[[#This Row],[2022 NAICS Code]]&amp;":  "&amp;Select_naics2022[[#This Row],[2022 NAICS Title]]</f>
        <v xml:space="preserve">336213:  Motor Home Manufacturing </v>
      </c>
      <c r="AS444" s="656">
        <v>336213</v>
      </c>
      <c r="AT444" s="656" t="s">
        <v>1084</v>
      </c>
      <c r="AU444" s="656" t="str">
        <f>Select_naics2022[[#This Row],[2022 NAICS Title]]</f>
        <v xml:space="preserve">Motor Home Manufacturing </v>
      </c>
    </row>
    <row r="445" spans="44:47" x14ac:dyDescent="0.25">
      <c r="AR445" s="656" t="str">
        <f>Select_naics2022[[#This Row],[2022 NAICS Code]]&amp;":  "&amp;Select_naics2022[[#This Row],[2022 NAICS Title]]</f>
        <v xml:space="preserve">336214:  Travel Trailer and Camper Manufacturing </v>
      </c>
      <c r="AS445" s="656">
        <v>336214</v>
      </c>
      <c r="AT445" s="656" t="s">
        <v>1085</v>
      </c>
      <c r="AU445" s="656" t="str">
        <f>Select_naics2022[[#This Row],[2022 NAICS Title]]</f>
        <v xml:space="preserve">Travel Trailer and Camper Manufacturing </v>
      </c>
    </row>
    <row r="446" spans="44:47" x14ac:dyDescent="0.25">
      <c r="AR446" s="656" t="str">
        <f>Select_naics2022[[#This Row],[2022 NAICS Code]]&amp;":  "&amp;Select_naics2022[[#This Row],[2022 NAICS Title]]</f>
        <v>336310:  Motor Vehicle Gasoline Engine and Engine Parts Manufacturing</v>
      </c>
      <c r="AS446" s="656">
        <v>336310</v>
      </c>
      <c r="AT446" s="656" t="s">
        <v>1086</v>
      </c>
      <c r="AU446" s="656" t="str">
        <f>Select_naics2022[[#This Row],[2022 NAICS Title]]</f>
        <v>Motor Vehicle Gasoline Engine and Engine Parts Manufacturing</v>
      </c>
    </row>
    <row r="447" spans="44:47" x14ac:dyDescent="0.25">
      <c r="AR447" s="656" t="str">
        <f>Select_naics2022[[#This Row],[2022 NAICS Code]]&amp;":  "&amp;Select_naics2022[[#This Row],[2022 NAICS Title]]</f>
        <v>336320:  Motor Vehicle Electrical and Electronic Equipment Manufacturing</v>
      </c>
      <c r="AS447" s="656">
        <v>336320</v>
      </c>
      <c r="AT447" s="656" t="s">
        <v>1087</v>
      </c>
      <c r="AU447" s="656" t="str">
        <f>Select_naics2022[[#This Row],[2022 NAICS Title]]</f>
        <v>Motor Vehicle Electrical and Electronic Equipment Manufacturing</v>
      </c>
    </row>
    <row r="448" spans="44:47" x14ac:dyDescent="0.25">
      <c r="AR448" s="656" t="str">
        <f>Select_naics2022[[#This Row],[2022 NAICS Code]]&amp;":  "&amp;Select_naics2022[[#This Row],[2022 NAICS Title]]</f>
        <v>336330:  Motor Vehicle Steering and Suspension Components (except Spring) Manufacturing</v>
      </c>
      <c r="AS448" s="656">
        <v>336330</v>
      </c>
      <c r="AT448" s="656" t="s">
        <v>1088</v>
      </c>
      <c r="AU448" s="656" t="str">
        <f>Select_naics2022[[#This Row],[2022 NAICS Title]]</f>
        <v>Motor Vehicle Steering and Suspension Components (except Spring) Manufacturing</v>
      </c>
    </row>
    <row r="449" spans="44:47" x14ac:dyDescent="0.25">
      <c r="AR449" s="656" t="str">
        <f>Select_naics2022[[#This Row],[2022 NAICS Code]]&amp;":  "&amp;Select_naics2022[[#This Row],[2022 NAICS Title]]</f>
        <v>336340:  Motor Vehicle Brake System Manufacturing</v>
      </c>
      <c r="AS449" s="656">
        <v>336340</v>
      </c>
      <c r="AT449" s="656" t="s">
        <v>1089</v>
      </c>
      <c r="AU449" s="656" t="str">
        <f>Select_naics2022[[#This Row],[2022 NAICS Title]]</f>
        <v>Motor Vehicle Brake System Manufacturing</v>
      </c>
    </row>
    <row r="450" spans="44:47" x14ac:dyDescent="0.25">
      <c r="AR450" s="656" t="str">
        <f>Select_naics2022[[#This Row],[2022 NAICS Code]]&amp;":  "&amp;Select_naics2022[[#This Row],[2022 NAICS Title]]</f>
        <v>336350:  Motor Vehicle Transmission and Power Train Parts Manufacturing</v>
      </c>
      <c r="AS450" s="656">
        <v>336350</v>
      </c>
      <c r="AT450" s="656" t="s">
        <v>1090</v>
      </c>
      <c r="AU450" s="656" t="str">
        <f>Select_naics2022[[#This Row],[2022 NAICS Title]]</f>
        <v>Motor Vehicle Transmission and Power Train Parts Manufacturing</v>
      </c>
    </row>
    <row r="451" spans="44:47" x14ac:dyDescent="0.25">
      <c r="AR451" s="656" t="str">
        <f>Select_naics2022[[#This Row],[2022 NAICS Code]]&amp;":  "&amp;Select_naics2022[[#This Row],[2022 NAICS Title]]</f>
        <v>336360:  Motor Vehicle Seating and Interior Trim Manufacturing</v>
      </c>
      <c r="AS451" s="656">
        <v>336360</v>
      </c>
      <c r="AT451" s="656" t="s">
        <v>1091</v>
      </c>
      <c r="AU451" s="656" t="str">
        <f>Select_naics2022[[#This Row],[2022 NAICS Title]]</f>
        <v>Motor Vehicle Seating and Interior Trim Manufacturing</v>
      </c>
    </row>
    <row r="452" spans="44:47" x14ac:dyDescent="0.25">
      <c r="AR452" s="656" t="str">
        <f>Select_naics2022[[#This Row],[2022 NAICS Code]]&amp;":  "&amp;Select_naics2022[[#This Row],[2022 NAICS Title]]</f>
        <v>336370:  Motor Vehicle Metal Stamping</v>
      </c>
      <c r="AS452" s="656">
        <v>336370</v>
      </c>
      <c r="AT452" s="656" t="s">
        <v>1092</v>
      </c>
      <c r="AU452" s="656" t="str">
        <f>Select_naics2022[[#This Row],[2022 NAICS Title]]</f>
        <v>Motor Vehicle Metal Stamping</v>
      </c>
    </row>
    <row r="453" spans="44:47" x14ac:dyDescent="0.25">
      <c r="AR453" s="656" t="str">
        <f>Select_naics2022[[#This Row],[2022 NAICS Code]]&amp;":  "&amp;Select_naics2022[[#This Row],[2022 NAICS Title]]</f>
        <v>336390:  Other Motor Vehicle Parts Manufacturing</v>
      </c>
      <c r="AS453" s="656">
        <v>336390</v>
      </c>
      <c r="AT453" s="656" t="s">
        <v>1093</v>
      </c>
      <c r="AU453" s="656" t="str">
        <f>Select_naics2022[[#This Row],[2022 NAICS Title]]</f>
        <v>Other Motor Vehicle Parts Manufacturing</v>
      </c>
    </row>
    <row r="454" spans="44:47" x14ac:dyDescent="0.25">
      <c r="AR454" s="656" t="str">
        <f>Select_naics2022[[#This Row],[2022 NAICS Code]]&amp;":  "&amp;Select_naics2022[[#This Row],[2022 NAICS Title]]</f>
        <v xml:space="preserve">336411:  Aircraft Manufacturing </v>
      </c>
      <c r="AS454" s="656">
        <v>336411</v>
      </c>
      <c r="AT454" s="656" t="s">
        <v>1094</v>
      </c>
      <c r="AU454" s="656" t="str">
        <f>Select_naics2022[[#This Row],[2022 NAICS Title]]</f>
        <v xml:space="preserve">Aircraft Manufacturing </v>
      </c>
    </row>
    <row r="455" spans="44:47" x14ac:dyDescent="0.25">
      <c r="AR455" s="656" t="str">
        <f>Select_naics2022[[#This Row],[2022 NAICS Code]]&amp;":  "&amp;Select_naics2022[[#This Row],[2022 NAICS Title]]</f>
        <v xml:space="preserve">336412:  Aircraft Engine and Engine Parts Manufacturing </v>
      </c>
      <c r="AS455" s="656">
        <v>336412</v>
      </c>
      <c r="AT455" s="656" t="s">
        <v>1095</v>
      </c>
      <c r="AU455" s="656" t="str">
        <f>Select_naics2022[[#This Row],[2022 NAICS Title]]</f>
        <v xml:space="preserve">Aircraft Engine and Engine Parts Manufacturing </v>
      </c>
    </row>
    <row r="456" spans="44:47" x14ac:dyDescent="0.25">
      <c r="AR456" s="656" t="str">
        <f>Select_naics2022[[#This Row],[2022 NAICS Code]]&amp;":  "&amp;Select_naics2022[[#This Row],[2022 NAICS Title]]</f>
        <v xml:space="preserve">336413:  Other Aircraft Parts and Auxiliary Equipment Manufacturing </v>
      </c>
      <c r="AS456" s="656">
        <v>336413</v>
      </c>
      <c r="AT456" s="656" t="s">
        <v>1096</v>
      </c>
      <c r="AU456" s="656" t="str">
        <f>Select_naics2022[[#This Row],[2022 NAICS Title]]</f>
        <v xml:space="preserve">Other Aircraft Parts and Auxiliary Equipment Manufacturing </v>
      </c>
    </row>
    <row r="457" spans="44:47" x14ac:dyDescent="0.25">
      <c r="AR457" s="656" t="str">
        <f>Select_naics2022[[#This Row],[2022 NAICS Code]]&amp;":  "&amp;Select_naics2022[[#This Row],[2022 NAICS Title]]</f>
        <v xml:space="preserve">336414:  Guided Missile and Space Vehicle Manufacturing </v>
      </c>
      <c r="AS457" s="656">
        <v>336414</v>
      </c>
      <c r="AT457" s="656" t="s">
        <v>1097</v>
      </c>
      <c r="AU457" s="656" t="str">
        <f>Select_naics2022[[#This Row],[2022 NAICS Title]]</f>
        <v xml:space="preserve">Guided Missile and Space Vehicle Manufacturing </v>
      </c>
    </row>
    <row r="458" spans="44:47" x14ac:dyDescent="0.25">
      <c r="AR458" s="656" t="str">
        <f>Select_naics2022[[#This Row],[2022 NAICS Code]]&amp;":  "&amp;Select_naics2022[[#This Row],[2022 NAICS Title]]</f>
        <v xml:space="preserve">336415:  Guided Missile and Space Vehicle Propulsion Unit and Propulsion Unit Parts Manufacturing </v>
      </c>
      <c r="AS458" s="656">
        <v>336415</v>
      </c>
      <c r="AT458" s="656" t="s">
        <v>1098</v>
      </c>
      <c r="AU458" s="656" t="str">
        <f>Select_naics2022[[#This Row],[2022 NAICS Title]]</f>
        <v xml:space="preserve">Guided Missile and Space Vehicle Propulsion Unit and Propulsion Unit Parts Manufacturing </v>
      </c>
    </row>
    <row r="459" spans="44:47" x14ac:dyDescent="0.25">
      <c r="AR459" s="656" t="str">
        <f>Select_naics2022[[#This Row],[2022 NAICS Code]]&amp;":  "&amp;Select_naics2022[[#This Row],[2022 NAICS Title]]</f>
        <v xml:space="preserve">336419:  Other Guided Missile and Space Vehicle Parts and Auxiliary Equipment Manufacturing </v>
      </c>
      <c r="AS459" s="656">
        <v>336419</v>
      </c>
      <c r="AT459" s="656" t="s">
        <v>1099</v>
      </c>
      <c r="AU459" s="656" t="str">
        <f>Select_naics2022[[#This Row],[2022 NAICS Title]]</f>
        <v xml:space="preserve">Other Guided Missile and Space Vehicle Parts and Auxiliary Equipment Manufacturing </v>
      </c>
    </row>
    <row r="460" spans="44:47" x14ac:dyDescent="0.25">
      <c r="AR460" s="656" t="str">
        <f>Select_naics2022[[#This Row],[2022 NAICS Code]]&amp;":  "&amp;Select_naics2022[[#This Row],[2022 NAICS Title]]</f>
        <v>336510:  Railroad Rolling Stock Manufacturing</v>
      </c>
      <c r="AS460" s="656">
        <v>336510</v>
      </c>
      <c r="AT460" s="656" t="s">
        <v>1100</v>
      </c>
      <c r="AU460" s="656" t="str">
        <f>Select_naics2022[[#This Row],[2022 NAICS Title]]</f>
        <v>Railroad Rolling Stock Manufacturing</v>
      </c>
    </row>
    <row r="461" spans="44:47" x14ac:dyDescent="0.25">
      <c r="AR461" s="656" t="str">
        <f>Select_naics2022[[#This Row],[2022 NAICS Code]]&amp;":  "&amp;Select_naics2022[[#This Row],[2022 NAICS Title]]</f>
        <v xml:space="preserve">336611:  Ship Building and Repairing </v>
      </c>
      <c r="AS461" s="656">
        <v>336611</v>
      </c>
      <c r="AT461" s="656" t="s">
        <v>1101</v>
      </c>
      <c r="AU461" s="656" t="str">
        <f>Select_naics2022[[#This Row],[2022 NAICS Title]]</f>
        <v xml:space="preserve">Ship Building and Repairing </v>
      </c>
    </row>
    <row r="462" spans="44:47" x14ac:dyDescent="0.25">
      <c r="AR462" s="656" t="str">
        <f>Select_naics2022[[#This Row],[2022 NAICS Code]]&amp;":  "&amp;Select_naics2022[[#This Row],[2022 NAICS Title]]</f>
        <v xml:space="preserve">336612:  Boat Building </v>
      </c>
      <c r="AS462" s="656">
        <v>336612</v>
      </c>
      <c r="AT462" s="656" t="s">
        <v>1102</v>
      </c>
      <c r="AU462" s="656" t="str">
        <f>Select_naics2022[[#This Row],[2022 NAICS Title]]</f>
        <v xml:space="preserve">Boat Building </v>
      </c>
    </row>
    <row r="463" spans="44:47" x14ac:dyDescent="0.25">
      <c r="AR463" s="656" t="str">
        <f>Select_naics2022[[#This Row],[2022 NAICS Code]]&amp;":  "&amp;Select_naics2022[[#This Row],[2022 NAICS Title]]</f>
        <v xml:space="preserve">336991:  Motorcycle, Bicycle, and Parts Manufacturing </v>
      </c>
      <c r="AS463" s="656">
        <v>336991</v>
      </c>
      <c r="AT463" s="656" t="s">
        <v>1103</v>
      </c>
      <c r="AU463" s="656" t="str">
        <f>Select_naics2022[[#This Row],[2022 NAICS Title]]</f>
        <v xml:space="preserve">Motorcycle, Bicycle, and Parts Manufacturing </v>
      </c>
    </row>
    <row r="464" spans="44:47" x14ac:dyDescent="0.25">
      <c r="AR464" s="656" t="str">
        <f>Select_naics2022[[#This Row],[2022 NAICS Code]]&amp;":  "&amp;Select_naics2022[[#This Row],[2022 NAICS Title]]</f>
        <v xml:space="preserve">336992:  Military Armored Vehicle, Tank, and Tank Component Manufacturing </v>
      </c>
      <c r="AS464" s="656">
        <v>336992</v>
      </c>
      <c r="AT464" s="656" t="s">
        <v>1104</v>
      </c>
      <c r="AU464" s="656" t="str">
        <f>Select_naics2022[[#This Row],[2022 NAICS Title]]</f>
        <v xml:space="preserve">Military Armored Vehicle, Tank, and Tank Component Manufacturing </v>
      </c>
    </row>
    <row r="465" spans="44:47" x14ac:dyDescent="0.25">
      <c r="AR465" s="656" t="str">
        <f>Select_naics2022[[#This Row],[2022 NAICS Code]]&amp;":  "&amp;Select_naics2022[[#This Row],[2022 NAICS Title]]</f>
        <v xml:space="preserve">336999:  All Other Transportation Equipment Manufacturing </v>
      </c>
      <c r="AS465" s="656">
        <v>336999</v>
      </c>
      <c r="AT465" s="656" t="s">
        <v>1105</v>
      </c>
      <c r="AU465" s="656" t="str">
        <f>Select_naics2022[[#This Row],[2022 NAICS Title]]</f>
        <v xml:space="preserve">All Other Transportation Equipment Manufacturing </v>
      </c>
    </row>
    <row r="466" spans="44:47" x14ac:dyDescent="0.25">
      <c r="AR466" s="656" t="str">
        <f>Select_naics2022[[#This Row],[2022 NAICS Code]]&amp;":  "&amp;Select_naics2022[[#This Row],[2022 NAICS Title]]</f>
        <v>337110:  Wood Kitchen Cabinet and Countertop Manufacturing</v>
      </c>
      <c r="AS466" s="656">
        <v>337110</v>
      </c>
      <c r="AT466" s="656" t="s">
        <v>1106</v>
      </c>
      <c r="AU466" s="656" t="str">
        <f>Select_naics2022[[#This Row],[2022 NAICS Title]]</f>
        <v>Wood Kitchen Cabinet and Countertop Manufacturing</v>
      </c>
    </row>
    <row r="467" spans="44:47" x14ac:dyDescent="0.25">
      <c r="AR467" s="656" t="str">
        <f>Select_naics2022[[#This Row],[2022 NAICS Code]]&amp;":  "&amp;Select_naics2022[[#This Row],[2022 NAICS Title]]</f>
        <v xml:space="preserve">337121:  Upholstered Household Furniture Manufacturing </v>
      </c>
      <c r="AS467" s="656">
        <v>337121</v>
      </c>
      <c r="AT467" s="656" t="s">
        <v>1107</v>
      </c>
      <c r="AU467" s="656" t="str">
        <f>Select_naics2022[[#This Row],[2022 NAICS Title]]</f>
        <v xml:space="preserve">Upholstered Household Furniture Manufacturing </v>
      </c>
    </row>
    <row r="468" spans="44:47" x14ac:dyDescent="0.25">
      <c r="AR468" s="656" t="str">
        <f>Select_naics2022[[#This Row],[2022 NAICS Code]]&amp;":  "&amp;Select_naics2022[[#This Row],[2022 NAICS Title]]</f>
        <v xml:space="preserve">337122:  Nonupholstered Wood Household Furniture Manufacturing </v>
      </c>
      <c r="AS468" s="656">
        <v>337122</v>
      </c>
      <c r="AT468" s="656" t="s">
        <v>1108</v>
      </c>
      <c r="AU468" s="656" t="str">
        <f>Select_naics2022[[#This Row],[2022 NAICS Title]]</f>
        <v xml:space="preserve">Nonupholstered Wood Household Furniture Manufacturing </v>
      </c>
    </row>
    <row r="469" spans="44:47" x14ac:dyDescent="0.25">
      <c r="AR469" s="656" t="str">
        <f>Select_naics2022[[#This Row],[2022 NAICS Code]]&amp;":  "&amp;Select_naics2022[[#This Row],[2022 NAICS Title]]</f>
        <v xml:space="preserve">337126:  Household Furniture (except Wood and Upholstered) Manufacturing </v>
      </c>
      <c r="AS469" s="656">
        <v>337126</v>
      </c>
      <c r="AT469" s="656" t="s">
        <v>1109</v>
      </c>
      <c r="AU469" s="656" t="str">
        <f>Select_naics2022[[#This Row],[2022 NAICS Title]]</f>
        <v xml:space="preserve">Household Furniture (except Wood and Upholstered) Manufacturing </v>
      </c>
    </row>
    <row r="470" spans="44:47" x14ac:dyDescent="0.25">
      <c r="AR470" s="656" t="str">
        <f>Select_naics2022[[#This Row],[2022 NAICS Code]]&amp;":  "&amp;Select_naics2022[[#This Row],[2022 NAICS Title]]</f>
        <v xml:space="preserve">337127:  Institutional Furniture Manufacturing </v>
      </c>
      <c r="AS470" s="656">
        <v>337127</v>
      </c>
      <c r="AT470" s="656" t="s">
        <v>1110</v>
      </c>
      <c r="AU470" s="656" t="str">
        <f>Select_naics2022[[#This Row],[2022 NAICS Title]]</f>
        <v xml:space="preserve">Institutional Furniture Manufacturing </v>
      </c>
    </row>
    <row r="471" spans="44:47" x14ac:dyDescent="0.25">
      <c r="AR471" s="656" t="str">
        <f>Select_naics2022[[#This Row],[2022 NAICS Code]]&amp;":  "&amp;Select_naics2022[[#This Row],[2022 NAICS Title]]</f>
        <v xml:space="preserve">337211:  Wood Office Furniture Manufacturing </v>
      </c>
      <c r="AS471" s="656">
        <v>337211</v>
      </c>
      <c r="AT471" s="656" t="s">
        <v>1111</v>
      </c>
      <c r="AU471" s="656" t="str">
        <f>Select_naics2022[[#This Row],[2022 NAICS Title]]</f>
        <v xml:space="preserve">Wood Office Furniture Manufacturing </v>
      </c>
    </row>
    <row r="472" spans="44:47" x14ac:dyDescent="0.25">
      <c r="AR472" s="656" t="str">
        <f>Select_naics2022[[#This Row],[2022 NAICS Code]]&amp;":  "&amp;Select_naics2022[[#This Row],[2022 NAICS Title]]</f>
        <v xml:space="preserve">337212:  Custom Architectural Woodwork and Millwork Manufacturing </v>
      </c>
      <c r="AS472" s="656">
        <v>337212</v>
      </c>
      <c r="AT472" s="656" t="s">
        <v>1112</v>
      </c>
      <c r="AU472" s="656" t="str">
        <f>Select_naics2022[[#This Row],[2022 NAICS Title]]</f>
        <v xml:space="preserve">Custom Architectural Woodwork and Millwork Manufacturing </v>
      </c>
    </row>
    <row r="473" spans="44:47" x14ac:dyDescent="0.25">
      <c r="AR473" s="656" t="str">
        <f>Select_naics2022[[#This Row],[2022 NAICS Code]]&amp;":  "&amp;Select_naics2022[[#This Row],[2022 NAICS Title]]</f>
        <v xml:space="preserve">337214:  Office Furniture (except Wood) Manufacturing </v>
      </c>
      <c r="AS473" s="656">
        <v>337214</v>
      </c>
      <c r="AT473" s="656" t="s">
        <v>1113</v>
      </c>
      <c r="AU473" s="656" t="str">
        <f>Select_naics2022[[#This Row],[2022 NAICS Title]]</f>
        <v xml:space="preserve">Office Furniture (except Wood) Manufacturing </v>
      </c>
    </row>
    <row r="474" spans="44:47" x14ac:dyDescent="0.25">
      <c r="AR474" s="656" t="str">
        <f>Select_naics2022[[#This Row],[2022 NAICS Code]]&amp;":  "&amp;Select_naics2022[[#This Row],[2022 NAICS Title]]</f>
        <v xml:space="preserve">337215:  Showcase, Partition, Shelving, and Locker Manufacturing </v>
      </c>
      <c r="AS474" s="656">
        <v>337215</v>
      </c>
      <c r="AT474" s="656" t="s">
        <v>1114</v>
      </c>
      <c r="AU474" s="656" t="str">
        <f>Select_naics2022[[#This Row],[2022 NAICS Title]]</f>
        <v xml:space="preserve">Showcase, Partition, Shelving, and Locker Manufacturing </v>
      </c>
    </row>
    <row r="475" spans="44:47" x14ac:dyDescent="0.25">
      <c r="AR475" s="656" t="str">
        <f>Select_naics2022[[#This Row],[2022 NAICS Code]]&amp;":  "&amp;Select_naics2022[[#This Row],[2022 NAICS Title]]</f>
        <v>337910:  Mattress Manufacturing</v>
      </c>
      <c r="AS475" s="656">
        <v>337910</v>
      </c>
      <c r="AT475" s="656" t="s">
        <v>1115</v>
      </c>
      <c r="AU475" s="656" t="str">
        <f>Select_naics2022[[#This Row],[2022 NAICS Title]]</f>
        <v>Mattress Manufacturing</v>
      </c>
    </row>
    <row r="476" spans="44:47" x14ac:dyDescent="0.25">
      <c r="AR476" s="656" t="str">
        <f>Select_naics2022[[#This Row],[2022 NAICS Code]]&amp;":  "&amp;Select_naics2022[[#This Row],[2022 NAICS Title]]</f>
        <v>337920:  Blind and Shade Manufacturing</v>
      </c>
      <c r="AS476" s="656">
        <v>337920</v>
      </c>
      <c r="AT476" s="656" t="s">
        <v>1116</v>
      </c>
      <c r="AU476" s="656" t="str">
        <f>Select_naics2022[[#This Row],[2022 NAICS Title]]</f>
        <v>Blind and Shade Manufacturing</v>
      </c>
    </row>
    <row r="477" spans="44:47" x14ac:dyDescent="0.25">
      <c r="AR477" s="656" t="str">
        <f>Select_naics2022[[#This Row],[2022 NAICS Code]]&amp;":  "&amp;Select_naics2022[[#This Row],[2022 NAICS Title]]</f>
        <v xml:space="preserve">339112:  Surgical and Medical Instrument Manufacturing </v>
      </c>
      <c r="AS477" s="656">
        <v>339112</v>
      </c>
      <c r="AT477" s="656" t="s">
        <v>1117</v>
      </c>
      <c r="AU477" s="656" t="str">
        <f>Select_naics2022[[#This Row],[2022 NAICS Title]]</f>
        <v xml:space="preserve">Surgical and Medical Instrument Manufacturing </v>
      </c>
    </row>
    <row r="478" spans="44:47" x14ac:dyDescent="0.25">
      <c r="AR478" s="656" t="str">
        <f>Select_naics2022[[#This Row],[2022 NAICS Code]]&amp;":  "&amp;Select_naics2022[[#This Row],[2022 NAICS Title]]</f>
        <v xml:space="preserve">339113:  Surgical Appliance and Supplies Manufacturing </v>
      </c>
      <c r="AS478" s="656">
        <v>339113</v>
      </c>
      <c r="AT478" s="656" t="s">
        <v>1118</v>
      </c>
      <c r="AU478" s="656" t="str">
        <f>Select_naics2022[[#This Row],[2022 NAICS Title]]</f>
        <v xml:space="preserve">Surgical Appliance and Supplies Manufacturing </v>
      </c>
    </row>
    <row r="479" spans="44:47" x14ac:dyDescent="0.25">
      <c r="AR479" s="656" t="str">
        <f>Select_naics2022[[#This Row],[2022 NAICS Code]]&amp;":  "&amp;Select_naics2022[[#This Row],[2022 NAICS Title]]</f>
        <v xml:space="preserve">339114:  Dental Equipment and Supplies Manufacturing </v>
      </c>
      <c r="AS479" s="656">
        <v>339114</v>
      </c>
      <c r="AT479" s="656" t="s">
        <v>1119</v>
      </c>
      <c r="AU479" s="656" t="str">
        <f>Select_naics2022[[#This Row],[2022 NAICS Title]]</f>
        <v xml:space="preserve">Dental Equipment and Supplies Manufacturing </v>
      </c>
    </row>
    <row r="480" spans="44:47" x14ac:dyDescent="0.25">
      <c r="AR480" s="656" t="str">
        <f>Select_naics2022[[#This Row],[2022 NAICS Code]]&amp;":  "&amp;Select_naics2022[[#This Row],[2022 NAICS Title]]</f>
        <v xml:space="preserve">339115:  Ophthalmic Goods Manufacturing </v>
      </c>
      <c r="AS480" s="656">
        <v>339115</v>
      </c>
      <c r="AT480" s="656" t="s">
        <v>1120</v>
      </c>
      <c r="AU480" s="656" t="str">
        <f>Select_naics2022[[#This Row],[2022 NAICS Title]]</f>
        <v xml:space="preserve">Ophthalmic Goods Manufacturing </v>
      </c>
    </row>
    <row r="481" spans="44:47" x14ac:dyDescent="0.25">
      <c r="AR481" s="656" t="str">
        <f>Select_naics2022[[#This Row],[2022 NAICS Code]]&amp;":  "&amp;Select_naics2022[[#This Row],[2022 NAICS Title]]</f>
        <v xml:space="preserve">339116:  Dental Laboratories </v>
      </c>
      <c r="AS481" s="656">
        <v>339116</v>
      </c>
      <c r="AT481" s="656" t="s">
        <v>1121</v>
      </c>
      <c r="AU481" s="656" t="str">
        <f>Select_naics2022[[#This Row],[2022 NAICS Title]]</f>
        <v xml:space="preserve">Dental Laboratories </v>
      </c>
    </row>
    <row r="482" spans="44:47" x14ac:dyDescent="0.25">
      <c r="AR482" s="656" t="str">
        <f>Select_naics2022[[#This Row],[2022 NAICS Code]]&amp;":  "&amp;Select_naics2022[[#This Row],[2022 NAICS Title]]</f>
        <v xml:space="preserve">339910:  Jewelry and Silverware Manufacturing </v>
      </c>
      <c r="AS482" s="656">
        <v>339910</v>
      </c>
      <c r="AT482" s="656" t="s">
        <v>1122</v>
      </c>
      <c r="AU482" s="656" t="str">
        <f>Select_naics2022[[#This Row],[2022 NAICS Title]]</f>
        <v xml:space="preserve">Jewelry and Silverware Manufacturing </v>
      </c>
    </row>
    <row r="483" spans="44:47" x14ac:dyDescent="0.25">
      <c r="AR483" s="656" t="str">
        <f>Select_naics2022[[#This Row],[2022 NAICS Code]]&amp;":  "&amp;Select_naics2022[[#This Row],[2022 NAICS Title]]</f>
        <v>339920:  Sporting and Athletic Goods Manufacturing</v>
      </c>
      <c r="AS483" s="656">
        <v>339920</v>
      </c>
      <c r="AT483" s="656" t="s">
        <v>1123</v>
      </c>
      <c r="AU483" s="656" t="str">
        <f>Select_naics2022[[#This Row],[2022 NAICS Title]]</f>
        <v>Sporting and Athletic Goods Manufacturing</v>
      </c>
    </row>
    <row r="484" spans="44:47" x14ac:dyDescent="0.25">
      <c r="AR484" s="656" t="str">
        <f>Select_naics2022[[#This Row],[2022 NAICS Code]]&amp;":  "&amp;Select_naics2022[[#This Row],[2022 NAICS Title]]</f>
        <v>339930:  Doll, Toy, and Game Manufacturing</v>
      </c>
      <c r="AS484" s="656">
        <v>339930</v>
      </c>
      <c r="AT484" s="656" t="s">
        <v>1124</v>
      </c>
      <c r="AU484" s="656" t="str">
        <f>Select_naics2022[[#This Row],[2022 NAICS Title]]</f>
        <v>Doll, Toy, and Game Manufacturing</v>
      </c>
    </row>
    <row r="485" spans="44:47" x14ac:dyDescent="0.25">
      <c r="AR485" s="656" t="str">
        <f>Select_naics2022[[#This Row],[2022 NAICS Code]]&amp;":  "&amp;Select_naics2022[[#This Row],[2022 NAICS Title]]</f>
        <v>339940:  Office Supplies (except Paper) Manufacturing</v>
      </c>
      <c r="AS485" s="656">
        <v>339940</v>
      </c>
      <c r="AT485" s="656" t="s">
        <v>1125</v>
      </c>
      <c r="AU485" s="656" t="str">
        <f>Select_naics2022[[#This Row],[2022 NAICS Title]]</f>
        <v>Office Supplies (except Paper) Manufacturing</v>
      </c>
    </row>
    <row r="486" spans="44:47" x14ac:dyDescent="0.25">
      <c r="AR486" s="656" t="str">
        <f>Select_naics2022[[#This Row],[2022 NAICS Code]]&amp;":  "&amp;Select_naics2022[[#This Row],[2022 NAICS Title]]</f>
        <v>339950:  Sign Manufacturing</v>
      </c>
      <c r="AS486" s="656">
        <v>339950</v>
      </c>
      <c r="AT486" s="656" t="s">
        <v>1126</v>
      </c>
      <c r="AU486" s="656" t="str">
        <f>Select_naics2022[[#This Row],[2022 NAICS Title]]</f>
        <v>Sign Manufacturing</v>
      </c>
    </row>
    <row r="487" spans="44:47" x14ac:dyDescent="0.25">
      <c r="AR487" s="656" t="str">
        <f>Select_naics2022[[#This Row],[2022 NAICS Code]]&amp;":  "&amp;Select_naics2022[[#This Row],[2022 NAICS Title]]</f>
        <v xml:space="preserve">339991:  Gasket, Packing, and Sealing Device Manufacturing </v>
      </c>
      <c r="AS487" s="656">
        <v>339991</v>
      </c>
      <c r="AT487" s="656" t="s">
        <v>1127</v>
      </c>
      <c r="AU487" s="656" t="str">
        <f>Select_naics2022[[#This Row],[2022 NAICS Title]]</f>
        <v xml:space="preserve">Gasket, Packing, and Sealing Device Manufacturing </v>
      </c>
    </row>
    <row r="488" spans="44:47" x14ac:dyDescent="0.25">
      <c r="AR488" s="656" t="str">
        <f>Select_naics2022[[#This Row],[2022 NAICS Code]]&amp;":  "&amp;Select_naics2022[[#This Row],[2022 NAICS Title]]</f>
        <v xml:space="preserve">339992:  Musical Instrument Manufacturing </v>
      </c>
      <c r="AS488" s="656">
        <v>339992</v>
      </c>
      <c r="AT488" s="656" t="s">
        <v>1128</v>
      </c>
      <c r="AU488" s="656" t="str">
        <f>Select_naics2022[[#This Row],[2022 NAICS Title]]</f>
        <v xml:space="preserve">Musical Instrument Manufacturing </v>
      </c>
    </row>
    <row r="489" spans="44:47" x14ac:dyDescent="0.25">
      <c r="AR489" s="656" t="str">
        <f>Select_naics2022[[#This Row],[2022 NAICS Code]]&amp;":  "&amp;Select_naics2022[[#This Row],[2022 NAICS Title]]</f>
        <v xml:space="preserve">339993:  Fastener, Button, Needle, and Pin Manufacturing </v>
      </c>
      <c r="AS489" s="656">
        <v>339993</v>
      </c>
      <c r="AT489" s="656" t="s">
        <v>1129</v>
      </c>
      <c r="AU489" s="656" t="str">
        <f>Select_naics2022[[#This Row],[2022 NAICS Title]]</f>
        <v xml:space="preserve">Fastener, Button, Needle, and Pin Manufacturing </v>
      </c>
    </row>
    <row r="490" spans="44:47" x14ac:dyDescent="0.25">
      <c r="AR490" s="656" t="str">
        <f>Select_naics2022[[#This Row],[2022 NAICS Code]]&amp;":  "&amp;Select_naics2022[[#This Row],[2022 NAICS Title]]</f>
        <v xml:space="preserve">339994:  Broom, Brush, and Mop Manufacturing </v>
      </c>
      <c r="AS490" s="656">
        <v>339994</v>
      </c>
      <c r="AT490" s="656" t="s">
        <v>1130</v>
      </c>
      <c r="AU490" s="656" t="str">
        <f>Select_naics2022[[#This Row],[2022 NAICS Title]]</f>
        <v xml:space="preserve">Broom, Brush, and Mop Manufacturing </v>
      </c>
    </row>
    <row r="491" spans="44:47" x14ac:dyDescent="0.25">
      <c r="AR491" s="656" t="str">
        <f>Select_naics2022[[#This Row],[2022 NAICS Code]]&amp;":  "&amp;Select_naics2022[[#This Row],[2022 NAICS Title]]</f>
        <v xml:space="preserve">339995:  Burial Casket Manufacturing </v>
      </c>
      <c r="AS491" s="656">
        <v>339995</v>
      </c>
      <c r="AT491" s="656" t="s">
        <v>1131</v>
      </c>
      <c r="AU491" s="656" t="str">
        <f>Select_naics2022[[#This Row],[2022 NAICS Title]]</f>
        <v xml:space="preserve">Burial Casket Manufacturing </v>
      </c>
    </row>
    <row r="492" spans="44:47" x14ac:dyDescent="0.25">
      <c r="AR492" s="656" t="str">
        <f>Select_naics2022[[#This Row],[2022 NAICS Code]]&amp;":  "&amp;Select_naics2022[[#This Row],[2022 NAICS Title]]</f>
        <v xml:space="preserve">339999:  All Other Miscellaneous Manufacturing </v>
      </c>
      <c r="AS492" s="656">
        <v>339999</v>
      </c>
      <c r="AT492" s="656" t="s">
        <v>1132</v>
      </c>
      <c r="AU492" s="656" t="str">
        <f>Select_naics2022[[#This Row],[2022 NAICS Title]]</f>
        <v xml:space="preserve">All Other Miscellaneous Manufacturing </v>
      </c>
    </row>
    <row r="493" spans="44:47" x14ac:dyDescent="0.25">
      <c r="AR493" s="656" t="str">
        <f>Select_naics2022[[#This Row],[2022 NAICS Code]]&amp;":  "&amp;Select_naics2022[[#This Row],[2022 NAICS Title]]</f>
        <v xml:space="preserve">423110:  Automobile and Other Motor Vehicle Merchant Wholesalers </v>
      </c>
      <c r="AS493" s="656">
        <v>423110</v>
      </c>
      <c r="AT493" s="656" t="s">
        <v>1133</v>
      </c>
      <c r="AU493" s="656" t="str">
        <f>Select_naics2022[[#This Row],[2022 NAICS Title]]</f>
        <v xml:space="preserve">Automobile and Other Motor Vehicle Merchant Wholesalers </v>
      </c>
    </row>
    <row r="494" spans="44:47" x14ac:dyDescent="0.25">
      <c r="AR494" s="656" t="str">
        <f>Select_naics2022[[#This Row],[2022 NAICS Code]]&amp;":  "&amp;Select_naics2022[[#This Row],[2022 NAICS Title]]</f>
        <v xml:space="preserve">423120:  Motor Vehicle Supplies and New Parts Merchant Wholesalers </v>
      </c>
      <c r="AS494" s="656">
        <v>423120</v>
      </c>
      <c r="AT494" s="656" t="s">
        <v>1134</v>
      </c>
      <c r="AU494" s="656" t="str">
        <f>Select_naics2022[[#This Row],[2022 NAICS Title]]</f>
        <v xml:space="preserve">Motor Vehicle Supplies and New Parts Merchant Wholesalers </v>
      </c>
    </row>
    <row r="495" spans="44:47" x14ac:dyDescent="0.25">
      <c r="AR495" s="656" t="str">
        <f>Select_naics2022[[#This Row],[2022 NAICS Code]]&amp;":  "&amp;Select_naics2022[[#This Row],[2022 NAICS Title]]</f>
        <v xml:space="preserve">423130:  Tire and Tube Merchant Wholesalers </v>
      </c>
      <c r="AS495" s="656">
        <v>423130</v>
      </c>
      <c r="AT495" s="656" t="s">
        <v>1135</v>
      </c>
      <c r="AU495" s="656" t="str">
        <f>Select_naics2022[[#This Row],[2022 NAICS Title]]</f>
        <v xml:space="preserve">Tire and Tube Merchant Wholesalers </v>
      </c>
    </row>
    <row r="496" spans="44:47" x14ac:dyDescent="0.25">
      <c r="AR496" s="656" t="str">
        <f>Select_naics2022[[#This Row],[2022 NAICS Code]]&amp;":  "&amp;Select_naics2022[[#This Row],[2022 NAICS Title]]</f>
        <v xml:space="preserve">423140:  Motor Vehicle Parts (Used) Merchant Wholesalers </v>
      </c>
      <c r="AS496" s="656">
        <v>423140</v>
      </c>
      <c r="AT496" s="656" t="s">
        <v>1136</v>
      </c>
      <c r="AU496" s="656" t="str">
        <f>Select_naics2022[[#This Row],[2022 NAICS Title]]</f>
        <v xml:space="preserve">Motor Vehicle Parts (Used) Merchant Wholesalers </v>
      </c>
    </row>
    <row r="497" spans="44:47" x14ac:dyDescent="0.25">
      <c r="AR497" s="656" t="str">
        <f>Select_naics2022[[#This Row],[2022 NAICS Code]]&amp;":  "&amp;Select_naics2022[[#This Row],[2022 NAICS Title]]</f>
        <v xml:space="preserve">423210:  Furniture Merchant Wholesalers </v>
      </c>
      <c r="AS497" s="656">
        <v>423210</v>
      </c>
      <c r="AT497" s="656" t="s">
        <v>1137</v>
      </c>
      <c r="AU497" s="656" t="str">
        <f>Select_naics2022[[#This Row],[2022 NAICS Title]]</f>
        <v xml:space="preserve">Furniture Merchant Wholesalers </v>
      </c>
    </row>
    <row r="498" spans="44:47" x14ac:dyDescent="0.25">
      <c r="AR498" s="656" t="str">
        <f>Select_naics2022[[#This Row],[2022 NAICS Code]]&amp;":  "&amp;Select_naics2022[[#This Row],[2022 NAICS Title]]</f>
        <v xml:space="preserve">423220:  Home Furnishing Merchant Wholesalers </v>
      </c>
      <c r="AS498" s="656">
        <v>423220</v>
      </c>
      <c r="AT498" s="656" t="s">
        <v>1138</v>
      </c>
      <c r="AU498" s="656" t="str">
        <f>Select_naics2022[[#This Row],[2022 NAICS Title]]</f>
        <v xml:space="preserve">Home Furnishing Merchant Wholesalers </v>
      </c>
    </row>
    <row r="499" spans="44:47" x14ac:dyDescent="0.25">
      <c r="AR499" s="656" t="str">
        <f>Select_naics2022[[#This Row],[2022 NAICS Code]]&amp;":  "&amp;Select_naics2022[[#This Row],[2022 NAICS Title]]</f>
        <v xml:space="preserve">423310:  Lumber, Plywood, Millwork, and Wood Panel Merchant Wholesalers </v>
      </c>
      <c r="AS499" s="656">
        <v>423310</v>
      </c>
      <c r="AT499" s="656" t="s">
        <v>1139</v>
      </c>
      <c r="AU499" s="656" t="str">
        <f>Select_naics2022[[#This Row],[2022 NAICS Title]]</f>
        <v xml:space="preserve">Lumber, Plywood, Millwork, and Wood Panel Merchant Wholesalers </v>
      </c>
    </row>
    <row r="500" spans="44:47" x14ac:dyDescent="0.25">
      <c r="AR500" s="656" t="str">
        <f>Select_naics2022[[#This Row],[2022 NAICS Code]]&amp;":  "&amp;Select_naics2022[[#This Row],[2022 NAICS Title]]</f>
        <v xml:space="preserve">423320:  Brick, Stone, and Related Construction Material Merchant Wholesalers </v>
      </c>
      <c r="AS500" s="656">
        <v>423320</v>
      </c>
      <c r="AT500" s="656" t="s">
        <v>1140</v>
      </c>
      <c r="AU500" s="656" t="str">
        <f>Select_naics2022[[#This Row],[2022 NAICS Title]]</f>
        <v xml:space="preserve">Brick, Stone, and Related Construction Material Merchant Wholesalers </v>
      </c>
    </row>
    <row r="501" spans="44:47" x14ac:dyDescent="0.25">
      <c r="AR501" s="656" t="str">
        <f>Select_naics2022[[#This Row],[2022 NAICS Code]]&amp;":  "&amp;Select_naics2022[[#This Row],[2022 NAICS Title]]</f>
        <v xml:space="preserve">423330:  Roofing, Siding, and Insulation Material Merchant Wholesalers </v>
      </c>
      <c r="AS501" s="656">
        <v>423330</v>
      </c>
      <c r="AT501" s="656" t="s">
        <v>1141</v>
      </c>
      <c r="AU501" s="656" t="str">
        <f>Select_naics2022[[#This Row],[2022 NAICS Title]]</f>
        <v xml:space="preserve">Roofing, Siding, and Insulation Material Merchant Wholesalers </v>
      </c>
    </row>
    <row r="502" spans="44:47" x14ac:dyDescent="0.25">
      <c r="AR502" s="656" t="str">
        <f>Select_naics2022[[#This Row],[2022 NAICS Code]]&amp;":  "&amp;Select_naics2022[[#This Row],[2022 NAICS Title]]</f>
        <v xml:space="preserve">423390:  Other Construction Material Merchant Wholesalers </v>
      </c>
      <c r="AS502" s="656">
        <v>423390</v>
      </c>
      <c r="AT502" s="656" t="s">
        <v>1142</v>
      </c>
      <c r="AU502" s="656" t="str">
        <f>Select_naics2022[[#This Row],[2022 NAICS Title]]</f>
        <v xml:space="preserve">Other Construction Material Merchant Wholesalers </v>
      </c>
    </row>
    <row r="503" spans="44:47" x14ac:dyDescent="0.25">
      <c r="AR503" s="656" t="str">
        <f>Select_naics2022[[#This Row],[2022 NAICS Code]]&amp;":  "&amp;Select_naics2022[[#This Row],[2022 NAICS Title]]</f>
        <v xml:space="preserve">423410:  Photographic Equipment and Supplies Merchant Wholesalers </v>
      </c>
      <c r="AS503" s="656">
        <v>423410</v>
      </c>
      <c r="AT503" s="656" t="s">
        <v>1143</v>
      </c>
      <c r="AU503" s="656" t="str">
        <f>Select_naics2022[[#This Row],[2022 NAICS Title]]</f>
        <v xml:space="preserve">Photographic Equipment and Supplies Merchant Wholesalers </v>
      </c>
    </row>
    <row r="504" spans="44:47" x14ac:dyDescent="0.25">
      <c r="AR504" s="656" t="str">
        <f>Select_naics2022[[#This Row],[2022 NAICS Code]]&amp;":  "&amp;Select_naics2022[[#This Row],[2022 NAICS Title]]</f>
        <v xml:space="preserve">423420:  Office Equipment Merchant Wholesalers </v>
      </c>
      <c r="AS504" s="656">
        <v>423420</v>
      </c>
      <c r="AT504" s="656" t="s">
        <v>1144</v>
      </c>
      <c r="AU504" s="656" t="str">
        <f>Select_naics2022[[#This Row],[2022 NAICS Title]]</f>
        <v xml:space="preserve">Office Equipment Merchant Wholesalers </v>
      </c>
    </row>
    <row r="505" spans="44:47" x14ac:dyDescent="0.25">
      <c r="AR505" s="656" t="str">
        <f>Select_naics2022[[#This Row],[2022 NAICS Code]]&amp;":  "&amp;Select_naics2022[[#This Row],[2022 NAICS Title]]</f>
        <v xml:space="preserve">423430:  Computer and Computer Peripheral Equipment and Software Merchant Wholesalers </v>
      </c>
      <c r="AS505" s="656">
        <v>423430</v>
      </c>
      <c r="AT505" s="656" t="s">
        <v>1145</v>
      </c>
      <c r="AU505" s="656" t="str">
        <f>Select_naics2022[[#This Row],[2022 NAICS Title]]</f>
        <v xml:space="preserve">Computer and Computer Peripheral Equipment and Software Merchant Wholesalers </v>
      </c>
    </row>
    <row r="506" spans="44:47" x14ac:dyDescent="0.25">
      <c r="AR506" s="656" t="str">
        <f>Select_naics2022[[#This Row],[2022 NAICS Code]]&amp;":  "&amp;Select_naics2022[[#This Row],[2022 NAICS Title]]</f>
        <v xml:space="preserve">423440:  Other Commercial Equipment Merchant Wholesalers </v>
      </c>
      <c r="AS506" s="656">
        <v>423440</v>
      </c>
      <c r="AT506" s="656" t="s">
        <v>1146</v>
      </c>
      <c r="AU506" s="656" t="str">
        <f>Select_naics2022[[#This Row],[2022 NAICS Title]]</f>
        <v xml:space="preserve">Other Commercial Equipment Merchant Wholesalers </v>
      </c>
    </row>
    <row r="507" spans="44:47" x14ac:dyDescent="0.25">
      <c r="AR507" s="656" t="str">
        <f>Select_naics2022[[#This Row],[2022 NAICS Code]]&amp;":  "&amp;Select_naics2022[[#This Row],[2022 NAICS Title]]</f>
        <v xml:space="preserve">423450:  Medical, Dental, and Hospital Equipment and Supplies Merchant Wholesalers </v>
      </c>
      <c r="AS507" s="656">
        <v>423450</v>
      </c>
      <c r="AT507" s="656" t="s">
        <v>1147</v>
      </c>
      <c r="AU507" s="656" t="str">
        <f>Select_naics2022[[#This Row],[2022 NAICS Title]]</f>
        <v xml:space="preserve">Medical, Dental, and Hospital Equipment and Supplies Merchant Wholesalers </v>
      </c>
    </row>
    <row r="508" spans="44:47" x14ac:dyDescent="0.25">
      <c r="AR508" s="656" t="str">
        <f>Select_naics2022[[#This Row],[2022 NAICS Code]]&amp;":  "&amp;Select_naics2022[[#This Row],[2022 NAICS Title]]</f>
        <v xml:space="preserve">423460:  Ophthalmic Goods Merchant Wholesalers </v>
      </c>
      <c r="AS508" s="656">
        <v>423460</v>
      </c>
      <c r="AT508" s="656" t="s">
        <v>1148</v>
      </c>
      <c r="AU508" s="656" t="str">
        <f>Select_naics2022[[#This Row],[2022 NAICS Title]]</f>
        <v xml:space="preserve">Ophthalmic Goods Merchant Wholesalers </v>
      </c>
    </row>
    <row r="509" spans="44:47" x14ac:dyDescent="0.25">
      <c r="AR509" s="656" t="str">
        <f>Select_naics2022[[#This Row],[2022 NAICS Code]]&amp;":  "&amp;Select_naics2022[[#This Row],[2022 NAICS Title]]</f>
        <v xml:space="preserve">423490:  Other Professional Equipment and Supplies Merchant Wholesalers </v>
      </c>
      <c r="AS509" s="656">
        <v>423490</v>
      </c>
      <c r="AT509" s="656" t="s">
        <v>1149</v>
      </c>
      <c r="AU509" s="656" t="str">
        <f>Select_naics2022[[#This Row],[2022 NAICS Title]]</f>
        <v xml:space="preserve">Other Professional Equipment and Supplies Merchant Wholesalers </v>
      </c>
    </row>
    <row r="510" spans="44:47" x14ac:dyDescent="0.25">
      <c r="AR510" s="656" t="str">
        <f>Select_naics2022[[#This Row],[2022 NAICS Code]]&amp;":  "&amp;Select_naics2022[[#This Row],[2022 NAICS Title]]</f>
        <v xml:space="preserve">423510:  Metal Service Centers and Other Metal Merchant Wholesalers </v>
      </c>
      <c r="AS510" s="656">
        <v>423510</v>
      </c>
      <c r="AT510" s="656" t="s">
        <v>1150</v>
      </c>
      <c r="AU510" s="656" t="str">
        <f>Select_naics2022[[#This Row],[2022 NAICS Title]]</f>
        <v xml:space="preserve">Metal Service Centers and Other Metal Merchant Wholesalers </v>
      </c>
    </row>
    <row r="511" spans="44:47" x14ac:dyDescent="0.25">
      <c r="AR511" s="656" t="str">
        <f>Select_naics2022[[#This Row],[2022 NAICS Code]]&amp;":  "&amp;Select_naics2022[[#This Row],[2022 NAICS Title]]</f>
        <v xml:space="preserve">423520:  Coal and Other Mineral and Ore Merchant Wholesalers </v>
      </c>
      <c r="AS511" s="656">
        <v>423520</v>
      </c>
      <c r="AT511" s="656" t="s">
        <v>1151</v>
      </c>
      <c r="AU511" s="656" t="str">
        <f>Select_naics2022[[#This Row],[2022 NAICS Title]]</f>
        <v xml:space="preserve">Coal and Other Mineral and Ore Merchant Wholesalers </v>
      </c>
    </row>
    <row r="512" spans="44:47" x14ac:dyDescent="0.25">
      <c r="AR512" s="656" t="str">
        <f>Select_naics2022[[#This Row],[2022 NAICS Code]]&amp;":  "&amp;Select_naics2022[[#This Row],[2022 NAICS Title]]</f>
        <v xml:space="preserve">423610:  Electrical Apparatus and Equipment, Wiring Supplies, and Related Equipment Merchant Wholesalers </v>
      </c>
      <c r="AS512" s="656">
        <v>423610</v>
      </c>
      <c r="AT512" s="656" t="s">
        <v>1152</v>
      </c>
      <c r="AU512" s="656" t="str">
        <f>Select_naics2022[[#This Row],[2022 NAICS Title]]</f>
        <v xml:space="preserve">Electrical Apparatus and Equipment, Wiring Supplies, and Related Equipment Merchant Wholesalers </v>
      </c>
    </row>
    <row r="513" spans="44:47" x14ac:dyDescent="0.25">
      <c r="AR513" s="656" t="str">
        <f>Select_naics2022[[#This Row],[2022 NAICS Code]]&amp;":  "&amp;Select_naics2022[[#This Row],[2022 NAICS Title]]</f>
        <v xml:space="preserve">423620:  Household Appliances, Electric Housewares, and Consumer Electronics Merchant Wholesalers </v>
      </c>
      <c r="AS513" s="656">
        <v>423620</v>
      </c>
      <c r="AT513" s="656" t="s">
        <v>1153</v>
      </c>
      <c r="AU513" s="656" t="str">
        <f>Select_naics2022[[#This Row],[2022 NAICS Title]]</f>
        <v xml:space="preserve">Household Appliances, Electric Housewares, and Consumer Electronics Merchant Wholesalers </v>
      </c>
    </row>
    <row r="514" spans="44:47" x14ac:dyDescent="0.25">
      <c r="AR514" s="656" t="str">
        <f>Select_naics2022[[#This Row],[2022 NAICS Code]]&amp;":  "&amp;Select_naics2022[[#This Row],[2022 NAICS Title]]</f>
        <v xml:space="preserve">423690:  Other Electronic Parts and Equipment Merchant Wholesalers </v>
      </c>
      <c r="AS514" s="656">
        <v>423690</v>
      </c>
      <c r="AT514" s="656" t="s">
        <v>1154</v>
      </c>
      <c r="AU514" s="656" t="str">
        <f>Select_naics2022[[#This Row],[2022 NAICS Title]]</f>
        <v xml:space="preserve">Other Electronic Parts and Equipment Merchant Wholesalers </v>
      </c>
    </row>
    <row r="515" spans="44:47" x14ac:dyDescent="0.25">
      <c r="AR515" s="656" t="str">
        <f>Select_naics2022[[#This Row],[2022 NAICS Code]]&amp;":  "&amp;Select_naics2022[[#This Row],[2022 NAICS Title]]</f>
        <v xml:space="preserve">423710:  Hardware Merchant Wholesalers </v>
      </c>
      <c r="AS515" s="656">
        <v>423710</v>
      </c>
      <c r="AT515" s="656" t="s">
        <v>1155</v>
      </c>
      <c r="AU515" s="656" t="str">
        <f>Select_naics2022[[#This Row],[2022 NAICS Title]]</f>
        <v xml:space="preserve">Hardware Merchant Wholesalers </v>
      </c>
    </row>
    <row r="516" spans="44:47" x14ac:dyDescent="0.25">
      <c r="AR516" s="656" t="str">
        <f>Select_naics2022[[#This Row],[2022 NAICS Code]]&amp;":  "&amp;Select_naics2022[[#This Row],[2022 NAICS Title]]</f>
        <v xml:space="preserve">423720:  Plumbing and Heating Equipment and Supplies (Hydronics) Merchant Wholesalers </v>
      </c>
      <c r="AS516" s="656">
        <v>423720</v>
      </c>
      <c r="AT516" s="656" t="s">
        <v>1156</v>
      </c>
      <c r="AU516" s="656" t="str">
        <f>Select_naics2022[[#This Row],[2022 NAICS Title]]</f>
        <v xml:space="preserve">Plumbing and Heating Equipment and Supplies (Hydronics) Merchant Wholesalers </v>
      </c>
    </row>
    <row r="517" spans="44:47" x14ac:dyDescent="0.25">
      <c r="AR517" s="656" t="str">
        <f>Select_naics2022[[#This Row],[2022 NAICS Code]]&amp;":  "&amp;Select_naics2022[[#This Row],[2022 NAICS Title]]</f>
        <v xml:space="preserve">423730:  Warm Air Heating and Air-Conditioning Equipment and Supplies Merchant Wholesalers </v>
      </c>
      <c r="AS517" s="656">
        <v>423730</v>
      </c>
      <c r="AT517" s="656" t="s">
        <v>1157</v>
      </c>
      <c r="AU517" s="656" t="str">
        <f>Select_naics2022[[#This Row],[2022 NAICS Title]]</f>
        <v xml:space="preserve">Warm Air Heating and Air-Conditioning Equipment and Supplies Merchant Wholesalers </v>
      </c>
    </row>
    <row r="518" spans="44:47" x14ac:dyDescent="0.25">
      <c r="AR518" s="656" t="str">
        <f>Select_naics2022[[#This Row],[2022 NAICS Code]]&amp;":  "&amp;Select_naics2022[[#This Row],[2022 NAICS Title]]</f>
        <v xml:space="preserve">423740:  Refrigeration Equipment and Supplies Merchant Wholesalers </v>
      </c>
      <c r="AS518" s="656">
        <v>423740</v>
      </c>
      <c r="AT518" s="656" t="s">
        <v>1158</v>
      </c>
      <c r="AU518" s="656" t="str">
        <f>Select_naics2022[[#This Row],[2022 NAICS Title]]</f>
        <v xml:space="preserve">Refrigeration Equipment and Supplies Merchant Wholesalers </v>
      </c>
    </row>
    <row r="519" spans="44:47" x14ac:dyDescent="0.25">
      <c r="AR519" s="656" t="str">
        <f>Select_naics2022[[#This Row],[2022 NAICS Code]]&amp;":  "&amp;Select_naics2022[[#This Row],[2022 NAICS Title]]</f>
        <v xml:space="preserve">423810:  Construction and Mining (except Oil Well) Machinery and Equipment Merchant Wholesalers </v>
      </c>
      <c r="AS519" s="656">
        <v>423810</v>
      </c>
      <c r="AT519" s="656" t="s">
        <v>1159</v>
      </c>
      <c r="AU519" s="656" t="str">
        <f>Select_naics2022[[#This Row],[2022 NAICS Title]]</f>
        <v xml:space="preserve">Construction and Mining (except Oil Well) Machinery and Equipment Merchant Wholesalers </v>
      </c>
    </row>
    <row r="520" spans="44:47" x14ac:dyDescent="0.25">
      <c r="AR520" s="656" t="str">
        <f>Select_naics2022[[#This Row],[2022 NAICS Code]]&amp;":  "&amp;Select_naics2022[[#This Row],[2022 NAICS Title]]</f>
        <v xml:space="preserve">423820:  Farm and Garden Machinery and Equipment Merchant Wholesalers </v>
      </c>
      <c r="AS520" s="656">
        <v>423820</v>
      </c>
      <c r="AT520" s="656" t="s">
        <v>1160</v>
      </c>
      <c r="AU520" s="656" t="str">
        <f>Select_naics2022[[#This Row],[2022 NAICS Title]]</f>
        <v xml:space="preserve">Farm and Garden Machinery and Equipment Merchant Wholesalers </v>
      </c>
    </row>
    <row r="521" spans="44:47" x14ac:dyDescent="0.25">
      <c r="AR521" s="656" t="str">
        <f>Select_naics2022[[#This Row],[2022 NAICS Code]]&amp;":  "&amp;Select_naics2022[[#This Row],[2022 NAICS Title]]</f>
        <v xml:space="preserve">423830:  Industrial Machinery and Equipment Merchant Wholesalers </v>
      </c>
      <c r="AS521" s="656">
        <v>423830</v>
      </c>
      <c r="AT521" s="656" t="s">
        <v>1161</v>
      </c>
      <c r="AU521" s="656" t="str">
        <f>Select_naics2022[[#This Row],[2022 NAICS Title]]</f>
        <v xml:space="preserve">Industrial Machinery and Equipment Merchant Wholesalers </v>
      </c>
    </row>
    <row r="522" spans="44:47" x14ac:dyDescent="0.25">
      <c r="AR522" s="656" t="str">
        <f>Select_naics2022[[#This Row],[2022 NAICS Code]]&amp;":  "&amp;Select_naics2022[[#This Row],[2022 NAICS Title]]</f>
        <v>423840:  Industrial Supplies Merchant Wholesalers</v>
      </c>
      <c r="AS522" s="656">
        <v>423840</v>
      </c>
      <c r="AT522" s="656" t="s">
        <v>1162</v>
      </c>
      <c r="AU522" s="656" t="str">
        <f>Select_naics2022[[#This Row],[2022 NAICS Title]]</f>
        <v>Industrial Supplies Merchant Wholesalers</v>
      </c>
    </row>
    <row r="523" spans="44:47" x14ac:dyDescent="0.25">
      <c r="AR523" s="656" t="str">
        <f>Select_naics2022[[#This Row],[2022 NAICS Code]]&amp;":  "&amp;Select_naics2022[[#This Row],[2022 NAICS Title]]</f>
        <v xml:space="preserve">423850:  Service Establishment Equipment and Supplies Merchant Wholesalers </v>
      </c>
      <c r="AS523" s="656">
        <v>423850</v>
      </c>
      <c r="AT523" s="656" t="s">
        <v>1163</v>
      </c>
      <c r="AU523" s="656" t="str">
        <f>Select_naics2022[[#This Row],[2022 NAICS Title]]</f>
        <v xml:space="preserve">Service Establishment Equipment and Supplies Merchant Wholesalers </v>
      </c>
    </row>
    <row r="524" spans="44:47" x14ac:dyDescent="0.25">
      <c r="AR524" s="656" t="str">
        <f>Select_naics2022[[#This Row],[2022 NAICS Code]]&amp;":  "&amp;Select_naics2022[[#This Row],[2022 NAICS Title]]</f>
        <v xml:space="preserve">423860:  Transportation Equipment and Supplies (except Motor Vehicle) Merchant Wholesalers </v>
      </c>
      <c r="AS524" s="656">
        <v>423860</v>
      </c>
      <c r="AT524" s="656" t="s">
        <v>1164</v>
      </c>
      <c r="AU524" s="656" t="str">
        <f>Select_naics2022[[#This Row],[2022 NAICS Title]]</f>
        <v xml:space="preserve">Transportation Equipment and Supplies (except Motor Vehicle) Merchant Wholesalers </v>
      </c>
    </row>
    <row r="525" spans="44:47" x14ac:dyDescent="0.25">
      <c r="AR525" s="656" t="str">
        <f>Select_naics2022[[#This Row],[2022 NAICS Code]]&amp;":  "&amp;Select_naics2022[[#This Row],[2022 NAICS Title]]</f>
        <v xml:space="preserve">423910:  Sporting and Recreational Goods and Supplies Merchant Wholesalers </v>
      </c>
      <c r="AS525" s="656">
        <v>423910</v>
      </c>
      <c r="AT525" s="656" t="s">
        <v>1165</v>
      </c>
      <c r="AU525" s="656" t="str">
        <f>Select_naics2022[[#This Row],[2022 NAICS Title]]</f>
        <v xml:space="preserve">Sporting and Recreational Goods and Supplies Merchant Wholesalers </v>
      </c>
    </row>
    <row r="526" spans="44:47" x14ac:dyDescent="0.25">
      <c r="AR526" s="656" t="str">
        <f>Select_naics2022[[#This Row],[2022 NAICS Code]]&amp;":  "&amp;Select_naics2022[[#This Row],[2022 NAICS Title]]</f>
        <v xml:space="preserve">423920:  Toy and Hobby Goods and Supplies Merchant Wholesalers </v>
      </c>
      <c r="AS526" s="656">
        <v>423920</v>
      </c>
      <c r="AT526" s="656" t="s">
        <v>1166</v>
      </c>
      <c r="AU526" s="656" t="str">
        <f>Select_naics2022[[#This Row],[2022 NAICS Title]]</f>
        <v xml:space="preserve">Toy and Hobby Goods and Supplies Merchant Wholesalers </v>
      </c>
    </row>
    <row r="527" spans="44:47" x14ac:dyDescent="0.25">
      <c r="AR527" s="656" t="str">
        <f>Select_naics2022[[#This Row],[2022 NAICS Code]]&amp;":  "&amp;Select_naics2022[[#This Row],[2022 NAICS Title]]</f>
        <v xml:space="preserve">423930:  Recyclable Material Merchant Wholesalers </v>
      </c>
      <c r="AS527" s="656">
        <v>423930</v>
      </c>
      <c r="AT527" s="656" t="s">
        <v>1167</v>
      </c>
      <c r="AU527" s="656" t="str">
        <f>Select_naics2022[[#This Row],[2022 NAICS Title]]</f>
        <v xml:space="preserve">Recyclable Material Merchant Wholesalers </v>
      </c>
    </row>
    <row r="528" spans="44:47" x14ac:dyDescent="0.25">
      <c r="AR528" s="656" t="str">
        <f>Select_naics2022[[#This Row],[2022 NAICS Code]]&amp;":  "&amp;Select_naics2022[[#This Row],[2022 NAICS Title]]</f>
        <v xml:space="preserve">423940:  Jewelry, Watch, Precious Stone, and Precious Metal Merchant Wholesalers </v>
      </c>
      <c r="AS528" s="656">
        <v>423940</v>
      </c>
      <c r="AT528" s="656" t="s">
        <v>1168</v>
      </c>
      <c r="AU528" s="656" t="str">
        <f>Select_naics2022[[#This Row],[2022 NAICS Title]]</f>
        <v xml:space="preserve">Jewelry, Watch, Precious Stone, and Precious Metal Merchant Wholesalers </v>
      </c>
    </row>
    <row r="529" spans="44:47" x14ac:dyDescent="0.25">
      <c r="AR529" s="656" t="str">
        <f>Select_naics2022[[#This Row],[2022 NAICS Code]]&amp;":  "&amp;Select_naics2022[[#This Row],[2022 NAICS Title]]</f>
        <v xml:space="preserve">423990:  Other Miscellaneous Durable Goods Merchant Wholesalers </v>
      </c>
      <c r="AS529" s="656">
        <v>423990</v>
      </c>
      <c r="AT529" s="656" t="s">
        <v>1169</v>
      </c>
      <c r="AU529" s="656" t="str">
        <f>Select_naics2022[[#This Row],[2022 NAICS Title]]</f>
        <v xml:space="preserve">Other Miscellaneous Durable Goods Merchant Wholesalers </v>
      </c>
    </row>
    <row r="530" spans="44:47" x14ac:dyDescent="0.25">
      <c r="AR530" s="656" t="str">
        <f>Select_naics2022[[#This Row],[2022 NAICS Code]]&amp;":  "&amp;Select_naics2022[[#This Row],[2022 NAICS Title]]</f>
        <v xml:space="preserve">424110:  Printing and Writing Paper Merchant Wholesalers </v>
      </c>
      <c r="AS530" s="656">
        <v>424110</v>
      </c>
      <c r="AT530" s="656" t="s">
        <v>1170</v>
      </c>
      <c r="AU530" s="656" t="str">
        <f>Select_naics2022[[#This Row],[2022 NAICS Title]]</f>
        <v xml:space="preserve">Printing and Writing Paper Merchant Wholesalers </v>
      </c>
    </row>
    <row r="531" spans="44:47" x14ac:dyDescent="0.25">
      <c r="AR531" s="656" t="str">
        <f>Select_naics2022[[#This Row],[2022 NAICS Code]]&amp;":  "&amp;Select_naics2022[[#This Row],[2022 NAICS Title]]</f>
        <v xml:space="preserve">424120:  Stationery and Office Supplies Merchant Wholesalers </v>
      </c>
      <c r="AS531" s="656">
        <v>424120</v>
      </c>
      <c r="AT531" s="656" t="s">
        <v>1171</v>
      </c>
      <c r="AU531" s="656" t="str">
        <f>Select_naics2022[[#This Row],[2022 NAICS Title]]</f>
        <v xml:space="preserve">Stationery and Office Supplies Merchant Wholesalers </v>
      </c>
    </row>
    <row r="532" spans="44:47" x14ac:dyDescent="0.25">
      <c r="AR532" s="656" t="str">
        <f>Select_naics2022[[#This Row],[2022 NAICS Code]]&amp;":  "&amp;Select_naics2022[[#This Row],[2022 NAICS Title]]</f>
        <v xml:space="preserve">424130:  Industrial and Personal Service Paper Merchant Wholesalers </v>
      </c>
      <c r="AS532" s="656">
        <v>424130</v>
      </c>
      <c r="AT532" s="656" t="s">
        <v>1172</v>
      </c>
      <c r="AU532" s="656" t="str">
        <f>Select_naics2022[[#This Row],[2022 NAICS Title]]</f>
        <v xml:space="preserve">Industrial and Personal Service Paper Merchant Wholesalers </v>
      </c>
    </row>
    <row r="533" spans="44:47" x14ac:dyDescent="0.25">
      <c r="AR533" s="656" t="str">
        <f>Select_naics2022[[#This Row],[2022 NAICS Code]]&amp;":  "&amp;Select_naics2022[[#This Row],[2022 NAICS Title]]</f>
        <v xml:space="preserve">424210:  Drugs and Druggists' Sundries Merchant Wholesalers </v>
      </c>
      <c r="AS533" s="656">
        <v>424210</v>
      </c>
      <c r="AT533" s="656" t="s">
        <v>1173</v>
      </c>
      <c r="AU533" s="656" t="str">
        <f>Select_naics2022[[#This Row],[2022 NAICS Title]]</f>
        <v xml:space="preserve">Drugs and Druggists' Sundries Merchant Wholesalers </v>
      </c>
    </row>
    <row r="534" spans="44:47" x14ac:dyDescent="0.25">
      <c r="AR534" s="656" t="str">
        <f>Select_naics2022[[#This Row],[2022 NAICS Code]]&amp;":  "&amp;Select_naics2022[[#This Row],[2022 NAICS Title]]</f>
        <v xml:space="preserve">424310:  Piece Goods, Notions, and Other Dry Goods Merchant Wholesalers </v>
      </c>
      <c r="AS534" s="656">
        <v>424310</v>
      </c>
      <c r="AT534" s="656" t="s">
        <v>1174</v>
      </c>
      <c r="AU534" s="656" t="str">
        <f>Select_naics2022[[#This Row],[2022 NAICS Title]]</f>
        <v xml:space="preserve">Piece Goods, Notions, and Other Dry Goods Merchant Wholesalers </v>
      </c>
    </row>
    <row r="535" spans="44:47" x14ac:dyDescent="0.25">
      <c r="AR535" s="656" t="str">
        <f>Select_naics2022[[#This Row],[2022 NAICS Code]]&amp;":  "&amp;Select_naics2022[[#This Row],[2022 NAICS Title]]</f>
        <v xml:space="preserve">424340:  Footwear Merchant Wholesalers </v>
      </c>
      <c r="AS535" s="656">
        <v>424340</v>
      </c>
      <c r="AT535" s="656" t="s">
        <v>1175</v>
      </c>
      <c r="AU535" s="656" t="str">
        <f>Select_naics2022[[#This Row],[2022 NAICS Title]]</f>
        <v xml:space="preserve">Footwear Merchant Wholesalers </v>
      </c>
    </row>
    <row r="536" spans="44:47" x14ac:dyDescent="0.25">
      <c r="AR536" s="656" t="str">
        <f>Select_naics2022[[#This Row],[2022 NAICS Code]]&amp;":  "&amp;Select_naics2022[[#This Row],[2022 NAICS Title]]</f>
        <v>424350:  Clothing and Clothing Accessories Merchant Wholesalers</v>
      </c>
      <c r="AS536" s="656">
        <v>424350</v>
      </c>
      <c r="AT536" s="656" t="s">
        <v>1176</v>
      </c>
      <c r="AU536" s="656" t="str">
        <f>Select_naics2022[[#This Row],[2022 NAICS Title]]</f>
        <v>Clothing and Clothing Accessories Merchant Wholesalers</v>
      </c>
    </row>
    <row r="537" spans="44:47" x14ac:dyDescent="0.25">
      <c r="AR537" s="656" t="str">
        <f>Select_naics2022[[#This Row],[2022 NAICS Code]]&amp;":  "&amp;Select_naics2022[[#This Row],[2022 NAICS Title]]</f>
        <v xml:space="preserve">424410:  General Line Grocery Merchant Wholesalers </v>
      </c>
      <c r="AS537" s="656">
        <v>424410</v>
      </c>
      <c r="AT537" s="656" t="s">
        <v>1177</v>
      </c>
      <c r="AU537" s="656" t="str">
        <f>Select_naics2022[[#This Row],[2022 NAICS Title]]</f>
        <v xml:space="preserve">General Line Grocery Merchant Wholesalers </v>
      </c>
    </row>
    <row r="538" spans="44:47" x14ac:dyDescent="0.25">
      <c r="AR538" s="656" t="str">
        <f>Select_naics2022[[#This Row],[2022 NAICS Code]]&amp;":  "&amp;Select_naics2022[[#This Row],[2022 NAICS Title]]</f>
        <v xml:space="preserve">424420:  Packaged Frozen Food Merchant Wholesalers </v>
      </c>
      <c r="AS538" s="656">
        <v>424420</v>
      </c>
      <c r="AT538" s="656" t="s">
        <v>1178</v>
      </c>
      <c r="AU538" s="656" t="str">
        <f>Select_naics2022[[#This Row],[2022 NAICS Title]]</f>
        <v xml:space="preserve">Packaged Frozen Food Merchant Wholesalers </v>
      </c>
    </row>
    <row r="539" spans="44:47" x14ac:dyDescent="0.25">
      <c r="AR539" s="656" t="str">
        <f>Select_naics2022[[#This Row],[2022 NAICS Code]]&amp;":  "&amp;Select_naics2022[[#This Row],[2022 NAICS Title]]</f>
        <v xml:space="preserve">424430:  Dairy Product (except Dried or Canned) Merchant Wholesalers </v>
      </c>
      <c r="AS539" s="656">
        <v>424430</v>
      </c>
      <c r="AT539" s="656" t="s">
        <v>1179</v>
      </c>
      <c r="AU539" s="656" t="str">
        <f>Select_naics2022[[#This Row],[2022 NAICS Title]]</f>
        <v xml:space="preserve">Dairy Product (except Dried or Canned) Merchant Wholesalers </v>
      </c>
    </row>
    <row r="540" spans="44:47" x14ac:dyDescent="0.25">
      <c r="AR540" s="656" t="str">
        <f>Select_naics2022[[#This Row],[2022 NAICS Code]]&amp;":  "&amp;Select_naics2022[[#This Row],[2022 NAICS Title]]</f>
        <v xml:space="preserve">424440:  Poultry and Poultry Product Merchant Wholesalers </v>
      </c>
      <c r="AS540" s="656">
        <v>424440</v>
      </c>
      <c r="AT540" s="656" t="s">
        <v>1180</v>
      </c>
      <c r="AU540" s="656" t="str">
        <f>Select_naics2022[[#This Row],[2022 NAICS Title]]</f>
        <v xml:space="preserve">Poultry and Poultry Product Merchant Wholesalers </v>
      </c>
    </row>
    <row r="541" spans="44:47" x14ac:dyDescent="0.25">
      <c r="AR541" s="656" t="str">
        <f>Select_naics2022[[#This Row],[2022 NAICS Code]]&amp;":  "&amp;Select_naics2022[[#This Row],[2022 NAICS Title]]</f>
        <v xml:space="preserve">424450:  Confectionery Merchant Wholesalers </v>
      </c>
      <c r="AS541" s="656">
        <v>424450</v>
      </c>
      <c r="AT541" s="656" t="s">
        <v>1181</v>
      </c>
      <c r="AU541" s="656" t="str">
        <f>Select_naics2022[[#This Row],[2022 NAICS Title]]</f>
        <v xml:space="preserve">Confectionery Merchant Wholesalers </v>
      </c>
    </row>
    <row r="542" spans="44:47" x14ac:dyDescent="0.25">
      <c r="AR542" s="656" t="str">
        <f>Select_naics2022[[#This Row],[2022 NAICS Code]]&amp;":  "&amp;Select_naics2022[[#This Row],[2022 NAICS Title]]</f>
        <v xml:space="preserve">424460:  Fish and Seafood Merchant Wholesalers </v>
      </c>
      <c r="AS542" s="656">
        <v>424460</v>
      </c>
      <c r="AT542" s="656" t="s">
        <v>1182</v>
      </c>
      <c r="AU542" s="656" t="str">
        <f>Select_naics2022[[#This Row],[2022 NAICS Title]]</f>
        <v xml:space="preserve">Fish and Seafood Merchant Wholesalers </v>
      </c>
    </row>
    <row r="543" spans="44:47" x14ac:dyDescent="0.25">
      <c r="AR543" s="656" t="str">
        <f>Select_naics2022[[#This Row],[2022 NAICS Code]]&amp;":  "&amp;Select_naics2022[[#This Row],[2022 NAICS Title]]</f>
        <v xml:space="preserve">424470:  Meat and Meat Product Merchant Wholesalers </v>
      </c>
      <c r="AS543" s="656">
        <v>424470</v>
      </c>
      <c r="AT543" s="656" t="s">
        <v>1183</v>
      </c>
      <c r="AU543" s="656" t="str">
        <f>Select_naics2022[[#This Row],[2022 NAICS Title]]</f>
        <v xml:space="preserve">Meat and Meat Product Merchant Wholesalers </v>
      </c>
    </row>
    <row r="544" spans="44:47" x14ac:dyDescent="0.25">
      <c r="AR544" s="656" t="str">
        <f>Select_naics2022[[#This Row],[2022 NAICS Code]]&amp;":  "&amp;Select_naics2022[[#This Row],[2022 NAICS Title]]</f>
        <v xml:space="preserve">424480:  Fresh Fruit and Vegetable Merchant Wholesalers </v>
      </c>
      <c r="AS544" s="656">
        <v>424480</v>
      </c>
      <c r="AT544" s="656" t="s">
        <v>1184</v>
      </c>
      <c r="AU544" s="656" t="str">
        <f>Select_naics2022[[#This Row],[2022 NAICS Title]]</f>
        <v xml:space="preserve">Fresh Fruit and Vegetable Merchant Wholesalers </v>
      </c>
    </row>
    <row r="545" spans="44:47" x14ac:dyDescent="0.25">
      <c r="AR545" s="656" t="str">
        <f>Select_naics2022[[#This Row],[2022 NAICS Code]]&amp;":  "&amp;Select_naics2022[[#This Row],[2022 NAICS Title]]</f>
        <v xml:space="preserve">424490:  Other Grocery and Related Products Merchant Wholesalers </v>
      </c>
      <c r="AS545" s="656">
        <v>424490</v>
      </c>
      <c r="AT545" s="656" t="s">
        <v>1185</v>
      </c>
      <c r="AU545" s="656" t="str">
        <f>Select_naics2022[[#This Row],[2022 NAICS Title]]</f>
        <v xml:space="preserve">Other Grocery and Related Products Merchant Wholesalers </v>
      </c>
    </row>
    <row r="546" spans="44:47" x14ac:dyDescent="0.25">
      <c r="AR546" s="656" t="str">
        <f>Select_naics2022[[#This Row],[2022 NAICS Code]]&amp;":  "&amp;Select_naics2022[[#This Row],[2022 NAICS Title]]</f>
        <v xml:space="preserve">424510:  Grain and Field Bean Merchant Wholesalers </v>
      </c>
      <c r="AS546" s="656">
        <v>424510</v>
      </c>
      <c r="AT546" s="656" t="s">
        <v>1186</v>
      </c>
      <c r="AU546" s="656" t="str">
        <f>Select_naics2022[[#This Row],[2022 NAICS Title]]</f>
        <v xml:space="preserve">Grain and Field Bean Merchant Wholesalers </v>
      </c>
    </row>
    <row r="547" spans="44:47" x14ac:dyDescent="0.25">
      <c r="AR547" s="656" t="str">
        <f>Select_naics2022[[#This Row],[2022 NAICS Code]]&amp;":  "&amp;Select_naics2022[[#This Row],[2022 NAICS Title]]</f>
        <v xml:space="preserve">424520:  Livestock Merchant Wholesalers </v>
      </c>
      <c r="AS547" s="656">
        <v>424520</v>
      </c>
      <c r="AT547" s="656" t="s">
        <v>1187</v>
      </c>
      <c r="AU547" s="656" t="str">
        <f>Select_naics2022[[#This Row],[2022 NAICS Title]]</f>
        <v xml:space="preserve">Livestock Merchant Wholesalers </v>
      </c>
    </row>
    <row r="548" spans="44:47" x14ac:dyDescent="0.25">
      <c r="AR548" s="656" t="str">
        <f>Select_naics2022[[#This Row],[2022 NAICS Code]]&amp;":  "&amp;Select_naics2022[[#This Row],[2022 NAICS Title]]</f>
        <v xml:space="preserve">424590:  Other Farm Product Raw Material Merchant Wholesalers </v>
      </c>
      <c r="AS548" s="656">
        <v>424590</v>
      </c>
      <c r="AT548" s="656" t="s">
        <v>1188</v>
      </c>
      <c r="AU548" s="656" t="str">
        <f>Select_naics2022[[#This Row],[2022 NAICS Title]]</f>
        <v xml:space="preserve">Other Farm Product Raw Material Merchant Wholesalers </v>
      </c>
    </row>
    <row r="549" spans="44:47" x14ac:dyDescent="0.25">
      <c r="AR549" s="656" t="str">
        <f>Select_naics2022[[#This Row],[2022 NAICS Code]]&amp;":  "&amp;Select_naics2022[[#This Row],[2022 NAICS Title]]</f>
        <v xml:space="preserve">424610:  Plastics Materials and Basic Forms and Shapes Merchant Wholesalers </v>
      </c>
      <c r="AS549" s="656">
        <v>424610</v>
      </c>
      <c r="AT549" s="656" t="s">
        <v>1189</v>
      </c>
      <c r="AU549" s="656" t="str">
        <f>Select_naics2022[[#This Row],[2022 NAICS Title]]</f>
        <v xml:space="preserve">Plastics Materials and Basic Forms and Shapes Merchant Wholesalers </v>
      </c>
    </row>
    <row r="550" spans="44:47" x14ac:dyDescent="0.25">
      <c r="AR550" s="656" t="str">
        <f>Select_naics2022[[#This Row],[2022 NAICS Code]]&amp;":  "&amp;Select_naics2022[[#This Row],[2022 NAICS Title]]</f>
        <v xml:space="preserve">424690:  Other Chemical and Allied Products Merchant Wholesalers </v>
      </c>
      <c r="AS550" s="656">
        <v>424690</v>
      </c>
      <c r="AT550" s="656" t="s">
        <v>1190</v>
      </c>
      <c r="AU550" s="656" t="str">
        <f>Select_naics2022[[#This Row],[2022 NAICS Title]]</f>
        <v xml:space="preserve">Other Chemical and Allied Products Merchant Wholesalers </v>
      </c>
    </row>
    <row r="551" spans="44:47" x14ac:dyDescent="0.25">
      <c r="AR551" s="656" t="str">
        <f>Select_naics2022[[#This Row],[2022 NAICS Code]]&amp;":  "&amp;Select_naics2022[[#This Row],[2022 NAICS Title]]</f>
        <v xml:space="preserve">424710:  Petroleum Bulk Stations and Terminals </v>
      </c>
      <c r="AS551" s="656">
        <v>424710</v>
      </c>
      <c r="AT551" s="656" t="s">
        <v>1191</v>
      </c>
      <c r="AU551" s="656" t="str">
        <f>Select_naics2022[[#This Row],[2022 NAICS Title]]</f>
        <v xml:space="preserve">Petroleum Bulk Stations and Terminals </v>
      </c>
    </row>
    <row r="552" spans="44:47" x14ac:dyDescent="0.25">
      <c r="AR552" s="656" t="str">
        <f>Select_naics2022[[#This Row],[2022 NAICS Code]]&amp;":  "&amp;Select_naics2022[[#This Row],[2022 NAICS Title]]</f>
        <v xml:space="preserve">424720:  Petroleum and Petroleum Products Merchant Wholesalers (except Bulk Stations and Terminals) </v>
      </c>
      <c r="AS552" s="656">
        <v>424720</v>
      </c>
      <c r="AT552" s="656" t="s">
        <v>1192</v>
      </c>
      <c r="AU552" s="656" t="str">
        <f>Select_naics2022[[#This Row],[2022 NAICS Title]]</f>
        <v xml:space="preserve">Petroleum and Petroleum Products Merchant Wholesalers (except Bulk Stations and Terminals) </v>
      </c>
    </row>
    <row r="553" spans="44:47" x14ac:dyDescent="0.25">
      <c r="AR553" s="656" t="str">
        <f>Select_naics2022[[#This Row],[2022 NAICS Code]]&amp;":  "&amp;Select_naics2022[[#This Row],[2022 NAICS Title]]</f>
        <v xml:space="preserve">424810:  Beer and Ale Merchant Wholesalers </v>
      </c>
      <c r="AS553" s="656">
        <v>424810</v>
      </c>
      <c r="AT553" s="656" t="s">
        <v>1193</v>
      </c>
      <c r="AU553" s="656" t="str">
        <f>Select_naics2022[[#This Row],[2022 NAICS Title]]</f>
        <v xml:space="preserve">Beer and Ale Merchant Wholesalers </v>
      </c>
    </row>
    <row r="554" spans="44:47" x14ac:dyDescent="0.25">
      <c r="AR554" s="656" t="str">
        <f>Select_naics2022[[#This Row],[2022 NAICS Code]]&amp;":  "&amp;Select_naics2022[[#This Row],[2022 NAICS Title]]</f>
        <v xml:space="preserve">424820:  Wine and Distilled Alcoholic Beverage Merchant Wholesalers </v>
      </c>
      <c r="AS554" s="656">
        <v>424820</v>
      </c>
      <c r="AT554" s="656" t="s">
        <v>1194</v>
      </c>
      <c r="AU554" s="656" t="str">
        <f>Select_naics2022[[#This Row],[2022 NAICS Title]]</f>
        <v xml:space="preserve">Wine and Distilled Alcoholic Beverage Merchant Wholesalers </v>
      </c>
    </row>
    <row r="555" spans="44:47" x14ac:dyDescent="0.25">
      <c r="AR555" s="656" t="str">
        <f>Select_naics2022[[#This Row],[2022 NAICS Code]]&amp;":  "&amp;Select_naics2022[[#This Row],[2022 NAICS Title]]</f>
        <v xml:space="preserve">424910:  Farm Supplies Merchant Wholesalers </v>
      </c>
      <c r="AS555" s="656">
        <v>424910</v>
      </c>
      <c r="AT555" s="656" t="s">
        <v>1195</v>
      </c>
      <c r="AU555" s="656" t="str">
        <f>Select_naics2022[[#This Row],[2022 NAICS Title]]</f>
        <v xml:space="preserve">Farm Supplies Merchant Wholesalers </v>
      </c>
    </row>
    <row r="556" spans="44:47" x14ac:dyDescent="0.25">
      <c r="AR556" s="656" t="str">
        <f>Select_naics2022[[#This Row],[2022 NAICS Code]]&amp;":  "&amp;Select_naics2022[[#This Row],[2022 NAICS Title]]</f>
        <v xml:space="preserve">424920:  Book, Periodical, and Newspaper Merchant Wholesalers </v>
      </c>
      <c r="AS556" s="656">
        <v>424920</v>
      </c>
      <c r="AT556" s="656" t="s">
        <v>1196</v>
      </c>
      <c r="AU556" s="656" t="str">
        <f>Select_naics2022[[#This Row],[2022 NAICS Title]]</f>
        <v xml:space="preserve">Book, Periodical, and Newspaper Merchant Wholesalers </v>
      </c>
    </row>
    <row r="557" spans="44:47" x14ac:dyDescent="0.25">
      <c r="AR557" s="656" t="str">
        <f>Select_naics2022[[#This Row],[2022 NAICS Code]]&amp;":  "&amp;Select_naics2022[[#This Row],[2022 NAICS Title]]</f>
        <v xml:space="preserve">424930:  Flower, Nursery Stock, and Florists' Supplies Merchant Wholesalers </v>
      </c>
      <c r="AS557" s="656">
        <v>424930</v>
      </c>
      <c r="AT557" s="656" t="s">
        <v>1197</v>
      </c>
      <c r="AU557" s="656" t="str">
        <f>Select_naics2022[[#This Row],[2022 NAICS Title]]</f>
        <v xml:space="preserve">Flower, Nursery Stock, and Florists' Supplies Merchant Wholesalers </v>
      </c>
    </row>
    <row r="558" spans="44:47" x14ac:dyDescent="0.25">
      <c r="AR558" s="656" t="str">
        <f>Select_naics2022[[#This Row],[2022 NAICS Code]]&amp;":  "&amp;Select_naics2022[[#This Row],[2022 NAICS Title]]</f>
        <v xml:space="preserve">424940:  Tobacco Product and Electronic Cigarette Merchant Wholesalers </v>
      </c>
      <c r="AS558" s="656">
        <v>424940</v>
      </c>
      <c r="AT558" s="656" t="s">
        <v>1198</v>
      </c>
      <c r="AU558" s="656" t="str">
        <f>Select_naics2022[[#This Row],[2022 NAICS Title]]</f>
        <v xml:space="preserve">Tobacco Product and Electronic Cigarette Merchant Wholesalers </v>
      </c>
    </row>
    <row r="559" spans="44:47" x14ac:dyDescent="0.25">
      <c r="AR559" s="656" t="str">
        <f>Select_naics2022[[#This Row],[2022 NAICS Code]]&amp;":  "&amp;Select_naics2022[[#This Row],[2022 NAICS Title]]</f>
        <v xml:space="preserve">424950:  Paint, Varnish, and Supplies Merchant Wholesalers </v>
      </c>
      <c r="AS559" s="656">
        <v>424950</v>
      </c>
      <c r="AT559" s="656" t="s">
        <v>1199</v>
      </c>
      <c r="AU559" s="656" t="str">
        <f>Select_naics2022[[#This Row],[2022 NAICS Title]]</f>
        <v xml:space="preserve">Paint, Varnish, and Supplies Merchant Wholesalers </v>
      </c>
    </row>
    <row r="560" spans="44:47" x14ac:dyDescent="0.25">
      <c r="AR560" s="656" t="str">
        <f>Select_naics2022[[#This Row],[2022 NAICS Code]]&amp;":  "&amp;Select_naics2022[[#This Row],[2022 NAICS Title]]</f>
        <v xml:space="preserve">424990:  Other Miscellaneous Nondurable Goods Merchant Wholesalers </v>
      </c>
      <c r="AS560" s="656">
        <v>424990</v>
      </c>
      <c r="AT560" s="656" t="s">
        <v>1200</v>
      </c>
      <c r="AU560" s="656" t="str">
        <f>Select_naics2022[[#This Row],[2022 NAICS Title]]</f>
        <v xml:space="preserve">Other Miscellaneous Nondurable Goods Merchant Wholesalers </v>
      </c>
    </row>
    <row r="561" spans="44:47" x14ac:dyDescent="0.25">
      <c r="AR561" s="656" t="str">
        <f>Select_naics2022[[#This Row],[2022 NAICS Code]]&amp;":  "&amp;Select_naics2022[[#This Row],[2022 NAICS Title]]</f>
        <v xml:space="preserve">425120:  Wholesale Trade Agents and Brokers </v>
      </c>
      <c r="AS561" s="656">
        <v>425120</v>
      </c>
      <c r="AT561" s="656" t="s">
        <v>1201</v>
      </c>
      <c r="AU561" s="656" t="str">
        <f>Select_naics2022[[#This Row],[2022 NAICS Title]]</f>
        <v xml:space="preserve">Wholesale Trade Agents and Brokers </v>
      </c>
    </row>
    <row r="562" spans="44:47" x14ac:dyDescent="0.25">
      <c r="AR562" s="656" t="str">
        <f>Select_naics2022[[#This Row],[2022 NAICS Code]]&amp;":  "&amp;Select_naics2022[[#This Row],[2022 NAICS Title]]</f>
        <v xml:space="preserve">441110:  New Car Dealers </v>
      </c>
      <c r="AS562" s="656">
        <v>441110</v>
      </c>
      <c r="AT562" s="656" t="s">
        <v>1202</v>
      </c>
      <c r="AU562" s="656" t="str">
        <f>Select_naics2022[[#This Row],[2022 NAICS Title]]</f>
        <v xml:space="preserve">New Car Dealers </v>
      </c>
    </row>
    <row r="563" spans="44:47" x14ac:dyDescent="0.25">
      <c r="AR563" s="656" t="str">
        <f>Select_naics2022[[#This Row],[2022 NAICS Code]]&amp;":  "&amp;Select_naics2022[[#This Row],[2022 NAICS Title]]</f>
        <v xml:space="preserve">441120:  Used Car Dealers </v>
      </c>
      <c r="AS563" s="656">
        <v>441120</v>
      </c>
      <c r="AT563" s="656" t="s">
        <v>1203</v>
      </c>
      <c r="AU563" s="656" t="str">
        <f>Select_naics2022[[#This Row],[2022 NAICS Title]]</f>
        <v xml:space="preserve">Used Car Dealers </v>
      </c>
    </row>
    <row r="564" spans="44:47" x14ac:dyDescent="0.25">
      <c r="AR564" s="656" t="str">
        <f>Select_naics2022[[#This Row],[2022 NAICS Code]]&amp;":  "&amp;Select_naics2022[[#This Row],[2022 NAICS Title]]</f>
        <v xml:space="preserve">441210:  Recreational Vehicle Dealers </v>
      </c>
      <c r="AS564" s="656">
        <v>441210</v>
      </c>
      <c r="AT564" s="656" t="s">
        <v>1204</v>
      </c>
      <c r="AU564" s="656" t="str">
        <f>Select_naics2022[[#This Row],[2022 NAICS Title]]</f>
        <v xml:space="preserve">Recreational Vehicle Dealers </v>
      </c>
    </row>
    <row r="565" spans="44:47" x14ac:dyDescent="0.25">
      <c r="AR565" s="656" t="str">
        <f>Select_naics2022[[#This Row],[2022 NAICS Code]]&amp;":  "&amp;Select_naics2022[[#This Row],[2022 NAICS Title]]</f>
        <v xml:space="preserve">441222:  Boat Dealers </v>
      </c>
      <c r="AS565" s="656">
        <v>441222</v>
      </c>
      <c r="AT565" s="656" t="s">
        <v>1205</v>
      </c>
      <c r="AU565" s="656" t="str">
        <f>Select_naics2022[[#This Row],[2022 NAICS Title]]</f>
        <v xml:space="preserve">Boat Dealers </v>
      </c>
    </row>
    <row r="566" spans="44:47" x14ac:dyDescent="0.25">
      <c r="AR566" s="656" t="str">
        <f>Select_naics2022[[#This Row],[2022 NAICS Code]]&amp;":  "&amp;Select_naics2022[[#This Row],[2022 NAICS Title]]</f>
        <v xml:space="preserve">441227:  Motorcycle, ATV, and All Other Motor Vehicle Dealers </v>
      </c>
      <c r="AS566" s="656">
        <v>441227</v>
      </c>
      <c r="AT566" s="656" t="s">
        <v>1206</v>
      </c>
      <c r="AU566" s="656" t="str">
        <f>Select_naics2022[[#This Row],[2022 NAICS Title]]</f>
        <v xml:space="preserve">Motorcycle, ATV, and All Other Motor Vehicle Dealers </v>
      </c>
    </row>
    <row r="567" spans="44:47" x14ac:dyDescent="0.25">
      <c r="AR567" s="656" t="str">
        <f>Select_naics2022[[#This Row],[2022 NAICS Code]]&amp;":  "&amp;Select_naics2022[[#This Row],[2022 NAICS Title]]</f>
        <v xml:space="preserve">441330:  Automotive Parts and Accessories Retailers </v>
      </c>
      <c r="AS567" s="656">
        <v>441330</v>
      </c>
      <c r="AT567" s="656" t="s">
        <v>1207</v>
      </c>
      <c r="AU567" s="656" t="str">
        <f>Select_naics2022[[#This Row],[2022 NAICS Title]]</f>
        <v xml:space="preserve">Automotive Parts and Accessories Retailers </v>
      </c>
    </row>
    <row r="568" spans="44:47" x14ac:dyDescent="0.25">
      <c r="AR568" s="656" t="str">
        <f>Select_naics2022[[#This Row],[2022 NAICS Code]]&amp;":  "&amp;Select_naics2022[[#This Row],[2022 NAICS Title]]</f>
        <v xml:space="preserve">441340:  Tire Dealers </v>
      </c>
      <c r="AS568" s="656">
        <v>441340</v>
      </c>
      <c r="AT568" s="656" t="s">
        <v>1208</v>
      </c>
      <c r="AU568" s="656" t="str">
        <f>Select_naics2022[[#This Row],[2022 NAICS Title]]</f>
        <v xml:space="preserve">Tire Dealers </v>
      </c>
    </row>
    <row r="569" spans="44:47" x14ac:dyDescent="0.25">
      <c r="AR569" s="656" t="str">
        <f>Select_naics2022[[#This Row],[2022 NAICS Code]]&amp;":  "&amp;Select_naics2022[[#This Row],[2022 NAICS Title]]</f>
        <v xml:space="preserve">444110:  Home Centers </v>
      </c>
      <c r="AS569" s="656">
        <v>444110</v>
      </c>
      <c r="AT569" s="656" t="s">
        <v>1209</v>
      </c>
      <c r="AU569" s="656" t="str">
        <f>Select_naics2022[[#This Row],[2022 NAICS Title]]</f>
        <v xml:space="preserve">Home Centers </v>
      </c>
    </row>
    <row r="570" spans="44:47" x14ac:dyDescent="0.25">
      <c r="AR570" s="656" t="str">
        <f>Select_naics2022[[#This Row],[2022 NAICS Code]]&amp;":  "&amp;Select_naics2022[[#This Row],[2022 NAICS Title]]</f>
        <v xml:space="preserve">444120:  Paint and Wallpaper Retailers </v>
      </c>
      <c r="AS570" s="656">
        <v>444120</v>
      </c>
      <c r="AT570" s="656" t="s">
        <v>1210</v>
      </c>
      <c r="AU570" s="656" t="str">
        <f>Select_naics2022[[#This Row],[2022 NAICS Title]]</f>
        <v xml:space="preserve">Paint and Wallpaper Retailers </v>
      </c>
    </row>
    <row r="571" spans="44:47" x14ac:dyDescent="0.25">
      <c r="AR571" s="656" t="str">
        <f>Select_naics2022[[#This Row],[2022 NAICS Code]]&amp;":  "&amp;Select_naics2022[[#This Row],[2022 NAICS Title]]</f>
        <v xml:space="preserve">444140:  Hardware Retailers </v>
      </c>
      <c r="AS571" s="656">
        <v>444140</v>
      </c>
      <c r="AT571" s="656" t="s">
        <v>1211</v>
      </c>
      <c r="AU571" s="656" t="str">
        <f>Select_naics2022[[#This Row],[2022 NAICS Title]]</f>
        <v xml:space="preserve">Hardware Retailers </v>
      </c>
    </row>
    <row r="572" spans="44:47" x14ac:dyDescent="0.25">
      <c r="AR572" s="656" t="str">
        <f>Select_naics2022[[#This Row],[2022 NAICS Code]]&amp;":  "&amp;Select_naics2022[[#This Row],[2022 NAICS Title]]</f>
        <v xml:space="preserve">444180:  Other Building Material Dealers </v>
      </c>
      <c r="AS572" s="656">
        <v>444180</v>
      </c>
      <c r="AT572" s="656" t="s">
        <v>1212</v>
      </c>
      <c r="AU572" s="656" t="str">
        <f>Select_naics2022[[#This Row],[2022 NAICS Title]]</f>
        <v xml:space="preserve">Other Building Material Dealers </v>
      </c>
    </row>
    <row r="573" spans="44:47" x14ac:dyDescent="0.25">
      <c r="AR573" s="656" t="str">
        <f>Select_naics2022[[#This Row],[2022 NAICS Code]]&amp;":  "&amp;Select_naics2022[[#This Row],[2022 NAICS Title]]</f>
        <v xml:space="preserve">444230:  Outdoor Power Equipment Retailers </v>
      </c>
      <c r="AS573" s="656">
        <v>444230</v>
      </c>
      <c r="AT573" s="656" t="s">
        <v>1213</v>
      </c>
      <c r="AU573" s="656" t="str">
        <f>Select_naics2022[[#This Row],[2022 NAICS Title]]</f>
        <v xml:space="preserve">Outdoor Power Equipment Retailers </v>
      </c>
    </row>
    <row r="574" spans="44:47" x14ac:dyDescent="0.25">
      <c r="AR574" s="656" t="str">
        <f>Select_naics2022[[#This Row],[2022 NAICS Code]]&amp;":  "&amp;Select_naics2022[[#This Row],[2022 NAICS Title]]</f>
        <v xml:space="preserve">444240:  Nursery, Garden Center, and Farm Supply Retailers </v>
      </c>
      <c r="AS574" s="656">
        <v>444240</v>
      </c>
      <c r="AT574" s="656" t="s">
        <v>1214</v>
      </c>
      <c r="AU574" s="656" t="str">
        <f>Select_naics2022[[#This Row],[2022 NAICS Title]]</f>
        <v xml:space="preserve">Nursery, Garden Center, and Farm Supply Retailers </v>
      </c>
    </row>
    <row r="575" spans="44:47" x14ac:dyDescent="0.25">
      <c r="AR575" s="656" t="str">
        <f>Select_naics2022[[#This Row],[2022 NAICS Code]]&amp;":  "&amp;Select_naics2022[[#This Row],[2022 NAICS Title]]</f>
        <v xml:space="preserve">445110:  Supermarkets and Other Grocery Retailers (except Convenience Retailers) </v>
      </c>
      <c r="AS575" s="656">
        <v>445110</v>
      </c>
      <c r="AT575" s="656" t="s">
        <v>1215</v>
      </c>
      <c r="AU575" s="656" t="str">
        <f>Select_naics2022[[#This Row],[2022 NAICS Title]]</f>
        <v xml:space="preserve">Supermarkets and Other Grocery Retailers (except Convenience Retailers) </v>
      </c>
    </row>
    <row r="576" spans="44:47" x14ac:dyDescent="0.25">
      <c r="AR576" s="656" t="str">
        <f>Select_naics2022[[#This Row],[2022 NAICS Code]]&amp;":  "&amp;Select_naics2022[[#This Row],[2022 NAICS Title]]</f>
        <v xml:space="preserve">445131:  Convenience Retailers </v>
      </c>
      <c r="AS576" s="656">
        <v>445131</v>
      </c>
      <c r="AT576" s="656" t="s">
        <v>1216</v>
      </c>
      <c r="AU576" s="656" t="str">
        <f>Select_naics2022[[#This Row],[2022 NAICS Title]]</f>
        <v xml:space="preserve">Convenience Retailers </v>
      </c>
    </row>
    <row r="577" spans="44:47" x14ac:dyDescent="0.25">
      <c r="AR577" s="656" t="str">
        <f>Select_naics2022[[#This Row],[2022 NAICS Code]]&amp;":  "&amp;Select_naics2022[[#This Row],[2022 NAICS Title]]</f>
        <v xml:space="preserve">445132:  Vending Machine Operators </v>
      </c>
      <c r="AS577" s="656">
        <v>445132</v>
      </c>
      <c r="AT577" s="656" t="s">
        <v>1217</v>
      </c>
      <c r="AU577" s="656" t="str">
        <f>Select_naics2022[[#This Row],[2022 NAICS Title]]</f>
        <v xml:space="preserve">Vending Machine Operators </v>
      </c>
    </row>
    <row r="578" spans="44:47" x14ac:dyDescent="0.25">
      <c r="AR578" s="656" t="str">
        <f>Select_naics2022[[#This Row],[2022 NAICS Code]]&amp;":  "&amp;Select_naics2022[[#This Row],[2022 NAICS Title]]</f>
        <v xml:space="preserve">445230:  Fruit and Vegetable Retailers </v>
      </c>
      <c r="AS578" s="656">
        <v>445230</v>
      </c>
      <c r="AT578" s="656" t="s">
        <v>1218</v>
      </c>
      <c r="AU578" s="656" t="str">
        <f>Select_naics2022[[#This Row],[2022 NAICS Title]]</f>
        <v xml:space="preserve">Fruit and Vegetable Retailers </v>
      </c>
    </row>
    <row r="579" spans="44:47" x14ac:dyDescent="0.25">
      <c r="AR579" s="656" t="str">
        <f>Select_naics2022[[#This Row],[2022 NAICS Code]]&amp;":  "&amp;Select_naics2022[[#This Row],[2022 NAICS Title]]</f>
        <v xml:space="preserve">445240:  Meat Retailers </v>
      </c>
      <c r="AS579" s="656">
        <v>445240</v>
      </c>
      <c r="AT579" s="656" t="s">
        <v>1219</v>
      </c>
      <c r="AU579" s="656" t="str">
        <f>Select_naics2022[[#This Row],[2022 NAICS Title]]</f>
        <v xml:space="preserve">Meat Retailers </v>
      </c>
    </row>
    <row r="580" spans="44:47" x14ac:dyDescent="0.25">
      <c r="AR580" s="656" t="str">
        <f>Select_naics2022[[#This Row],[2022 NAICS Code]]&amp;":  "&amp;Select_naics2022[[#This Row],[2022 NAICS Title]]</f>
        <v xml:space="preserve">445250:  Fish and Seafood Retailers </v>
      </c>
      <c r="AS580" s="656">
        <v>445250</v>
      </c>
      <c r="AT580" s="656" t="s">
        <v>1220</v>
      </c>
      <c r="AU580" s="656" t="str">
        <f>Select_naics2022[[#This Row],[2022 NAICS Title]]</f>
        <v xml:space="preserve">Fish and Seafood Retailers </v>
      </c>
    </row>
    <row r="581" spans="44:47" x14ac:dyDescent="0.25">
      <c r="AR581" s="656" t="str">
        <f>Select_naics2022[[#This Row],[2022 NAICS Code]]&amp;":  "&amp;Select_naics2022[[#This Row],[2022 NAICS Title]]</f>
        <v xml:space="preserve">445291:  Baked Goods Retailers </v>
      </c>
      <c r="AS581" s="656">
        <v>445291</v>
      </c>
      <c r="AT581" s="656" t="s">
        <v>1221</v>
      </c>
      <c r="AU581" s="656" t="str">
        <f>Select_naics2022[[#This Row],[2022 NAICS Title]]</f>
        <v xml:space="preserve">Baked Goods Retailers </v>
      </c>
    </row>
    <row r="582" spans="44:47" x14ac:dyDescent="0.25">
      <c r="AR582" s="656" t="str">
        <f>Select_naics2022[[#This Row],[2022 NAICS Code]]&amp;":  "&amp;Select_naics2022[[#This Row],[2022 NAICS Title]]</f>
        <v xml:space="preserve">445292:  Confectionery and Nut Retailers </v>
      </c>
      <c r="AS582" s="656">
        <v>445292</v>
      </c>
      <c r="AT582" s="656" t="s">
        <v>1222</v>
      </c>
      <c r="AU582" s="656" t="str">
        <f>Select_naics2022[[#This Row],[2022 NAICS Title]]</f>
        <v xml:space="preserve">Confectionery and Nut Retailers </v>
      </c>
    </row>
    <row r="583" spans="44:47" x14ac:dyDescent="0.25">
      <c r="AR583" s="656" t="str">
        <f>Select_naics2022[[#This Row],[2022 NAICS Code]]&amp;":  "&amp;Select_naics2022[[#This Row],[2022 NAICS Title]]</f>
        <v xml:space="preserve">445298:  All Other Specialty Food Retailers </v>
      </c>
      <c r="AS583" s="656">
        <v>445298</v>
      </c>
      <c r="AT583" s="656" t="s">
        <v>1223</v>
      </c>
      <c r="AU583" s="656" t="str">
        <f>Select_naics2022[[#This Row],[2022 NAICS Title]]</f>
        <v xml:space="preserve">All Other Specialty Food Retailers </v>
      </c>
    </row>
    <row r="584" spans="44:47" x14ac:dyDescent="0.25">
      <c r="AR584" s="656" t="str">
        <f>Select_naics2022[[#This Row],[2022 NAICS Code]]&amp;":  "&amp;Select_naics2022[[#This Row],[2022 NAICS Title]]</f>
        <v xml:space="preserve">445320:  Beer, Wine, and Liquor Retailers </v>
      </c>
      <c r="AS584" s="656">
        <v>445320</v>
      </c>
      <c r="AT584" s="656" t="s">
        <v>1224</v>
      </c>
      <c r="AU584" s="656" t="str">
        <f>Select_naics2022[[#This Row],[2022 NAICS Title]]</f>
        <v xml:space="preserve">Beer, Wine, and Liquor Retailers </v>
      </c>
    </row>
    <row r="585" spans="44:47" x14ac:dyDescent="0.25">
      <c r="AR585" s="656" t="str">
        <f>Select_naics2022[[#This Row],[2022 NAICS Code]]&amp;":  "&amp;Select_naics2022[[#This Row],[2022 NAICS Title]]</f>
        <v xml:space="preserve">449110:  Furniture Retailers </v>
      </c>
      <c r="AS585" s="656">
        <v>449110</v>
      </c>
      <c r="AT585" s="656" t="s">
        <v>1225</v>
      </c>
      <c r="AU585" s="656" t="str">
        <f>Select_naics2022[[#This Row],[2022 NAICS Title]]</f>
        <v xml:space="preserve">Furniture Retailers </v>
      </c>
    </row>
    <row r="586" spans="44:47" x14ac:dyDescent="0.25">
      <c r="AR586" s="656" t="str">
        <f>Select_naics2022[[#This Row],[2022 NAICS Code]]&amp;":  "&amp;Select_naics2022[[#This Row],[2022 NAICS Title]]</f>
        <v xml:space="preserve">449121:  Floor Covering Retailers </v>
      </c>
      <c r="AS586" s="656">
        <v>449121</v>
      </c>
      <c r="AT586" s="656" t="s">
        <v>1226</v>
      </c>
      <c r="AU586" s="656" t="str">
        <f>Select_naics2022[[#This Row],[2022 NAICS Title]]</f>
        <v xml:space="preserve">Floor Covering Retailers </v>
      </c>
    </row>
    <row r="587" spans="44:47" x14ac:dyDescent="0.25">
      <c r="AR587" s="656" t="str">
        <f>Select_naics2022[[#This Row],[2022 NAICS Code]]&amp;":  "&amp;Select_naics2022[[#This Row],[2022 NAICS Title]]</f>
        <v xml:space="preserve">449122:  Window Treatment Retailers </v>
      </c>
      <c r="AS587" s="656">
        <v>449122</v>
      </c>
      <c r="AT587" s="656" t="s">
        <v>1227</v>
      </c>
      <c r="AU587" s="656" t="str">
        <f>Select_naics2022[[#This Row],[2022 NAICS Title]]</f>
        <v xml:space="preserve">Window Treatment Retailers </v>
      </c>
    </row>
    <row r="588" spans="44:47" x14ac:dyDescent="0.25">
      <c r="AR588" s="656" t="str">
        <f>Select_naics2022[[#This Row],[2022 NAICS Code]]&amp;":  "&amp;Select_naics2022[[#This Row],[2022 NAICS Title]]</f>
        <v xml:space="preserve">449129:  All Other Home Furnishings Retailers </v>
      </c>
      <c r="AS588" s="656">
        <v>449129</v>
      </c>
      <c r="AT588" s="656" t="s">
        <v>1228</v>
      </c>
      <c r="AU588" s="656" t="str">
        <f>Select_naics2022[[#This Row],[2022 NAICS Title]]</f>
        <v xml:space="preserve">All Other Home Furnishings Retailers </v>
      </c>
    </row>
    <row r="589" spans="44:47" x14ac:dyDescent="0.25">
      <c r="AR589" s="656" t="str">
        <f>Select_naics2022[[#This Row],[2022 NAICS Code]]&amp;":  "&amp;Select_naics2022[[#This Row],[2022 NAICS Title]]</f>
        <v>449210:  Electronics and Appliance Retailers</v>
      </c>
      <c r="AS589" s="656">
        <v>449210</v>
      </c>
      <c r="AT589" s="656" t="s">
        <v>1229</v>
      </c>
      <c r="AU589" s="656" t="str">
        <f>Select_naics2022[[#This Row],[2022 NAICS Title]]</f>
        <v>Electronics and Appliance Retailers</v>
      </c>
    </row>
    <row r="590" spans="44:47" x14ac:dyDescent="0.25">
      <c r="AR590" s="656" t="str">
        <f>Select_naics2022[[#This Row],[2022 NAICS Code]]&amp;":  "&amp;Select_naics2022[[#This Row],[2022 NAICS Title]]</f>
        <v xml:space="preserve">455110:  Department Stores </v>
      </c>
      <c r="AS590" s="656">
        <v>455110</v>
      </c>
      <c r="AT590" s="656" t="s">
        <v>1230</v>
      </c>
      <c r="AU590" s="656" t="str">
        <f>Select_naics2022[[#This Row],[2022 NAICS Title]]</f>
        <v xml:space="preserve">Department Stores </v>
      </c>
    </row>
    <row r="591" spans="44:47" x14ac:dyDescent="0.25">
      <c r="AR591" s="656" t="str">
        <f>Select_naics2022[[#This Row],[2022 NAICS Code]]&amp;":  "&amp;Select_naics2022[[#This Row],[2022 NAICS Title]]</f>
        <v xml:space="preserve">455211:  Warehouse Clubs and Supercenters </v>
      </c>
      <c r="AS591" s="656">
        <v>455211</v>
      </c>
      <c r="AT591" s="656" t="s">
        <v>1231</v>
      </c>
      <c r="AU591" s="656" t="str">
        <f>Select_naics2022[[#This Row],[2022 NAICS Title]]</f>
        <v xml:space="preserve">Warehouse Clubs and Supercenters </v>
      </c>
    </row>
    <row r="592" spans="44:47" x14ac:dyDescent="0.25">
      <c r="AR592" s="656" t="str">
        <f>Select_naics2022[[#This Row],[2022 NAICS Code]]&amp;":  "&amp;Select_naics2022[[#This Row],[2022 NAICS Title]]</f>
        <v xml:space="preserve">455219:  All Other General Merchandise Retailers </v>
      </c>
      <c r="AS592" s="656">
        <v>455219</v>
      </c>
      <c r="AT592" s="656" t="s">
        <v>1232</v>
      </c>
      <c r="AU592" s="656" t="str">
        <f>Select_naics2022[[#This Row],[2022 NAICS Title]]</f>
        <v xml:space="preserve">All Other General Merchandise Retailers </v>
      </c>
    </row>
    <row r="593" spans="44:47" x14ac:dyDescent="0.25">
      <c r="AR593" s="656" t="str">
        <f>Select_naics2022[[#This Row],[2022 NAICS Code]]&amp;":  "&amp;Select_naics2022[[#This Row],[2022 NAICS Title]]</f>
        <v xml:space="preserve">456110:  Pharmacies and Drug Retailers </v>
      </c>
      <c r="AS593" s="656">
        <v>456110</v>
      </c>
      <c r="AT593" s="656" t="s">
        <v>1233</v>
      </c>
      <c r="AU593" s="656" t="str">
        <f>Select_naics2022[[#This Row],[2022 NAICS Title]]</f>
        <v xml:space="preserve">Pharmacies and Drug Retailers </v>
      </c>
    </row>
    <row r="594" spans="44:47" x14ac:dyDescent="0.25">
      <c r="AR594" s="656" t="str">
        <f>Select_naics2022[[#This Row],[2022 NAICS Code]]&amp;":  "&amp;Select_naics2022[[#This Row],[2022 NAICS Title]]</f>
        <v xml:space="preserve">456120:  Cosmetics, Beauty Supplies, and Perfume Retailers </v>
      </c>
      <c r="AS594" s="656">
        <v>456120</v>
      </c>
      <c r="AT594" s="656" t="s">
        <v>1234</v>
      </c>
      <c r="AU594" s="656" t="str">
        <f>Select_naics2022[[#This Row],[2022 NAICS Title]]</f>
        <v xml:space="preserve">Cosmetics, Beauty Supplies, and Perfume Retailers </v>
      </c>
    </row>
    <row r="595" spans="44:47" x14ac:dyDescent="0.25">
      <c r="AR595" s="656" t="str">
        <f>Select_naics2022[[#This Row],[2022 NAICS Code]]&amp;":  "&amp;Select_naics2022[[#This Row],[2022 NAICS Title]]</f>
        <v xml:space="preserve">456130:  Optical Goods Retailers </v>
      </c>
      <c r="AS595" s="656">
        <v>456130</v>
      </c>
      <c r="AT595" s="656" t="s">
        <v>1235</v>
      </c>
      <c r="AU595" s="656" t="str">
        <f>Select_naics2022[[#This Row],[2022 NAICS Title]]</f>
        <v xml:space="preserve">Optical Goods Retailers </v>
      </c>
    </row>
    <row r="596" spans="44:47" x14ac:dyDescent="0.25">
      <c r="AR596" s="656" t="str">
        <f>Select_naics2022[[#This Row],[2022 NAICS Code]]&amp;":  "&amp;Select_naics2022[[#This Row],[2022 NAICS Title]]</f>
        <v xml:space="preserve">456191:  Food (Health) Supplement Retailers </v>
      </c>
      <c r="AS596" s="656">
        <v>456191</v>
      </c>
      <c r="AT596" s="656" t="s">
        <v>1236</v>
      </c>
      <c r="AU596" s="656" t="str">
        <f>Select_naics2022[[#This Row],[2022 NAICS Title]]</f>
        <v xml:space="preserve">Food (Health) Supplement Retailers </v>
      </c>
    </row>
    <row r="597" spans="44:47" x14ac:dyDescent="0.25">
      <c r="AR597" s="656" t="str">
        <f>Select_naics2022[[#This Row],[2022 NAICS Code]]&amp;":  "&amp;Select_naics2022[[#This Row],[2022 NAICS Title]]</f>
        <v xml:space="preserve">456199:  All Other Health and Personal Care Retailers </v>
      </c>
      <c r="AS597" s="656">
        <v>456199</v>
      </c>
      <c r="AT597" s="656" t="s">
        <v>1237</v>
      </c>
      <c r="AU597" s="656" t="str">
        <f>Select_naics2022[[#This Row],[2022 NAICS Title]]</f>
        <v xml:space="preserve">All Other Health and Personal Care Retailers </v>
      </c>
    </row>
    <row r="598" spans="44:47" x14ac:dyDescent="0.25">
      <c r="AR598" s="656" t="str">
        <f>Select_naics2022[[#This Row],[2022 NAICS Code]]&amp;":  "&amp;Select_naics2022[[#This Row],[2022 NAICS Title]]</f>
        <v xml:space="preserve">457110:  Gasoline Stations with Convenience Stores </v>
      </c>
      <c r="AS598" s="656">
        <v>457110</v>
      </c>
      <c r="AT598" s="656" t="s">
        <v>1238</v>
      </c>
      <c r="AU598" s="656" t="str">
        <f>Select_naics2022[[#This Row],[2022 NAICS Title]]</f>
        <v xml:space="preserve">Gasoline Stations with Convenience Stores </v>
      </c>
    </row>
    <row r="599" spans="44:47" x14ac:dyDescent="0.25">
      <c r="AR599" s="656" t="str">
        <f>Select_naics2022[[#This Row],[2022 NAICS Code]]&amp;":  "&amp;Select_naics2022[[#This Row],[2022 NAICS Title]]</f>
        <v xml:space="preserve">457120:  Other Gasoline Stations </v>
      </c>
      <c r="AS599" s="656">
        <v>457120</v>
      </c>
      <c r="AT599" s="656" t="s">
        <v>1239</v>
      </c>
      <c r="AU599" s="656" t="str">
        <f>Select_naics2022[[#This Row],[2022 NAICS Title]]</f>
        <v xml:space="preserve">Other Gasoline Stations </v>
      </c>
    </row>
    <row r="600" spans="44:47" x14ac:dyDescent="0.25">
      <c r="AR600" s="656" t="str">
        <f>Select_naics2022[[#This Row],[2022 NAICS Code]]&amp;":  "&amp;Select_naics2022[[#This Row],[2022 NAICS Title]]</f>
        <v xml:space="preserve">457210:  Fuel Dealers </v>
      </c>
      <c r="AS600" s="656">
        <v>457210</v>
      </c>
      <c r="AT600" s="656" t="s">
        <v>1240</v>
      </c>
      <c r="AU600" s="656" t="str">
        <f>Select_naics2022[[#This Row],[2022 NAICS Title]]</f>
        <v xml:space="preserve">Fuel Dealers </v>
      </c>
    </row>
    <row r="601" spans="44:47" x14ac:dyDescent="0.25">
      <c r="AR601" s="656" t="str">
        <f>Select_naics2022[[#This Row],[2022 NAICS Code]]&amp;":  "&amp;Select_naics2022[[#This Row],[2022 NAICS Title]]</f>
        <v xml:space="preserve">458110:  Clothing and Clothing Accessories Retailers </v>
      </c>
      <c r="AS601" s="656">
        <v>458110</v>
      </c>
      <c r="AT601" s="656" t="s">
        <v>1241</v>
      </c>
      <c r="AU601" s="656" t="str">
        <f>Select_naics2022[[#This Row],[2022 NAICS Title]]</f>
        <v xml:space="preserve">Clothing and Clothing Accessories Retailers </v>
      </c>
    </row>
    <row r="602" spans="44:47" x14ac:dyDescent="0.25">
      <c r="AR602" s="656" t="str">
        <f>Select_naics2022[[#This Row],[2022 NAICS Code]]&amp;":  "&amp;Select_naics2022[[#This Row],[2022 NAICS Title]]</f>
        <v xml:space="preserve">458210:  Shoe Retailers </v>
      </c>
      <c r="AS602" s="656">
        <v>458210</v>
      </c>
      <c r="AT602" s="656" t="s">
        <v>1242</v>
      </c>
      <c r="AU602" s="656" t="str">
        <f>Select_naics2022[[#This Row],[2022 NAICS Title]]</f>
        <v xml:space="preserve">Shoe Retailers </v>
      </c>
    </row>
    <row r="603" spans="44:47" x14ac:dyDescent="0.25">
      <c r="AR603" s="656" t="str">
        <f>Select_naics2022[[#This Row],[2022 NAICS Code]]&amp;":  "&amp;Select_naics2022[[#This Row],[2022 NAICS Title]]</f>
        <v xml:space="preserve">458310:  Jewelry Retailers </v>
      </c>
      <c r="AS603" s="656">
        <v>458310</v>
      </c>
      <c r="AT603" s="656" t="s">
        <v>1243</v>
      </c>
      <c r="AU603" s="656" t="str">
        <f>Select_naics2022[[#This Row],[2022 NAICS Title]]</f>
        <v xml:space="preserve">Jewelry Retailers </v>
      </c>
    </row>
    <row r="604" spans="44:47" x14ac:dyDescent="0.25">
      <c r="AR604" s="656" t="str">
        <f>Select_naics2022[[#This Row],[2022 NAICS Code]]&amp;":  "&amp;Select_naics2022[[#This Row],[2022 NAICS Title]]</f>
        <v xml:space="preserve">458320:  Luggage and Leather Goods Retailers </v>
      </c>
      <c r="AS604" s="656">
        <v>458320</v>
      </c>
      <c r="AT604" s="656" t="s">
        <v>1244</v>
      </c>
      <c r="AU604" s="656" t="str">
        <f>Select_naics2022[[#This Row],[2022 NAICS Title]]</f>
        <v xml:space="preserve">Luggage and Leather Goods Retailers </v>
      </c>
    </row>
    <row r="605" spans="44:47" x14ac:dyDescent="0.25">
      <c r="AR605" s="656" t="str">
        <f>Select_naics2022[[#This Row],[2022 NAICS Code]]&amp;":  "&amp;Select_naics2022[[#This Row],[2022 NAICS Title]]</f>
        <v xml:space="preserve">459110:  Sporting Goods Retailers </v>
      </c>
      <c r="AS605" s="656">
        <v>459110</v>
      </c>
      <c r="AT605" s="656" t="s">
        <v>1245</v>
      </c>
      <c r="AU605" s="656" t="str">
        <f>Select_naics2022[[#This Row],[2022 NAICS Title]]</f>
        <v xml:space="preserve">Sporting Goods Retailers </v>
      </c>
    </row>
    <row r="606" spans="44:47" x14ac:dyDescent="0.25">
      <c r="AR606" s="656" t="str">
        <f>Select_naics2022[[#This Row],[2022 NAICS Code]]&amp;":  "&amp;Select_naics2022[[#This Row],[2022 NAICS Title]]</f>
        <v xml:space="preserve">459120:  Hobby, Toy, and Game Retailers </v>
      </c>
      <c r="AS606" s="656">
        <v>459120</v>
      </c>
      <c r="AT606" s="656" t="s">
        <v>1246</v>
      </c>
      <c r="AU606" s="656" t="str">
        <f>Select_naics2022[[#This Row],[2022 NAICS Title]]</f>
        <v xml:space="preserve">Hobby, Toy, and Game Retailers </v>
      </c>
    </row>
    <row r="607" spans="44:47" x14ac:dyDescent="0.25">
      <c r="AR607" s="656" t="str">
        <f>Select_naics2022[[#This Row],[2022 NAICS Code]]&amp;":  "&amp;Select_naics2022[[#This Row],[2022 NAICS Title]]</f>
        <v xml:space="preserve">459130:  Sewing, Needlework, and Piece Goods Retailers </v>
      </c>
      <c r="AS607" s="656">
        <v>459130</v>
      </c>
      <c r="AT607" s="656" t="s">
        <v>1247</v>
      </c>
      <c r="AU607" s="656" t="str">
        <f>Select_naics2022[[#This Row],[2022 NAICS Title]]</f>
        <v xml:space="preserve">Sewing, Needlework, and Piece Goods Retailers </v>
      </c>
    </row>
    <row r="608" spans="44:47" x14ac:dyDescent="0.25">
      <c r="AR608" s="656" t="str">
        <f>Select_naics2022[[#This Row],[2022 NAICS Code]]&amp;":  "&amp;Select_naics2022[[#This Row],[2022 NAICS Title]]</f>
        <v xml:space="preserve">459140:  Musical Instrument and Supplies Retailers </v>
      </c>
      <c r="AS608" s="656">
        <v>459140</v>
      </c>
      <c r="AT608" s="656" t="s">
        <v>1248</v>
      </c>
      <c r="AU608" s="656" t="str">
        <f>Select_naics2022[[#This Row],[2022 NAICS Title]]</f>
        <v xml:space="preserve">Musical Instrument and Supplies Retailers </v>
      </c>
    </row>
    <row r="609" spans="44:47" x14ac:dyDescent="0.25">
      <c r="AR609" s="656" t="str">
        <f>Select_naics2022[[#This Row],[2022 NAICS Code]]&amp;":  "&amp;Select_naics2022[[#This Row],[2022 NAICS Title]]</f>
        <v xml:space="preserve">459210:  Book Retailers and News Dealers </v>
      </c>
      <c r="AS609" s="656">
        <v>459210</v>
      </c>
      <c r="AT609" s="656" t="s">
        <v>1249</v>
      </c>
      <c r="AU609" s="656" t="str">
        <f>Select_naics2022[[#This Row],[2022 NAICS Title]]</f>
        <v xml:space="preserve">Book Retailers and News Dealers </v>
      </c>
    </row>
    <row r="610" spans="44:47" x14ac:dyDescent="0.25">
      <c r="AR610" s="656" t="str">
        <f>Select_naics2022[[#This Row],[2022 NAICS Code]]&amp;":  "&amp;Select_naics2022[[#This Row],[2022 NAICS Title]]</f>
        <v xml:space="preserve">459310:  Florists </v>
      </c>
      <c r="AS610" s="656">
        <v>459310</v>
      </c>
      <c r="AT610" s="656" t="s">
        <v>1250</v>
      </c>
      <c r="AU610" s="656" t="str">
        <f>Select_naics2022[[#This Row],[2022 NAICS Title]]</f>
        <v xml:space="preserve">Florists </v>
      </c>
    </row>
    <row r="611" spans="44:47" x14ac:dyDescent="0.25">
      <c r="AR611" s="656" t="str">
        <f>Select_naics2022[[#This Row],[2022 NAICS Code]]&amp;":  "&amp;Select_naics2022[[#This Row],[2022 NAICS Title]]</f>
        <v xml:space="preserve">459410:  Office Supplies and Stationery Retailers </v>
      </c>
      <c r="AS611" s="656">
        <v>459410</v>
      </c>
      <c r="AT611" s="656" t="s">
        <v>1251</v>
      </c>
      <c r="AU611" s="656" t="str">
        <f>Select_naics2022[[#This Row],[2022 NAICS Title]]</f>
        <v xml:space="preserve">Office Supplies and Stationery Retailers </v>
      </c>
    </row>
    <row r="612" spans="44:47" x14ac:dyDescent="0.25">
      <c r="AR612" s="656" t="str">
        <f>Select_naics2022[[#This Row],[2022 NAICS Code]]&amp;":  "&amp;Select_naics2022[[#This Row],[2022 NAICS Title]]</f>
        <v xml:space="preserve">459420:  Gift, Novelty, and Souvenir Retailers </v>
      </c>
      <c r="AS612" s="656">
        <v>459420</v>
      </c>
      <c r="AT612" s="656" t="s">
        <v>1252</v>
      </c>
      <c r="AU612" s="656" t="str">
        <f>Select_naics2022[[#This Row],[2022 NAICS Title]]</f>
        <v xml:space="preserve">Gift, Novelty, and Souvenir Retailers </v>
      </c>
    </row>
    <row r="613" spans="44:47" x14ac:dyDescent="0.25">
      <c r="AR613" s="656" t="str">
        <f>Select_naics2022[[#This Row],[2022 NAICS Code]]&amp;":  "&amp;Select_naics2022[[#This Row],[2022 NAICS Title]]</f>
        <v xml:space="preserve">459510:  Used Merchandise Retailers </v>
      </c>
      <c r="AS613" s="656">
        <v>459510</v>
      </c>
      <c r="AT613" s="656" t="s">
        <v>1253</v>
      </c>
      <c r="AU613" s="656" t="str">
        <f>Select_naics2022[[#This Row],[2022 NAICS Title]]</f>
        <v xml:space="preserve">Used Merchandise Retailers </v>
      </c>
    </row>
    <row r="614" spans="44:47" x14ac:dyDescent="0.25">
      <c r="AR614" s="656" t="str">
        <f>Select_naics2022[[#This Row],[2022 NAICS Code]]&amp;":  "&amp;Select_naics2022[[#This Row],[2022 NAICS Title]]</f>
        <v xml:space="preserve">459910:  Pet and Pet Supplies Retailers </v>
      </c>
      <c r="AS614" s="656">
        <v>459910</v>
      </c>
      <c r="AT614" s="656" t="s">
        <v>1254</v>
      </c>
      <c r="AU614" s="656" t="str">
        <f>Select_naics2022[[#This Row],[2022 NAICS Title]]</f>
        <v xml:space="preserve">Pet and Pet Supplies Retailers </v>
      </c>
    </row>
    <row r="615" spans="44:47" x14ac:dyDescent="0.25">
      <c r="AR615" s="656" t="str">
        <f>Select_naics2022[[#This Row],[2022 NAICS Code]]&amp;":  "&amp;Select_naics2022[[#This Row],[2022 NAICS Title]]</f>
        <v xml:space="preserve">459920:  Art Dealers </v>
      </c>
      <c r="AS615" s="656">
        <v>459920</v>
      </c>
      <c r="AT615" s="656" t="s">
        <v>1255</v>
      </c>
      <c r="AU615" s="656" t="str">
        <f>Select_naics2022[[#This Row],[2022 NAICS Title]]</f>
        <v xml:space="preserve">Art Dealers </v>
      </c>
    </row>
    <row r="616" spans="44:47" x14ac:dyDescent="0.25">
      <c r="AR616" s="656" t="str">
        <f>Select_naics2022[[#This Row],[2022 NAICS Code]]&amp;":  "&amp;Select_naics2022[[#This Row],[2022 NAICS Title]]</f>
        <v xml:space="preserve">459930:  Manufactured (Mobile) Home Dealers </v>
      </c>
      <c r="AS616" s="656">
        <v>459930</v>
      </c>
      <c r="AT616" s="656" t="s">
        <v>1256</v>
      </c>
      <c r="AU616" s="656" t="str">
        <f>Select_naics2022[[#This Row],[2022 NAICS Title]]</f>
        <v xml:space="preserve">Manufactured (Mobile) Home Dealers </v>
      </c>
    </row>
    <row r="617" spans="44:47" x14ac:dyDescent="0.25">
      <c r="AR617" s="656" t="str">
        <f>Select_naics2022[[#This Row],[2022 NAICS Code]]&amp;":  "&amp;Select_naics2022[[#This Row],[2022 NAICS Title]]</f>
        <v xml:space="preserve">459991:  Tobacco, Electronic Cigarette, and Other Smoking Supplies Retailers </v>
      </c>
      <c r="AS617" s="656">
        <v>459991</v>
      </c>
      <c r="AT617" s="656" t="s">
        <v>1257</v>
      </c>
      <c r="AU617" s="656" t="str">
        <f>Select_naics2022[[#This Row],[2022 NAICS Title]]</f>
        <v xml:space="preserve">Tobacco, Electronic Cigarette, and Other Smoking Supplies Retailers </v>
      </c>
    </row>
    <row r="618" spans="44:47" x14ac:dyDescent="0.25">
      <c r="AR618" s="656" t="str">
        <f>Select_naics2022[[#This Row],[2022 NAICS Code]]&amp;":  "&amp;Select_naics2022[[#This Row],[2022 NAICS Title]]</f>
        <v xml:space="preserve">459999:  All Other Miscellaneous Retailers </v>
      </c>
      <c r="AS618" s="656">
        <v>459999</v>
      </c>
      <c r="AT618" s="656" t="s">
        <v>1258</v>
      </c>
      <c r="AU618" s="656" t="str">
        <f>Select_naics2022[[#This Row],[2022 NAICS Title]]</f>
        <v xml:space="preserve">All Other Miscellaneous Retailers </v>
      </c>
    </row>
    <row r="619" spans="44:47" x14ac:dyDescent="0.25">
      <c r="AR619" s="656" t="str">
        <f>Select_naics2022[[#This Row],[2022 NAICS Code]]&amp;":  "&amp;Select_naics2022[[#This Row],[2022 NAICS Title]]</f>
        <v xml:space="preserve">481111:  Scheduled Passenger Air Transportation </v>
      </c>
      <c r="AS619" s="656">
        <v>481111</v>
      </c>
      <c r="AT619" s="656" t="s">
        <v>1259</v>
      </c>
      <c r="AU619" s="656" t="str">
        <f>Select_naics2022[[#This Row],[2022 NAICS Title]]</f>
        <v xml:space="preserve">Scheduled Passenger Air Transportation </v>
      </c>
    </row>
    <row r="620" spans="44:47" x14ac:dyDescent="0.25">
      <c r="AR620" s="656" t="str">
        <f>Select_naics2022[[#This Row],[2022 NAICS Code]]&amp;":  "&amp;Select_naics2022[[#This Row],[2022 NAICS Title]]</f>
        <v xml:space="preserve">481112:  Scheduled Freight Air Transportation </v>
      </c>
      <c r="AS620" s="656">
        <v>481112</v>
      </c>
      <c r="AT620" s="656" t="s">
        <v>1260</v>
      </c>
      <c r="AU620" s="656" t="str">
        <f>Select_naics2022[[#This Row],[2022 NAICS Title]]</f>
        <v xml:space="preserve">Scheduled Freight Air Transportation </v>
      </c>
    </row>
    <row r="621" spans="44:47" x14ac:dyDescent="0.25">
      <c r="AR621" s="656" t="str">
        <f>Select_naics2022[[#This Row],[2022 NAICS Code]]&amp;":  "&amp;Select_naics2022[[#This Row],[2022 NAICS Title]]</f>
        <v xml:space="preserve">481211:  Nonscheduled Chartered Passenger Air Transportation </v>
      </c>
      <c r="AS621" s="656">
        <v>481211</v>
      </c>
      <c r="AT621" s="656" t="s">
        <v>1261</v>
      </c>
      <c r="AU621" s="656" t="str">
        <f>Select_naics2022[[#This Row],[2022 NAICS Title]]</f>
        <v xml:space="preserve">Nonscheduled Chartered Passenger Air Transportation </v>
      </c>
    </row>
    <row r="622" spans="44:47" x14ac:dyDescent="0.25">
      <c r="AR622" s="656" t="str">
        <f>Select_naics2022[[#This Row],[2022 NAICS Code]]&amp;":  "&amp;Select_naics2022[[#This Row],[2022 NAICS Title]]</f>
        <v xml:space="preserve">481212:  Nonscheduled Chartered Freight Air Transportation </v>
      </c>
      <c r="AS622" s="656">
        <v>481212</v>
      </c>
      <c r="AT622" s="656" t="s">
        <v>1262</v>
      </c>
      <c r="AU622" s="656" t="str">
        <f>Select_naics2022[[#This Row],[2022 NAICS Title]]</f>
        <v xml:space="preserve">Nonscheduled Chartered Freight Air Transportation </v>
      </c>
    </row>
    <row r="623" spans="44:47" x14ac:dyDescent="0.25">
      <c r="AR623" s="656" t="str">
        <f>Select_naics2022[[#This Row],[2022 NAICS Code]]&amp;":  "&amp;Select_naics2022[[#This Row],[2022 NAICS Title]]</f>
        <v xml:space="preserve">481219:  Other Nonscheduled Air Transportation </v>
      </c>
      <c r="AS623" s="656">
        <v>481219</v>
      </c>
      <c r="AT623" s="656" t="s">
        <v>1263</v>
      </c>
      <c r="AU623" s="656" t="str">
        <f>Select_naics2022[[#This Row],[2022 NAICS Title]]</f>
        <v xml:space="preserve">Other Nonscheduled Air Transportation </v>
      </c>
    </row>
    <row r="624" spans="44:47" x14ac:dyDescent="0.25">
      <c r="AR624" s="656" t="str">
        <f>Select_naics2022[[#This Row],[2022 NAICS Code]]&amp;":  "&amp;Select_naics2022[[#This Row],[2022 NAICS Title]]</f>
        <v xml:space="preserve">482111:  Line-Haul Railroads </v>
      </c>
      <c r="AS624" s="656">
        <v>482111</v>
      </c>
      <c r="AT624" s="656" t="s">
        <v>1264</v>
      </c>
      <c r="AU624" s="656" t="str">
        <f>Select_naics2022[[#This Row],[2022 NAICS Title]]</f>
        <v xml:space="preserve">Line-Haul Railroads </v>
      </c>
    </row>
    <row r="625" spans="44:47" x14ac:dyDescent="0.25">
      <c r="AR625" s="656" t="str">
        <f>Select_naics2022[[#This Row],[2022 NAICS Code]]&amp;":  "&amp;Select_naics2022[[#This Row],[2022 NAICS Title]]</f>
        <v xml:space="preserve">482112:  Short Line Railroads </v>
      </c>
      <c r="AS625" s="656">
        <v>482112</v>
      </c>
      <c r="AT625" s="656" t="s">
        <v>1265</v>
      </c>
      <c r="AU625" s="656" t="str">
        <f>Select_naics2022[[#This Row],[2022 NAICS Title]]</f>
        <v xml:space="preserve">Short Line Railroads </v>
      </c>
    </row>
    <row r="626" spans="44:47" x14ac:dyDescent="0.25">
      <c r="AR626" s="656" t="str">
        <f>Select_naics2022[[#This Row],[2022 NAICS Code]]&amp;":  "&amp;Select_naics2022[[#This Row],[2022 NAICS Title]]</f>
        <v xml:space="preserve">483111:  Deep Sea Freight Transportation </v>
      </c>
      <c r="AS626" s="656">
        <v>483111</v>
      </c>
      <c r="AT626" s="656" t="s">
        <v>1266</v>
      </c>
      <c r="AU626" s="656" t="str">
        <f>Select_naics2022[[#This Row],[2022 NAICS Title]]</f>
        <v xml:space="preserve">Deep Sea Freight Transportation </v>
      </c>
    </row>
    <row r="627" spans="44:47" x14ac:dyDescent="0.25">
      <c r="AR627" s="656" t="str">
        <f>Select_naics2022[[#This Row],[2022 NAICS Code]]&amp;":  "&amp;Select_naics2022[[#This Row],[2022 NAICS Title]]</f>
        <v xml:space="preserve">483112:  Deep Sea Passenger Transportation </v>
      </c>
      <c r="AS627" s="656">
        <v>483112</v>
      </c>
      <c r="AT627" s="656" t="s">
        <v>1267</v>
      </c>
      <c r="AU627" s="656" t="str">
        <f>Select_naics2022[[#This Row],[2022 NAICS Title]]</f>
        <v xml:space="preserve">Deep Sea Passenger Transportation </v>
      </c>
    </row>
    <row r="628" spans="44:47" x14ac:dyDescent="0.25">
      <c r="AR628" s="656" t="str">
        <f>Select_naics2022[[#This Row],[2022 NAICS Code]]&amp;":  "&amp;Select_naics2022[[#This Row],[2022 NAICS Title]]</f>
        <v xml:space="preserve">483113:  Coastal and Great Lakes Freight Transportation </v>
      </c>
      <c r="AS628" s="656">
        <v>483113</v>
      </c>
      <c r="AT628" s="656" t="s">
        <v>1268</v>
      </c>
      <c r="AU628" s="656" t="str">
        <f>Select_naics2022[[#This Row],[2022 NAICS Title]]</f>
        <v xml:space="preserve">Coastal and Great Lakes Freight Transportation </v>
      </c>
    </row>
    <row r="629" spans="44:47" x14ac:dyDescent="0.25">
      <c r="AR629" s="656" t="str">
        <f>Select_naics2022[[#This Row],[2022 NAICS Code]]&amp;":  "&amp;Select_naics2022[[#This Row],[2022 NAICS Title]]</f>
        <v xml:space="preserve">483114:  Coastal and Great Lakes Passenger Transportation </v>
      </c>
      <c r="AS629" s="656">
        <v>483114</v>
      </c>
      <c r="AT629" s="656" t="s">
        <v>1269</v>
      </c>
      <c r="AU629" s="656" t="str">
        <f>Select_naics2022[[#This Row],[2022 NAICS Title]]</f>
        <v xml:space="preserve">Coastal and Great Lakes Passenger Transportation </v>
      </c>
    </row>
    <row r="630" spans="44:47" x14ac:dyDescent="0.25">
      <c r="AR630" s="656" t="str">
        <f>Select_naics2022[[#This Row],[2022 NAICS Code]]&amp;":  "&amp;Select_naics2022[[#This Row],[2022 NAICS Title]]</f>
        <v xml:space="preserve">483211:  Inland Water Freight Transportation </v>
      </c>
      <c r="AS630" s="656">
        <v>483211</v>
      </c>
      <c r="AT630" s="656" t="s">
        <v>1270</v>
      </c>
      <c r="AU630" s="656" t="str">
        <f>Select_naics2022[[#This Row],[2022 NAICS Title]]</f>
        <v xml:space="preserve">Inland Water Freight Transportation </v>
      </c>
    </row>
    <row r="631" spans="44:47" x14ac:dyDescent="0.25">
      <c r="AR631" s="656" t="str">
        <f>Select_naics2022[[#This Row],[2022 NAICS Code]]&amp;":  "&amp;Select_naics2022[[#This Row],[2022 NAICS Title]]</f>
        <v xml:space="preserve">483212:  Inland Water Passenger Transportation </v>
      </c>
      <c r="AS631" s="656">
        <v>483212</v>
      </c>
      <c r="AT631" s="656" t="s">
        <v>1271</v>
      </c>
      <c r="AU631" s="656" t="str">
        <f>Select_naics2022[[#This Row],[2022 NAICS Title]]</f>
        <v xml:space="preserve">Inland Water Passenger Transportation </v>
      </c>
    </row>
    <row r="632" spans="44:47" x14ac:dyDescent="0.25">
      <c r="AR632" s="656" t="str">
        <f>Select_naics2022[[#This Row],[2022 NAICS Code]]&amp;":  "&amp;Select_naics2022[[#This Row],[2022 NAICS Title]]</f>
        <v xml:space="preserve">484110:  General Freight Trucking, Local </v>
      </c>
      <c r="AS632" s="656">
        <v>484110</v>
      </c>
      <c r="AT632" s="656" t="s">
        <v>1272</v>
      </c>
      <c r="AU632" s="656" t="str">
        <f>Select_naics2022[[#This Row],[2022 NAICS Title]]</f>
        <v xml:space="preserve">General Freight Trucking, Local </v>
      </c>
    </row>
    <row r="633" spans="44:47" x14ac:dyDescent="0.25">
      <c r="AR633" s="656" t="str">
        <f>Select_naics2022[[#This Row],[2022 NAICS Code]]&amp;":  "&amp;Select_naics2022[[#This Row],[2022 NAICS Title]]</f>
        <v xml:space="preserve">484121:  General Freight Trucking, Long-Distance, Truckload </v>
      </c>
      <c r="AS633" s="656">
        <v>484121</v>
      </c>
      <c r="AT633" s="656" t="s">
        <v>1273</v>
      </c>
      <c r="AU633" s="656" t="str">
        <f>Select_naics2022[[#This Row],[2022 NAICS Title]]</f>
        <v xml:space="preserve">General Freight Trucking, Long-Distance, Truckload </v>
      </c>
    </row>
    <row r="634" spans="44:47" x14ac:dyDescent="0.25">
      <c r="AR634" s="656" t="str">
        <f>Select_naics2022[[#This Row],[2022 NAICS Code]]&amp;":  "&amp;Select_naics2022[[#This Row],[2022 NAICS Title]]</f>
        <v xml:space="preserve">484122:  General Freight Trucking, Long-Distance, Less Than Truckload </v>
      </c>
      <c r="AS634" s="656">
        <v>484122</v>
      </c>
      <c r="AT634" s="656" t="s">
        <v>1274</v>
      </c>
      <c r="AU634" s="656" t="str">
        <f>Select_naics2022[[#This Row],[2022 NAICS Title]]</f>
        <v xml:space="preserve">General Freight Trucking, Long-Distance, Less Than Truckload </v>
      </c>
    </row>
    <row r="635" spans="44:47" x14ac:dyDescent="0.25">
      <c r="AR635" s="656" t="str">
        <f>Select_naics2022[[#This Row],[2022 NAICS Code]]&amp;":  "&amp;Select_naics2022[[#This Row],[2022 NAICS Title]]</f>
        <v>484210:  Used Household and Office Goods Moving</v>
      </c>
      <c r="AS635" s="656">
        <v>484210</v>
      </c>
      <c r="AT635" s="656" t="s">
        <v>1275</v>
      </c>
      <c r="AU635" s="656" t="str">
        <f>Select_naics2022[[#This Row],[2022 NAICS Title]]</f>
        <v>Used Household and Office Goods Moving</v>
      </c>
    </row>
    <row r="636" spans="44:47" x14ac:dyDescent="0.25">
      <c r="AR636" s="656" t="str">
        <f>Select_naics2022[[#This Row],[2022 NAICS Code]]&amp;":  "&amp;Select_naics2022[[#This Row],[2022 NAICS Title]]</f>
        <v xml:space="preserve">484220:  Specialized Freight (except Used Goods) Trucking, Local </v>
      </c>
      <c r="AS636" s="656">
        <v>484220</v>
      </c>
      <c r="AT636" s="656" t="s">
        <v>1276</v>
      </c>
      <c r="AU636" s="656" t="str">
        <f>Select_naics2022[[#This Row],[2022 NAICS Title]]</f>
        <v xml:space="preserve">Specialized Freight (except Used Goods) Trucking, Local </v>
      </c>
    </row>
    <row r="637" spans="44:47" x14ac:dyDescent="0.25">
      <c r="AR637" s="656" t="str">
        <f>Select_naics2022[[#This Row],[2022 NAICS Code]]&amp;":  "&amp;Select_naics2022[[#This Row],[2022 NAICS Title]]</f>
        <v xml:space="preserve">484230:  Specialized Freight (except Used Goods) Trucking, Long-Distance </v>
      </c>
      <c r="AS637" s="656">
        <v>484230</v>
      </c>
      <c r="AT637" s="656" t="s">
        <v>1277</v>
      </c>
      <c r="AU637" s="656" t="str">
        <f>Select_naics2022[[#This Row],[2022 NAICS Title]]</f>
        <v xml:space="preserve">Specialized Freight (except Used Goods) Trucking, Long-Distance </v>
      </c>
    </row>
    <row r="638" spans="44:47" x14ac:dyDescent="0.25">
      <c r="AR638" s="656" t="str">
        <f>Select_naics2022[[#This Row],[2022 NAICS Code]]&amp;":  "&amp;Select_naics2022[[#This Row],[2022 NAICS Title]]</f>
        <v xml:space="preserve">485111:  Mixed Mode Transit Systems </v>
      </c>
      <c r="AS638" s="656">
        <v>485111</v>
      </c>
      <c r="AT638" s="656" t="s">
        <v>1278</v>
      </c>
      <c r="AU638" s="656" t="str">
        <f>Select_naics2022[[#This Row],[2022 NAICS Title]]</f>
        <v xml:space="preserve">Mixed Mode Transit Systems </v>
      </c>
    </row>
    <row r="639" spans="44:47" x14ac:dyDescent="0.25">
      <c r="AR639" s="656" t="str">
        <f>Select_naics2022[[#This Row],[2022 NAICS Code]]&amp;":  "&amp;Select_naics2022[[#This Row],[2022 NAICS Title]]</f>
        <v xml:space="preserve">485112:  Commuter Rail Systems </v>
      </c>
      <c r="AS639" s="656">
        <v>485112</v>
      </c>
      <c r="AT639" s="656" t="s">
        <v>1279</v>
      </c>
      <c r="AU639" s="656" t="str">
        <f>Select_naics2022[[#This Row],[2022 NAICS Title]]</f>
        <v xml:space="preserve">Commuter Rail Systems </v>
      </c>
    </row>
    <row r="640" spans="44:47" x14ac:dyDescent="0.25">
      <c r="AR640" s="656" t="str">
        <f>Select_naics2022[[#This Row],[2022 NAICS Code]]&amp;":  "&amp;Select_naics2022[[#This Row],[2022 NAICS Title]]</f>
        <v xml:space="preserve">485113:  Bus and Other Motor Vehicle Transit Systems </v>
      </c>
      <c r="AS640" s="656">
        <v>485113</v>
      </c>
      <c r="AT640" s="656" t="s">
        <v>1280</v>
      </c>
      <c r="AU640" s="656" t="str">
        <f>Select_naics2022[[#This Row],[2022 NAICS Title]]</f>
        <v xml:space="preserve">Bus and Other Motor Vehicle Transit Systems </v>
      </c>
    </row>
    <row r="641" spans="44:47" x14ac:dyDescent="0.25">
      <c r="AR641" s="656" t="str">
        <f>Select_naics2022[[#This Row],[2022 NAICS Code]]&amp;":  "&amp;Select_naics2022[[#This Row],[2022 NAICS Title]]</f>
        <v xml:space="preserve">485119:  Other Urban Transit Systems </v>
      </c>
      <c r="AS641" s="656">
        <v>485119</v>
      </c>
      <c r="AT641" s="656" t="s">
        <v>1281</v>
      </c>
      <c r="AU641" s="656" t="str">
        <f>Select_naics2022[[#This Row],[2022 NAICS Title]]</f>
        <v xml:space="preserve">Other Urban Transit Systems </v>
      </c>
    </row>
    <row r="642" spans="44:47" x14ac:dyDescent="0.25">
      <c r="AR642" s="656" t="str">
        <f>Select_naics2022[[#This Row],[2022 NAICS Code]]&amp;":  "&amp;Select_naics2022[[#This Row],[2022 NAICS Title]]</f>
        <v>485210:  Interurban and Rural Bus Transportation</v>
      </c>
      <c r="AS642" s="656">
        <v>485210</v>
      </c>
      <c r="AT642" s="656" t="s">
        <v>1282</v>
      </c>
      <c r="AU642" s="656" t="str">
        <f>Select_naics2022[[#This Row],[2022 NAICS Title]]</f>
        <v>Interurban and Rural Bus Transportation</v>
      </c>
    </row>
    <row r="643" spans="44:47" x14ac:dyDescent="0.25">
      <c r="AR643" s="656" t="str">
        <f>Select_naics2022[[#This Row],[2022 NAICS Code]]&amp;":  "&amp;Select_naics2022[[#This Row],[2022 NAICS Title]]</f>
        <v xml:space="preserve">485310:  Taxi and Ridesharing Services </v>
      </c>
      <c r="AS643" s="656">
        <v>485310</v>
      </c>
      <c r="AT643" s="656" t="s">
        <v>1283</v>
      </c>
      <c r="AU643" s="656" t="str">
        <f>Select_naics2022[[#This Row],[2022 NAICS Title]]</f>
        <v xml:space="preserve">Taxi and Ridesharing Services </v>
      </c>
    </row>
    <row r="644" spans="44:47" x14ac:dyDescent="0.25">
      <c r="AR644" s="656" t="str">
        <f>Select_naics2022[[#This Row],[2022 NAICS Code]]&amp;":  "&amp;Select_naics2022[[#This Row],[2022 NAICS Title]]</f>
        <v>485320:  Limousine Service</v>
      </c>
      <c r="AS644" s="656">
        <v>485320</v>
      </c>
      <c r="AT644" s="656" t="s">
        <v>1284</v>
      </c>
      <c r="AU644" s="656" t="str">
        <f>Select_naics2022[[#This Row],[2022 NAICS Title]]</f>
        <v>Limousine Service</v>
      </c>
    </row>
    <row r="645" spans="44:47" x14ac:dyDescent="0.25">
      <c r="AR645" s="656" t="str">
        <f>Select_naics2022[[#This Row],[2022 NAICS Code]]&amp;":  "&amp;Select_naics2022[[#This Row],[2022 NAICS Title]]</f>
        <v>485410:  School and Employee Bus Transportation</v>
      </c>
      <c r="AS645" s="656">
        <v>485410</v>
      </c>
      <c r="AT645" s="656" t="s">
        <v>1285</v>
      </c>
      <c r="AU645" s="656" t="str">
        <f>Select_naics2022[[#This Row],[2022 NAICS Title]]</f>
        <v>School and Employee Bus Transportation</v>
      </c>
    </row>
    <row r="646" spans="44:47" x14ac:dyDescent="0.25">
      <c r="AR646" s="656" t="str">
        <f>Select_naics2022[[#This Row],[2022 NAICS Code]]&amp;":  "&amp;Select_naics2022[[#This Row],[2022 NAICS Title]]</f>
        <v>485510:  Charter Bus Industry</v>
      </c>
      <c r="AS646" s="656">
        <v>485510</v>
      </c>
      <c r="AT646" s="656" t="s">
        <v>1286</v>
      </c>
      <c r="AU646" s="656" t="str">
        <f>Select_naics2022[[#This Row],[2022 NAICS Title]]</f>
        <v>Charter Bus Industry</v>
      </c>
    </row>
    <row r="647" spans="44:47" x14ac:dyDescent="0.25">
      <c r="AR647" s="656" t="str">
        <f>Select_naics2022[[#This Row],[2022 NAICS Code]]&amp;":  "&amp;Select_naics2022[[#This Row],[2022 NAICS Title]]</f>
        <v xml:space="preserve">485991:  Special Needs Transportation </v>
      </c>
      <c r="AS647" s="656">
        <v>485991</v>
      </c>
      <c r="AT647" s="656" t="s">
        <v>1287</v>
      </c>
      <c r="AU647" s="656" t="str">
        <f>Select_naics2022[[#This Row],[2022 NAICS Title]]</f>
        <v xml:space="preserve">Special Needs Transportation </v>
      </c>
    </row>
    <row r="648" spans="44:47" x14ac:dyDescent="0.25">
      <c r="AR648" s="656" t="str">
        <f>Select_naics2022[[#This Row],[2022 NAICS Code]]&amp;":  "&amp;Select_naics2022[[#This Row],[2022 NAICS Title]]</f>
        <v xml:space="preserve">485999:  All Other Transit and Ground Passenger Transportation </v>
      </c>
      <c r="AS648" s="656">
        <v>485999</v>
      </c>
      <c r="AT648" s="656" t="s">
        <v>1288</v>
      </c>
      <c r="AU648" s="656" t="str">
        <f>Select_naics2022[[#This Row],[2022 NAICS Title]]</f>
        <v xml:space="preserve">All Other Transit and Ground Passenger Transportation </v>
      </c>
    </row>
    <row r="649" spans="44:47" x14ac:dyDescent="0.25">
      <c r="AR649" s="656" t="str">
        <f>Select_naics2022[[#This Row],[2022 NAICS Code]]&amp;":  "&amp;Select_naics2022[[#This Row],[2022 NAICS Title]]</f>
        <v>486110:  Pipeline Transportation of Crude Oil</v>
      </c>
      <c r="AS649" s="656">
        <v>486110</v>
      </c>
      <c r="AT649" s="656" t="s">
        <v>1289</v>
      </c>
      <c r="AU649" s="656" t="str">
        <f>Select_naics2022[[#This Row],[2022 NAICS Title]]</f>
        <v>Pipeline Transportation of Crude Oil</v>
      </c>
    </row>
    <row r="650" spans="44:47" x14ac:dyDescent="0.25">
      <c r="AR650" s="656" t="str">
        <f>Select_naics2022[[#This Row],[2022 NAICS Code]]&amp;":  "&amp;Select_naics2022[[#This Row],[2022 NAICS Title]]</f>
        <v>486210:  Pipeline Transportation of Natural Gas</v>
      </c>
      <c r="AS650" s="656">
        <v>486210</v>
      </c>
      <c r="AT650" s="656" t="s">
        <v>1290</v>
      </c>
      <c r="AU650" s="656" t="str">
        <f>Select_naics2022[[#This Row],[2022 NAICS Title]]</f>
        <v>Pipeline Transportation of Natural Gas</v>
      </c>
    </row>
    <row r="651" spans="44:47" x14ac:dyDescent="0.25">
      <c r="AR651" s="656" t="str">
        <f>Select_naics2022[[#This Row],[2022 NAICS Code]]&amp;":  "&amp;Select_naics2022[[#This Row],[2022 NAICS Title]]</f>
        <v>486910:  Pipeline Transportation of Refined Petroleum Products</v>
      </c>
      <c r="AS651" s="656">
        <v>486910</v>
      </c>
      <c r="AT651" s="656" t="s">
        <v>1291</v>
      </c>
      <c r="AU651" s="656" t="str">
        <f>Select_naics2022[[#This Row],[2022 NAICS Title]]</f>
        <v>Pipeline Transportation of Refined Petroleum Products</v>
      </c>
    </row>
    <row r="652" spans="44:47" x14ac:dyDescent="0.25">
      <c r="AR652" s="656" t="str">
        <f>Select_naics2022[[#This Row],[2022 NAICS Code]]&amp;":  "&amp;Select_naics2022[[#This Row],[2022 NAICS Title]]</f>
        <v>486990:  All Other Pipeline Transportation</v>
      </c>
      <c r="AS652" s="656">
        <v>486990</v>
      </c>
      <c r="AT652" s="656" t="s">
        <v>1292</v>
      </c>
      <c r="AU652" s="656" t="str">
        <f>Select_naics2022[[#This Row],[2022 NAICS Title]]</f>
        <v>All Other Pipeline Transportation</v>
      </c>
    </row>
    <row r="653" spans="44:47" x14ac:dyDescent="0.25">
      <c r="AR653" s="656" t="str">
        <f>Select_naics2022[[#This Row],[2022 NAICS Code]]&amp;":  "&amp;Select_naics2022[[#This Row],[2022 NAICS Title]]</f>
        <v>487110:  Scenic and Sightseeing Transportation, Land</v>
      </c>
      <c r="AS653" s="656">
        <v>487110</v>
      </c>
      <c r="AT653" s="656" t="s">
        <v>1293</v>
      </c>
      <c r="AU653" s="656" t="str">
        <f>Select_naics2022[[#This Row],[2022 NAICS Title]]</f>
        <v>Scenic and Sightseeing Transportation, Land</v>
      </c>
    </row>
    <row r="654" spans="44:47" x14ac:dyDescent="0.25">
      <c r="AR654" s="656" t="str">
        <f>Select_naics2022[[#This Row],[2022 NAICS Code]]&amp;":  "&amp;Select_naics2022[[#This Row],[2022 NAICS Title]]</f>
        <v>487210:  Scenic and Sightseeing Transportation, Water</v>
      </c>
      <c r="AS654" s="656">
        <v>487210</v>
      </c>
      <c r="AT654" s="656" t="s">
        <v>1294</v>
      </c>
      <c r="AU654" s="656" t="str">
        <f>Select_naics2022[[#This Row],[2022 NAICS Title]]</f>
        <v>Scenic and Sightseeing Transportation, Water</v>
      </c>
    </row>
    <row r="655" spans="44:47" x14ac:dyDescent="0.25">
      <c r="AR655" s="656" t="str">
        <f>Select_naics2022[[#This Row],[2022 NAICS Code]]&amp;":  "&amp;Select_naics2022[[#This Row],[2022 NAICS Title]]</f>
        <v>487990:  Scenic and Sightseeing Transportation, Other</v>
      </c>
      <c r="AS655" s="656">
        <v>487990</v>
      </c>
      <c r="AT655" s="656" t="s">
        <v>1295</v>
      </c>
      <c r="AU655" s="656" t="str">
        <f>Select_naics2022[[#This Row],[2022 NAICS Title]]</f>
        <v>Scenic and Sightseeing Transportation, Other</v>
      </c>
    </row>
    <row r="656" spans="44:47" x14ac:dyDescent="0.25">
      <c r="AR656" s="656" t="str">
        <f>Select_naics2022[[#This Row],[2022 NAICS Code]]&amp;":  "&amp;Select_naics2022[[#This Row],[2022 NAICS Title]]</f>
        <v>488111:  Air Traffic Control</v>
      </c>
      <c r="AS656" s="656">
        <v>488111</v>
      </c>
      <c r="AT656" s="656" t="s">
        <v>1296</v>
      </c>
      <c r="AU656" s="656" t="str">
        <f>Select_naics2022[[#This Row],[2022 NAICS Title]]</f>
        <v>Air Traffic Control</v>
      </c>
    </row>
    <row r="657" spans="44:47" x14ac:dyDescent="0.25">
      <c r="AR657" s="656" t="str">
        <f>Select_naics2022[[#This Row],[2022 NAICS Code]]&amp;":  "&amp;Select_naics2022[[#This Row],[2022 NAICS Title]]</f>
        <v xml:space="preserve">488119:  Other Airport Operations </v>
      </c>
      <c r="AS657" s="656">
        <v>488119</v>
      </c>
      <c r="AT657" s="656" t="s">
        <v>1297</v>
      </c>
      <c r="AU657" s="656" t="str">
        <f>Select_naics2022[[#This Row],[2022 NAICS Title]]</f>
        <v xml:space="preserve">Other Airport Operations </v>
      </c>
    </row>
    <row r="658" spans="44:47" x14ac:dyDescent="0.25">
      <c r="AR658" s="656" t="str">
        <f>Select_naics2022[[#This Row],[2022 NAICS Code]]&amp;":  "&amp;Select_naics2022[[#This Row],[2022 NAICS Title]]</f>
        <v>488190:  Other Support Activities for Air Transportation</v>
      </c>
      <c r="AS658" s="656">
        <v>488190</v>
      </c>
      <c r="AT658" s="656" t="s">
        <v>1298</v>
      </c>
      <c r="AU658" s="656" t="str">
        <f>Select_naics2022[[#This Row],[2022 NAICS Title]]</f>
        <v>Other Support Activities for Air Transportation</v>
      </c>
    </row>
    <row r="659" spans="44:47" x14ac:dyDescent="0.25">
      <c r="AR659" s="656" t="str">
        <f>Select_naics2022[[#This Row],[2022 NAICS Code]]&amp;":  "&amp;Select_naics2022[[#This Row],[2022 NAICS Title]]</f>
        <v>488210:  Support Activities for Rail Transportation</v>
      </c>
      <c r="AS659" s="656">
        <v>488210</v>
      </c>
      <c r="AT659" s="656" t="s">
        <v>1299</v>
      </c>
      <c r="AU659" s="656" t="str">
        <f>Select_naics2022[[#This Row],[2022 NAICS Title]]</f>
        <v>Support Activities for Rail Transportation</v>
      </c>
    </row>
    <row r="660" spans="44:47" x14ac:dyDescent="0.25">
      <c r="AR660" s="656" t="str">
        <f>Select_naics2022[[#This Row],[2022 NAICS Code]]&amp;":  "&amp;Select_naics2022[[#This Row],[2022 NAICS Title]]</f>
        <v>488310:  Port and Harbor Operations</v>
      </c>
      <c r="AS660" s="656">
        <v>488310</v>
      </c>
      <c r="AT660" s="656" t="s">
        <v>1300</v>
      </c>
      <c r="AU660" s="656" t="str">
        <f>Select_naics2022[[#This Row],[2022 NAICS Title]]</f>
        <v>Port and Harbor Operations</v>
      </c>
    </row>
    <row r="661" spans="44:47" x14ac:dyDescent="0.25">
      <c r="AR661" s="656" t="str">
        <f>Select_naics2022[[#This Row],[2022 NAICS Code]]&amp;":  "&amp;Select_naics2022[[#This Row],[2022 NAICS Title]]</f>
        <v>488320:  Marine Cargo Handling</v>
      </c>
      <c r="AS661" s="656">
        <v>488320</v>
      </c>
      <c r="AT661" s="656" t="s">
        <v>1301</v>
      </c>
      <c r="AU661" s="656" t="str">
        <f>Select_naics2022[[#This Row],[2022 NAICS Title]]</f>
        <v>Marine Cargo Handling</v>
      </c>
    </row>
    <row r="662" spans="44:47" x14ac:dyDescent="0.25">
      <c r="AR662" s="656" t="str">
        <f>Select_naics2022[[#This Row],[2022 NAICS Code]]&amp;":  "&amp;Select_naics2022[[#This Row],[2022 NAICS Title]]</f>
        <v xml:space="preserve">488330:  Navigational Services to Shipping </v>
      </c>
      <c r="AS662" s="656">
        <v>488330</v>
      </c>
      <c r="AT662" s="656" t="s">
        <v>1302</v>
      </c>
      <c r="AU662" s="656" t="str">
        <f>Select_naics2022[[#This Row],[2022 NAICS Title]]</f>
        <v xml:space="preserve">Navigational Services to Shipping </v>
      </c>
    </row>
    <row r="663" spans="44:47" x14ac:dyDescent="0.25">
      <c r="AR663" s="656" t="str">
        <f>Select_naics2022[[#This Row],[2022 NAICS Code]]&amp;":  "&amp;Select_naics2022[[#This Row],[2022 NAICS Title]]</f>
        <v>488390:  Other Support Activities for Water Transportation</v>
      </c>
      <c r="AS663" s="656">
        <v>488390</v>
      </c>
      <c r="AT663" s="656" t="s">
        <v>1303</v>
      </c>
      <c r="AU663" s="656" t="str">
        <f>Select_naics2022[[#This Row],[2022 NAICS Title]]</f>
        <v>Other Support Activities for Water Transportation</v>
      </c>
    </row>
    <row r="664" spans="44:47" x14ac:dyDescent="0.25">
      <c r="AR664" s="656" t="str">
        <f>Select_naics2022[[#This Row],[2022 NAICS Code]]&amp;":  "&amp;Select_naics2022[[#This Row],[2022 NAICS Title]]</f>
        <v>488410:  Motor Vehicle Towing</v>
      </c>
      <c r="AS664" s="656">
        <v>488410</v>
      </c>
      <c r="AT664" s="656" t="s">
        <v>1304</v>
      </c>
      <c r="AU664" s="656" t="str">
        <f>Select_naics2022[[#This Row],[2022 NAICS Title]]</f>
        <v>Motor Vehicle Towing</v>
      </c>
    </row>
    <row r="665" spans="44:47" x14ac:dyDescent="0.25">
      <c r="AR665" s="656" t="str">
        <f>Select_naics2022[[#This Row],[2022 NAICS Code]]&amp;":  "&amp;Select_naics2022[[#This Row],[2022 NAICS Title]]</f>
        <v xml:space="preserve">488490:  Other Support Activities for Road Transportation </v>
      </c>
      <c r="AS665" s="656">
        <v>488490</v>
      </c>
      <c r="AT665" s="656" t="s">
        <v>1305</v>
      </c>
      <c r="AU665" s="656" t="str">
        <f>Select_naics2022[[#This Row],[2022 NAICS Title]]</f>
        <v xml:space="preserve">Other Support Activities for Road Transportation </v>
      </c>
    </row>
    <row r="666" spans="44:47" x14ac:dyDescent="0.25">
      <c r="AR666" s="656" t="str">
        <f>Select_naics2022[[#This Row],[2022 NAICS Code]]&amp;":  "&amp;Select_naics2022[[#This Row],[2022 NAICS Title]]</f>
        <v xml:space="preserve">488510:  Freight Transportation Arrangement </v>
      </c>
      <c r="AS666" s="656">
        <v>488510</v>
      </c>
      <c r="AT666" s="656" t="s">
        <v>1306</v>
      </c>
      <c r="AU666" s="656" t="str">
        <f>Select_naics2022[[#This Row],[2022 NAICS Title]]</f>
        <v xml:space="preserve">Freight Transportation Arrangement </v>
      </c>
    </row>
    <row r="667" spans="44:47" x14ac:dyDescent="0.25">
      <c r="AR667" s="656" t="str">
        <f>Select_naics2022[[#This Row],[2022 NAICS Code]]&amp;":  "&amp;Select_naics2022[[#This Row],[2022 NAICS Title]]</f>
        <v xml:space="preserve">488991:  Packing and Crating </v>
      </c>
      <c r="AS667" s="656">
        <v>488991</v>
      </c>
      <c r="AT667" s="656" t="s">
        <v>1307</v>
      </c>
      <c r="AU667" s="656" t="str">
        <f>Select_naics2022[[#This Row],[2022 NAICS Title]]</f>
        <v xml:space="preserve">Packing and Crating </v>
      </c>
    </row>
    <row r="668" spans="44:47" x14ac:dyDescent="0.25">
      <c r="AR668" s="656" t="str">
        <f>Select_naics2022[[#This Row],[2022 NAICS Code]]&amp;":  "&amp;Select_naics2022[[#This Row],[2022 NAICS Title]]</f>
        <v xml:space="preserve">488999:  All Other Support Activities for Transportation </v>
      </c>
      <c r="AS668" s="656">
        <v>488999</v>
      </c>
      <c r="AT668" s="656" t="s">
        <v>1308</v>
      </c>
      <c r="AU668" s="656" t="str">
        <f>Select_naics2022[[#This Row],[2022 NAICS Title]]</f>
        <v xml:space="preserve">All Other Support Activities for Transportation </v>
      </c>
    </row>
    <row r="669" spans="44:47" x14ac:dyDescent="0.25">
      <c r="AR669" s="656" t="str">
        <f>Select_naics2022[[#This Row],[2022 NAICS Code]]&amp;":  "&amp;Select_naics2022[[#This Row],[2022 NAICS Title]]</f>
        <v>491110:  Postal Service</v>
      </c>
      <c r="AS669" s="656">
        <v>491110</v>
      </c>
      <c r="AT669" s="656" t="s">
        <v>1309</v>
      </c>
      <c r="AU669" s="656" t="str">
        <f>Select_naics2022[[#This Row],[2022 NAICS Title]]</f>
        <v>Postal Service</v>
      </c>
    </row>
    <row r="670" spans="44:47" x14ac:dyDescent="0.25">
      <c r="AR670" s="656" t="str">
        <f>Select_naics2022[[#This Row],[2022 NAICS Code]]&amp;":  "&amp;Select_naics2022[[#This Row],[2022 NAICS Title]]</f>
        <v>492110:  Couriers and Express Delivery Services</v>
      </c>
      <c r="AS670" s="656">
        <v>492110</v>
      </c>
      <c r="AT670" s="656" t="s">
        <v>1310</v>
      </c>
      <c r="AU670" s="656" t="str">
        <f>Select_naics2022[[#This Row],[2022 NAICS Title]]</f>
        <v>Couriers and Express Delivery Services</v>
      </c>
    </row>
    <row r="671" spans="44:47" x14ac:dyDescent="0.25">
      <c r="AR671" s="656" t="str">
        <f>Select_naics2022[[#This Row],[2022 NAICS Code]]&amp;":  "&amp;Select_naics2022[[#This Row],[2022 NAICS Title]]</f>
        <v>492210:  Local Messengers and Local Delivery</v>
      </c>
      <c r="AS671" s="656">
        <v>492210</v>
      </c>
      <c r="AT671" s="656" t="s">
        <v>1311</v>
      </c>
      <c r="AU671" s="656" t="str">
        <f>Select_naics2022[[#This Row],[2022 NAICS Title]]</f>
        <v>Local Messengers and Local Delivery</v>
      </c>
    </row>
    <row r="672" spans="44:47" x14ac:dyDescent="0.25">
      <c r="AR672" s="656" t="str">
        <f>Select_naics2022[[#This Row],[2022 NAICS Code]]&amp;":  "&amp;Select_naics2022[[#This Row],[2022 NAICS Title]]</f>
        <v xml:space="preserve">493110:  General Warehousing and Storage </v>
      </c>
      <c r="AS672" s="656">
        <v>493110</v>
      </c>
      <c r="AT672" s="656" t="s">
        <v>1312</v>
      </c>
      <c r="AU672" s="656" t="str">
        <f>Select_naics2022[[#This Row],[2022 NAICS Title]]</f>
        <v xml:space="preserve">General Warehousing and Storage </v>
      </c>
    </row>
    <row r="673" spans="44:47" x14ac:dyDescent="0.25">
      <c r="AR673" s="656" t="str">
        <f>Select_naics2022[[#This Row],[2022 NAICS Code]]&amp;":  "&amp;Select_naics2022[[#This Row],[2022 NAICS Title]]</f>
        <v>493120:  Refrigerated Warehousing and Storage</v>
      </c>
      <c r="AS673" s="656">
        <v>493120</v>
      </c>
      <c r="AT673" s="656" t="s">
        <v>1313</v>
      </c>
      <c r="AU673" s="656" t="str">
        <f>Select_naics2022[[#This Row],[2022 NAICS Title]]</f>
        <v>Refrigerated Warehousing and Storage</v>
      </c>
    </row>
    <row r="674" spans="44:47" x14ac:dyDescent="0.25">
      <c r="AR674" s="656" t="str">
        <f>Select_naics2022[[#This Row],[2022 NAICS Code]]&amp;":  "&amp;Select_naics2022[[#This Row],[2022 NAICS Title]]</f>
        <v>493130:  Farm Product Warehousing and Storage</v>
      </c>
      <c r="AS674" s="656">
        <v>493130</v>
      </c>
      <c r="AT674" s="656" t="s">
        <v>1314</v>
      </c>
      <c r="AU674" s="656" t="str">
        <f>Select_naics2022[[#This Row],[2022 NAICS Title]]</f>
        <v>Farm Product Warehousing and Storage</v>
      </c>
    </row>
    <row r="675" spans="44:47" x14ac:dyDescent="0.25">
      <c r="AR675" s="656" t="str">
        <f>Select_naics2022[[#This Row],[2022 NAICS Code]]&amp;":  "&amp;Select_naics2022[[#This Row],[2022 NAICS Title]]</f>
        <v>493190:  Other Warehousing and Storage</v>
      </c>
      <c r="AS675" s="656">
        <v>493190</v>
      </c>
      <c r="AT675" s="656" t="s">
        <v>1315</v>
      </c>
      <c r="AU675" s="656" t="str">
        <f>Select_naics2022[[#This Row],[2022 NAICS Title]]</f>
        <v>Other Warehousing and Storage</v>
      </c>
    </row>
    <row r="676" spans="44:47" x14ac:dyDescent="0.25">
      <c r="AR676" s="656" t="str">
        <f>Select_naics2022[[#This Row],[2022 NAICS Code]]&amp;":  "&amp;Select_naics2022[[#This Row],[2022 NAICS Title]]</f>
        <v xml:space="preserve">512110:  Motion Picture and Video Production </v>
      </c>
      <c r="AS676" s="656">
        <v>512110</v>
      </c>
      <c r="AT676" s="656" t="s">
        <v>1316</v>
      </c>
      <c r="AU676" s="656" t="str">
        <f>Select_naics2022[[#This Row],[2022 NAICS Title]]</f>
        <v xml:space="preserve">Motion Picture and Video Production </v>
      </c>
    </row>
    <row r="677" spans="44:47" x14ac:dyDescent="0.25">
      <c r="AR677" s="656" t="str">
        <f>Select_naics2022[[#This Row],[2022 NAICS Code]]&amp;":  "&amp;Select_naics2022[[#This Row],[2022 NAICS Title]]</f>
        <v>512120:  Motion Picture and Video Distribution</v>
      </c>
      <c r="AS677" s="656">
        <v>512120</v>
      </c>
      <c r="AT677" s="656" t="s">
        <v>1317</v>
      </c>
      <c r="AU677" s="656" t="str">
        <f>Select_naics2022[[#This Row],[2022 NAICS Title]]</f>
        <v>Motion Picture and Video Distribution</v>
      </c>
    </row>
    <row r="678" spans="44:47" x14ac:dyDescent="0.25">
      <c r="AR678" s="656" t="str">
        <f>Select_naics2022[[#This Row],[2022 NAICS Code]]&amp;":  "&amp;Select_naics2022[[#This Row],[2022 NAICS Title]]</f>
        <v xml:space="preserve">512131:  Motion Picture Theaters (except Drive-Ins) </v>
      </c>
      <c r="AS678" s="656">
        <v>512131</v>
      </c>
      <c r="AT678" s="656" t="s">
        <v>1318</v>
      </c>
      <c r="AU678" s="656" t="str">
        <f>Select_naics2022[[#This Row],[2022 NAICS Title]]</f>
        <v xml:space="preserve">Motion Picture Theaters (except Drive-Ins) </v>
      </c>
    </row>
    <row r="679" spans="44:47" x14ac:dyDescent="0.25">
      <c r="AR679" s="656" t="str">
        <f>Select_naics2022[[#This Row],[2022 NAICS Code]]&amp;":  "&amp;Select_naics2022[[#This Row],[2022 NAICS Title]]</f>
        <v xml:space="preserve">512132:  Drive-In Motion Picture Theaters </v>
      </c>
      <c r="AS679" s="656">
        <v>512132</v>
      </c>
      <c r="AT679" s="656" t="s">
        <v>1319</v>
      </c>
      <c r="AU679" s="656" t="str">
        <f>Select_naics2022[[#This Row],[2022 NAICS Title]]</f>
        <v xml:space="preserve">Drive-In Motion Picture Theaters </v>
      </c>
    </row>
    <row r="680" spans="44:47" x14ac:dyDescent="0.25">
      <c r="AR680" s="656" t="str">
        <f>Select_naics2022[[#This Row],[2022 NAICS Code]]&amp;":  "&amp;Select_naics2022[[#This Row],[2022 NAICS Title]]</f>
        <v xml:space="preserve">512191:  Teleproduction and Other Postproduction Services </v>
      </c>
      <c r="AS680" s="656">
        <v>512191</v>
      </c>
      <c r="AT680" s="656" t="s">
        <v>1320</v>
      </c>
      <c r="AU680" s="656" t="str">
        <f>Select_naics2022[[#This Row],[2022 NAICS Title]]</f>
        <v xml:space="preserve">Teleproduction and Other Postproduction Services </v>
      </c>
    </row>
    <row r="681" spans="44:47" x14ac:dyDescent="0.25">
      <c r="AR681" s="656" t="str">
        <f>Select_naics2022[[#This Row],[2022 NAICS Code]]&amp;":  "&amp;Select_naics2022[[#This Row],[2022 NAICS Title]]</f>
        <v xml:space="preserve">512199:  Other Motion Picture and Video Industries </v>
      </c>
      <c r="AS681" s="656">
        <v>512199</v>
      </c>
      <c r="AT681" s="656" t="s">
        <v>1321</v>
      </c>
      <c r="AU681" s="656" t="str">
        <f>Select_naics2022[[#This Row],[2022 NAICS Title]]</f>
        <v xml:space="preserve">Other Motion Picture and Video Industries </v>
      </c>
    </row>
    <row r="682" spans="44:47" x14ac:dyDescent="0.25">
      <c r="AR682" s="656" t="str">
        <f>Select_naics2022[[#This Row],[2022 NAICS Code]]&amp;":  "&amp;Select_naics2022[[#This Row],[2022 NAICS Title]]</f>
        <v>512230:  Music Publishers</v>
      </c>
      <c r="AS682" s="656">
        <v>512230</v>
      </c>
      <c r="AT682" s="656" t="s">
        <v>1322</v>
      </c>
      <c r="AU682" s="656" t="str">
        <f>Select_naics2022[[#This Row],[2022 NAICS Title]]</f>
        <v>Music Publishers</v>
      </c>
    </row>
    <row r="683" spans="44:47" x14ac:dyDescent="0.25">
      <c r="AR683" s="656" t="str">
        <f>Select_naics2022[[#This Row],[2022 NAICS Code]]&amp;":  "&amp;Select_naics2022[[#This Row],[2022 NAICS Title]]</f>
        <v>512240:  Sound Recording Studios</v>
      </c>
      <c r="AS683" s="656">
        <v>512240</v>
      </c>
      <c r="AT683" s="656" t="s">
        <v>1323</v>
      </c>
      <c r="AU683" s="656" t="str">
        <f>Select_naics2022[[#This Row],[2022 NAICS Title]]</f>
        <v>Sound Recording Studios</v>
      </c>
    </row>
    <row r="684" spans="44:47" x14ac:dyDescent="0.25">
      <c r="AR684" s="656" t="str">
        <f>Select_naics2022[[#This Row],[2022 NAICS Code]]&amp;":  "&amp;Select_naics2022[[#This Row],[2022 NAICS Title]]</f>
        <v>512250:  Record Production and Distribution</v>
      </c>
      <c r="AS684" s="656">
        <v>512250</v>
      </c>
      <c r="AT684" s="656" t="s">
        <v>1324</v>
      </c>
      <c r="AU684" s="656" t="str">
        <f>Select_naics2022[[#This Row],[2022 NAICS Title]]</f>
        <v>Record Production and Distribution</v>
      </c>
    </row>
    <row r="685" spans="44:47" x14ac:dyDescent="0.25">
      <c r="AR685" s="656" t="str">
        <f>Select_naics2022[[#This Row],[2022 NAICS Code]]&amp;":  "&amp;Select_naics2022[[#This Row],[2022 NAICS Title]]</f>
        <v>512290:  Other Sound Recording Industries</v>
      </c>
      <c r="AS685" s="656">
        <v>512290</v>
      </c>
      <c r="AT685" s="656" t="s">
        <v>1325</v>
      </c>
      <c r="AU685" s="656" t="str">
        <f>Select_naics2022[[#This Row],[2022 NAICS Title]]</f>
        <v>Other Sound Recording Industries</v>
      </c>
    </row>
    <row r="686" spans="44:47" x14ac:dyDescent="0.25">
      <c r="AR686" s="656" t="str">
        <f>Select_naics2022[[#This Row],[2022 NAICS Code]]&amp;":  "&amp;Select_naics2022[[#This Row],[2022 NAICS Title]]</f>
        <v xml:space="preserve">513110:  Newspaper Publishers </v>
      </c>
      <c r="AS686" s="656">
        <v>513110</v>
      </c>
      <c r="AT686" s="656" t="s">
        <v>1326</v>
      </c>
      <c r="AU686" s="656" t="str">
        <f>Select_naics2022[[#This Row],[2022 NAICS Title]]</f>
        <v xml:space="preserve">Newspaper Publishers </v>
      </c>
    </row>
    <row r="687" spans="44:47" x14ac:dyDescent="0.25">
      <c r="AR687" s="656" t="str">
        <f>Select_naics2022[[#This Row],[2022 NAICS Code]]&amp;":  "&amp;Select_naics2022[[#This Row],[2022 NAICS Title]]</f>
        <v xml:space="preserve">513120:  Periodical Publishers </v>
      </c>
      <c r="AS687" s="656">
        <v>513120</v>
      </c>
      <c r="AT687" s="656" t="s">
        <v>1327</v>
      </c>
      <c r="AU687" s="656" t="str">
        <f>Select_naics2022[[#This Row],[2022 NAICS Title]]</f>
        <v xml:space="preserve">Periodical Publishers </v>
      </c>
    </row>
    <row r="688" spans="44:47" x14ac:dyDescent="0.25">
      <c r="AR688" s="656" t="str">
        <f>Select_naics2022[[#This Row],[2022 NAICS Code]]&amp;":  "&amp;Select_naics2022[[#This Row],[2022 NAICS Title]]</f>
        <v xml:space="preserve">513130:  Book Publishers </v>
      </c>
      <c r="AS688" s="656">
        <v>513130</v>
      </c>
      <c r="AT688" s="656" t="s">
        <v>1328</v>
      </c>
      <c r="AU688" s="656" t="str">
        <f>Select_naics2022[[#This Row],[2022 NAICS Title]]</f>
        <v xml:space="preserve">Book Publishers </v>
      </c>
    </row>
    <row r="689" spans="44:47" x14ac:dyDescent="0.25">
      <c r="AR689" s="656" t="str">
        <f>Select_naics2022[[#This Row],[2022 NAICS Code]]&amp;":  "&amp;Select_naics2022[[#This Row],[2022 NAICS Title]]</f>
        <v xml:space="preserve">513140:  Directory and Mailing List Publishers </v>
      </c>
      <c r="AS689" s="656">
        <v>513140</v>
      </c>
      <c r="AT689" s="656" t="s">
        <v>1329</v>
      </c>
      <c r="AU689" s="656" t="str">
        <f>Select_naics2022[[#This Row],[2022 NAICS Title]]</f>
        <v xml:space="preserve">Directory and Mailing List Publishers </v>
      </c>
    </row>
    <row r="690" spans="44:47" x14ac:dyDescent="0.25">
      <c r="AR690" s="656" t="str">
        <f>Select_naics2022[[#This Row],[2022 NAICS Code]]&amp;":  "&amp;Select_naics2022[[#This Row],[2022 NAICS Title]]</f>
        <v xml:space="preserve">513191:  Greeting Card Publishers </v>
      </c>
      <c r="AS690" s="656">
        <v>513191</v>
      </c>
      <c r="AT690" s="656" t="s">
        <v>1330</v>
      </c>
      <c r="AU690" s="656" t="str">
        <f>Select_naics2022[[#This Row],[2022 NAICS Title]]</f>
        <v xml:space="preserve">Greeting Card Publishers </v>
      </c>
    </row>
    <row r="691" spans="44:47" x14ac:dyDescent="0.25">
      <c r="AR691" s="656" t="str">
        <f>Select_naics2022[[#This Row],[2022 NAICS Code]]&amp;":  "&amp;Select_naics2022[[#This Row],[2022 NAICS Title]]</f>
        <v xml:space="preserve">513199:  All Other Publishers </v>
      </c>
      <c r="AS691" s="656">
        <v>513199</v>
      </c>
      <c r="AT691" s="656" t="s">
        <v>1331</v>
      </c>
      <c r="AU691" s="656" t="str">
        <f>Select_naics2022[[#This Row],[2022 NAICS Title]]</f>
        <v xml:space="preserve">All Other Publishers </v>
      </c>
    </row>
    <row r="692" spans="44:47" x14ac:dyDescent="0.25">
      <c r="AR692" s="656" t="str">
        <f>Select_naics2022[[#This Row],[2022 NAICS Code]]&amp;":  "&amp;Select_naics2022[[#This Row],[2022 NAICS Title]]</f>
        <v>513210:  Software Publishers</v>
      </c>
      <c r="AS692" s="656">
        <v>513210</v>
      </c>
      <c r="AT692" s="656" t="s">
        <v>1332</v>
      </c>
      <c r="AU692" s="656" t="str">
        <f>Select_naics2022[[#This Row],[2022 NAICS Title]]</f>
        <v>Software Publishers</v>
      </c>
    </row>
    <row r="693" spans="44:47" x14ac:dyDescent="0.25">
      <c r="AR693" s="656" t="str">
        <f>Select_naics2022[[#This Row],[2022 NAICS Code]]&amp;":  "&amp;Select_naics2022[[#This Row],[2022 NAICS Title]]</f>
        <v xml:space="preserve">516110:  Radio Broadcasting Stations </v>
      </c>
      <c r="AS693" s="656">
        <v>516110</v>
      </c>
      <c r="AT693" s="656" t="s">
        <v>1333</v>
      </c>
      <c r="AU693" s="656" t="str">
        <f>Select_naics2022[[#This Row],[2022 NAICS Title]]</f>
        <v xml:space="preserve">Radio Broadcasting Stations </v>
      </c>
    </row>
    <row r="694" spans="44:47" x14ac:dyDescent="0.25">
      <c r="AR694" s="656" t="str">
        <f>Select_naics2022[[#This Row],[2022 NAICS Code]]&amp;":  "&amp;Select_naics2022[[#This Row],[2022 NAICS Title]]</f>
        <v xml:space="preserve">516120:  Television Broadcasting Stations </v>
      </c>
      <c r="AS694" s="656">
        <v>516120</v>
      </c>
      <c r="AT694" s="656" t="s">
        <v>1334</v>
      </c>
      <c r="AU694" s="656" t="str">
        <f>Select_naics2022[[#This Row],[2022 NAICS Title]]</f>
        <v xml:space="preserve">Television Broadcasting Stations </v>
      </c>
    </row>
    <row r="695" spans="44:47" x14ac:dyDescent="0.25">
      <c r="AR695" s="656" t="str">
        <f>Select_naics2022[[#This Row],[2022 NAICS Code]]&amp;":  "&amp;Select_naics2022[[#This Row],[2022 NAICS Title]]</f>
        <v>516210:  Media Streaming Distribution Services, Social Networks, and Other Media Networks and Content Providers</v>
      </c>
      <c r="AS695" s="656">
        <v>516210</v>
      </c>
      <c r="AT695" s="656" t="s">
        <v>1335</v>
      </c>
      <c r="AU695" s="656" t="str">
        <f>Select_naics2022[[#This Row],[2022 NAICS Title]]</f>
        <v>Media Streaming Distribution Services, Social Networks, and Other Media Networks and Content Providers</v>
      </c>
    </row>
    <row r="696" spans="44:47" x14ac:dyDescent="0.25">
      <c r="AR696" s="656" t="str">
        <f>Select_naics2022[[#This Row],[2022 NAICS Code]]&amp;":  "&amp;Select_naics2022[[#This Row],[2022 NAICS Title]]</f>
        <v xml:space="preserve">517111:  Wired Telecommunications Carriers </v>
      </c>
      <c r="AS696" s="656">
        <v>517111</v>
      </c>
      <c r="AT696" s="656" t="s">
        <v>1336</v>
      </c>
      <c r="AU696" s="656" t="str">
        <f>Select_naics2022[[#This Row],[2022 NAICS Title]]</f>
        <v xml:space="preserve">Wired Telecommunications Carriers </v>
      </c>
    </row>
    <row r="697" spans="44:47" x14ac:dyDescent="0.25">
      <c r="AR697" s="656" t="str">
        <f>Select_naics2022[[#This Row],[2022 NAICS Code]]&amp;":  "&amp;Select_naics2022[[#This Row],[2022 NAICS Title]]</f>
        <v>517112:  Wireless Telecommunications Carriers (except Satellite)</v>
      </c>
      <c r="AS697" s="656">
        <v>517112</v>
      </c>
      <c r="AT697" s="656" t="s">
        <v>1337</v>
      </c>
      <c r="AU697" s="656" t="str">
        <f>Select_naics2022[[#This Row],[2022 NAICS Title]]</f>
        <v>Wireless Telecommunications Carriers (except Satellite)</v>
      </c>
    </row>
    <row r="698" spans="44:47" x14ac:dyDescent="0.25">
      <c r="AR698" s="656" t="str">
        <f>Select_naics2022[[#This Row],[2022 NAICS Code]]&amp;":  "&amp;Select_naics2022[[#This Row],[2022 NAICS Title]]</f>
        <v>517121:  Telecommunications Resellers</v>
      </c>
      <c r="AS698" s="656">
        <v>517121</v>
      </c>
      <c r="AT698" s="656" t="s">
        <v>1338</v>
      </c>
      <c r="AU698" s="656" t="str">
        <f>Select_naics2022[[#This Row],[2022 NAICS Title]]</f>
        <v>Telecommunications Resellers</v>
      </c>
    </row>
    <row r="699" spans="44:47" x14ac:dyDescent="0.25">
      <c r="AR699" s="656" t="str">
        <f>Select_naics2022[[#This Row],[2022 NAICS Code]]&amp;":  "&amp;Select_naics2022[[#This Row],[2022 NAICS Title]]</f>
        <v>517122:  Agents for Wireless Telecommunications Services</v>
      </c>
      <c r="AS699" s="656">
        <v>517122</v>
      </c>
      <c r="AT699" s="656" t="s">
        <v>1339</v>
      </c>
      <c r="AU699" s="656" t="str">
        <f>Select_naics2022[[#This Row],[2022 NAICS Title]]</f>
        <v>Agents for Wireless Telecommunications Services</v>
      </c>
    </row>
    <row r="700" spans="44:47" x14ac:dyDescent="0.25">
      <c r="AR700" s="656" t="str">
        <f>Select_naics2022[[#This Row],[2022 NAICS Code]]&amp;":  "&amp;Select_naics2022[[#This Row],[2022 NAICS Title]]</f>
        <v>517410:  Satellite Telecommunications</v>
      </c>
      <c r="AS700" s="656">
        <v>517410</v>
      </c>
      <c r="AT700" s="656" t="s">
        <v>1340</v>
      </c>
      <c r="AU700" s="656" t="str">
        <f>Select_naics2022[[#This Row],[2022 NAICS Title]]</f>
        <v>Satellite Telecommunications</v>
      </c>
    </row>
    <row r="701" spans="44:47" x14ac:dyDescent="0.25">
      <c r="AR701" s="656" t="str">
        <f>Select_naics2022[[#This Row],[2022 NAICS Code]]&amp;":  "&amp;Select_naics2022[[#This Row],[2022 NAICS Title]]</f>
        <v xml:space="preserve">517810:  All Other Telecommunications </v>
      </c>
      <c r="AS701" s="656">
        <v>517810</v>
      </c>
      <c r="AT701" s="656" t="s">
        <v>1341</v>
      </c>
      <c r="AU701" s="656" t="str">
        <f>Select_naics2022[[#This Row],[2022 NAICS Title]]</f>
        <v xml:space="preserve">All Other Telecommunications </v>
      </c>
    </row>
    <row r="702" spans="44:47" x14ac:dyDescent="0.25">
      <c r="AR702" s="656" t="str">
        <f>Select_naics2022[[#This Row],[2022 NAICS Code]]&amp;":  "&amp;Select_naics2022[[#This Row],[2022 NAICS Title]]</f>
        <v>518210:  Computing Infrastructure Providers, Data Processing, Web Hosting, and Related Services</v>
      </c>
      <c r="AS702" s="656">
        <v>518210</v>
      </c>
      <c r="AT702" s="656" t="s">
        <v>1342</v>
      </c>
      <c r="AU702" s="656" t="str">
        <f>Select_naics2022[[#This Row],[2022 NAICS Title]]</f>
        <v>Computing Infrastructure Providers, Data Processing, Web Hosting, and Related Services</v>
      </c>
    </row>
    <row r="703" spans="44:47" x14ac:dyDescent="0.25">
      <c r="AR703" s="656" t="str">
        <f>Select_naics2022[[#This Row],[2022 NAICS Code]]&amp;":  "&amp;Select_naics2022[[#This Row],[2022 NAICS Title]]</f>
        <v xml:space="preserve">519210:  Libraries and Archives </v>
      </c>
      <c r="AS703" s="656">
        <v>519210</v>
      </c>
      <c r="AT703" s="656" t="s">
        <v>1343</v>
      </c>
      <c r="AU703" s="656" t="str">
        <f>Select_naics2022[[#This Row],[2022 NAICS Title]]</f>
        <v xml:space="preserve">Libraries and Archives </v>
      </c>
    </row>
    <row r="704" spans="44:47" x14ac:dyDescent="0.25">
      <c r="AR704" s="656" t="str">
        <f>Select_naics2022[[#This Row],[2022 NAICS Code]]&amp;":  "&amp;Select_naics2022[[#This Row],[2022 NAICS Title]]</f>
        <v>519290:  Web Search Portals and All Other Information Services</v>
      </c>
      <c r="AS704" s="656">
        <v>519290</v>
      </c>
      <c r="AT704" s="656" t="s">
        <v>1344</v>
      </c>
      <c r="AU704" s="656" t="str">
        <f>Select_naics2022[[#This Row],[2022 NAICS Title]]</f>
        <v>Web Search Portals and All Other Information Services</v>
      </c>
    </row>
    <row r="705" spans="44:47" x14ac:dyDescent="0.25">
      <c r="AR705" s="656" t="str">
        <f>Select_naics2022[[#This Row],[2022 NAICS Code]]&amp;":  "&amp;Select_naics2022[[#This Row],[2022 NAICS Title]]</f>
        <v>521110:  Monetary Authorities-Central Bank</v>
      </c>
      <c r="AS705" s="656">
        <v>521110</v>
      </c>
      <c r="AT705" s="656" t="s">
        <v>1345</v>
      </c>
      <c r="AU705" s="656" t="str">
        <f>Select_naics2022[[#This Row],[2022 NAICS Title]]</f>
        <v>Monetary Authorities-Central Bank</v>
      </c>
    </row>
    <row r="706" spans="44:47" x14ac:dyDescent="0.25">
      <c r="AR706" s="656" t="str">
        <f>Select_naics2022[[#This Row],[2022 NAICS Code]]&amp;":  "&amp;Select_naics2022[[#This Row],[2022 NAICS Title]]</f>
        <v xml:space="preserve">522110:  Commercial Banking </v>
      </c>
      <c r="AS706" s="656">
        <v>522110</v>
      </c>
      <c r="AT706" s="656" t="s">
        <v>1346</v>
      </c>
      <c r="AU706" s="656" t="str">
        <f>Select_naics2022[[#This Row],[2022 NAICS Title]]</f>
        <v xml:space="preserve">Commercial Banking </v>
      </c>
    </row>
    <row r="707" spans="44:47" x14ac:dyDescent="0.25">
      <c r="AR707" s="656" t="str">
        <f>Select_naics2022[[#This Row],[2022 NAICS Code]]&amp;":  "&amp;Select_naics2022[[#This Row],[2022 NAICS Title]]</f>
        <v xml:space="preserve">522130:  Credit Unions </v>
      </c>
      <c r="AS707" s="656">
        <v>522130</v>
      </c>
      <c r="AT707" s="656" t="s">
        <v>1347</v>
      </c>
      <c r="AU707" s="656" t="str">
        <f>Select_naics2022[[#This Row],[2022 NAICS Title]]</f>
        <v xml:space="preserve">Credit Unions </v>
      </c>
    </row>
    <row r="708" spans="44:47" x14ac:dyDescent="0.25">
      <c r="AR708" s="656" t="str">
        <f>Select_naics2022[[#This Row],[2022 NAICS Code]]&amp;":  "&amp;Select_naics2022[[#This Row],[2022 NAICS Title]]</f>
        <v xml:space="preserve">522180:  Savings Institutions and Other Depository Credit Intermediation </v>
      </c>
      <c r="AS708" s="656">
        <v>522180</v>
      </c>
      <c r="AT708" s="656" t="s">
        <v>1348</v>
      </c>
      <c r="AU708" s="656" t="str">
        <f>Select_naics2022[[#This Row],[2022 NAICS Title]]</f>
        <v xml:space="preserve">Savings Institutions and Other Depository Credit Intermediation </v>
      </c>
    </row>
    <row r="709" spans="44:47" x14ac:dyDescent="0.25">
      <c r="AR709" s="656" t="str">
        <f>Select_naics2022[[#This Row],[2022 NAICS Code]]&amp;":  "&amp;Select_naics2022[[#This Row],[2022 NAICS Title]]</f>
        <v xml:space="preserve">522210:  Credit Card Issuing </v>
      </c>
      <c r="AS709" s="656">
        <v>522210</v>
      </c>
      <c r="AT709" s="656" t="s">
        <v>1349</v>
      </c>
      <c r="AU709" s="656" t="str">
        <f>Select_naics2022[[#This Row],[2022 NAICS Title]]</f>
        <v xml:space="preserve">Credit Card Issuing </v>
      </c>
    </row>
    <row r="710" spans="44:47" x14ac:dyDescent="0.25">
      <c r="AR710" s="656" t="str">
        <f>Select_naics2022[[#This Row],[2022 NAICS Code]]&amp;":  "&amp;Select_naics2022[[#This Row],[2022 NAICS Title]]</f>
        <v xml:space="preserve">522220:  Sales Financing </v>
      </c>
      <c r="AS710" s="656">
        <v>522220</v>
      </c>
      <c r="AT710" s="656" t="s">
        <v>1350</v>
      </c>
      <c r="AU710" s="656" t="str">
        <f>Select_naics2022[[#This Row],[2022 NAICS Title]]</f>
        <v xml:space="preserve">Sales Financing </v>
      </c>
    </row>
    <row r="711" spans="44:47" x14ac:dyDescent="0.25">
      <c r="AR711" s="656" t="str">
        <f>Select_naics2022[[#This Row],[2022 NAICS Code]]&amp;":  "&amp;Select_naics2022[[#This Row],[2022 NAICS Title]]</f>
        <v xml:space="preserve">522291:  Consumer Lending </v>
      </c>
      <c r="AS711" s="656">
        <v>522291</v>
      </c>
      <c r="AT711" s="656" t="s">
        <v>1351</v>
      </c>
      <c r="AU711" s="656" t="str">
        <f>Select_naics2022[[#This Row],[2022 NAICS Title]]</f>
        <v xml:space="preserve">Consumer Lending </v>
      </c>
    </row>
    <row r="712" spans="44:47" x14ac:dyDescent="0.25">
      <c r="AR712" s="656" t="str">
        <f>Select_naics2022[[#This Row],[2022 NAICS Code]]&amp;":  "&amp;Select_naics2022[[#This Row],[2022 NAICS Title]]</f>
        <v xml:space="preserve">522292:  Real Estate Credit </v>
      </c>
      <c r="AS712" s="656">
        <v>522292</v>
      </c>
      <c r="AT712" s="656" t="s">
        <v>1352</v>
      </c>
      <c r="AU712" s="656" t="str">
        <f>Select_naics2022[[#This Row],[2022 NAICS Title]]</f>
        <v xml:space="preserve">Real Estate Credit </v>
      </c>
    </row>
    <row r="713" spans="44:47" x14ac:dyDescent="0.25">
      <c r="AR713" s="656" t="str">
        <f>Select_naics2022[[#This Row],[2022 NAICS Code]]&amp;":  "&amp;Select_naics2022[[#This Row],[2022 NAICS Title]]</f>
        <v xml:space="preserve">522299:  International, Secondary Market, and All Other Nondepository Credit Intermediation </v>
      </c>
      <c r="AS713" s="656">
        <v>522299</v>
      </c>
      <c r="AT713" s="656" t="s">
        <v>1353</v>
      </c>
      <c r="AU713" s="656" t="str">
        <f>Select_naics2022[[#This Row],[2022 NAICS Title]]</f>
        <v xml:space="preserve">International, Secondary Market, and All Other Nondepository Credit Intermediation </v>
      </c>
    </row>
    <row r="714" spans="44:47" x14ac:dyDescent="0.25">
      <c r="AR714" s="656" t="str">
        <f>Select_naics2022[[#This Row],[2022 NAICS Code]]&amp;":  "&amp;Select_naics2022[[#This Row],[2022 NAICS Title]]</f>
        <v xml:space="preserve">522310:  Mortgage and Nonmortgage Loan Brokers </v>
      </c>
      <c r="AS714" s="656">
        <v>522310</v>
      </c>
      <c r="AT714" s="656" t="s">
        <v>1354</v>
      </c>
      <c r="AU714" s="656" t="str">
        <f>Select_naics2022[[#This Row],[2022 NAICS Title]]</f>
        <v xml:space="preserve">Mortgage and Nonmortgage Loan Brokers </v>
      </c>
    </row>
    <row r="715" spans="44:47" x14ac:dyDescent="0.25">
      <c r="AR715" s="656" t="str">
        <f>Select_naics2022[[#This Row],[2022 NAICS Code]]&amp;":  "&amp;Select_naics2022[[#This Row],[2022 NAICS Title]]</f>
        <v xml:space="preserve">522320:  Financial Transactions Processing, Reserve, and Clearinghouse Activities </v>
      </c>
      <c r="AS715" s="656">
        <v>522320</v>
      </c>
      <c r="AT715" s="656" t="s">
        <v>1355</v>
      </c>
      <c r="AU715" s="656" t="str">
        <f>Select_naics2022[[#This Row],[2022 NAICS Title]]</f>
        <v xml:space="preserve">Financial Transactions Processing, Reserve, and Clearinghouse Activities </v>
      </c>
    </row>
    <row r="716" spans="44:47" x14ac:dyDescent="0.25">
      <c r="AR716" s="656" t="str">
        <f>Select_naics2022[[#This Row],[2022 NAICS Code]]&amp;":  "&amp;Select_naics2022[[#This Row],[2022 NAICS Title]]</f>
        <v xml:space="preserve">522390:  Other Activities Related to Credit Intermediation </v>
      </c>
      <c r="AS716" s="656">
        <v>522390</v>
      </c>
      <c r="AT716" s="656" t="s">
        <v>1356</v>
      </c>
      <c r="AU716" s="656" t="str">
        <f>Select_naics2022[[#This Row],[2022 NAICS Title]]</f>
        <v xml:space="preserve">Other Activities Related to Credit Intermediation </v>
      </c>
    </row>
    <row r="717" spans="44:47" x14ac:dyDescent="0.25">
      <c r="AR717" s="656" t="str">
        <f>Select_naics2022[[#This Row],[2022 NAICS Code]]&amp;":  "&amp;Select_naics2022[[#This Row],[2022 NAICS Title]]</f>
        <v xml:space="preserve">523150:  Investment Banking and Securities Intermediation </v>
      </c>
      <c r="AS717" s="656">
        <v>523150</v>
      </c>
      <c r="AT717" s="656" t="s">
        <v>1357</v>
      </c>
      <c r="AU717" s="656" t="str">
        <f>Select_naics2022[[#This Row],[2022 NAICS Title]]</f>
        <v xml:space="preserve">Investment Banking and Securities Intermediation </v>
      </c>
    </row>
    <row r="718" spans="44:47" x14ac:dyDescent="0.25">
      <c r="AR718" s="656" t="str">
        <f>Select_naics2022[[#This Row],[2022 NAICS Code]]&amp;":  "&amp;Select_naics2022[[#This Row],[2022 NAICS Title]]</f>
        <v xml:space="preserve">523160:  Commodity Contracts Intermediation </v>
      </c>
      <c r="AS718" s="656">
        <v>523160</v>
      </c>
      <c r="AT718" s="656" t="s">
        <v>1358</v>
      </c>
      <c r="AU718" s="656" t="str">
        <f>Select_naics2022[[#This Row],[2022 NAICS Title]]</f>
        <v xml:space="preserve">Commodity Contracts Intermediation </v>
      </c>
    </row>
    <row r="719" spans="44:47" x14ac:dyDescent="0.25">
      <c r="AR719" s="656" t="str">
        <f>Select_naics2022[[#This Row],[2022 NAICS Code]]&amp;":  "&amp;Select_naics2022[[#This Row],[2022 NAICS Title]]</f>
        <v>523210:  Securities and Commodity Exchanges</v>
      </c>
      <c r="AS719" s="656">
        <v>523210</v>
      </c>
      <c r="AT719" s="656" t="s">
        <v>1359</v>
      </c>
      <c r="AU719" s="656" t="str">
        <f>Select_naics2022[[#This Row],[2022 NAICS Title]]</f>
        <v>Securities and Commodity Exchanges</v>
      </c>
    </row>
    <row r="720" spans="44:47" x14ac:dyDescent="0.25">
      <c r="AR720" s="656" t="str">
        <f>Select_naics2022[[#This Row],[2022 NAICS Code]]&amp;":  "&amp;Select_naics2022[[#This Row],[2022 NAICS Title]]</f>
        <v xml:space="preserve">523910:  Miscellaneous Intermediation </v>
      </c>
      <c r="AS720" s="656">
        <v>523910</v>
      </c>
      <c r="AT720" s="656" t="s">
        <v>1360</v>
      </c>
      <c r="AU720" s="656" t="str">
        <f>Select_naics2022[[#This Row],[2022 NAICS Title]]</f>
        <v xml:space="preserve">Miscellaneous Intermediation </v>
      </c>
    </row>
    <row r="721" spans="44:47" x14ac:dyDescent="0.25">
      <c r="AR721" s="656" t="str">
        <f>Select_naics2022[[#This Row],[2022 NAICS Code]]&amp;":  "&amp;Select_naics2022[[#This Row],[2022 NAICS Title]]</f>
        <v xml:space="preserve">523940:  Portfolio Management and Investment Advice </v>
      </c>
      <c r="AS721" s="656">
        <v>523940</v>
      </c>
      <c r="AT721" s="656" t="s">
        <v>1361</v>
      </c>
      <c r="AU721" s="656" t="str">
        <f>Select_naics2022[[#This Row],[2022 NAICS Title]]</f>
        <v xml:space="preserve">Portfolio Management and Investment Advice </v>
      </c>
    </row>
    <row r="722" spans="44:47" x14ac:dyDescent="0.25">
      <c r="AR722" s="656" t="str">
        <f>Select_naics2022[[#This Row],[2022 NAICS Code]]&amp;":  "&amp;Select_naics2022[[#This Row],[2022 NAICS Title]]</f>
        <v xml:space="preserve">523991:  Trust, Fiduciary, and Custody Activities </v>
      </c>
      <c r="AS722" s="656">
        <v>523991</v>
      </c>
      <c r="AT722" s="656" t="s">
        <v>1362</v>
      </c>
      <c r="AU722" s="656" t="str">
        <f>Select_naics2022[[#This Row],[2022 NAICS Title]]</f>
        <v xml:space="preserve">Trust, Fiduciary, and Custody Activities </v>
      </c>
    </row>
    <row r="723" spans="44:47" x14ac:dyDescent="0.25">
      <c r="AR723" s="656" t="str">
        <f>Select_naics2022[[#This Row],[2022 NAICS Code]]&amp;":  "&amp;Select_naics2022[[#This Row],[2022 NAICS Title]]</f>
        <v xml:space="preserve">523999:  Miscellaneous Financial Investment Activities </v>
      </c>
      <c r="AS723" s="656">
        <v>523999</v>
      </c>
      <c r="AT723" s="656" t="s">
        <v>1363</v>
      </c>
      <c r="AU723" s="656" t="str">
        <f>Select_naics2022[[#This Row],[2022 NAICS Title]]</f>
        <v xml:space="preserve">Miscellaneous Financial Investment Activities </v>
      </c>
    </row>
    <row r="724" spans="44:47" x14ac:dyDescent="0.25">
      <c r="AR724" s="656" t="str">
        <f>Select_naics2022[[#This Row],[2022 NAICS Code]]&amp;":  "&amp;Select_naics2022[[#This Row],[2022 NAICS Title]]</f>
        <v xml:space="preserve">524113:  Direct Life Insurance Carriers </v>
      </c>
      <c r="AS724" s="656">
        <v>524113</v>
      </c>
      <c r="AT724" s="656" t="s">
        <v>1364</v>
      </c>
      <c r="AU724" s="656" t="str">
        <f>Select_naics2022[[#This Row],[2022 NAICS Title]]</f>
        <v xml:space="preserve">Direct Life Insurance Carriers </v>
      </c>
    </row>
    <row r="725" spans="44:47" x14ac:dyDescent="0.25">
      <c r="AR725" s="656" t="str">
        <f>Select_naics2022[[#This Row],[2022 NAICS Code]]&amp;":  "&amp;Select_naics2022[[#This Row],[2022 NAICS Title]]</f>
        <v xml:space="preserve">524114:  Direct Health and Medical Insurance Carriers </v>
      </c>
      <c r="AS725" s="656">
        <v>524114</v>
      </c>
      <c r="AT725" s="656" t="s">
        <v>1365</v>
      </c>
      <c r="AU725" s="656" t="str">
        <f>Select_naics2022[[#This Row],[2022 NAICS Title]]</f>
        <v xml:space="preserve">Direct Health and Medical Insurance Carriers </v>
      </c>
    </row>
    <row r="726" spans="44:47" x14ac:dyDescent="0.25">
      <c r="AR726" s="656" t="str">
        <f>Select_naics2022[[#This Row],[2022 NAICS Code]]&amp;":  "&amp;Select_naics2022[[#This Row],[2022 NAICS Title]]</f>
        <v xml:space="preserve">524126:  Direct Property and Casualty Insurance Carriers </v>
      </c>
      <c r="AS726" s="656">
        <v>524126</v>
      </c>
      <c r="AT726" s="656" t="s">
        <v>1366</v>
      </c>
      <c r="AU726" s="656" t="str">
        <f>Select_naics2022[[#This Row],[2022 NAICS Title]]</f>
        <v xml:space="preserve">Direct Property and Casualty Insurance Carriers </v>
      </c>
    </row>
    <row r="727" spans="44:47" x14ac:dyDescent="0.25">
      <c r="AR727" s="656" t="str">
        <f>Select_naics2022[[#This Row],[2022 NAICS Code]]&amp;":  "&amp;Select_naics2022[[#This Row],[2022 NAICS Title]]</f>
        <v xml:space="preserve">524127:  Direct Title Insurance Carriers </v>
      </c>
      <c r="AS727" s="656">
        <v>524127</v>
      </c>
      <c r="AT727" s="656" t="s">
        <v>1367</v>
      </c>
      <c r="AU727" s="656" t="str">
        <f>Select_naics2022[[#This Row],[2022 NAICS Title]]</f>
        <v xml:space="preserve">Direct Title Insurance Carriers </v>
      </c>
    </row>
    <row r="728" spans="44:47" x14ac:dyDescent="0.25">
      <c r="AR728" s="656" t="str">
        <f>Select_naics2022[[#This Row],[2022 NAICS Code]]&amp;":  "&amp;Select_naics2022[[#This Row],[2022 NAICS Title]]</f>
        <v xml:space="preserve">524128:  Other Direct Insurance (except Life, Health, and Medical) Carriers </v>
      </c>
      <c r="AS728" s="656">
        <v>524128</v>
      </c>
      <c r="AT728" s="656" t="s">
        <v>1368</v>
      </c>
      <c r="AU728" s="656" t="str">
        <f>Select_naics2022[[#This Row],[2022 NAICS Title]]</f>
        <v xml:space="preserve">Other Direct Insurance (except Life, Health, and Medical) Carriers </v>
      </c>
    </row>
    <row r="729" spans="44:47" x14ac:dyDescent="0.25">
      <c r="AR729" s="656" t="str">
        <f>Select_naics2022[[#This Row],[2022 NAICS Code]]&amp;":  "&amp;Select_naics2022[[#This Row],[2022 NAICS Title]]</f>
        <v xml:space="preserve">524130:  Reinsurance Carriers </v>
      </c>
      <c r="AS729" s="656">
        <v>524130</v>
      </c>
      <c r="AT729" s="656" t="s">
        <v>1369</v>
      </c>
      <c r="AU729" s="656" t="str">
        <f>Select_naics2022[[#This Row],[2022 NAICS Title]]</f>
        <v xml:space="preserve">Reinsurance Carriers </v>
      </c>
    </row>
    <row r="730" spans="44:47" x14ac:dyDescent="0.25">
      <c r="AR730" s="656" t="str">
        <f>Select_naics2022[[#This Row],[2022 NAICS Code]]&amp;":  "&amp;Select_naics2022[[#This Row],[2022 NAICS Title]]</f>
        <v xml:space="preserve">524210:  Insurance Agencies and Brokerages </v>
      </c>
      <c r="AS730" s="656">
        <v>524210</v>
      </c>
      <c r="AT730" s="656" t="s">
        <v>1370</v>
      </c>
      <c r="AU730" s="656" t="str">
        <f>Select_naics2022[[#This Row],[2022 NAICS Title]]</f>
        <v xml:space="preserve">Insurance Agencies and Brokerages </v>
      </c>
    </row>
    <row r="731" spans="44:47" x14ac:dyDescent="0.25">
      <c r="AR731" s="656" t="str">
        <f>Select_naics2022[[#This Row],[2022 NAICS Code]]&amp;":  "&amp;Select_naics2022[[#This Row],[2022 NAICS Title]]</f>
        <v xml:space="preserve">524291:  Claims Adjusting </v>
      </c>
      <c r="AS731" s="656">
        <v>524291</v>
      </c>
      <c r="AT731" s="656" t="s">
        <v>1371</v>
      </c>
      <c r="AU731" s="656" t="str">
        <f>Select_naics2022[[#This Row],[2022 NAICS Title]]</f>
        <v xml:space="preserve">Claims Adjusting </v>
      </c>
    </row>
    <row r="732" spans="44:47" x14ac:dyDescent="0.25">
      <c r="AR732" s="656" t="str">
        <f>Select_naics2022[[#This Row],[2022 NAICS Code]]&amp;":  "&amp;Select_naics2022[[#This Row],[2022 NAICS Title]]</f>
        <v xml:space="preserve">524292:  Pharmacy Benefit Management and Other Third Party Administration of Insurance and Pension Funds </v>
      </c>
      <c r="AS732" s="656">
        <v>524292</v>
      </c>
      <c r="AT732" s="656" t="s">
        <v>1372</v>
      </c>
      <c r="AU732" s="656" t="str">
        <f>Select_naics2022[[#This Row],[2022 NAICS Title]]</f>
        <v xml:space="preserve">Pharmacy Benefit Management and Other Third Party Administration of Insurance and Pension Funds </v>
      </c>
    </row>
    <row r="733" spans="44:47" x14ac:dyDescent="0.25">
      <c r="AR733" s="656" t="str">
        <f>Select_naics2022[[#This Row],[2022 NAICS Code]]&amp;":  "&amp;Select_naics2022[[#This Row],[2022 NAICS Title]]</f>
        <v xml:space="preserve">524298:  All Other Insurance Related Activities </v>
      </c>
      <c r="AS733" s="656">
        <v>524298</v>
      </c>
      <c r="AT733" s="656" t="s">
        <v>1373</v>
      </c>
      <c r="AU733" s="656" t="str">
        <f>Select_naics2022[[#This Row],[2022 NAICS Title]]</f>
        <v xml:space="preserve">All Other Insurance Related Activities </v>
      </c>
    </row>
    <row r="734" spans="44:47" x14ac:dyDescent="0.25">
      <c r="AR734" s="656" t="str">
        <f>Select_naics2022[[#This Row],[2022 NAICS Code]]&amp;":  "&amp;Select_naics2022[[#This Row],[2022 NAICS Title]]</f>
        <v xml:space="preserve">525110:  Pension Funds </v>
      </c>
      <c r="AS734" s="656">
        <v>525110</v>
      </c>
      <c r="AT734" s="656" t="s">
        <v>1374</v>
      </c>
      <c r="AU734" s="656" t="str">
        <f>Select_naics2022[[#This Row],[2022 NAICS Title]]</f>
        <v xml:space="preserve">Pension Funds </v>
      </c>
    </row>
    <row r="735" spans="44:47" x14ac:dyDescent="0.25">
      <c r="AR735" s="656" t="str">
        <f>Select_naics2022[[#This Row],[2022 NAICS Code]]&amp;":  "&amp;Select_naics2022[[#This Row],[2022 NAICS Title]]</f>
        <v xml:space="preserve">525120:  Health and Welfare Funds </v>
      </c>
      <c r="AS735" s="656">
        <v>525120</v>
      </c>
      <c r="AT735" s="656" t="s">
        <v>1375</v>
      </c>
      <c r="AU735" s="656" t="str">
        <f>Select_naics2022[[#This Row],[2022 NAICS Title]]</f>
        <v xml:space="preserve">Health and Welfare Funds </v>
      </c>
    </row>
    <row r="736" spans="44:47" x14ac:dyDescent="0.25">
      <c r="AR736" s="656" t="str">
        <f>Select_naics2022[[#This Row],[2022 NAICS Code]]&amp;":  "&amp;Select_naics2022[[#This Row],[2022 NAICS Title]]</f>
        <v xml:space="preserve">525190:  Other Insurance Funds </v>
      </c>
      <c r="AS736" s="656">
        <v>525190</v>
      </c>
      <c r="AT736" s="656" t="s">
        <v>1376</v>
      </c>
      <c r="AU736" s="656" t="str">
        <f>Select_naics2022[[#This Row],[2022 NAICS Title]]</f>
        <v xml:space="preserve">Other Insurance Funds </v>
      </c>
    </row>
    <row r="737" spans="44:47" x14ac:dyDescent="0.25">
      <c r="AR737" s="656" t="str">
        <f>Select_naics2022[[#This Row],[2022 NAICS Code]]&amp;":  "&amp;Select_naics2022[[#This Row],[2022 NAICS Title]]</f>
        <v xml:space="preserve">525910:  Open-End Investment Funds </v>
      </c>
      <c r="AS737" s="656">
        <v>525910</v>
      </c>
      <c r="AT737" s="656" t="s">
        <v>1377</v>
      </c>
      <c r="AU737" s="656" t="str">
        <f>Select_naics2022[[#This Row],[2022 NAICS Title]]</f>
        <v xml:space="preserve">Open-End Investment Funds </v>
      </c>
    </row>
    <row r="738" spans="44:47" x14ac:dyDescent="0.25">
      <c r="AR738" s="656" t="str">
        <f>Select_naics2022[[#This Row],[2022 NAICS Code]]&amp;":  "&amp;Select_naics2022[[#This Row],[2022 NAICS Title]]</f>
        <v xml:space="preserve">525920:  Trusts, Estates, and Agency Accounts </v>
      </c>
      <c r="AS738" s="656">
        <v>525920</v>
      </c>
      <c r="AT738" s="656" t="s">
        <v>1378</v>
      </c>
      <c r="AU738" s="656" t="str">
        <f>Select_naics2022[[#This Row],[2022 NAICS Title]]</f>
        <v xml:space="preserve">Trusts, Estates, and Agency Accounts </v>
      </c>
    </row>
    <row r="739" spans="44:47" x14ac:dyDescent="0.25">
      <c r="AR739" s="656" t="str">
        <f>Select_naics2022[[#This Row],[2022 NAICS Code]]&amp;":  "&amp;Select_naics2022[[#This Row],[2022 NAICS Title]]</f>
        <v xml:space="preserve">525990:  Other Financial Vehicles </v>
      </c>
      <c r="AS739" s="656">
        <v>525990</v>
      </c>
      <c r="AT739" s="656" t="s">
        <v>1379</v>
      </c>
      <c r="AU739" s="656" t="str">
        <f>Select_naics2022[[#This Row],[2022 NAICS Title]]</f>
        <v xml:space="preserve">Other Financial Vehicles </v>
      </c>
    </row>
    <row r="740" spans="44:47" x14ac:dyDescent="0.25">
      <c r="AR740" s="656" t="str">
        <f>Select_naics2022[[#This Row],[2022 NAICS Code]]&amp;":  "&amp;Select_naics2022[[#This Row],[2022 NAICS Title]]</f>
        <v xml:space="preserve">531110:  Lessors of Residential Buildings and Dwellings </v>
      </c>
      <c r="AS740" s="656">
        <v>531110</v>
      </c>
      <c r="AT740" s="656" t="s">
        <v>1380</v>
      </c>
      <c r="AU740" s="656" t="str">
        <f>Select_naics2022[[#This Row],[2022 NAICS Title]]</f>
        <v xml:space="preserve">Lessors of Residential Buildings and Dwellings </v>
      </c>
    </row>
    <row r="741" spans="44:47" x14ac:dyDescent="0.25">
      <c r="AR741" s="656" t="str">
        <f>Select_naics2022[[#This Row],[2022 NAICS Code]]&amp;":  "&amp;Select_naics2022[[#This Row],[2022 NAICS Title]]</f>
        <v xml:space="preserve">531120:  Lessors of Nonresidential Buildings (except Miniwarehouses) </v>
      </c>
      <c r="AS741" s="656">
        <v>531120</v>
      </c>
      <c r="AT741" s="656" t="s">
        <v>1381</v>
      </c>
      <c r="AU741" s="656" t="str">
        <f>Select_naics2022[[#This Row],[2022 NAICS Title]]</f>
        <v xml:space="preserve">Lessors of Nonresidential Buildings (except Miniwarehouses) </v>
      </c>
    </row>
    <row r="742" spans="44:47" x14ac:dyDescent="0.25">
      <c r="AR742" s="656" t="str">
        <f>Select_naics2022[[#This Row],[2022 NAICS Code]]&amp;":  "&amp;Select_naics2022[[#This Row],[2022 NAICS Title]]</f>
        <v xml:space="preserve">531130:  Lessors of Miniwarehouses and Self-Storage Units </v>
      </c>
      <c r="AS742" s="656">
        <v>531130</v>
      </c>
      <c r="AT742" s="656" t="s">
        <v>1382</v>
      </c>
      <c r="AU742" s="656" t="str">
        <f>Select_naics2022[[#This Row],[2022 NAICS Title]]</f>
        <v xml:space="preserve">Lessors of Miniwarehouses and Self-Storage Units </v>
      </c>
    </row>
    <row r="743" spans="44:47" x14ac:dyDescent="0.25">
      <c r="AR743" s="656" t="str">
        <f>Select_naics2022[[#This Row],[2022 NAICS Code]]&amp;":  "&amp;Select_naics2022[[#This Row],[2022 NAICS Title]]</f>
        <v xml:space="preserve">531190:  Lessors of Other Real Estate Property </v>
      </c>
      <c r="AS743" s="656">
        <v>531190</v>
      </c>
      <c r="AT743" s="656" t="s">
        <v>1383</v>
      </c>
      <c r="AU743" s="656" t="str">
        <f>Select_naics2022[[#This Row],[2022 NAICS Title]]</f>
        <v xml:space="preserve">Lessors of Other Real Estate Property </v>
      </c>
    </row>
    <row r="744" spans="44:47" x14ac:dyDescent="0.25">
      <c r="AR744" s="656" t="str">
        <f>Select_naics2022[[#This Row],[2022 NAICS Code]]&amp;":  "&amp;Select_naics2022[[#This Row],[2022 NAICS Title]]</f>
        <v>531210:  Offices of Real Estate Agents and Brokers</v>
      </c>
      <c r="AS744" s="656">
        <v>531210</v>
      </c>
      <c r="AT744" s="656" t="s">
        <v>1384</v>
      </c>
      <c r="AU744" s="656" t="str">
        <f>Select_naics2022[[#This Row],[2022 NAICS Title]]</f>
        <v>Offices of Real Estate Agents and Brokers</v>
      </c>
    </row>
    <row r="745" spans="44:47" x14ac:dyDescent="0.25">
      <c r="AR745" s="656" t="str">
        <f>Select_naics2022[[#This Row],[2022 NAICS Code]]&amp;":  "&amp;Select_naics2022[[#This Row],[2022 NAICS Title]]</f>
        <v xml:space="preserve">531311:  Residential Property Managers </v>
      </c>
      <c r="AS745" s="656">
        <v>531311</v>
      </c>
      <c r="AT745" s="656" t="s">
        <v>1385</v>
      </c>
      <c r="AU745" s="656" t="str">
        <f>Select_naics2022[[#This Row],[2022 NAICS Title]]</f>
        <v xml:space="preserve">Residential Property Managers </v>
      </c>
    </row>
    <row r="746" spans="44:47" x14ac:dyDescent="0.25">
      <c r="AR746" s="656" t="str">
        <f>Select_naics2022[[#This Row],[2022 NAICS Code]]&amp;":  "&amp;Select_naics2022[[#This Row],[2022 NAICS Title]]</f>
        <v xml:space="preserve">531312:  Nonresidential Property Managers </v>
      </c>
      <c r="AS746" s="656">
        <v>531312</v>
      </c>
      <c r="AT746" s="656" t="s">
        <v>1386</v>
      </c>
      <c r="AU746" s="656" t="str">
        <f>Select_naics2022[[#This Row],[2022 NAICS Title]]</f>
        <v xml:space="preserve">Nonresidential Property Managers </v>
      </c>
    </row>
    <row r="747" spans="44:47" x14ac:dyDescent="0.25">
      <c r="AR747" s="656" t="str">
        <f>Select_naics2022[[#This Row],[2022 NAICS Code]]&amp;":  "&amp;Select_naics2022[[#This Row],[2022 NAICS Title]]</f>
        <v xml:space="preserve">531320:  Offices of Real Estate Appraisers </v>
      </c>
      <c r="AS747" s="656">
        <v>531320</v>
      </c>
      <c r="AT747" s="656" t="s">
        <v>1387</v>
      </c>
      <c r="AU747" s="656" t="str">
        <f>Select_naics2022[[#This Row],[2022 NAICS Title]]</f>
        <v xml:space="preserve">Offices of Real Estate Appraisers </v>
      </c>
    </row>
    <row r="748" spans="44:47" x14ac:dyDescent="0.25">
      <c r="AR748" s="656" t="str">
        <f>Select_naics2022[[#This Row],[2022 NAICS Code]]&amp;":  "&amp;Select_naics2022[[#This Row],[2022 NAICS Title]]</f>
        <v xml:space="preserve">531390:  Other Activities Related to Real Estate </v>
      </c>
      <c r="AS748" s="656">
        <v>531390</v>
      </c>
      <c r="AT748" s="656" t="s">
        <v>1388</v>
      </c>
      <c r="AU748" s="656" t="str">
        <f>Select_naics2022[[#This Row],[2022 NAICS Title]]</f>
        <v xml:space="preserve">Other Activities Related to Real Estate </v>
      </c>
    </row>
    <row r="749" spans="44:47" x14ac:dyDescent="0.25">
      <c r="AR749" s="656" t="str">
        <f>Select_naics2022[[#This Row],[2022 NAICS Code]]&amp;":  "&amp;Select_naics2022[[#This Row],[2022 NAICS Title]]</f>
        <v xml:space="preserve">532111:  Passenger Car Rental </v>
      </c>
      <c r="AS749" s="656">
        <v>532111</v>
      </c>
      <c r="AT749" s="656" t="s">
        <v>1389</v>
      </c>
      <c r="AU749" s="656" t="str">
        <f>Select_naics2022[[#This Row],[2022 NAICS Title]]</f>
        <v xml:space="preserve">Passenger Car Rental </v>
      </c>
    </row>
    <row r="750" spans="44:47" x14ac:dyDescent="0.25">
      <c r="AR750" s="656" t="str">
        <f>Select_naics2022[[#This Row],[2022 NAICS Code]]&amp;":  "&amp;Select_naics2022[[#This Row],[2022 NAICS Title]]</f>
        <v xml:space="preserve">532112:  Passenger Car Leasing </v>
      </c>
      <c r="AS750" s="656">
        <v>532112</v>
      </c>
      <c r="AT750" s="656" t="s">
        <v>1390</v>
      </c>
      <c r="AU750" s="656" t="str">
        <f>Select_naics2022[[#This Row],[2022 NAICS Title]]</f>
        <v xml:space="preserve">Passenger Car Leasing </v>
      </c>
    </row>
    <row r="751" spans="44:47" x14ac:dyDescent="0.25">
      <c r="AR751" s="656" t="str">
        <f>Select_naics2022[[#This Row],[2022 NAICS Code]]&amp;":  "&amp;Select_naics2022[[#This Row],[2022 NAICS Title]]</f>
        <v xml:space="preserve">532120:  Truck, Utility Trailer, and RV (Recreational Vehicle) Rental and Leasing </v>
      </c>
      <c r="AS751" s="656">
        <v>532120</v>
      </c>
      <c r="AT751" s="656" t="s">
        <v>1391</v>
      </c>
      <c r="AU751" s="656" t="str">
        <f>Select_naics2022[[#This Row],[2022 NAICS Title]]</f>
        <v xml:space="preserve">Truck, Utility Trailer, and RV (Recreational Vehicle) Rental and Leasing </v>
      </c>
    </row>
    <row r="752" spans="44:47" x14ac:dyDescent="0.25">
      <c r="AR752" s="656" t="str">
        <f>Select_naics2022[[#This Row],[2022 NAICS Code]]&amp;":  "&amp;Select_naics2022[[#This Row],[2022 NAICS Title]]</f>
        <v>532210:  Consumer Electronics and Appliances Rental</v>
      </c>
      <c r="AS752" s="656">
        <v>532210</v>
      </c>
      <c r="AT752" s="656" t="s">
        <v>1392</v>
      </c>
      <c r="AU752" s="656" t="str">
        <f>Select_naics2022[[#This Row],[2022 NAICS Title]]</f>
        <v>Consumer Electronics and Appliances Rental</v>
      </c>
    </row>
    <row r="753" spans="44:47" x14ac:dyDescent="0.25">
      <c r="AR753" s="656" t="str">
        <f>Select_naics2022[[#This Row],[2022 NAICS Code]]&amp;":  "&amp;Select_naics2022[[#This Row],[2022 NAICS Title]]</f>
        <v>532281:  Formal Wear and Costume Rental</v>
      </c>
      <c r="AS753" s="656">
        <v>532281</v>
      </c>
      <c r="AT753" s="656" t="s">
        <v>1393</v>
      </c>
      <c r="AU753" s="656" t="str">
        <f>Select_naics2022[[#This Row],[2022 NAICS Title]]</f>
        <v>Formal Wear and Costume Rental</v>
      </c>
    </row>
    <row r="754" spans="44:47" x14ac:dyDescent="0.25">
      <c r="AR754" s="656" t="str">
        <f>Select_naics2022[[#This Row],[2022 NAICS Code]]&amp;":  "&amp;Select_naics2022[[#This Row],[2022 NAICS Title]]</f>
        <v>532282:  Video Tape and Disc Rental</v>
      </c>
      <c r="AS754" s="656">
        <v>532282</v>
      </c>
      <c r="AT754" s="656" t="s">
        <v>1394</v>
      </c>
      <c r="AU754" s="656" t="str">
        <f>Select_naics2022[[#This Row],[2022 NAICS Title]]</f>
        <v>Video Tape and Disc Rental</v>
      </c>
    </row>
    <row r="755" spans="44:47" x14ac:dyDescent="0.25">
      <c r="AR755" s="656" t="str">
        <f>Select_naics2022[[#This Row],[2022 NAICS Code]]&amp;":  "&amp;Select_naics2022[[#This Row],[2022 NAICS Title]]</f>
        <v xml:space="preserve">532283:  Home Health Equipment Rental </v>
      </c>
      <c r="AS755" s="656">
        <v>532283</v>
      </c>
      <c r="AT755" s="656" t="s">
        <v>1395</v>
      </c>
      <c r="AU755" s="656" t="str">
        <f>Select_naics2022[[#This Row],[2022 NAICS Title]]</f>
        <v xml:space="preserve">Home Health Equipment Rental </v>
      </c>
    </row>
    <row r="756" spans="44:47" x14ac:dyDescent="0.25">
      <c r="AR756" s="656" t="str">
        <f>Select_naics2022[[#This Row],[2022 NAICS Code]]&amp;":  "&amp;Select_naics2022[[#This Row],[2022 NAICS Title]]</f>
        <v xml:space="preserve">532284:  Recreational Goods Rental </v>
      </c>
      <c r="AS756" s="656">
        <v>532284</v>
      </c>
      <c r="AT756" s="656" t="s">
        <v>1396</v>
      </c>
      <c r="AU756" s="656" t="str">
        <f>Select_naics2022[[#This Row],[2022 NAICS Title]]</f>
        <v xml:space="preserve">Recreational Goods Rental </v>
      </c>
    </row>
    <row r="757" spans="44:47" x14ac:dyDescent="0.25">
      <c r="AR757" s="656" t="str">
        <f>Select_naics2022[[#This Row],[2022 NAICS Code]]&amp;":  "&amp;Select_naics2022[[#This Row],[2022 NAICS Title]]</f>
        <v xml:space="preserve">532289:  All Other Consumer Goods Rental </v>
      </c>
      <c r="AS757" s="656">
        <v>532289</v>
      </c>
      <c r="AT757" s="656" t="s">
        <v>1397</v>
      </c>
      <c r="AU757" s="656" t="str">
        <f>Select_naics2022[[#This Row],[2022 NAICS Title]]</f>
        <v xml:space="preserve">All Other Consumer Goods Rental </v>
      </c>
    </row>
    <row r="758" spans="44:47" x14ac:dyDescent="0.25">
      <c r="AR758" s="656" t="str">
        <f>Select_naics2022[[#This Row],[2022 NAICS Code]]&amp;":  "&amp;Select_naics2022[[#This Row],[2022 NAICS Title]]</f>
        <v>532310:  General Rental Centers</v>
      </c>
      <c r="AS758" s="656">
        <v>532310</v>
      </c>
      <c r="AT758" s="656" t="s">
        <v>1398</v>
      </c>
      <c r="AU758" s="656" t="str">
        <f>Select_naics2022[[#This Row],[2022 NAICS Title]]</f>
        <v>General Rental Centers</v>
      </c>
    </row>
    <row r="759" spans="44:47" x14ac:dyDescent="0.25">
      <c r="AR759" s="656" t="str">
        <f>Select_naics2022[[#This Row],[2022 NAICS Code]]&amp;":  "&amp;Select_naics2022[[#This Row],[2022 NAICS Title]]</f>
        <v xml:space="preserve">532411:  Commercial Air, Rail, and Water Transportation Equipment Rental and Leasing </v>
      </c>
      <c r="AS759" s="656">
        <v>532411</v>
      </c>
      <c r="AT759" s="656" t="s">
        <v>1399</v>
      </c>
      <c r="AU759" s="656" t="str">
        <f>Select_naics2022[[#This Row],[2022 NAICS Title]]</f>
        <v xml:space="preserve">Commercial Air, Rail, and Water Transportation Equipment Rental and Leasing </v>
      </c>
    </row>
    <row r="760" spans="44:47" x14ac:dyDescent="0.25">
      <c r="AR760" s="656" t="str">
        <f>Select_naics2022[[#This Row],[2022 NAICS Code]]&amp;":  "&amp;Select_naics2022[[#This Row],[2022 NAICS Title]]</f>
        <v xml:space="preserve">532412:  Construction, Mining, and Forestry Machinery and Equipment Rental and Leasing </v>
      </c>
      <c r="AS760" s="656">
        <v>532412</v>
      </c>
      <c r="AT760" s="656" t="s">
        <v>1400</v>
      </c>
      <c r="AU760" s="656" t="str">
        <f>Select_naics2022[[#This Row],[2022 NAICS Title]]</f>
        <v xml:space="preserve">Construction, Mining, and Forestry Machinery and Equipment Rental and Leasing </v>
      </c>
    </row>
    <row r="761" spans="44:47" x14ac:dyDescent="0.25">
      <c r="AR761" s="656" t="str">
        <f>Select_naics2022[[#This Row],[2022 NAICS Code]]&amp;":  "&amp;Select_naics2022[[#This Row],[2022 NAICS Title]]</f>
        <v>532420:  Office Machinery and Equipment Rental and Leasing</v>
      </c>
      <c r="AS761" s="656">
        <v>532420</v>
      </c>
      <c r="AT761" s="656" t="s">
        <v>1401</v>
      </c>
      <c r="AU761" s="656" t="str">
        <f>Select_naics2022[[#This Row],[2022 NAICS Title]]</f>
        <v>Office Machinery and Equipment Rental and Leasing</v>
      </c>
    </row>
    <row r="762" spans="44:47" x14ac:dyDescent="0.25">
      <c r="AR762" s="656" t="str">
        <f>Select_naics2022[[#This Row],[2022 NAICS Code]]&amp;":  "&amp;Select_naics2022[[#This Row],[2022 NAICS Title]]</f>
        <v xml:space="preserve">532490:  Other Commercial and Industrial Machinery and Equipment Rental and Leasing </v>
      </c>
      <c r="AS762" s="656">
        <v>532490</v>
      </c>
      <c r="AT762" s="656" t="s">
        <v>1402</v>
      </c>
      <c r="AU762" s="656" t="str">
        <f>Select_naics2022[[#This Row],[2022 NAICS Title]]</f>
        <v xml:space="preserve">Other Commercial and Industrial Machinery and Equipment Rental and Leasing </v>
      </c>
    </row>
    <row r="763" spans="44:47" x14ac:dyDescent="0.25">
      <c r="AR763" s="656" t="str">
        <f>Select_naics2022[[#This Row],[2022 NAICS Code]]&amp;":  "&amp;Select_naics2022[[#This Row],[2022 NAICS Title]]</f>
        <v>533110:  Lessors of Nonfinancial Intangible Assets (except Copyrighted Works)</v>
      </c>
      <c r="AS763" s="656">
        <v>533110</v>
      </c>
      <c r="AT763" s="656" t="s">
        <v>1403</v>
      </c>
      <c r="AU763" s="656" t="str">
        <f>Select_naics2022[[#This Row],[2022 NAICS Title]]</f>
        <v>Lessors of Nonfinancial Intangible Assets (except Copyrighted Works)</v>
      </c>
    </row>
    <row r="764" spans="44:47" x14ac:dyDescent="0.25">
      <c r="AR764" s="656" t="str">
        <f>Select_naics2022[[#This Row],[2022 NAICS Code]]&amp;":  "&amp;Select_naics2022[[#This Row],[2022 NAICS Title]]</f>
        <v>541110:  Offices of Lawyers</v>
      </c>
      <c r="AS764" s="656">
        <v>541110</v>
      </c>
      <c r="AT764" s="656" t="s">
        <v>1404</v>
      </c>
      <c r="AU764" s="656" t="str">
        <f>Select_naics2022[[#This Row],[2022 NAICS Title]]</f>
        <v>Offices of Lawyers</v>
      </c>
    </row>
    <row r="765" spans="44:47" x14ac:dyDescent="0.25">
      <c r="AR765" s="656" t="str">
        <f>Select_naics2022[[#This Row],[2022 NAICS Code]]&amp;":  "&amp;Select_naics2022[[#This Row],[2022 NAICS Title]]</f>
        <v>541120:  Offices of Notaries</v>
      </c>
      <c r="AS765" s="656">
        <v>541120</v>
      </c>
      <c r="AT765" s="656" t="s">
        <v>1405</v>
      </c>
      <c r="AU765" s="656" t="str">
        <f>Select_naics2022[[#This Row],[2022 NAICS Title]]</f>
        <v>Offices of Notaries</v>
      </c>
    </row>
    <row r="766" spans="44:47" x14ac:dyDescent="0.25">
      <c r="AR766" s="656" t="str">
        <f>Select_naics2022[[#This Row],[2022 NAICS Code]]&amp;":  "&amp;Select_naics2022[[#This Row],[2022 NAICS Title]]</f>
        <v xml:space="preserve">541191:  Title Abstract and Settlement Offices </v>
      </c>
      <c r="AS766" s="656">
        <v>541191</v>
      </c>
      <c r="AT766" s="656" t="s">
        <v>1406</v>
      </c>
      <c r="AU766" s="656" t="str">
        <f>Select_naics2022[[#This Row],[2022 NAICS Title]]</f>
        <v xml:space="preserve">Title Abstract and Settlement Offices </v>
      </c>
    </row>
    <row r="767" spans="44:47" x14ac:dyDescent="0.25">
      <c r="AR767" s="656" t="str">
        <f>Select_naics2022[[#This Row],[2022 NAICS Code]]&amp;":  "&amp;Select_naics2022[[#This Row],[2022 NAICS Title]]</f>
        <v xml:space="preserve">541199:  All Other Legal Services </v>
      </c>
      <c r="AS767" s="656">
        <v>541199</v>
      </c>
      <c r="AT767" s="656" t="s">
        <v>1407</v>
      </c>
      <c r="AU767" s="656" t="str">
        <f>Select_naics2022[[#This Row],[2022 NAICS Title]]</f>
        <v xml:space="preserve">All Other Legal Services </v>
      </c>
    </row>
    <row r="768" spans="44:47" x14ac:dyDescent="0.25">
      <c r="AR768" s="656" t="str">
        <f>Select_naics2022[[#This Row],[2022 NAICS Code]]&amp;":  "&amp;Select_naics2022[[#This Row],[2022 NAICS Title]]</f>
        <v xml:space="preserve">541211:  Offices of Certified Public Accountants </v>
      </c>
      <c r="AS768" s="656">
        <v>541211</v>
      </c>
      <c r="AT768" s="656" t="s">
        <v>1408</v>
      </c>
      <c r="AU768" s="656" t="str">
        <f>Select_naics2022[[#This Row],[2022 NAICS Title]]</f>
        <v xml:space="preserve">Offices of Certified Public Accountants </v>
      </c>
    </row>
    <row r="769" spans="44:47" x14ac:dyDescent="0.25">
      <c r="AR769" s="656" t="str">
        <f>Select_naics2022[[#This Row],[2022 NAICS Code]]&amp;":  "&amp;Select_naics2022[[#This Row],[2022 NAICS Title]]</f>
        <v xml:space="preserve">541213:  Tax Preparation Services </v>
      </c>
      <c r="AS769" s="656">
        <v>541213</v>
      </c>
      <c r="AT769" s="656" t="s">
        <v>1409</v>
      </c>
      <c r="AU769" s="656" t="str">
        <f>Select_naics2022[[#This Row],[2022 NAICS Title]]</f>
        <v xml:space="preserve">Tax Preparation Services </v>
      </c>
    </row>
    <row r="770" spans="44:47" x14ac:dyDescent="0.25">
      <c r="AR770" s="656" t="str">
        <f>Select_naics2022[[#This Row],[2022 NAICS Code]]&amp;":  "&amp;Select_naics2022[[#This Row],[2022 NAICS Title]]</f>
        <v xml:space="preserve">541214:  Payroll Services </v>
      </c>
      <c r="AS770" s="656">
        <v>541214</v>
      </c>
      <c r="AT770" s="656" t="s">
        <v>1410</v>
      </c>
      <c r="AU770" s="656" t="str">
        <f>Select_naics2022[[#This Row],[2022 NAICS Title]]</f>
        <v xml:space="preserve">Payroll Services </v>
      </c>
    </row>
    <row r="771" spans="44:47" x14ac:dyDescent="0.25">
      <c r="AR771" s="656" t="str">
        <f>Select_naics2022[[#This Row],[2022 NAICS Code]]&amp;":  "&amp;Select_naics2022[[#This Row],[2022 NAICS Title]]</f>
        <v xml:space="preserve">541219:  Other Accounting Services </v>
      </c>
      <c r="AS771" s="656">
        <v>541219</v>
      </c>
      <c r="AT771" s="656" t="s">
        <v>1411</v>
      </c>
      <c r="AU771" s="656" t="str">
        <f>Select_naics2022[[#This Row],[2022 NAICS Title]]</f>
        <v xml:space="preserve">Other Accounting Services </v>
      </c>
    </row>
    <row r="772" spans="44:47" x14ac:dyDescent="0.25">
      <c r="AR772" s="656" t="str">
        <f>Select_naics2022[[#This Row],[2022 NAICS Code]]&amp;":  "&amp;Select_naics2022[[#This Row],[2022 NAICS Title]]</f>
        <v>541310:  Architectural Services</v>
      </c>
      <c r="AS772" s="656">
        <v>541310</v>
      </c>
      <c r="AT772" s="656" t="s">
        <v>1412</v>
      </c>
      <c r="AU772" s="656" t="str">
        <f>Select_naics2022[[#This Row],[2022 NAICS Title]]</f>
        <v>Architectural Services</v>
      </c>
    </row>
    <row r="773" spans="44:47" x14ac:dyDescent="0.25">
      <c r="AR773" s="656" t="str">
        <f>Select_naics2022[[#This Row],[2022 NAICS Code]]&amp;":  "&amp;Select_naics2022[[#This Row],[2022 NAICS Title]]</f>
        <v>541320:  Landscape Architectural Services</v>
      </c>
      <c r="AS773" s="656">
        <v>541320</v>
      </c>
      <c r="AT773" s="656" t="s">
        <v>1413</v>
      </c>
      <c r="AU773" s="656" t="str">
        <f>Select_naics2022[[#This Row],[2022 NAICS Title]]</f>
        <v>Landscape Architectural Services</v>
      </c>
    </row>
    <row r="774" spans="44:47" x14ac:dyDescent="0.25">
      <c r="AR774" s="656" t="str">
        <f>Select_naics2022[[#This Row],[2022 NAICS Code]]&amp;":  "&amp;Select_naics2022[[#This Row],[2022 NAICS Title]]</f>
        <v>541330:  Engineering Services</v>
      </c>
      <c r="AS774" s="656">
        <v>541330</v>
      </c>
      <c r="AT774" s="656" t="s">
        <v>1414</v>
      </c>
      <c r="AU774" s="656" t="str">
        <f>Select_naics2022[[#This Row],[2022 NAICS Title]]</f>
        <v>Engineering Services</v>
      </c>
    </row>
    <row r="775" spans="44:47" x14ac:dyDescent="0.25">
      <c r="AR775" s="656" t="str">
        <f>Select_naics2022[[#This Row],[2022 NAICS Code]]&amp;":  "&amp;Select_naics2022[[#This Row],[2022 NAICS Title]]</f>
        <v>541340:  Drafting Services</v>
      </c>
      <c r="AS775" s="656">
        <v>541340</v>
      </c>
      <c r="AT775" s="656" t="s">
        <v>1415</v>
      </c>
      <c r="AU775" s="656" t="str">
        <f>Select_naics2022[[#This Row],[2022 NAICS Title]]</f>
        <v>Drafting Services</v>
      </c>
    </row>
    <row r="776" spans="44:47" x14ac:dyDescent="0.25">
      <c r="AR776" s="656" t="str">
        <f>Select_naics2022[[#This Row],[2022 NAICS Code]]&amp;":  "&amp;Select_naics2022[[#This Row],[2022 NAICS Title]]</f>
        <v>541350:  Building Inspection Services</v>
      </c>
      <c r="AS776" s="656">
        <v>541350</v>
      </c>
      <c r="AT776" s="656" t="s">
        <v>1416</v>
      </c>
      <c r="AU776" s="656" t="str">
        <f>Select_naics2022[[#This Row],[2022 NAICS Title]]</f>
        <v>Building Inspection Services</v>
      </c>
    </row>
    <row r="777" spans="44:47" x14ac:dyDescent="0.25">
      <c r="AR777" s="656" t="str">
        <f>Select_naics2022[[#This Row],[2022 NAICS Code]]&amp;":  "&amp;Select_naics2022[[#This Row],[2022 NAICS Title]]</f>
        <v>541360:  Geophysical Surveying and Mapping Services</v>
      </c>
      <c r="AS777" s="656">
        <v>541360</v>
      </c>
      <c r="AT777" s="656" t="s">
        <v>1417</v>
      </c>
      <c r="AU777" s="656" t="str">
        <f>Select_naics2022[[#This Row],[2022 NAICS Title]]</f>
        <v>Geophysical Surveying and Mapping Services</v>
      </c>
    </row>
    <row r="778" spans="44:47" x14ac:dyDescent="0.25">
      <c r="AR778" s="656" t="str">
        <f>Select_naics2022[[#This Row],[2022 NAICS Code]]&amp;":  "&amp;Select_naics2022[[#This Row],[2022 NAICS Title]]</f>
        <v>541370:  Surveying and Mapping (except Geophysical) Services</v>
      </c>
      <c r="AS778" s="656">
        <v>541370</v>
      </c>
      <c r="AT778" s="656" t="s">
        <v>1418</v>
      </c>
      <c r="AU778" s="656" t="str">
        <f>Select_naics2022[[#This Row],[2022 NAICS Title]]</f>
        <v>Surveying and Mapping (except Geophysical) Services</v>
      </c>
    </row>
    <row r="779" spans="44:47" x14ac:dyDescent="0.25">
      <c r="AR779" s="656" t="str">
        <f>Select_naics2022[[#This Row],[2022 NAICS Code]]&amp;":  "&amp;Select_naics2022[[#This Row],[2022 NAICS Title]]</f>
        <v>541380:  Testing Laboratories and Services</v>
      </c>
      <c r="AS779" s="656">
        <v>541380</v>
      </c>
      <c r="AT779" s="656" t="s">
        <v>1419</v>
      </c>
      <c r="AU779" s="656" t="str">
        <f>Select_naics2022[[#This Row],[2022 NAICS Title]]</f>
        <v>Testing Laboratories and Services</v>
      </c>
    </row>
    <row r="780" spans="44:47" x14ac:dyDescent="0.25">
      <c r="AR780" s="656" t="str">
        <f>Select_naics2022[[#This Row],[2022 NAICS Code]]&amp;":  "&amp;Select_naics2022[[#This Row],[2022 NAICS Title]]</f>
        <v>541410:  Interior Design Services</v>
      </c>
      <c r="AS780" s="656">
        <v>541410</v>
      </c>
      <c r="AT780" s="656" t="s">
        <v>1420</v>
      </c>
      <c r="AU780" s="656" t="str">
        <f>Select_naics2022[[#This Row],[2022 NAICS Title]]</f>
        <v>Interior Design Services</v>
      </c>
    </row>
    <row r="781" spans="44:47" x14ac:dyDescent="0.25">
      <c r="AR781" s="656" t="str">
        <f>Select_naics2022[[#This Row],[2022 NAICS Code]]&amp;":  "&amp;Select_naics2022[[#This Row],[2022 NAICS Title]]</f>
        <v>541420:  Industrial Design Services</v>
      </c>
      <c r="AS781" s="656">
        <v>541420</v>
      </c>
      <c r="AT781" s="656" t="s">
        <v>1421</v>
      </c>
      <c r="AU781" s="656" t="str">
        <f>Select_naics2022[[#This Row],[2022 NAICS Title]]</f>
        <v>Industrial Design Services</v>
      </c>
    </row>
    <row r="782" spans="44:47" x14ac:dyDescent="0.25">
      <c r="AR782" s="656" t="str">
        <f>Select_naics2022[[#This Row],[2022 NAICS Code]]&amp;":  "&amp;Select_naics2022[[#This Row],[2022 NAICS Title]]</f>
        <v>541430:  Graphic Design Services</v>
      </c>
      <c r="AS782" s="656">
        <v>541430</v>
      </c>
      <c r="AT782" s="656" t="s">
        <v>1422</v>
      </c>
      <c r="AU782" s="656" t="str">
        <f>Select_naics2022[[#This Row],[2022 NAICS Title]]</f>
        <v>Graphic Design Services</v>
      </c>
    </row>
    <row r="783" spans="44:47" x14ac:dyDescent="0.25">
      <c r="AR783" s="656" t="str">
        <f>Select_naics2022[[#This Row],[2022 NAICS Code]]&amp;":  "&amp;Select_naics2022[[#This Row],[2022 NAICS Title]]</f>
        <v>541490:  Other Specialized Design Services</v>
      </c>
      <c r="AS783" s="656">
        <v>541490</v>
      </c>
      <c r="AT783" s="656" t="s">
        <v>1423</v>
      </c>
      <c r="AU783" s="656" t="str">
        <f>Select_naics2022[[#This Row],[2022 NAICS Title]]</f>
        <v>Other Specialized Design Services</v>
      </c>
    </row>
    <row r="784" spans="44:47" x14ac:dyDescent="0.25">
      <c r="AR784" s="656" t="str">
        <f>Select_naics2022[[#This Row],[2022 NAICS Code]]&amp;":  "&amp;Select_naics2022[[#This Row],[2022 NAICS Title]]</f>
        <v xml:space="preserve">541511:  Custom Computer Programming Services </v>
      </c>
      <c r="AS784" s="656">
        <v>541511</v>
      </c>
      <c r="AT784" s="656" t="s">
        <v>1424</v>
      </c>
      <c r="AU784" s="656" t="str">
        <f>Select_naics2022[[#This Row],[2022 NAICS Title]]</f>
        <v xml:space="preserve">Custom Computer Programming Services </v>
      </c>
    </row>
    <row r="785" spans="44:47" x14ac:dyDescent="0.25">
      <c r="AR785" s="656" t="str">
        <f>Select_naics2022[[#This Row],[2022 NAICS Code]]&amp;":  "&amp;Select_naics2022[[#This Row],[2022 NAICS Title]]</f>
        <v xml:space="preserve">541512:  Computer Systems Design Services </v>
      </c>
      <c r="AS785" s="656">
        <v>541512</v>
      </c>
      <c r="AT785" s="656" t="s">
        <v>1425</v>
      </c>
      <c r="AU785" s="656" t="str">
        <f>Select_naics2022[[#This Row],[2022 NAICS Title]]</f>
        <v xml:space="preserve">Computer Systems Design Services </v>
      </c>
    </row>
    <row r="786" spans="44:47" x14ac:dyDescent="0.25">
      <c r="AR786" s="656" t="str">
        <f>Select_naics2022[[#This Row],[2022 NAICS Code]]&amp;":  "&amp;Select_naics2022[[#This Row],[2022 NAICS Title]]</f>
        <v xml:space="preserve">541513:  Computer Facilities Management Services </v>
      </c>
      <c r="AS786" s="656">
        <v>541513</v>
      </c>
      <c r="AT786" s="656" t="s">
        <v>1426</v>
      </c>
      <c r="AU786" s="656" t="str">
        <f>Select_naics2022[[#This Row],[2022 NAICS Title]]</f>
        <v xml:space="preserve">Computer Facilities Management Services </v>
      </c>
    </row>
    <row r="787" spans="44:47" x14ac:dyDescent="0.25">
      <c r="AR787" s="656" t="str">
        <f>Select_naics2022[[#This Row],[2022 NAICS Code]]&amp;":  "&amp;Select_naics2022[[#This Row],[2022 NAICS Title]]</f>
        <v>541519:  Other Computer Related Services</v>
      </c>
      <c r="AS787" s="656">
        <v>541519</v>
      </c>
      <c r="AT787" s="656" t="s">
        <v>1427</v>
      </c>
      <c r="AU787" s="656" t="str">
        <f>Select_naics2022[[#This Row],[2022 NAICS Title]]</f>
        <v>Other Computer Related Services</v>
      </c>
    </row>
    <row r="788" spans="44:47" x14ac:dyDescent="0.25">
      <c r="AR788" s="656" t="str">
        <f>Select_naics2022[[#This Row],[2022 NAICS Code]]&amp;":  "&amp;Select_naics2022[[#This Row],[2022 NAICS Title]]</f>
        <v xml:space="preserve">541611:  Administrative Management and General Management Consulting Services </v>
      </c>
      <c r="AS788" s="656">
        <v>541611</v>
      </c>
      <c r="AT788" s="656" t="s">
        <v>1428</v>
      </c>
      <c r="AU788" s="656" t="str">
        <f>Select_naics2022[[#This Row],[2022 NAICS Title]]</f>
        <v xml:space="preserve">Administrative Management and General Management Consulting Services </v>
      </c>
    </row>
    <row r="789" spans="44:47" x14ac:dyDescent="0.25">
      <c r="AR789" s="656" t="str">
        <f>Select_naics2022[[#This Row],[2022 NAICS Code]]&amp;":  "&amp;Select_naics2022[[#This Row],[2022 NAICS Title]]</f>
        <v xml:space="preserve">541612:  Human Resources Consulting Services </v>
      </c>
      <c r="AS789" s="656">
        <v>541612</v>
      </c>
      <c r="AT789" s="656" t="s">
        <v>1429</v>
      </c>
      <c r="AU789" s="656" t="str">
        <f>Select_naics2022[[#This Row],[2022 NAICS Title]]</f>
        <v xml:space="preserve">Human Resources Consulting Services </v>
      </c>
    </row>
    <row r="790" spans="44:47" x14ac:dyDescent="0.25">
      <c r="AR790" s="656" t="str">
        <f>Select_naics2022[[#This Row],[2022 NAICS Code]]&amp;":  "&amp;Select_naics2022[[#This Row],[2022 NAICS Title]]</f>
        <v xml:space="preserve">541613:  Marketing Consulting Services </v>
      </c>
      <c r="AS790" s="656">
        <v>541613</v>
      </c>
      <c r="AT790" s="656" t="s">
        <v>1430</v>
      </c>
      <c r="AU790" s="656" t="str">
        <f>Select_naics2022[[#This Row],[2022 NAICS Title]]</f>
        <v xml:space="preserve">Marketing Consulting Services </v>
      </c>
    </row>
    <row r="791" spans="44:47" x14ac:dyDescent="0.25">
      <c r="AR791" s="656" t="str">
        <f>Select_naics2022[[#This Row],[2022 NAICS Code]]&amp;":  "&amp;Select_naics2022[[#This Row],[2022 NAICS Title]]</f>
        <v xml:space="preserve">541614:  Process, Physical Distribution, and Logistics Consulting Services </v>
      </c>
      <c r="AS791" s="656">
        <v>541614</v>
      </c>
      <c r="AT791" s="656" t="s">
        <v>1431</v>
      </c>
      <c r="AU791" s="656" t="str">
        <f>Select_naics2022[[#This Row],[2022 NAICS Title]]</f>
        <v xml:space="preserve">Process, Physical Distribution, and Logistics Consulting Services </v>
      </c>
    </row>
    <row r="792" spans="44:47" x14ac:dyDescent="0.25">
      <c r="AR792" s="656" t="str">
        <f>Select_naics2022[[#This Row],[2022 NAICS Code]]&amp;":  "&amp;Select_naics2022[[#This Row],[2022 NAICS Title]]</f>
        <v xml:space="preserve">541618:  Other Management Consulting Services </v>
      </c>
      <c r="AS792" s="656">
        <v>541618</v>
      </c>
      <c r="AT792" s="656" t="s">
        <v>1432</v>
      </c>
      <c r="AU792" s="656" t="str">
        <f>Select_naics2022[[#This Row],[2022 NAICS Title]]</f>
        <v xml:space="preserve">Other Management Consulting Services </v>
      </c>
    </row>
    <row r="793" spans="44:47" x14ac:dyDescent="0.25">
      <c r="AR793" s="656" t="str">
        <f>Select_naics2022[[#This Row],[2022 NAICS Code]]&amp;":  "&amp;Select_naics2022[[#This Row],[2022 NAICS Title]]</f>
        <v>541620:  Environmental Consulting Services</v>
      </c>
      <c r="AS793" s="656">
        <v>541620</v>
      </c>
      <c r="AT793" s="656" t="s">
        <v>1433</v>
      </c>
      <c r="AU793" s="656" t="str">
        <f>Select_naics2022[[#This Row],[2022 NAICS Title]]</f>
        <v>Environmental Consulting Services</v>
      </c>
    </row>
    <row r="794" spans="44:47" x14ac:dyDescent="0.25">
      <c r="AR794" s="656" t="str">
        <f>Select_naics2022[[#This Row],[2022 NAICS Code]]&amp;":  "&amp;Select_naics2022[[#This Row],[2022 NAICS Title]]</f>
        <v>541690:  Other Scientific and Technical Consulting Services</v>
      </c>
      <c r="AS794" s="656">
        <v>541690</v>
      </c>
      <c r="AT794" s="656" t="s">
        <v>1434</v>
      </c>
      <c r="AU794" s="656" t="str">
        <f>Select_naics2022[[#This Row],[2022 NAICS Title]]</f>
        <v>Other Scientific and Technical Consulting Services</v>
      </c>
    </row>
    <row r="795" spans="44:47" x14ac:dyDescent="0.25">
      <c r="AR795" s="656" t="str">
        <f>Select_naics2022[[#This Row],[2022 NAICS Code]]&amp;":  "&amp;Select_naics2022[[#This Row],[2022 NAICS Title]]</f>
        <v xml:space="preserve">541713:  Research and Development in Nanotechnology </v>
      </c>
      <c r="AS795" s="656">
        <v>541713</v>
      </c>
      <c r="AT795" s="656" t="s">
        <v>1435</v>
      </c>
      <c r="AU795" s="656" t="str">
        <f>Select_naics2022[[#This Row],[2022 NAICS Title]]</f>
        <v xml:space="preserve">Research and Development in Nanotechnology </v>
      </c>
    </row>
    <row r="796" spans="44:47" x14ac:dyDescent="0.25">
      <c r="AR796" s="656" t="str">
        <f>Select_naics2022[[#This Row],[2022 NAICS Code]]&amp;":  "&amp;Select_naics2022[[#This Row],[2022 NAICS Title]]</f>
        <v>541714:  Research and Development in Biotechnology (except Nanobiotechnology)</v>
      </c>
      <c r="AS796" s="656">
        <v>541714</v>
      </c>
      <c r="AT796" s="656" t="s">
        <v>1436</v>
      </c>
      <c r="AU796" s="656" t="str">
        <f>Select_naics2022[[#This Row],[2022 NAICS Title]]</f>
        <v>Research and Development in Biotechnology (except Nanobiotechnology)</v>
      </c>
    </row>
    <row r="797" spans="44:47" x14ac:dyDescent="0.25">
      <c r="AR797" s="656" t="str">
        <f>Select_naics2022[[#This Row],[2022 NAICS Code]]&amp;":  "&amp;Select_naics2022[[#This Row],[2022 NAICS Title]]</f>
        <v xml:space="preserve">541715:  Research and Development in the Physical, Engineering, and Life Sciences (except Nanotechnology and Biotechnology) </v>
      </c>
      <c r="AS797" s="656">
        <v>541715</v>
      </c>
      <c r="AT797" s="656" t="s">
        <v>1437</v>
      </c>
      <c r="AU797" s="656" t="str">
        <f>Select_naics2022[[#This Row],[2022 NAICS Title]]</f>
        <v xml:space="preserve">Research and Development in the Physical, Engineering, and Life Sciences (except Nanotechnology and Biotechnology) </v>
      </c>
    </row>
    <row r="798" spans="44:47" x14ac:dyDescent="0.25">
      <c r="AR798" s="656" t="str">
        <f>Select_naics2022[[#This Row],[2022 NAICS Code]]&amp;":  "&amp;Select_naics2022[[#This Row],[2022 NAICS Title]]</f>
        <v xml:space="preserve">541720:  Research and Development in the Social Sciences and Humanities </v>
      </c>
      <c r="AS798" s="656">
        <v>541720</v>
      </c>
      <c r="AT798" s="656" t="s">
        <v>1438</v>
      </c>
      <c r="AU798" s="656" t="str">
        <f>Select_naics2022[[#This Row],[2022 NAICS Title]]</f>
        <v xml:space="preserve">Research and Development in the Social Sciences and Humanities </v>
      </c>
    </row>
    <row r="799" spans="44:47" x14ac:dyDescent="0.25">
      <c r="AR799" s="656" t="str">
        <f>Select_naics2022[[#This Row],[2022 NAICS Code]]&amp;":  "&amp;Select_naics2022[[#This Row],[2022 NAICS Title]]</f>
        <v>541810:  Advertising Agencies</v>
      </c>
      <c r="AS799" s="656">
        <v>541810</v>
      </c>
      <c r="AT799" s="656" t="s">
        <v>1439</v>
      </c>
      <c r="AU799" s="656" t="str">
        <f>Select_naics2022[[#This Row],[2022 NAICS Title]]</f>
        <v>Advertising Agencies</v>
      </c>
    </row>
    <row r="800" spans="44:47" x14ac:dyDescent="0.25">
      <c r="AR800" s="656" t="str">
        <f>Select_naics2022[[#This Row],[2022 NAICS Code]]&amp;":  "&amp;Select_naics2022[[#This Row],[2022 NAICS Title]]</f>
        <v>541820:  Public Relations Agencies</v>
      </c>
      <c r="AS800" s="656">
        <v>541820</v>
      </c>
      <c r="AT800" s="656" t="s">
        <v>1440</v>
      </c>
      <c r="AU800" s="656" t="str">
        <f>Select_naics2022[[#This Row],[2022 NAICS Title]]</f>
        <v>Public Relations Agencies</v>
      </c>
    </row>
    <row r="801" spans="44:47" x14ac:dyDescent="0.25">
      <c r="AR801" s="656" t="str">
        <f>Select_naics2022[[#This Row],[2022 NAICS Code]]&amp;":  "&amp;Select_naics2022[[#This Row],[2022 NAICS Title]]</f>
        <v>541830:  Media Buying Agencies</v>
      </c>
      <c r="AS801" s="656">
        <v>541830</v>
      </c>
      <c r="AT801" s="656" t="s">
        <v>1441</v>
      </c>
      <c r="AU801" s="656" t="str">
        <f>Select_naics2022[[#This Row],[2022 NAICS Title]]</f>
        <v>Media Buying Agencies</v>
      </c>
    </row>
    <row r="802" spans="44:47" x14ac:dyDescent="0.25">
      <c r="AR802" s="656" t="str">
        <f>Select_naics2022[[#This Row],[2022 NAICS Code]]&amp;":  "&amp;Select_naics2022[[#This Row],[2022 NAICS Title]]</f>
        <v>541840:  Media Representatives</v>
      </c>
      <c r="AS802" s="656">
        <v>541840</v>
      </c>
      <c r="AT802" s="656" t="s">
        <v>1442</v>
      </c>
      <c r="AU802" s="656" t="str">
        <f>Select_naics2022[[#This Row],[2022 NAICS Title]]</f>
        <v>Media Representatives</v>
      </c>
    </row>
    <row r="803" spans="44:47" x14ac:dyDescent="0.25">
      <c r="AR803" s="656" t="str">
        <f>Select_naics2022[[#This Row],[2022 NAICS Code]]&amp;":  "&amp;Select_naics2022[[#This Row],[2022 NAICS Title]]</f>
        <v>541850:  Indoor and Outdoor Display Advertising</v>
      </c>
      <c r="AS803" s="656">
        <v>541850</v>
      </c>
      <c r="AT803" s="656" t="s">
        <v>1443</v>
      </c>
      <c r="AU803" s="656" t="str">
        <f>Select_naics2022[[#This Row],[2022 NAICS Title]]</f>
        <v>Indoor and Outdoor Display Advertising</v>
      </c>
    </row>
    <row r="804" spans="44:47" x14ac:dyDescent="0.25">
      <c r="AR804" s="656" t="str">
        <f>Select_naics2022[[#This Row],[2022 NAICS Code]]&amp;":  "&amp;Select_naics2022[[#This Row],[2022 NAICS Title]]</f>
        <v>541860:  Direct Mail Advertising</v>
      </c>
      <c r="AS804" s="656">
        <v>541860</v>
      </c>
      <c r="AT804" s="656" t="s">
        <v>1444</v>
      </c>
      <c r="AU804" s="656" t="str">
        <f>Select_naics2022[[#This Row],[2022 NAICS Title]]</f>
        <v>Direct Mail Advertising</v>
      </c>
    </row>
    <row r="805" spans="44:47" x14ac:dyDescent="0.25">
      <c r="AR805" s="656" t="str">
        <f>Select_naics2022[[#This Row],[2022 NAICS Code]]&amp;":  "&amp;Select_naics2022[[#This Row],[2022 NAICS Title]]</f>
        <v>541870:  Advertising Material Distribution Services</v>
      </c>
      <c r="AS805" s="656">
        <v>541870</v>
      </c>
      <c r="AT805" s="656" t="s">
        <v>1445</v>
      </c>
      <c r="AU805" s="656" t="str">
        <f>Select_naics2022[[#This Row],[2022 NAICS Title]]</f>
        <v>Advertising Material Distribution Services</v>
      </c>
    </row>
    <row r="806" spans="44:47" x14ac:dyDescent="0.25">
      <c r="AR806" s="656" t="str">
        <f>Select_naics2022[[#This Row],[2022 NAICS Code]]&amp;":  "&amp;Select_naics2022[[#This Row],[2022 NAICS Title]]</f>
        <v xml:space="preserve">541890:  Other Services Related to Advertising </v>
      </c>
      <c r="AS806" s="656">
        <v>541890</v>
      </c>
      <c r="AT806" s="656" t="s">
        <v>1446</v>
      </c>
      <c r="AU806" s="656" t="str">
        <f>Select_naics2022[[#This Row],[2022 NAICS Title]]</f>
        <v xml:space="preserve">Other Services Related to Advertising </v>
      </c>
    </row>
    <row r="807" spans="44:47" x14ac:dyDescent="0.25">
      <c r="AR807" s="656" t="str">
        <f>Select_naics2022[[#This Row],[2022 NAICS Code]]&amp;":  "&amp;Select_naics2022[[#This Row],[2022 NAICS Title]]</f>
        <v>541910:  Marketing Research and Public Opinion Polling</v>
      </c>
      <c r="AS807" s="656">
        <v>541910</v>
      </c>
      <c r="AT807" s="656" t="s">
        <v>1447</v>
      </c>
      <c r="AU807" s="656" t="str">
        <f>Select_naics2022[[#This Row],[2022 NAICS Title]]</f>
        <v>Marketing Research and Public Opinion Polling</v>
      </c>
    </row>
    <row r="808" spans="44:47" x14ac:dyDescent="0.25">
      <c r="AR808" s="656" t="str">
        <f>Select_naics2022[[#This Row],[2022 NAICS Code]]&amp;":  "&amp;Select_naics2022[[#This Row],[2022 NAICS Title]]</f>
        <v xml:space="preserve">541921:  Photography Studios, Portrait </v>
      </c>
      <c r="AS808" s="656">
        <v>541921</v>
      </c>
      <c r="AT808" s="656" t="s">
        <v>1448</v>
      </c>
      <c r="AU808" s="656" t="str">
        <f>Select_naics2022[[#This Row],[2022 NAICS Title]]</f>
        <v xml:space="preserve">Photography Studios, Portrait </v>
      </c>
    </row>
    <row r="809" spans="44:47" x14ac:dyDescent="0.25">
      <c r="AR809" s="656" t="str">
        <f>Select_naics2022[[#This Row],[2022 NAICS Code]]&amp;":  "&amp;Select_naics2022[[#This Row],[2022 NAICS Title]]</f>
        <v xml:space="preserve">541922:  Commercial Photography </v>
      </c>
      <c r="AS809" s="656">
        <v>541922</v>
      </c>
      <c r="AT809" s="656" t="s">
        <v>1449</v>
      </c>
      <c r="AU809" s="656" t="str">
        <f>Select_naics2022[[#This Row],[2022 NAICS Title]]</f>
        <v xml:space="preserve">Commercial Photography </v>
      </c>
    </row>
    <row r="810" spans="44:47" x14ac:dyDescent="0.25">
      <c r="AR810" s="656" t="str">
        <f>Select_naics2022[[#This Row],[2022 NAICS Code]]&amp;":  "&amp;Select_naics2022[[#This Row],[2022 NAICS Title]]</f>
        <v>541930:  Translation and Interpretation Services</v>
      </c>
      <c r="AS810" s="656">
        <v>541930</v>
      </c>
      <c r="AT810" s="656" t="s">
        <v>1450</v>
      </c>
      <c r="AU810" s="656" t="str">
        <f>Select_naics2022[[#This Row],[2022 NAICS Title]]</f>
        <v>Translation and Interpretation Services</v>
      </c>
    </row>
    <row r="811" spans="44:47" x14ac:dyDescent="0.25">
      <c r="AR811" s="656" t="str">
        <f>Select_naics2022[[#This Row],[2022 NAICS Code]]&amp;":  "&amp;Select_naics2022[[#This Row],[2022 NAICS Title]]</f>
        <v xml:space="preserve">541940:  Veterinary Services </v>
      </c>
      <c r="AS811" s="656">
        <v>541940</v>
      </c>
      <c r="AT811" s="656" t="s">
        <v>1451</v>
      </c>
      <c r="AU811" s="656" t="str">
        <f>Select_naics2022[[#This Row],[2022 NAICS Title]]</f>
        <v xml:space="preserve">Veterinary Services </v>
      </c>
    </row>
    <row r="812" spans="44:47" x14ac:dyDescent="0.25">
      <c r="AR812" s="656" t="str">
        <f>Select_naics2022[[#This Row],[2022 NAICS Code]]&amp;":  "&amp;Select_naics2022[[#This Row],[2022 NAICS Title]]</f>
        <v>541990:  All Other Professional, Scientific, and Technical Services</v>
      </c>
      <c r="AS812" s="656">
        <v>541990</v>
      </c>
      <c r="AT812" s="656" t="s">
        <v>1452</v>
      </c>
      <c r="AU812" s="656" t="str">
        <f>Select_naics2022[[#This Row],[2022 NAICS Title]]</f>
        <v>All Other Professional, Scientific, and Technical Services</v>
      </c>
    </row>
    <row r="813" spans="44:47" x14ac:dyDescent="0.25">
      <c r="AR813" s="656" t="str">
        <f>Select_naics2022[[#This Row],[2022 NAICS Code]]&amp;":  "&amp;Select_naics2022[[#This Row],[2022 NAICS Title]]</f>
        <v xml:space="preserve">551111:  Offices of Bank Holding Companies </v>
      </c>
      <c r="AS813" s="656">
        <v>551111</v>
      </c>
      <c r="AT813" s="656" t="s">
        <v>1453</v>
      </c>
      <c r="AU813" s="656" t="str">
        <f>Select_naics2022[[#This Row],[2022 NAICS Title]]</f>
        <v xml:space="preserve">Offices of Bank Holding Companies </v>
      </c>
    </row>
    <row r="814" spans="44:47" x14ac:dyDescent="0.25">
      <c r="AR814" s="656" t="str">
        <f>Select_naics2022[[#This Row],[2022 NAICS Code]]&amp;":  "&amp;Select_naics2022[[#This Row],[2022 NAICS Title]]</f>
        <v xml:space="preserve">551112:  Offices of Other Holding Companies </v>
      </c>
      <c r="AS814" s="656">
        <v>551112</v>
      </c>
      <c r="AT814" s="656" t="s">
        <v>1454</v>
      </c>
      <c r="AU814" s="656" t="str">
        <f>Select_naics2022[[#This Row],[2022 NAICS Title]]</f>
        <v xml:space="preserve">Offices of Other Holding Companies </v>
      </c>
    </row>
    <row r="815" spans="44:47" x14ac:dyDescent="0.25">
      <c r="AR815" s="656" t="str">
        <f>Select_naics2022[[#This Row],[2022 NAICS Code]]&amp;":  "&amp;Select_naics2022[[#This Row],[2022 NAICS Title]]</f>
        <v xml:space="preserve">551114:  Corporate, Subsidiary, and Regional Managing Offices </v>
      </c>
      <c r="AS815" s="656">
        <v>551114</v>
      </c>
      <c r="AT815" s="656" t="s">
        <v>1455</v>
      </c>
      <c r="AU815" s="656" t="str">
        <f>Select_naics2022[[#This Row],[2022 NAICS Title]]</f>
        <v xml:space="preserve">Corporate, Subsidiary, and Regional Managing Offices </v>
      </c>
    </row>
    <row r="816" spans="44:47" x14ac:dyDescent="0.25">
      <c r="AR816" s="656" t="str">
        <f>Select_naics2022[[#This Row],[2022 NAICS Code]]&amp;":  "&amp;Select_naics2022[[#This Row],[2022 NAICS Title]]</f>
        <v>561110:  Office Administrative Services</v>
      </c>
      <c r="AS816" s="656">
        <v>561110</v>
      </c>
      <c r="AT816" s="656" t="s">
        <v>1456</v>
      </c>
      <c r="AU816" s="656" t="str">
        <f>Select_naics2022[[#This Row],[2022 NAICS Title]]</f>
        <v>Office Administrative Services</v>
      </c>
    </row>
    <row r="817" spans="44:47" x14ac:dyDescent="0.25">
      <c r="AR817" s="656" t="str">
        <f>Select_naics2022[[#This Row],[2022 NAICS Code]]&amp;":  "&amp;Select_naics2022[[#This Row],[2022 NAICS Title]]</f>
        <v>561210:  Facilities Support Services</v>
      </c>
      <c r="AS817" s="656">
        <v>561210</v>
      </c>
      <c r="AT817" s="656" t="s">
        <v>1457</v>
      </c>
      <c r="AU817" s="656" t="str">
        <f>Select_naics2022[[#This Row],[2022 NAICS Title]]</f>
        <v>Facilities Support Services</v>
      </c>
    </row>
    <row r="818" spans="44:47" x14ac:dyDescent="0.25">
      <c r="AR818" s="656" t="str">
        <f>Select_naics2022[[#This Row],[2022 NAICS Code]]&amp;":  "&amp;Select_naics2022[[#This Row],[2022 NAICS Title]]</f>
        <v xml:space="preserve">561311:  Employment Placement Agencies </v>
      </c>
      <c r="AS818" s="656">
        <v>561311</v>
      </c>
      <c r="AT818" s="656" t="s">
        <v>1458</v>
      </c>
      <c r="AU818" s="656" t="str">
        <f>Select_naics2022[[#This Row],[2022 NAICS Title]]</f>
        <v xml:space="preserve">Employment Placement Agencies </v>
      </c>
    </row>
    <row r="819" spans="44:47" x14ac:dyDescent="0.25">
      <c r="AR819" s="656" t="str">
        <f>Select_naics2022[[#This Row],[2022 NAICS Code]]&amp;":  "&amp;Select_naics2022[[#This Row],[2022 NAICS Title]]</f>
        <v xml:space="preserve">561312:  Executive Search Services </v>
      </c>
      <c r="AS819" s="656">
        <v>561312</v>
      </c>
      <c r="AT819" s="656" t="s">
        <v>3495</v>
      </c>
      <c r="AU819" s="656" t="str">
        <f>Select_naics2022[[#This Row],[2022 NAICS Title]]</f>
        <v xml:space="preserve">Executive Search Services </v>
      </c>
    </row>
    <row r="820" spans="44:47" x14ac:dyDescent="0.25">
      <c r="AR820" s="656" t="str">
        <f>Select_naics2022[[#This Row],[2022 NAICS Code]]&amp;":  "&amp;Select_naics2022[[#This Row],[2022 NAICS Title]]</f>
        <v>561320:  Temporary Help Services</v>
      </c>
      <c r="AS820" s="656">
        <v>561320</v>
      </c>
      <c r="AT820" s="656" t="s">
        <v>1459</v>
      </c>
      <c r="AU820" s="656" t="str">
        <f>Select_naics2022[[#This Row],[2022 NAICS Title]]</f>
        <v>Temporary Help Services</v>
      </c>
    </row>
    <row r="821" spans="44:47" x14ac:dyDescent="0.25">
      <c r="AR821" s="656" t="str">
        <f>Select_naics2022[[#This Row],[2022 NAICS Code]]&amp;":  "&amp;Select_naics2022[[#This Row],[2022 NAICS Title]]</f>
        <v>561330:  Professional Employer Organizations</v>
      </c>
      <c r="AS821" s="656">
        <v>561330</v>
      </c>
      <c r="AT821" s="656" t="s">
        <v>1460</v>
      </c>
      <c r="AU821" s="656" t="str">
        <f>Select_naics2022[[#This Row],[2022 NAICS Title]]</f>
        <v>Professional Employer Organizations</v>
      </c>
    </row>
    <row r="822" spans="44:47" x14ac:dyDescent="0.25">
      <c r="AR822" s="656" t="str">
        <f>Select_naics2022[[#This Row],[2022 NAICS Code]]&amp;":  "&amp;Select_naics2022[[#This Row],[2022 NAICS Title]]</f>
        <v>561410:  Document Preparation Services</v>
      </c>
      <c r="AS822" s="656">
        <v>561410</v>
      </c>
      <c r="AT822" s="656" t="s">
        <v>1461</v>
      </c>
      <c r="AU822" s="656" t="str">
        <f>Select_naics2022[[#This Row],[2022 NAICS Title]]</f>
        <v>Document Preparation Services</v>
      </c>
    </row>
    <row r="823" spans="44:47" x14ac:dyDescent="0.25">
      <c r="AR823" s="656" t="str">
        <f>Select_naics2022[[#This Row],[2022 NAICS Code]]&amp;":  "&amp;Select_naics2022[[#This Row],[2022 NAICS Title]]</f>
        <v xml:space="preserve">561421:  Telephone Answering Services </v>
      </c>
      <c r="AS823" s="656">
        <v>561421</v>
      </c>
      <c r="AT823" s="656" t="s">
        <v>3496</v>
      </c>
      <c r="AU823" s="656" t="str">
        <f>Select_naics2022[[#This Row],[2022 NAICS Title]]</f>
        <v xml:space="preserve">Telephone Answering Services </v>
      </c>
    </row>
    <row r="824" spans="44:47" x14ac:dyDescent="0.25">
      <c r="AR824" s="656" t="str">
        <f>Select_naics2022[[#This Row],[2022 NAICS Code]]&amp;":  "&amp;Select_naics2022[[#This Row],[2022 NAICS Title]]</f>
        <v xml:space="preserve">561422:  Telemarketing Bureaus and Other Contact Centers </v>
      </c>
      <c r="AS824" s="656">
        <v>561422</v>
      </c>
      <c r="AT824" s="656" t="s">
        <v>1462</v>
      </c>
      <c r="AU824" s="656" t="str">
        <f>Select_naics2022[[#This Row],[2022 NAICS Title]]</f>
        <v xml:space="preserve">Telemarketing Bureaus and Other Contact Centers </v>
      </c>
    </row>
    <row r="825" spans="44:47" x14ac:dyDescent="0.25">
      <c r="AR825" s="656" t="str">
        <f>Select_naics2022[[#This Row],[2022 NAICS Code]]&amp;":  "&amp;Select_naics2022[[#This Row],[2022 NAICS Title]]</f>
        <v xml:space="preserve">561431:  Private Mail Centers </v>
      </c>
      <c r="AS825" s="656">
        <v>561431</v>
      </c>
      <c r="AT825" s="656" t="s">
        <v>1463</v>
      </c>
      <c r="AU825" s="656" t="str">
        <f>Select_naics2022[[#This Row],[2022 NAICS Title]]</f>
        <v xml:space="preserve">Private Mail Centers </v>
      </c>
    </row>
    <row r="826" spans="44:47" x14ac:dyDescent="0.25">
      <c r="AR826" s="656" t="str">
        <f>Select_naics2022[[#This Row],[2022 NAICS Code]]&amp;":  "&amp;Select_naics2022[[#This Row],[2022 NAICS Title]]</f>
        <v xml:space="preserve">561439:  Other Business Service Centers (including Copy Shops) </v>
      </c>
      <c r="AS826" s="656">
        <v>561439</v>
      </c>
      <c r="AT826" s="656" t="s">
        <v>1464</v>
      </c>
      <c r="AU826" s="656" t="str">
        <f>Select_naics2022[[#This Row],[2022 NAICS Title]]</f>
        <v xml:space="preserve">Other Business Service Centers (including Copy Shops) </v>
      </c>
    </row>
    <row r="827" spans="44:47" x14ac:dyDescent="0.25">
      <c r="AR827" s="656" t="str">
        <f>Select_naics2022[[#This Row],[2022 NAICS Code]]&amp;":  "&amp;Select_naics2022[[#This Row],[2022 NAICS Title]]</f>
        <v>561440:  Collection Agencies</v>
      </c>
      <c r="AS827" s="656">
        <v>561440</v>
      </c>
      <c r="AT827" s="656" t="s">
        <v>1465</v>
      </c>
      <c r="AU827" s="656" t="str">
        <f>Select_naics2022[[#This Row],[2022 NAICS Title]]</f>
        <v>Collection Agencies</v>
      </c>
    </row>
    <row r="828" spans="44:47" x14ac:dyDescent="0.25">
      <c r="AR828" s="656" t="str">
        <f>Select_naics2022[[#This Row],[2022 NAICS Code]]&amp;":  "&amp;Select_naics2022[[#This Row],[2022 NAICS Title]]</f>
        <v>561450:  Credit Bureaus</v>
      </c>
      <c r="AS828" s="656">
        <v>561450</v>
      </c>
      <c r="AT828" s="656" t="s">
        <v>1466</v>
      </c>
      <c r="AU828" s="656" t="str">
        <f>Select_naics2022[[#This Row],[2022 NAICS Title]]</f>
        <v>Credit Bureaus</v>
      </c>
    </row>
    <row r="829" spans="44:47" x14ac:dyDescent="0.25">
      <c r="AR829" s="656" t="str">
        <f>Select_naics2022[[#This Row],[2022 NAICS Code]]&amp;":  "&amp;Select_naics2022[[#This Row],[2022 NAICS Title]]</f>
        <v xml:space="preserve">561491:  Repossession Services </v>
      </c>
      <c r="AS829" s="656">
        <v>561491</v>
      </c>
      <c r="AT829" s="656" t="s">
        <v>1467</v>
      </c>
      <c r="AU829" s="656" t="str">
        <f>Select_naics2022[[#This Row],[2022 NAICS Title]]</f>
        <v xml:space="preserve">Repossession Services </v>
      </c>
    </row>
    <row r="830" spans="44:47" x14ac:dyDescent="0.25">
      <c r="AR830" s="656" t="str">
        <f>Select_naics2022[[#This Row],[2022 NAICS Code]]&amp;":  "&amp;Select_naics2022[[#This Row],[2022 NAICS Title]]</f>
        <v xml:space="preserve">561492:  Court Reporting and Stenotype Services </v>
      </c>
      <c r="AS830" s="656">
        <v>561492</v>
      </c>
      <c r="AT830" s="656" t="s">
        <v>1468</v>
      </c>
      <c r="AU830" s="656" t="str">
        <f>Select_naics2022[[#This Row],[2022 NAICS Title]]</f>
        <v xml:space="preserve">Court Reporting and Stenotype Services </v>
      </c>
    </row>
    <row r="831" spans="44:47" x14ac:dyDescent="0.25">
      <c r="AR831" s="656" t="str">
        <f>Select_naics2022[[#This Row],[2022 NAICS Code]]&amp;":  "&amp;Select_naics2022[[#This Row],[2022 NAICS Title]]</f>
        <v xml:space="preserve">561499:  All Other Business Support Services </v>
      </c>
      <c r="AS831" s="656">
        <v>561499</v>
      </c>
      <c r="AT831" s="656" t="s">
        <v>1469</v>
      </c>
      <c r="AU831" s="656" t="str">
        <f>Select_naics2022[[#This Row],[2022 NAICS Title]]</f>
        <v xml:space="preserve">All Other Business Support Services </v>
      </c>
    </row>
    <row r="832" spans="44:47" x14ac:dyDescent="0.25">
      <c r="AR832" s="656" t="str">
        <f>Select_naics2022[[#This Row],[2022 NAICS Code]]&amp;":  "&amp;Select_naics2022[[#This Row],[2022 NAICS Title]]</f>
        <v>561510:  Travel Agencies</v>
      </c>
      <c r="AS832" s="656">
        <v>561510</v>
      </c>
      <c r="AT832" s="656" t="s">
        <v>1470</v>
      </c>
      <c r="AU832" s="656" t="str">
        <f>Select_naics2022[[#This Row],[2022 NAICS Title]]</f>
        <v>Travel Agencies</v>
      </c>
    </row>
    <row r="833" spans="44:47" x14ac:dyDescent="0.25">
      <c r="AR833" s="656" t="str">
        <f>Select_naics2022[[#This Row],[2022 NAICS Code]]&amp;":  "&amp;Select_naics2022[[#This Row],[2022 NAICS Title]]</f>
        <v>561520:  Tour Operators</v>
      </c>
      <c r="AS833" s="656">
        <v>561520</v>
      </c>
      <c r="AT833" s="656" t="s">
        <v>1471</v>
      </c>
      <c r="AU833" s="656" t="str">
        <f>Select_naics2022[[#This Row],[2022 NAICS Title]]</f>
        <v>Tour Operators</v>
      </c>
    </row>
    <row r="834" spans="44:47" x14ac:dyDescent="0.25">
      <c r="AR834" s="656" t="str">
        <f>Select_naics2022[[#This Row],[2022 NAICS Code]]&amp;":  "&amp;Select_naics2022[[#This Row],[2022 NAICS Title]]</f>
        <v xml:space="preserve">561591:  Convention and Visitors Bureaus </v>
      </c>
      <c r="AS834" s="656">
        <v>561591</v>
      </c>
      <c r="AT834" s="656" t="s">
        <v>1472</v>
      </c>
      <c r="AU834" s="656" t="str">
        <f>Select_naics2022[[#This Row],[2022 NAICS Title]]</f>
        <v xml:space="preserve">Convention and Visitors Bureaus </v>
      </c>
    </row>
    <row r="835" spans="44:47" x14ac:dyDescent="0.25">
      <c r="AR835" s="656" t="str">
        <f>Select_naics2022[[#This Row],[2022 NAICS Code]]&amp;":  "&amp;Select_naics2022[[#This Row],[2022 NAICS Title]]</f>
        <v xml:space="preserve">561599:  All Other Travel Arrangement and Reservation Services </v>
      </c>
      <c r="AS835" s="656">
        <v>561599</v>
      </c>
      <c r="AT835" s="656" t="s">
        <v>1473</v>
      </c>
      <c r="AU835" s="656" t="str">
        <f>Select_naics2022[[#This Row],[2022 NAICS Title]]</f>
        <v xml:space="preserve">All Other Travel Arrangement and Reservation Services </v>
      </c>
    </row>
    <row r="836" spans="44:47" x14ac:dyDescent="0.25">
      <c r="AR836" s="656" t="str">
        <f>Select_naics2022[[#This Row],[2022 NAICS Code]]&amp;":  "&amp;Select_naics2022[[#This Row],[2022 NAICS Title]]</f>
        <v xml:space="preserve">561611:  Investigation and Personal Background Check Services </v>
      </c>
      <c r="AS836" s="656">
        <v>561611</v>
      </c>
      <c r="AT836" s="656" t="s">
        <v>1474</v>
      </c>
      <c r="AU836" s="656" t="str">
        <f>Select_naics2022[[#This Row],[2022 NAICS Title]]</f>
        <v xml:space="preserve">Investigation and Personal Background Check Services </v>
      </c>
    </row>
    <row r="837" spans="44:47" x14ac:dyDescent="0.25">
      <c r="AR837" s="656" t="str">
        <f>Select_naics2022[[#This Row],[2022 NAICS Code]]&amp;":  "&amp;Select_naics2022[[#This Row],[2022 NAICS Title]]</f>
        <v xml:space="preserve">561612:  Security Guards and Patrol Services </v>
      </c>
      <c r="AS837" s="656">
        <v>561612</v>
      </c>
      <c r="AT837" s="656" t="s">
        <v>1475</v>
      </c>
      <c r="AU837" s="656" t="str">
        <f>Select_naics2022[[#This Row],[2022 NAICS Title]]</f>
        <v xml:space="preserve">Security Guards and Patrol Services </v>
      </c>
    </row>
    <row r="838" spans="44:47" x14ac:dyDescent="0.25">
      <c r="AR838" s="656" t="str">
        <f>Select_naics2022[[#This Row],[2022 NAICS Code]]&amp;":  "&amp;Select_naics2022[[#This Row],[2022 NAICS Title]]</f>
        <v xml:space="preserve">561613:  Armored Car Services </v>
      </c>
      <c r="AS838" s="656">
        <v>561613</v>
      </c>
      <c r="AT838" s="656" t="s">
        <v>1476</v>
      </c>
      <c r="AU838" s="656" t="str">
        <f>Select_naics2022[[#This Row],[2022 NAICS Title]]</f>
        <v xml:space="preserve">Armored Car Services </v>
      </c>
    </row>
    <row r="839" spans="44:47" x14ac:dyDescent="0.25">
      <c r="AR839" s="656" t="str">
        <f>Select_naics2022[[#This Row],[2022 NAICS Code]]&amp;":  "&amp;Select_naics2022[[#This Row],[2022 NAICS Title]]</f>
        <v xml:space="preserve">561621:  Security Systems Services (except Locksmiths) </v>
      </c>
      <c r="AS839" s="656">
        <v>561621</v>
      </c>
      <c r="AT839" s="656" t="s">
        <v>1477</v>
      </c>
      <c r="AU839" s="656" t="str">
        <f>Select_naics2022[[#This Row],[2022 NAICS Title]]</f>
        <v xml:space="preserve">Security Systems Services (except Locksmiths) </v>
      </c>
    </row>
    <row r="840" spans="44:47" x14ac:dyDescent="0.25">
      <c r="AR840" s="656" t="str">
        <f>Select_naics2022[[#This Row],[2022 NAICS Code]]&amp;":  "&amp;Select_naics2022[[#This Row],[2022 NAICS Title]]</f>
        <v xml:space="preserve">561622:  Locksmiths </v>
      </c>
      <c r="AS840" s="656">
        <v>561622</v>
      </c>
      <c r="AT840" s="656" t="s">
        <v>1478</v>
      </c>
      <c r="AU840" s="656" t="str">
        <f>Select_naics2022[[#This Row],[2022 NAICS Title]]</f>
        <v xml:space="preserve">Locksmiths </v>
      </c>
    </row>
    <row r="841" spans="44:47" x14ac:dyDescent="0.25">
      <c r="AR841" s="656" t="str">
        <f>Select_naics2022[[#This Row],[2022 NAICS Code]]&amp;":  "&amp;Select_naics2022[[#This Row],[2022 NAICS Title]]</f>
        <v>561710:  Exterminating and Pest Control Services</v>
      </c>
      <c r="AS841" s="656">
        <v>561710</v>
      </c>
      <c r="AT841" s="656" t="s">
        <v>1479</v>
      </c>
      <c r="AU841" s="656" t="str">
        <f>Select_naics2022[[#This Row],[2022 NAICS Title]]</f>
        <v>Exterminating and Pest Control Services</v>
      </c>
    </row>
    <row r="842" spans="44:47" x14ac:dyDescent="0.25">
      <c r="AR842" s="656" t="str">
        <f>Select_naics2022[[#This Row],[2022 NAICS Code]]&amp;":  "&amp;Select_naics2022[[#This Row],[2022 NAICS Title]]</f>
        <v xml:space="preserve">561720:  Janitorial Services </v>
      </c>
      <c r="AS842" s="656">
        <v>561720</v>
      </c>
      <c r="AT842" s="656" t="s">
        <v>1480</v>
      </c>
      <c r="AU842" s="656" t="str">
        <f>Select_naics2022[[#This Row],[2022 NAICS Title]]</f>
        <v xml:space="preserve">Janitorial Services </v>
      </c>
    </row>
    <row r="843" spans="44:47" x14ac:dyDescent="0.25">
      <c r="AR843" s="656" t="str">
        <f>Select_naics2022[[#This Row],[2022 NAICS Code]]&amp;":  "&amp;Select_naics2022[[#This Row],[2022 NAICS Title]]</f>
        <v>561730:  Landscaping Services</v>
      </c>
      <c r="AS843" s="656">
        <v>561730</v>
      </c>
      <c r="AT843" s="656" t="s">
        <v>1481</v>
      </c>
      <c r="AU843" s="656" t="str">
        <f>Select_naics2022[[#This Row],[2022 NAICS Title]]</f>
        <v>Landscaping Services</v>
      </c>
    </row>
    <row r="844" spans="44:47" x14ac:dyDescent="0.25">
      <c r="AR844" s="656" t="str">
        <f>Select_naics2022[[#This Row],[2022 NAICS Code]]&amp;":  "&amp;Select_naics2022[[#This Row],[2022 NAICS Title]]</f>
        <v>561740:  Carpet and Upholstery Cleaning Services</v>
      </c>
      <c r="AS844" s="656">
        <v>561740</v>
      </c>
      <c r="AT844" s="656" t="s">
        <v>1482</v>
      </c>
      <c r="AU844" s="656" t="str">
        <f>Select_naics2022[[#This Row],[2022 NAICS Title]]</f>
        <v>Carpet and Upholstery Cleaning Services</v>
      </c>
    </row>
    <row r="845" spans="44:47" x14ac:dyDescent="0.25">
      <c r="AR845" s="656" t="str">
        <f>Select_naics2022[[#This Row],[2022 NAICS Code]]&amp;":  "&amp;Select_naics2022[[#This Row],[2022 NAICS Title]]</f>
        <v xml:space="preserve">561790:  Other Services to Buildings and Dwellings </v>
      </c>
      <c r="AS845" s="656">
        <v>561790</v>
      </c>
      <c r="AT845" s="656" t="s">
        <v>1483</v>
      </c>
      <c r="AU845" s="656" t="str">
        <f>Select_naics2022[[#This Row],[2022 NAICS Title]]</f>
        <v xml:space="preserve">Other Services to Buildings and Dwellings </v>
      </c>
    </row>
    <row r="846" spans="44:47" x14ac:dyDescent="0.25">
      <c r="AR846" s="656" t="str">
        <f>Select_naics2022[[#This Row],[2022 NAICS Code]]&amp;":  "&amp;Select_naics2022[[#This Row],[2022 NAICS Title]]</f>
        <v>561910:  Packaging and Labeling Services</v>
      </c>
      <c r="AS846" s="656">
        <v>561910</v>
      </c>
      <c r="AT846" s="656" t="s">
        <v>1484</v>
      </c>
      <c r="AU846" s="656" t="str">
        <f>Select_naics2022[[#This Row],[2022 NAICS Title]]</f>
        <v>Packaging and Labeling Services</v>
      </c>
    </row>
    <row r="847" spans="44:47" x14ac:dyDescent="0.25">
      <c r="AR847" s="656" t="str">
        <f>Select_naics2022[[#This Row],[2022 NAICS Code]]&amp;":  "&amp;Select_naics2022[[#This Row],[2022 NAICS Title]]</f>
        <v>561920:  Convention and Trade Show Organizers</v>
      </c>
      <c r="AS847" s="656">
        <v>561920</v>
      </c>
      <c r="AT847" s="656" t="s">
        <v>1485</v>
      </c>
      <c r="AU847" s="656" t="str">
        <f>Select_naics2022[[#This Row],[2022 NAICS Title]]</f>
        <v>Convention and Trade Show Organizers</v>
      </c>
    </row>
    <row r="848" spans="44:47" x14ac:dyDescent="0.25">
      <c r="AR848" s="656" t="str">
        <f>Select_naics2022[[#This Row],[2022 NAICS Code]]&amp;":  "&amp;Select_naics2022[[#This Row],[2022 NAICS Title]]</f>
        <v>561990:  All Other Support Services</v>
      </c>
      <c r="AS848" s="656">
        <v>561990</v>
      </c>
      <c r="AT848" s="656" t="s">
        <v>1486</v>
      </c>
      <c r="AU848" s="656" t="str">
        <f>Select_naics2022[[#This Row],[2022 NAICS Title]]</f>
        <v>All Other Support Services</v>
      </c>
    </row>
    <row r="849" spans="44:47" x14ac:dyDescent="0.25">
      <c r="AR849" s="656" t="str">
        <f>Select_naics2022[[#This Row],[2022 NAICS Code]]&amp;":  "&amp;Select_naics2022[[#This Row],[2022 NAICS Title]]</f>
        <v xml:space="preserve">562111:  Solid Waste Collection </v>
      </c>
      <c r="AS849" s="656">
        <v>562111</v>
      </c>
      <c r="AT849" s="656" t="s">
        <v>1487</v>
      </c>
      <c r="AU849" s="656" t="str">
        <f>Select_naics2022[[#This Row],[2022 NAICS Title]]</f>
        <v xml:space="preserve">Solid Waste Collection </v>
      </c>
    </row>
    <row r="850" spans="44:47" x14ac:dyDescent="0.25">
      <c r="AR850" s="656" t="str">
        <f>Select_naics2022[[#This Row],[2022 NAICS Code]]&amp;":  "&amp;Select_naics2022[[#This Row],[2022 NAICS Title]]</f>
        <v xml:space="preserve">562112:  Hazardous Waste Collection </v>
      </c>
      <c r="AS850" s="656">
        <v>562112</v>
      </c>
      <c r="AT850" s="656" t="s">
        <v>1488</v>
      </c>
      <c r="AU850" s="656" t="str">
        <f>Select_naics2022[[#This Row],[2022 NAICS Title]]</f>
        <v xml:space="preserve">Hazardous Waste Collection </v>
      </c>
    </row>
    <row r="851" spans="44:47" x14ac:dyDescent="0.25">
      <c r="AR851" s="656" t="str">
        <f>Select_naics2022[[#This Row],[2022 NAICS Code]]&amp;":  "&amp;Select_naics2022[[#This Row],[2022 NAICS Title]]</f>
        <v xml:space="preserve">562119:  Other Waste Collection </v>
      </c>
      <c r="AS851" s="656">
        <v>562119</v>
      </c>
      <c r="AT851" s="656" t="s">
        <v>1489</v>
      </c>
      <c r="AU851" s="656" t="str">
        <f>Select_naics2022[[#This Row],[2022 NAICS Title]]</f>
        <v xml:space="preserve">Other Waste Collection </v>
      </c>
    </row>
    <row r="852" spans="44:47" x14ac:dyDescent="0.25">
      <c r="AR852" s="656" t="str">
        <f>Select_naics2022[[#This Row],[2022 NAICS Code]]&amp;":  "&amp;Select_naics2022[[#This Row],[2022 NAICS Title]]</f>
        <v xml:space="preserve">562211:  Hazardous Waste Treatment and Disposal </v>
      </c>
      <c r="AS852" s="656">
        <v>562211</v>
      </c>
      <c r="AT852" s="656" t="s">
        <v>1490</v>
      </c>
      <c r="AU852" s="656" t="str">
        <f>Select_naics2022[[#This Row],[2022 NAICS Title]]</f>
        <v xml:space="preserve">Hazardous Waste Treatment and Disposal </v>
      </c>
    </row>
    <row r="853" spans="44:47" x14ac:dyDescent="0.25">
      <c r="AR853" s="656" t="str">
        <f>Select_naics2022[[#This Row],[2022 NAICS Code]]&amp;":  "&amp;Select_naics2022[[#This Row],[2022 NAICS Title]]</f>
        <v xml:space="preserve">562212:  Solid Waste Landfill </v>
      </c>
      <c r="AS853" s="656">
        <v>562212</v>
      </c>
      <c r="AT853" s="656" t="s">
        <v>1491</v>
      </c>
      <c r="AU853" s="656" t="str">
        <f>Select_naics2022[[#This Row],[2022 NAICS Title]]</f>
        <v xml:space="preserve">Solid Waste Landfill </v>
      </c>
    </row>
    <row r="854" spans="44:47" x14ac:dyDescent="0.25">
      <c r="AR854" s="656" t="str">
        <f>Select_naics2022[[#This Row],[2022 NAICS Code]]&amp;":  "&amp;Select_naics2022[[#This Row],[2022 NAICS Title]]</f>
        <v xml:space="preserve">562213:  Solid Waste Combustors and Incinerators </v>
      </c>
      <c r="AS854" s="656">
        <v>562213</v>
      </c>
      <c r="AT854" s="656" t="s">
        <v>1492</v>
      </c>
      <c r="AU854" s="656" t="str">
        <f>Select_naics2022[[#This Row],[2022 NAICS Title]]</f>
        <v xml:space="preserve">Solid Waste Combustors and Incinerators </v>
      </c>
    </row>
    <row r="855" spans="44:47" x14ac:dyDescent="0.25">
      <c r="AR855" s="656" t="str">
        <f>Select_naics2022[[#This Row],[2022 NAICS Code]]&amp;":  "&amp;Select_naics2022[[#This Row],[2022 NAICS Title]]</f>
        <v xml:space="preserve">562219:  Other Nonhazardous Waste Treatment and Disposal </v>
      </c>
      <c r="AS855" s="656">
        <v>562219</v>
      </c>
      <c r="AT855" s="656" t="s">
        <v>1493</v>
      </c>
      <c r="AU855" s="656" t="str">
        <f>Select_naics2022[[#This Row],[2022 NAICS Title]]</f>
        <v xml:space="preserve">Other Nonhazardous Waste Treatment and Disposal </v>
      </c>
    </row>
    <row r="856" spans="44:47" x14ac:dyDescent="0.25">
      <c r="AR856" s="656" t="str">
        <f>Select_naics2022[[#This Row],[2022 NAICS Code]]&amp;":  "&amp;Select_naics2022[[#This Row],[2022 NAICS Title]]</f>
        <v xml:space="preserve">562910:  Remediation Services </v>
      </c>
      <c r="AS856" s="656">
        <v>562910</v>
      </c>
      <c r="AT856" s="656" t="s">
        <v>1494</v>
      </c>
      <c r="AU856" s="656" t="str">
        <f>Select_naics2022[[#This Row],[2022 NAICS Title]]</f>
        <v xml:space="preserve">Remediation Services </v>
      </c>
    </row>
    <row r="857" spans="44:47" x14ac:dyDescent="0.25">
      <c r="AR857" s="656" t="str">
        <f>Select_naics2022[[#This Row],[2022 NAICS Code]]&amp;":  "&amp;Select_naics2022[[#This Row],[2022 NAICS Title]]</f>
        <v xml:space="preserve">562920:  Materials Recovery Facilities </v>
      </c>
      <c r="AS857" s="656">
        <v>562920</v>
      </c>
      <c r="AT857" s="656" t="s">
        <v>1495</v>
      </c>
      <c r="AU857" s="656" t="str">
        <f>Select_naics2022[[#This Row],[2022 NAICS Title]]</f>
        <v xml:space="preserve">Materials Recovery Facilities </v>
      </c>
    </row>
    <row r="858" spans="44:47" x14ac:dyDescent="0.25">
      <c r="AR858" s="656" t="str">
        <f>Select_naics2022[[#This Row],[2022 NAICS Code]]&amp;":  "&amp;Select_naics2022[[#This Row],[2022 NAICS Title]]</f>
        <v xml:space="preserve">562991:  Septic Tank and Related Services </v>
      </c>
      <c r="AS858" s="656">
        <v>562991</v>
      </c>
      <c r="AT858" s="656" t="s">
        <v>1496</v>
      </c>
      <c r="AU858" s="656" t="str">
        <f>Select_naics2022[[#This Row],[2022 NAICS Title]]</f>
        <v xml:space="preserve">Septic Tank and Related Services </v>
      </c>
    </row>
    <row r="859" spans="44:47" x14ac:dyDescent="0.25">
      <c r="AR859" s="656" t="str">
        <f>Select_naics2022[[#This Row],[2022 NAICS Code]]&amp;":  "&amp;Select_naics2022[[#This Row],[2022 NAICS Title]]</f>
        <v xml:space="preserve">562998:  All Other Miscellaneous Waste Management Services </v>
      </c>
      <c r="AS859" s="656">
        <v>562998</v>
      </c>
      <c r="AT859" s="656" t="s">
        <v>1497</v>
      </c>
      <c r="AU859" s="656" t="str">
        <f>Select_naics2022[[#This Row],[2022 NAICS Title]]</f>
        <v xml:space="preserve">All Other Miscellaneous Waste Management Services </v>
      </c>
    </row>
    <row r="860" spans="44:47" x14ac:dyDescent="0.25">
      <c r="AR860" s="656" t="str">
        <f>Select_naics2022[[#This Row],[2022 NAICS Code]]&amp;":  "&amp;Select_naics2022[[#This Row],[2022 NAICS Title]]</f>
        <v xml:space="preserve">611110:  Elementary and Secondary Schools </v>
      </c>
      <c r="AS860" s="656">
        <v>611110</v>
      </c>
      <c r="AT860" s="656" t="s">
        <v>1498</v>
      </c>
      <c r="AU860" s="656" t="str">
        <f>Select_naics2022[[#This Row],[2022 NAICS Title]]</f>
        <v xml:space="preserve">Elementary and Secondary Schools </v>
      </c>
    </row>
    <row r="861" spans="44:47" x14ac:dyDescent="0.25">
      <c r="AR861" s="656" t="str">
        <f>Select_naics2022[[#This Row],[2022 NAICS Code]]&amp;":  "&amp;Select_naics2022[[#This Row],[2022 NAICS Title]]</f>
        <v xml:space="preserve">611210:  Junior Colleges </v>
      </c>
      <c r="AS861" s="656">
        <v>611210</v>
      </c>
      <c r="AT861" s="656" t="s">
        <v>1499</v>
      </c>
      <c r="AU861" s="656" t="str">
        <f>Select_naics2022[[#This Row],[2022 NAICS Title]]</f>
        <v xml:space="preserve">Junior Colleges </v>
      </c>
    </row>
    <row r="862" spans="44:47" x14ac:dyDescent="0.25">
      <c r="AR862" s="656" t="str">
        <f>Select_naics2022[[#This Row],[2022 NAICS Code]]&amp;":  "&amp;Select_naics2022[[#This Row],[2022 NAICS Title]]</f>
        <v xml:space="preserve">611310:  Colleges, Universities, and Professional Schools </v>
      </c>
      <c r="AS862" s="656">
        <v>611310</v>
      </c>
      <c r="AT862" s="656" t="s">
        <v>1500</v>
      </c>
      <c r="AU862" s="656" t="str">
        <f>Select_naics2022[[#This Row],[2022 NAICS Title]]</f>
        <v xml:space="preserve">Colleges, Universities, and Professional Schools </v>
      </c>
    </row>
    <row r="863" spans="44:47" x14ac:dyDescent="0.25">
      <c r="AR863" s="656" t="str">
        <f>Select_naics2022[[#This Row],[2022 NAICS Code]]&amp;":  "&amp;Select_naics2022[[#This Row],[2022 NAICS Title]]</f>
        <v xml:space="preserve">611410:  Business and Secretarial Schools </v>
      </c>
      <c r="AS863" s="656">
        <v>611410</v>
      </c>
      <c r="AT863" s="656" t="s">
        <v>1501</v>
      </c>
      <c r="AU863" s="656" t="str">
        <f>Select_naics2022[[#This Row],[2022 NAICS Title]]</f>
        <v xml:space="preserve">Business and Secretarial Schools </v>
      </c>
    </row>
    <row r="864" spans="44:47" x14ac:dyDescent="0.25">
      <c r="AR864" s="656" t="str">
        <f>Select_naics2022[[#This Row],[2022 NAICS Code]]&amp;":  "&amp;Select_naics2022[[#This Row],[2022 NAICS Title]]</f>
        <v xml:space="preserve">611420:  Computer Training </v>
      </c>
      <c r="AS864" s="656">
        <v>611420</v>
      </c>
      <c r="AT864" s="656" t="s">
        <v>1502</v>
      </c>
      <c r="AU864" s="656" t="str">
        <f>Select_naics2022[[#This Row],[2022 NAICS Title]]</f>
        <v xml:space="preserve">Computer Training </v>
      </c>
    </row>
    <row r="865" spans="44:47" x14ac:dyDescent="0.25">
      <c r="AR865" s="656" t="str">
        <f>Select_naics2022[[#This Row],[2022 NAICS Code]]&amp;":  "&amp;Select_naics2022[[#This Row],[2022 NAICS Title]]</f>
        <v xml:space="preserve">611430:  Professional and Management Development Training </v>
      </c>
      <c r="AS865" s="656">
        <v>611430</v>
      </c>
      <c r="AT865" s="656" t="s">
        <v>1503</v>
      </c>
      <c r="AU865" s="656" t="str">
        <f>Select_naics2022[[#This Row],[2022 NAICS Title]]</f>
        <v xml:space="preserve">Professional and Management Development Training </v>
      </c>
    </row>
    <row r="866" spans="44:47" x14ac:dyDescent="0.25">
      <c r="AR866" s="656" t="str">
        <f>Select_naics2022[[#This Row],[2022 NAICS Code]]&amp;":  "&amp;Select_naics2022[[#This Row],[2022 NAICS Title]]</f>
        <v xml:space="preserve">611511:  Cosmetology and Barber Schools </v>
      </c>
      <c r="AS866" s="656">
        <v>611511</v>
      </c>
      <c r="AT866" s="656" t="s">
        <v>1504</v>
      </c>
      <c r="AU866" s="656" t="str">
        <f>Select_naics2022[[#This Row],[2022 NAICS Title]]</f>
        <v xml:space="preserve">Cosmetology and Barber Schools </v>
      </c>
    </row>
    <row r="867" spans="44:47" x14ac:dyDescent="0.25">
      <c r="AR867" s="656" t="str">
        <f>Select_naics2022[[#This Row],[2022 NAICS Code]]&amp;":  "&amp;Select_naics2022[[#This Row],[2022 NAICS Title]]</f>
        <v xml:space="preserve">611512:  Flight Training </v>
      </c>
      <c r="AS867" s="656">
        <v>611512</v>
      </c>
      <c r="AT867" s="656" t="s">
        <v>1505</v>
      </c>
      <c r="AU867" s="656" t="str">
        <f>Select_naics2022[[#This Row],[2022 NAICS Title]]</f>
        <v xml:space="preserve">Flight Training </v>
      </c>
    </row>
    <row r="868" spans="44:47" x14ac:dyDescent="0.25">
      <c r="AR868" s="656" t="str">
        <f>Select_naics2022[[#This Row],[2022 NAICS Code]]&amp;":  "&amp;Select_naics2022[[#This Row],[2022 NAICS Title]]</f>
        <v xml:space="preserve">611513:  Apprenticeship Training </v>
      </c>
      <c r="AS868" s="656">
        <v>611513</v>
      </c>
      <c r="AT868" s="656" t="s">
        <v>1506</v>
      </c>
      <c r="AU868" s="656" t="str">
        <f>Select_naics2022[[#This Row],[2022 NAICS Title]]</f>
        <v xml:space="preserve">Apprenticeship Training </v>
      </c>
    </row>
    <row r="869" spans="44:47" x14ac:dyDescent="0.25">
      <c r="AR869" s="656" t="str">
        <f>Select_naics2022[[#This Row],[2022 NAICS Code]]&amp;":  "&amp;Select_naics2022[[#This Row],[2022 NAICS Title]]</f>
        <v xml:space="preserve">611519:  Other Technical and Trade Schools </v>
      </c>
      <c r="AS869" s="656">
        <v>611519</v>
      </c>
      <c r="AT869" s="656" t="s">
        <v>1507</v>
      </c>
      <c r="AU869" s="656" t="str">
        <f>Select_naics2022[[#This Row],[2022 NAICS Title]]</f>
        <v xml:space="preserve">Other Technical and Trade Schools </v>
      </c>
    </row>
    <row r="870" spans="44:47" x14ac:dyDescent="0.25">
      <c r="AR870" s="656" t="str">
        <f>Select_naics2022[[#This Row],[2022 NAICS Code]]&amp;":  "&amp;Select_naics2022[[#This Row],[2022 NAICS Title]]</f>
        <v xml:space="preserve">611610:  Fine Arts Schools </v>
      </c>
      <c r="AS870" s="656">
        <v>611610</v>
      </c>
      <c r="AT870" s="656" t="s">
        <v>1508</v>
      </c>
      <c r="AU870" s="656" t="str">
        <f>Select_naics2022[[#This Row],[2022 NAICS Title]]</f>
        <v xml:space="preserve">Fine Arts Schools </v>
      </c>
    </row>
    <row r="871" spans="44:47" x14ac:dyDescent="0.25">
      <c r="AR871" s="656" t="str">
        <f>Select_naics2022[[#This Row],[2022 NAICS Code]]&amp;":  "&amp;Select_naics2022[[#This Row],[2022 NAICS Title]]</f>
        <v xml:space="preserve">611620:  Sports and Recreation Instruction </v>
      </c>
      <c r="AS871" s="656">
        <v>611620</v>
      </c>
      <c r="AT871" s="656" t="s">
        <v>1509</v>
      </c>
      <c r="AU871" s="656" t="str">
        <f>Select_naics2022[[#This Row],[2022 NAICS Title]]</f>
        <v xml:space="preserve">Sports and Recreation Instruction </v>
      </c>
    </row>
    <row r="872" spans="44:47" x14ac:dyDescent="0.25">
      <c r="AR872" s="656" t="str">
        <f>Select_naics2022[[#This Row],[2022 NAICS Code]]&amp;":  "&amp;Select_naics2022[[#This Row],[2022 NAICS Title]]</f>
        <v xml:space="preserve">611630:  Language Schools </v>
      </c>
      <c r="AS872" s="656">
        <v>611630</v>
      </c>
      <c r="AT872" s="656" t="s">
        <v>1510</v>
      </c>
      <c r="AU872" s="656" t="str">
        <f>Select_naics2022[[#This Row],[2022 NAICS Title]]</f>
        <v xml:space="preserve">Language Schools </v>
      </c>
    </row>
    <row r="873" spans="44:47" x14ac:dyDescent="0.25">
      <c r="AR873" s="656" t="str">
        <f>Select_naics2022[[#This Row],[2022 NAICS Code]]&amp;":  "&amp;Select_naics2022[[#This Row],[2022 NAICS Title]]</f>
        <v xml:space="preserve">611691:  Exam Preparation and Tutoring </v>
      </c>
      <c r="AS873" s="656">
        <v>611691</v>
      </c>
      <c r="AT873" s="656" t="s">
        <v>1511</v>
      </c>
      <c r="AU873" s="656" t="str">
        <f>Select_naics2022[[#This Row],[2022 NAICS Title]]</f>
        <v xml:space="preserve">Exam Preparation and Tutoring </v>
      </c>
    </row>
    <row r="874" spans="44:47" x14ac:dyDescent="0.25">
      <c r="AR874" s="656" t="str">
        <f>Select_naics2022[[#This Row],[2022 NAICS Code]]&amp;":  "&amp;Select_naics2022[[#This Row],[2022 NAICS Title]]</f>
        <v xml:space="preserve">611692:  Automobile Driving Schools </v>
      </c>
      <c r="AS874" s="656">
        <v>611692</v>
      </c>
      <c r="AT874" s="656" t="s">
        <v>1512</v>
      </c>
      <c r="AU874" s="656" t="str">
        <f>Select_naics2022[[#This Row],[2022 NAICS Title]]</f>
        <v xml:space="preserve">Automobile Driving Schools </v>
      </c>
    </row>
    <row r="875" spans="44:47" x14ac:dyDescent="0.25">
      <c r="AR875" s="656" t="str">
        <f>Select_naics2022[[#This Row],[2022 NAICS Code]]&amp;":  "&amp;Select_naics2022[[#This Row],[2022 NAICS Title]]</f>
        <v xml:space="preserve">611699:  All Other Miscellaneous Schools and Instruction </v>
      </c>
      <c r="AS875" s="656">
        <v>611699</v>
      </c>
      <c r="AT875" s="656" t="s">
        <v>1513</v>
      </c>
      <c r="AU875" s="656" t="str">
        <f>Select_naics2022[[#This Row],[2022 NAICS Title]]</f>
        <v xml:space="preserve">All Other Miscellaneous Schools and Instruction </v>
      </c>
    </row>
    <row r="876" spans="44:47" x14ac:dyDescent="0.25">
      <c r="AR876" s="656" t="str">
        <f>Select_naics2022[[#This Row],[2022 NAICS Code]]&amp;":  "&amp;Select_naics2022[[#This Row],[2022 NAICS Title]]</f>
        <v>611710:  Educational Support Services</v>
      </c>
      <c r="AS876" s="656">
        <v>611710</v>
      </c>
      <c r="AT876" s="656" t="s">
        <v>1514</v>
      </c>
      <c r="AU876" s="656" t="str">
        <f>Select_naics2022[[#This Row],[2022 NAICS Title]]</f>
        <v>Educational Support Services</v>
      </c>
    </row>
    <row r="877" spans="44:47" x14ac:dyDescent="0.25">
      <c r="AR877" s="656" t="str">
        <f>Select_naics2022[[#This Row],[2022 NAICS Code]]&amp;":  "&amp;Select_naics2022[[#This Row],[2022 NAICS Title]]</f>
        <v xml:space="preserve">621111:  Offices of Physicians (except Mental Health Specialists) </v>
      </c>
      <c r="AS877" s="656">
        <v>621111</v>
      </c>
      <c r="AT877" s="656" t="s">
        <v>1515</v>
      </c>
      <c r="AU877" s="656" t="str">
        <f>Select_naics2022[[#This Row],[2022 NAICS Title]]</f>
        <v xml:space="preserve">Offices of Physicians (except Mental Health Specialists) </v>
      </c>
    </row>
    <row r="878" spans="44:47" x14ac:dyDescent="0.25">
      <c r="AR878" s="656" t="str">
        <f>Select_naics2022[[#This Row],[2022 NAICS Code]]&amp;":  "&amp;Select_naics2022[[#This Row],[2022 NAICS Title]]</f>
        <v xml:space="preserve">621112:  Offices of Physicians, Mental Health Specialists </v>
      </c>
      <c r="AS878" s="656">
        <v>621112</v>
      </c>
      <c r="AT878" s="656" t="s">
        <v>1516</v>
      </c>
      <c r="AU878" s="656" t="str">
        <f>Select_naics2022[[#This Row],[2022 NAICS Title]]</f>
        <v xml:space="preserve">Offices of Physicians, Mental Health Specialists </v>
      </c>
    </row>
    <row r="879" spans="44:47" x14ac:dyDescent="0.25">
      <c r="AR879" s="656" t="str">
        <f>Select_naics2022[[#This Row],[2022 NAICS Code]]&amp;":  "&amp;Select_naics2022[[#This Row],[2022 NAICS Title]]</f>
        <v xml:space="preserve">621210:  Offices of Dentists </v>
      </c>
      <c r="AS879" s="656">
        <v>621210</v>
      </c>
      <c r="AT879" s="656" t="s">
        <v>1517</v>
      </c>
      <c r="AU879" s="656" t="str">
        <f>Select_naics2022[[#This Row],[2022 NAICS Title]]</f>
        <v xml:space="preserve">Offices of Dentists </v>
      </c>
    </row>
    <row r="880" spans="44:47" x14ac:dyDescent="0.25">
      <c r="AR880" s="656" t="str">
        <f>Select_naics2022[[#This Row],[2022 NAICS Code]]&amp;":  "&amp;Select_naics2022[[#This Row],[2022 NAICS Title]]</f>
        <v xml:space="preserve">621310:  Offices of Chiropractors </v>
      </c>
      <c r="AS880" s="656">
        <v>621310</v>
      </c>
      <c r="AT880" s="656" t="s">
        <v>1518</v>
      </c>
      <c r="AU880" s="656" t="str">
        <f>Select_naics2022[[#This Row],[2022 NAICS Title]]</f>
        <v xml:space="preserve">Offices of Chiropractors </v>
      </c>
    </row>
    <row r="881" spans="44:47" x14ac:dyDescent="0.25">
      <c r="AR881" s="656" t="str">
        <f>Select_naics2022[[#This Row],[2022 NAICS Code]]&amp;":  "&amp;Select_naics2022[[#This Row],[2022 NAICS Title]]</f>
        <v>621320:  Offices of Optometrists</v>
      </c>
      <c r="AS881" s="656">
        <v>621320</v>
      </c>
      <c r="AT881" s="656" t="s">
        <v>1519</v>
      </c>
      <c r="AU881" s="656" t="str">
        <f>Select_naics2022[[#This Row],[2022 NAICS Title]]</f>
        <v>Offices of Optometrists</v>
      </c>
    </row>
    <row r="882" spans="44:47" x14ac:dyDescent="0.25">
      <c r="AR882" s="656" t="str">
        <f>Select_naics2022[[#This Row],[2022 NAICS Code]]&amp;":  "&amp;Select_naics2022[[#This Row],[2022 NAICS Title]]</f>
        <v xml:space="preserve">621330:  Offices of Mental Health Practitioners (except Physicians) </v>
      </c>
      <c r="AS882" s="656">
        <v>621330</v>
      </c>
      <c r="AT882" s="656" t="s">
        <v>1520</v>
      </c>
      <c r="AU882" s="656" t="str">
        <f>Select_naics2022[[#This Row],[2022 NAICS Title]]</f>
        <v xml:space="preserve">Offices of Mental Health Practitioners (except Physicians) </v>
      </c>
    </row>
    <row r="883" spans="44:47" x14ac:dyDescent="0.25">
      <c r="AR883" s="656" t="str">
        <f>Select_naics2022[[#This Row],[2022 NAICS Code]]&amp;":  "&amp;Select_naics2022[[#This Row],[2022 NAICS Title]]</f>
        <v xml:space="preserve">621340:  Offices of Physical, Occupational and Speech Therapists, and Audiologists </v>
      </c>
      <c r="AS883" s="656">
        <v>621340</v>
      </c>
      <c r="AT883" s="656" t="s">
        <v>1521</v>
      </c>
      <c r="AU883" s="656" t="str">
        <f>Select_naics2022[[#This Row],[2022 NAICS Title]]</f>
        <v xml:space="preserve">Offices of Physical, Occupational and Speech Therapists, and Audiologists </v>
      </c>
    </row>
    <row r="884" spans="44:47" x14ac:dyDescent="0.25">
      <c r="AR884" s="656" t="str">
        <f>Select_naics2022[[#This Row],[2022 NAICS Code]]&amp;":  "&amp;Select_naics2022[[#This Row],[2022 NAICS Title]]</f>
        <v xml:space="preserve">621391:  Offices of Podiatrists </v>
      </c>
      <c r="AS884" s="656">
        <v>621391</v>
      </c>
      <c r="AT884" s="656" t="s">
        <v>1522</v>
      </c>
      <c r="AU884" s="656" t="str">
        <f>Select_naics2022[[#This Row],[2022 NAICS Title]]</f>
        <v xml:space="preserve">Offices of Podiatrists </v>
      </c>
    </row>
    <row r="885" spans="44:47" x14ac:dyDescent="0.25">
      <c r="AR885" s="656" t="str">
        <f>Select_naics2022[[#This Row],[2022 NAICS Code]]&amp;":  "&amp;Select_naics2022[[#This Row],[2022 NAICS Title]]</f>
        <v xml:space="preserve">621399:  Offices of All Other Miscellaneous Health Practitioners </v>
      </c>
      <c r="AS885" s="656">
        <v>621399</v>
      </c>
      <c r="AT885" s="656" t="s">
        <v>1523</v>
      </c>
      <c r="AU885" s="656" t="str">
        <f>Select_naics2022[[#This Row],[2022 NAICS Title]]</f>
        <v xml:space="preserve">Offices of All Other Miscellaneous Health Practitioners </v>
      </c>
    </row>
    <row r="886" spans="44:47" x14ac:dyDescent="0.25">
      <c r="AR886" s="656" t="str">
        <f>Select_naics2022[[#This Row],[2022 NAICS Code]]&amp;":  "&amp;Select_naics2022[[#This Row],[2022 NAICS Title]]</f>
        <v xml:space="preserve">621410:  Family Planning Centers </v>
      </c>
      <c r="AS886" s="656">
        <v>621410</v>
      </c>
      <c r="AT886" s="656" t="s">
        <v>1524</v>
      </c>
      <c r="AU886" s="656" t="str">
        <f>Select_naics2022[[#This Row],[2022 NAICS Title]]</f>
        <v xml:space="preserve">Family Planning Centers </v>
      </c>
    </row>
    <row r="887" spans="44:47" x14ac:dyDescent="0.25">
      <c r="AR887" s="656" t="str">
        <f>Select_naics2022[[#This Row],[2022 NAICS Code]]&amp;":  "&amp;Select_naics2022[[#This Row],[2022 NAICS Title]]</f>
        <v xml:space="preserve">621420:  Outpatient Mental Health and Substance Abuse Centers </v>
      </c>
      <c r="AS887" s="656">
        <v>621420</v>
      </c>
      <c r="AT887" s="656" t="s">
        <v>1525</v>
      </c>
      <c r="AU887" s="656" t="str">
        <f>Select_naics2022[[#This Row],[2022 NAICS Title]]</f>
        <v xml:space="preserve">Outpatient Mental Health and Substance Abuse Centers </v>
      </c>
    </row>
    <row r="888" spans="44:47" x14ac:dyDescent="0.25">
      <c r="AR888" s="656" t="str">
        <f>Select_naics2022[[#This Row],[2022 NAICS Code]]&amp;":  "&amp;Select_naics2022[[#This Row],[2022 NAICS Title]]</f>
        <v xml:space="preserve">621491:  HMO Medical Centers </v>
      </c>
      <c r="AS888" s="656">
        <v>621491</v>
      </c>
      <c r="AT888" s="656" t="s">
        <v>1526</v>
      </c>
      <c r="AU888" s="656" t="str">
        <f>Select_naics2022[[#This Row],[2022 NAICS Title]]</f>
        <v xml:space="preserve">HMO Medical Centers </v>
      </c>
    </row>
    <row r="889" spans="44:47" x14ac:dyDescent="0.25">
      <c r="AR889" s="656" t="str">
        <f>Select_naics2022[[#This Row],[2022 NAICS Code]]&amp;":  "&amp;Select_naics2022[[#This Row],[2022 NAICS Title]]</f>
        <v xml:space="preserve">621492:  Kidney Dialysis Centers </v>
      </c>
      <c r="AS889" s="656">
        <v>621492</v>
      </c>
      <c r="AT889" s="656" t="s">
        <v>1527</v>
      </c>
      <c r="AU889" s="656" t="str">
        <f>Select_naics2022[[#This Row],[2022 NAICS Title]]</f>
        <v xml:space="preserve">Kidney Dialysis Centers </v>
      </c>
    </row>
    <row r="890" spans="44:47" x14ac:dyDescent="0.25">
      <c r="AR890" s="656" t="str">
        <f>Select_naics2022[[#This Row],[2022 NAICS Code]]&amp;":  "&amp;Select_naics2022[[#This Row],[2022 NAICS Title]]</f>
        <v xml:space="preserve">621493:  Freestanding Ambulatory Surgical and Emergency Centers </v>
      </c>
      <c r="AS890" s="656">
        <v>621493</v>
      </c>
      <c r="AT890" s="656" t="s">
        <v>1528</v>
      </c>
      <c r="AU890" s="656" t="str">
        <f>Select_naics2022[[#This Row],[2022 NAICS Title]]</f>
        <v xml:space="preserve">Freestanding Ambulatory Surgical and Emergency Centers </v>
      </c>
    </row>
    <row r="891" spans="44:47" x14ac:dyDescent="0.25">
      <c r="AR891" s="656" t="str">
        <f>Select_naics2022[[#This Row],[2022 NAICS Code]]&amp;":  "&amp;Select_naics2022[[#This Row],[2022 NAICS Title]]</f>
        <v xml:space="preserve">621498:  All Other Outpatient Care Centers </v>
      </c>
      <c r="AS891" s="656">
        <v>621498</v>
      </c>
      <c r="AT891" s="656" t="s">
        <v>1529</v>
      </c>
      <c r="AU891" s="656" t="str">
        <f>Select_naics2022[[#This Row],[2022 NAICS Title]]</f>
        <v xml:space="preserve">All Other Outpatient Care Centers </v>
      </c>
    </row>
    <row r="892" spans="44:47" x14ac:dyDescent="0.25">
      <c r="AR892" s="656" t="str">
        <f>Select_naics2022[[#This Row],[2022 NAICS Code]]&amp;":  "&amp;Select_naics2022[[#This Row],[2022 NAICS Title]]</f>
        <v xml:space="preserve">621511:  Medical Laboratories </v>
      </c>
      <c r="AS892" s="656">
        <v>621511</v>
      </c>
      <c r="AT892" s="656" t="s">
        <v>1530</v>
      </c>
      <c r="AU892" s="656" t="str">
        <f>Select_naics2022[[#This Row],[2022 NAICS Title]]</f>
        <v xml:space="preserve">Medical Laboratories </v>
      </c>
    </row>
    <row r="893" spans="44:47" x14ac:dyDescent="0.25">
      <c r="AR893" s="656" t="str">
        <f>Select_naics2022[[#This Row],[2022 NAICS Code]]&amp;":  "&amp;Select_naics2022[[#This Row],[2022 NAICS Title]]</f>
        <v xml:space="preserve">621512:  Diagnostic Imaging Centers </v>
      </c>
      <c r="AS893" s="656">
        <v>621512</v>
      </c>
      <c r="AT893" s="656" t="s">
        <v>1531</v>
      </c>
      <c r="AU893" s="656" t="str">
        <f>Select_naics2022[[#This Row],[2022 NAICS Title]]</f>
        <v xml:space="preserve">Diagnostic Imaging Centers </v>
      </c>
    </row>
    <row r="894" spans="44:47" x14ac:dyDescent="0.25">
      <c r="AR894" s="656" t="str">
        <f>Select_naics2022[[#This Row],[2022 NAICS Code]]&amp;":  "&amp;Select_naics2022[[#This Row],[2022 NAICS Title]]</f>
        <v>621610:  Home Health Care Services</v>
      </c>
      <c r="AS894" s="656">
        <v>621610</v>
      </c>
      <c r="AT894" s="656" t="s">
        <v>1532</v>
      </c>
      <c r="AU894" s="656" t="str">
        <f>Select_naics2022[[#This Row],[2022 NAICS Title]]</f>
        <v>Home Health Care Services</v>
      </c>
    </row>
    <row r="895" spans="44:47" x14ac:dyDescent="0.25">
      <c r="AR895" s="656" t="str">
        <f>Select_naics2022[[#This Row],[2022 NAICS Code]]&amp;":  "&amp;Select_naics2022[[#This Row],[2022 NAICS Title]]</f>
        <v xml:space="preserve">621910:  Ambulance Services </v>
      </c>
      <c r="AS895" s="656">
        <v>621910</v>
      </c>
      <c r="AT895" s="656" t="s">
        <v>1533</v>
      </c>
      <c r="AU895" s="656" t="str">
        <f>Select_naics2022[[#This Row],[2022 NAICS Title]]</f>
        <v xml:space="preserve">Ambulance Services </v>
      </c>
    </row>
    <row r="896" spans="44:47" x14ac:dyDescent="0.25">
      <c r="AR896" s="656" t="str">
        <f>Select_naics2022[[#This Row],[2022 NAICS Code]]&amp;":  "&amp;Select_naics2022[[#This Row],[2022 NAICS Title]]</f>
        <v xml:space="preserve">621991:  Blood and Organ Banks </v>
      </c>
      <c r="AS896" s="656">
        <v>621991</v>
      </c>
      <c r="AT896" s="656" t="s">
        <v>1534</v>
      </c>
      <c r="AU896" s="656" t="str">
        <f>Select_naics2022[[#This Row],[2022 NAICS Title]]</f>
        <v xml:space="preserve">Blood and Organ Banks </v>
      </c>
    </row>
    <row r="897" spans="44:47" x14ac:dyDescent="0.25">
      <c r="AR897" s="656" t="str">
        <f>Select_naics2022[[#This Row],[2022 NAICS Code]]&amp;":  "&amp;Select_naics2022[[#This Row],[2022 NAICS Title]]</f>
        <v xml:space="preserve">621999:  All Other Miscellaneous Ambulatory Health Care Services </v>
      </c>
      <c r="AS897" s="656">
        <v>621999</v>
      </c>
      <c r="AT897" s="656" t="s">
        <v>1535</v>
      </c>
      <c r="AU897" s="656" t="str">
        <f>Select_naics2022[[#This Row],[2022 NAICS Title]]</f>
        <v xml:space="preserve">All Other Miscellaneous Ambulatory Health Care Services </v>
      </c>
    </row>
    <row r="898" spans="44:47" x14ac:dyDescent="0.25">
      <c r="AR898" s="656" t="str">
        <f>Select_naics2022[[#This Row],[2022 NAICS Code]]&amp;":  "&amp;Select_naics2022[[#This Row],[2022 NAICS Title]]</f>
        <v xml:space="preserve">622110:  General Medical and Surgical Hospitals </v>
      </c>
      <c r="AS898" s="656">
        <v>622110</v>
      </c>
      <c r="AT898" s="656" t="s">
        <v>1536</v>
      </c>
      <c r="AU898" s="656" t="str">
        <f>Select_naics2022[[#This Row],[2022 NAICS Title]]</f>
        <v xml:space="preserve">General Medical and Surgical Hospitals </v>
      </c>
    </row>
    <row r="899" spans="44:47" x14ac:dyDescent="0.25">
      <c r="AR899" s="656" t="str">
        <f>Select_naics2022[[#This Row],[2022 NAICS Code]]&amp;":  "&amp;Select_naics2022[[#This Row],[2022 NAICS Title]]</f>
        <v xml:space="preserve">622210:  Psychiatric and Substance Abuse Hospitals </v>
      </c>
      <c r="AS899" s="656">
        <v>622210</v>
      </c>
      <c r="AT899" s="656" t="s">
        <v>1537</v>
      </c>
      <c r="AU899" s="656" t="str">
        <f>Select_naics2022[[#This Row],[2022 NAICS Title]]</f>
        <v xml:space="preserve">Psychiatric and Substance Abuse Hospitals </v>
      </c>
    </row>
    <row r="900" spans="44:47" x14ac:dyDescent="0.25">
      <c r="AR900" s="656" t="str">
        <f>Select_naics2022[[#This Row],[2022 NAICS Code]]&amp;":  "&amp;Select_naics2022[[#This Row],[2022 NAICS Title]]</f>
        <v xml:space="preserve">622310:  Specialty (except Psychiatric and Substance Abuse) Hospitals </v>
      </c>
      <c r="AS900" s="656">
        <v>622310</v>
      </c>
      <c r="AT900" s="656" t="s">
        <v>1538</v>
      </c>
      <c r="AU900" s="656" t="str">
        <f>Select_naics2022[[#This Row],[2022 NAICS Title]]</f>
        <v xml:space="preserve">Specialty (except Psychiatric and Substance Abuse) Hospitals </v>
      </c>
    </row>
    <row r="901" spans="44:47" x14ac:dyDescent="0.25">
      <c r="AR901" s="656" t="str">
        <f>Select_naics2022[[#This Row],[2022 NAICS Code]]&amp;":  "&amp;Select_naics2022[[#This Row],[2022 NAICS Title]]</f>
        <v xml:space="preserve">623110:  Nursing Care Facilities (Skilled Nursing Facilities) </v>
      </c>
      <c r="AS901" s="656">
        <v>623110</v>
      </c>
      <c r="AT901" s="656" t="s">
        <v>1539</v>
      </c>
      <c r="AU901" s="656" t="str">
        <f>Select_naics2022[[#This Row],[2022 NAICS Title]]</f>
        <v xml:space="preserve">Nursing Care Facilities (Skilled Nursing Facilities) </v>
      </c>
    </row>
    <row r="902" spans="44:47" x14ac:dyDescent="0.25">
      <c r="AR902" s="656" t="str">
        <f>Select_naics2022[[#This Row],[2022 NAICS Code]]&amp;":  "&amp;Select_naics2022[[#This Row],[2022 NAICS Title]]</f>
        <v xml:space="preserve">623210:  Residential Intellectual and Developmental Disability Facilities </v>
      </c>
      <c r="AS902" s="656">
        <v>623210</v>
      </c>
      <c r="AT902" s="656" t="s">
        <v>1540</v>
      </c>
      <c r="AU902" s="656" t="str">
        <f>Select_naics2022[[#This Row],[2022 NAICS Title]]</f>
        <v xml:space="preserve">Residential Intellectual and Developmental Disability Facilities </v>
      </c>
    </row>
    <row r="903" spans="44:47" x14ac:dyDescent="0.25">
      <c r="AR903" s="656" t="str">
        <f>Select_naics2022[[#This Row],[2022 NAICS Code]]&amp;":  "&amp;Select_naics2022[[#This Row],[2022 NAICS Title]]</f>
        <v xml:space="preserve">623220:  Residential Mental Health and Substance Abuse Facilities </v>
      </c>
      <c r="AS903" s="656">
        <v>623220</v>
      </c>
      <c r="AT903" s="656" t="s">
        <v>1541</v>
      </c>
      <c r="AU903" s="656" t="str">
        <f>Select_naics2022[[#This Row],[2022 NAICS Title]]</f>
        <v xml:space="preserve">Residential Mental Health and Substance Abuse Facilities </v>
      </c>
    </row>
    <row r="904" spans="44:47" x14ac:dyDescent="0.25">
      <c r="AR904" s="656" t="str">
        <f>Select_naics2022[[#This Row],[2022 NAICS Code]]&amp;":  "&amp;Select_naics2022[[#This Row],[2022 NAICS Title]]</f>
        <v xml:space="preserve">623311:  Continuing Care Retirement Communities </v>
      </c>
      <c r="AS904" s="656">
        <v>623311</v>
      </c>
      <c r="AT904" s="656" t="s">
        <v>1542</v>
      </c>
      <c r="AU904" s="656" t="str">
        <f>Select_naics2022[[#This Row],[2022 NAICS Title]]</f>
        <v xml:space="preserve">Continuing Care Retirement Communities </v>
      </c>
    </row>
    <row r="905" spans="44:47" x14ac:dyDescent="0.25">
      <c r="AR905" s="656" t="str">
        <f>Select_naics2022[[#This Row],[2022 NAICS Code]]&amp;":  "&amp;Select_naics2022[[#This Row],[2022 NAICS Title]]</f>
        <v xml:space="preserve">623312:  Assisted Living Facilities for the Elderly </v>
      </c>
      <c r="AS905" s="656">
        <v>623312</v>
      </c>
      <c r="AT905" s="656" t="s">
        <v>1543</v>
      </c>
      <c r="AU905" s="656" t="str">
        <f>Select_naics2022[[#This Row],[2022 NAICS Title]]</f>
        <v xml:space="preserve">Assisted Living Facilities for the Elderly </v>
      </c>
    </row>
    <row r="906" spans="44:47" x14ac:dyDescent="0.25">
      <c r="AR906" s="656" t="str">
        <f>Select_naics2022[[#This Row],[2022 NAICS Code]]&amp;":  "&amp;Select_naics2022[[#This Row],[2022 NAICS Title]]</f>
        <v xml:space="preserve">623990:  Other Residential Care Facilities </v>
      </c>
      <c r="AS906" s="656">
        <v>623990</v>
      </c>
      <c r="AT906" s="656" t="s">
        <v>1544</v>
      </c>
      <c r="AU906" s="656" t="str">
        <f>Select_naics2022[[#This Row],[2022 NAICS Title]]</f>
        <v xml:space="preserve">Other Residential Care Facilities </v>
      </c>
    </row>
    <row r="907" spans="44:47" x14ac:dyDescent="0.25">
      <c r="AR907" s="656" t="str">
        <f>Select_naics2022[[#This Row],[2022 NAICS Code]]&amp;":  "&amp;Select_naics2022[[#This Row],[2022 NAICS Title]]</f>
        <v xml:space="preserve">624110:  Child and Youth Services </v>
      </c>
      <c r="AS907" s="656">
        <v>624110</v>
      </c>
      <c r="AT907" s="656" t="s">
        <v>1545</v>
      </c>
      <c r="AU907" s="656" t="str">
        <f>Select_naics2022[[#This Row],[2022 NAICS Title]]</f>
        <v xml:space="preserve">Child and Youth Services </v>
      </c>
    </row>
    <row r="908" spans="44:47" x14ac:dyDescent="0.25">
      <c r="AR908" s="656" t="str">
        <f>Select_naics2022[[#This Row],[2022 NAICS Code]]&amp;":  "&amp;Select_naics2022[[#This Row],[2022 NAICS Title]]</f>
        <v xml:space="preserve">624120:  Services for the Elderly and Persons with Disabilities </v>
      </c>
      <c r="AS908" s="656">
        <v>624120</v>
      </c>
      <c r="AT908" s="656" t="s">
        <v>1546</v>
      </c>
      <c r="AU908" s="656" t="str">
        <f>Select_naics2022[[#This Row],[2022 NAICS Title]]</f>
        <v xml:space="preserve">Services for the Elderly and Persons with Disabilities </v>
      </c>
    </row>
    <row r="909" spans="44:47" x14ac:dyDescent="0.25">
      <c r="AR909" s="656" t="str">
        <f>Select_naics2022[[#This Row],[2022 NAICS Code]]&amp;":  "&amp;Select_naics2022[[#This Row],[2022 NAICS Title]]</f>
        <v xml:space="preserve">624190:  Other Individual and Family Services </v>
      </c>
      <c r="AS909" s="656">
        <v>624190</v>
      </c>
      <c r="AT909" s="656" t="s">
        <v>1547</v>
      </c>
      <c r="AU909" s="656" t="str">
        <f>Select_naics2022[[#This Row],[2022 NAICS Title]]</f>
        <v xml:space="preserve">Other Individual and Family Services </v>
      </c>
    </row>
    <row r="910" spans="44:47" x14ac:dyDescent="0.25">
      <c r="AR910" s="656" t="str">
        <f>Select_naics2022[[#This Row],[2022 NAICS Code]]&amp;":  "&amp;Select_naics2022[[#This Row],[2022 NAICS Title]]</f>
        <v xml:space="preserve">624210:  Community Food Services </v>
      </c>
      <c r="AS910" s="656">
        <v>624210</v>
      </c>
      <c r="AT910" s="656" t="s">
        <v>1548</v>
      </c>
      <c r="AU910" s="656" t="str">
        <f>Select_naics2022[[#This Row],[2022 NAICS Title]]</f>
        <v xml:space="preserve">Community Food Services </v>
      </c>
    </row>
    <row r="911" spans="44:47" x14ac:dyDescent="0.25">
      <c r="AR911" s="656" t="str">
        <f>Select_naics2022[[#This Row],[2022 NAICS Code]]&amp;":  "&amp;Select_naics2022[[#This Row],[2022 NAICS Title]]</f>
        <v xml:space="preserve">624221:  Temporary Shelters </v>
      </c>
      <c r="AS911" s="656">
        <v>624221</v>
      </c>
      <c r="AT911" s="656" t="s">
        <v>1549</v>
      </c>
      <c r="AU911" s="656" t="str">
        <f>Select_naics2022[[#This Row],[2022 NAICS Title]]</f>
        <v xml:space="preserve">Temporary Shelters </v>
      </c>
    </row>
    <row r="912" spans="44:47" x14ac:dyDescent="0.25">
      <c r="AR912" s="656" t="str">
        <f>Select_naics2022[[#This Row],[2022 NAICS Code]]&amp;":  "&amp;Select_naics2022[[#This Row],[2022 NAICS Title]]</f>
        <v xml:space="preserve">624229:  Other Community Housing Services </v>
      </c>
      <c r="AS912" s="656">
        <v>624229</v>
      </c>
      <c r="AT912" s="656" t="s">
        <v>1550</v>
      </c>
      <c r="AU912" s="656" t="str">
        <f>Select_naics2022[[#This Row],[2022 NAICS Title]]</f>
        <v xml:space="preserve">Other Community Housing Services </v>
      </c>
    </row>
    <row r="913" spans="44:47" x14ac:dyDescent="0.25">
      <c r="AR913" s="656" t="str">
        <f>Select_naics2022[[#This Row],[2022 NAICS Code]]&amp;":  "&amp;Select_naics2022[[#This Row],[2022 NAICS Title]]</f>
        <v xml:space="preserve">624230:  Emergency and Other Relief Services </v>
      </c>
      <c r="AS913" s="656">
        <v>624230</v>
      </c>
      <c r="AT913" s="656" t="s">
        <v>1551</v>
      </c>
      <c r="AU913" s="656" t="str">
        <f>Select_naics2022[[#This Row],[2022 NAICS Title]]</f>
        <v xml:space="preserve">Emergency and Other Relief Services </v>
      </c>
    </row>
    <row r="914" spans="44:47" x14ac:dyDescent="0.25">
      <c r="AR914" s="656" t="str">
        <f>Select_naics2022[[#This Row],[2022 NAICS Code]]&amp;":  "&amp;Select_naics2022[[#This Row],[2022 NAICS Title]]</f>
        <v xml:space="preserve">624310:  Vocational Rehabilitation Services </v>
      </c>
      <c r="AS914" s="656">
        <v>624310</v>
      </c>
      <c r="AT914" s="656" t="s">
        <v>1552</v>
      </c>
      <c r="AU914" s="656" t="str">
        <f>Select_naics2022[[#This Row],[2022 NAICS Title]]</f>
        <v xml:space="preserve">Vocational Rehabilitation Services </v>
      </c>
    </row>
    <row r="915" spans="44:47" x14ac:dyDescent="0.25">
      <c r="AR915" s="656" t="str">
        <f>Select_naics2022[[#This Row],[2022 NAICS Code]]&amp;":  "&amp;Select_naics2022[[#This Row],[2022 NAICS Title]]</f>
        <v xml:space="preserve">624410:  Child Care Services </v>
      </c>
      <c r="AS915" s="656">
        <v>624410</v>
      </c>
      <c r="AT915" s="656" t="s">
        <v>1553</v>
      </c>
      <c r="AU915" s="656" t="str">
        <f>Select_naics2022[[#This Row],[2022 NAICS Title]]</f>
        <v xml:space="preserve">Child Care Services </v>
      </c>
    </row>
    <row r="916" spans="44:47" x14ac:dyDescent="0.25">
      <c r="AR916" s="656" t="str">
        <f>Select_naics2022[[#This Row],[2022 NAICS Code]]&amp;":  "&amp;Select_naics2022[[#This Row],[2022 NAICS Title]]</f>
        <v xml:space="preserve">711110:  Theater Companies and Dinner Theaters </v>
      </c>
      <c r="AS916" s="656">
        <v>711110</v>
      </c>
      <c r="AT916" s="656" t="s">
        <v>1554</v>
      </c>
      <c r="AU916" s="656" t="str">
        <f>Select_naics2022[[#This Row],[2022 NAICS Title]]</f>
        <v xml:space="preserve">Theater Companies and Dinner Theaters </v>
      </c>
    </row>
    <row r="917" spans="44:47" x14ac:dyDescent="0.25">
      <c r="AR917" s="656" t="str">
        <f>Select_naics2022[[#This Row],[2022 NAICS Code]]&amp;":  "&amp;Select_naics2022[[#This Row],[2022 NAICS Title]]</f>
        <v xml:space="preserve">711120:  Dance Companies </v>
      </c>
      <c r="AS917" s="656">
        <v>711120</v>
      </c>
      <c r="AT917" s="656" t="s">
        <v>1555</v>
      </c>
      <c r="AU917" s="656" t="str">
        <f>Select_naics2022[[#This Row],[2022 NAICS Title]]</f>
        <v xml:space="preserve">Dance Companies </v>
      </c>
    </row>
    <row r="918" spans="44:47" x14ac:dyDescent="0.25">
      <c r="AR918" s="656" t="str">
        <f>Select_naics2022[[#This Row],[2022 NAICS Code]]&amp;":  "&amp;Select_naics2022[[#This Row],[2022 NAICS Title]]</f>
        <v xml:space="preserve">711130:  Musical Groups and Artists </v>
      </c>
      <c r="AS918" s="656">
        <v>711130</v>
      </c>
      <c r="AT918" s="656" t="s">
        <v>1556</v>
      </c>
      <c r="AU918" s="656" t="str">
        <f>Select_naics2022[[#This Row],[2022 NAICS Title]]</f>
        <v xml:space="preserve">Musical Groups and Artists </v>
      </c>
    </row>
    <row r="919" spans="44:47" x14ac:dyDescent="0.25">
      <c r="AR919" s="656" t="str">
        <f>Select_naics2022[[#This Row],[2022 NAICS Code]]&amp;":  "&amp;Select_naics2022[[#This Row],[2022 NAICS Title]]</f>
        <v xml:space="preserve">711190:  Other Performing Arts Companies </v>
      </c>
      <c r="AS919" s="656">
        <v>711190</v>
      </c>
      <c r="AT919" s="656" t="s">
        <v>1557</v>
      </c>
      <c r="AU919" s="656" t="str">
        <f>Select_naics2022[[#This Row],[2022 NAICS Title]]</f>
        <v xml:space="preserve">Other Performing Arts Companies </v>
      </c>
    </row>
    <row r="920" spans="44:47" x14ac:dyDescent="0.25">
      <c r="AR920" s="656" t="str">
        <f>Select_naics2022[[#This Row],[2022 NAICS Code]]&amp;":  "&amp;Select_naics2022[[#This Row],[2022 NAICS Title]]</f>
        <v xml:space="preserve">711211:  Sports Teams and Clubs </v>
      </c>
      <c r="AS920" s="656">
        <v>711211</v>
      </c>
      <c r="AT920" s="656" t="s">
        <v>1558</v>
      </c>
      <c r="AU920" s="656" t="str">
        <f>Select_naics2022[[#This Row],[2022 NAICS Title]]</f>
        <v xml:space="preserve">Sports Teams and Clubs </v>
      </c>
    </row>
    <row r="921" spans="44:47" x14ac:dyDescent="0.25">
      <c r="AR921" s="656" t="str">
        <f>Select_naics2022[[#This Row],[2022 NAICS Code]]&amp;":  "&amp;Select_naics2022[[#This Row],[2022 NAICS Title]]</f>
        <v xml:space="preserve">711212:  Racetracks </v>
      </c>
      <c r="AS921" s="656">
        <v>711212</v>
      </c>
      <c r="AT921" s="656" t="s">
        <v>1559</v>
      </c>
      <c r="AU921" s="656" t="str">
        <f>Select_naics2022[[#This Row],[2022 NAICS Title]]</f>
        <v xml:space="preserve">Racetracks </v>
      </c>
    </row>
    <row r="922" spans="44:47" x14ac:dyDescent="0.25">
      <c r="AR922" s="656" t="str">
        <f>Select_naics2022[[#This Row],[2022 NAICS Code]]&amp;":  "&amp;Select_naics2022[[#This Row],[2022 NAICS Title]]</f>
        <v xml:space="preserve">711219:  Other Spectator Sports </v>
      </c>
      <c r="AS922" s="656">
        <v>711219</v>
      </c>
      <c r="AT922" s="656" t="s">
        <v>1560</v>
      </c>
      <c r="AU922" s="656" t="str">
        <f>Select_naics2022[[#This Row],[2022 NAICS Title]]</f>
        <v xml:space="preserve">Other Spectator Sports </v>
      </c>
    </row>
    <row r="923" spans="44:47" x14ac:dyDescent="0.25">
      <c r="AR923" s="656" t="str">
        <f>Select_naics2022[[#This Row],[2022 NAICS Code]]&amp;":  "&amp;Select_naics2022[[#This Row],[2022 NAICS Title]]</f>
        <v xml:space="preserve">711310:  Promoters of Performing Arts, Sports, and Similar Events with Facilities </v>
      </c>
      <c r="AS923" s="656">
        <v>711310</v>
      </c>
      <c r="AT923" s="656" t="s">
        <v>1561</v>
      </c>
      <c r="AU923" s="656" t="str">
        <f>Select_naics2022[[#This Row],[2022 NAICS Title]]</f>
        <v xml:space="preserve">Promoters of Performing Arts, Sports, and Similar Events with Facilities </v>
      </c>
    </row>
    <row r="924" spans="44:47" x14ac:dyDescent="0.25">
      <c r="AR924" s="656" t="str">
        <f>Select_naics2022[[#This Row],[2022 NAICS Code]]&amp;":  "&amp;Select_naics2022[[#This Row],[2022 NAICS Title]]</f>
        <v xml:space="preserve">711320:  Promoters of Performing Arts, Sports, and Similar Events without Facilities </v>
      </c>
      <c r="AS924" s="656">
        <v>711320</v>
      </c>
      <c r="AT924" s="656" t="s">
        <v>1562</v>
      </c>
      <c r="AU924" s="656" t="str">
        <f>Select_naics2022[[#This Row],[2022 NAICS Title]]</f>
        <v xml:space="preserve">Promoters of Performing Arts, Sports, and Similar Events without Facilities </v>
      </c>
    </row>
    <row r="925" spans="44:47" x14ac:dyDescent="0.25">
      <c r="AR925" s="656" t="str">
        <f>Select_naics2022[[#This Row],[2022 NAICS Code]]&amp;":  "&amp;Select_naics2022[[#This Row],[2022 NAICS Title]]</f>
        <v>711410:  Agents and Managers for Artists, Athletes, Entertainers, and Other Public Figures</v>
      </c>
      <c r="AS925" s="656">
        <v>711410</v>
      </c>
      <c r="AT925" s="656" t="s">
        <v>1563</v>
      </c>
      <c r="AU925" s="656" t="str">
        <f>Select_naics2022[[#This Row],[2022 NAICS Title]]</f>
        <v>Agents and Managers for Artists, Athletes, Entertainers, and Other Public Figures</v>
      </c>
    </row>
    <row r="926" spans="44:47" x14ac:dyDescent="0.25">
      <c r="AR926" s="656" t="str">
        <f>Select_naics2022[[#This Row],[2022 NAICS Code]]&amp;":  "&amp;Select_naics2022[[#This Row],[2022 NAICS Title]]</f>
        <v xml:space="preserve">711510:  Independent Artists, Writers, and Performers </v>
      </c>
      <c r="AS926" s="656">
        <v>711510</v>
      </c>
      <c r="AT926" s="656" t="s">
        <v>1564</v>
      </c>
      <c r="AU926" s="656" t="str">
        <f>Select_naics2022[[#This Row],[2022 NAICS Title]]</f>
        <v xml:space="preserve">Independent Artists, Writers, and Performers </v>
      </c>
    </row>
    <row r="927" spans="44:47" x14ac:dyDescent="0.25">
      <c r="AR927" s="656" t="str">
        <f>Select_naics2022[[#This Row],[2022 NAICS Code]]&amp;":  "&amp;Select_naics2022[[#This Row],[2022 NAICS Title]]</f>
        <v xml:space="preserve">712110:  Museums </v>
      </c>
      <c r="AS927" s="656">
        <v>712110</v>
      </c>
      <c r="AT927" s="656" t="s">
        <v>1565</v>
      </c>
      <c r="AU927" s="656" t="str">
        <f>Select_naics2022[[#This Row],[2022 NAICS Title]]</f>
        <v xml:space="preserve">Museums </v>
      </c>
    </row>
    <row r="928" spans="44:47" x14ac:dyDescent="0.25">
      <c r="AR928" s="656" t="str">
        <f>Select_naics2022[[#This Row],[2022 NAICS Code]]&amp;":  "&amp;Select_naics2022[[#This Row],[2022 NAICS Title]]</f>
        <v>712120:  Historical Sites</v>
      </c>
      <c r="AS928" s="656">
        <v>712120</v>
      </c>
      <c r="AT928" s="656" t="s">
        <v>1566</v>
      </c>
      <c r="AU928" s="656" t="str">
        <f>Select_naics2022[[#This Row],[2022 NAICS Title]]</f>
        <v>Historical Sites</v>
      </c>
    </row>
    <row r="929" spans="44:47" x14ac:dyDescent="0.25">
      <c r="AR929" s="656" t="str">
        <f>Select_naics2022[[#This Row],[2022 NAICS Code]]&amp;":  "&amp;Select_naics2022[[#This Row],[2022 NAICS Title]]</f>
        <v xml:space="preserve">712130:  Zoos and Botanical Gardens </v>
      </c>
      <c r="AS929" s="656">
        <v>712130</v>
      </c>
      <c r="AT929" s="656" t="s">
        <v>1567</v>
      </c>
      <c r="AU929" s="656" t="str">
        <f>Select_naics2022[[#This Row],[2022 NAICS Title]]</f>
        <v xml:space="preserve">Zoos and Botanical Gardens </v>
      </c>
    </row>
    <row r="930" spans="44:47" x14ac:dyDescent="0.25">
      <c r="AR930" s="656" t="str">
        <f>Select_naics2022[[#This Row],[2022 NAICS Code]]&amp;":  "&amp;Select_naics2022[[#This Row],[2022 NAICS Title]]</f>
        <v>712190:  Nature Parks and Other Similar Institutions</v>
      </c>
      <c r="AS930" s="656">
        <v>712190</v>
      </c>
      <c r="AT930" s="656" t="s">
        <v>1568</v>
      </c>
      <c r="AU930" s="656" t="str">
        <f>Select_naics2022[[#This Row],[2022 NAICS Title]]</f>
        <v>Nature Parks and Other Similar Institutions</v>
      </c>
    </row>
    <row r="931" spans="44:47" x14ac:dyDescent="0.25">
      <c r="AR931" s="656" t="str">
        <f>Select_naics2022[[#This Row],[2022 NAICS Code]]&amp;":  "&amp;Select_naics2022[[#This Row],[2022 NAICS Title]]</f>
        <v xml:space="preserve">713110:  Amusement and Theme Parks </v>
      </c>
      <c r="AS931" s="656">
        <v>713110</v>
      </c>
      <c r="AT931" s="656" t="s">
        <v>1569</v>
      </c>
      <c r="AU931" s="656" t="str">
        <f>Select_naics2022[[#This Row],[2022 NAICS Title]]</f>
        <v xml:space="preserve">Amusement and Theme Parks </v>
      </c>
    </row>
    <row r="932" spans="44:47" x14ac:dyDescent="0.25">
      <c r="AR932" s="656" t="str">
        <f>Select_naics2022[[#This Row],[2022 NAICS Code]]&amp;":  "&amp;Select_naics2022[[#This Row],[2022 NAICS Title]]</f>
        <v>713120:  Amusement Arcades</v>
      </c>
      <c r="AS932" s="656">
        <v>713120</v>
      </c>
      <c r="AT932" s="656" t="s">
        <v>1570</v>
      </c>
      <c r="AU932" s="656" t="str">
        <f>Select_naics2022[[#This Row],[2022 NAICS Title]]</f>
        <v>Amusement Arcades</v>
      </c>
    </row>
    <row r="933" spans="44:47" x14ac:dyDescent="0.25">
      <c r="AR933" s="656" t="str">
        <f>Select_naics2022[[#This Row],[2022 NAICS Code]]&amp;":  "&amp;Select_naics2022[[#This Row],[2022 NAICS Title]]</f>
        <v>713210:  Casinos (except Casino Hotels)</v>
      </c>
      <c r="AS933" s="656">
        <v>713210</v>
      </c>
      <c r="AT933" s="656" t="s">
        <v>1571</v>
      </c>
      <c r="AU933" s="656" t="str">
        <f>Select_naics2022[[#This Row],[2022 NAICS Title]]</f>
        <v>Casinos (except Casino Hotels)</v>
      </c>
    </row>
    <row r="934" spans="44:47" x14ac:dyDescent="0.25">
      <c r="AR934" s="656" t="str">
        <f>Select_naics2022[[#This Row],[2022 NAICS Code]]&amp;":  "&amp;Select_naics2022[[#This Row],[2022 NAICS Title]]</f>
        <v xml:space="preserve">713290:  Other Gambling Industries </v>
      </c>
      <c r="AS934" s="656">
        <v>713290</v>
      </c>
      <c r="AT934" s="656" t="s">
        <v>1572</v>
      </c>
      <c r="AU934" s="656" t="str">
        <f>Select_naics2022[[#This Row],[2022 NAICS Title]]</f>
        <v xml:space="preserve">Other Gambling Industries </v>
      </c>
    </row>
    <row r="935" spans="44:47" x14ac:dyDescent="0.25">
      <c r="AR935" s="656" t="str">
        <f>Select_naics2022[[#This Row],[2022 NAICS Code]]&amp;":  "&amp;Select_naics2022[[#This Row],[2022 NAICS Title]]</f>
        <v>713910:  Golf Courses and Country Clubs</v>
      </c>
      <c r="AS935" s="656">
        <v>713910</v>
      </c>
      <c r="AT935" s="656" t="s">
        <v>1573</v>
      </c>
      <c r="AU935" s="656" t="str">
        <f>Select_naics2022[[#This Row],[2022 NAICS Title]]</f>
        <v>Golf Courses and Country Clubs</v>
      </c>
    </row>
    <row r="936" spans="44:47" x14ac:dyDescent="0.25">
      <c r="AR936" s="656" t="str">
        <f>Select_naics2022[[#This Row],[2022 NAICS Code]]&amp;":  "&amp;Select_naics2022[[#This Row],[2022 NAICS Title]]</f>
        <v>713920:  Skiing Facilities</v>
      </c>
      <c r="AS936" s="656">
        <v>713920</v>
      </c>
      <c r="AT936" s="656" t="s">
        <v>1574</v>
      </c>
      <c r="AU936" s="656" t="str">
        <f>Select_naics2022[[#This Row],[2022 NAICS Title]]</f>
        <v>Skiing Facilities</v>
      </c>
    </row>
    <row r="937" spans="44:47" x14ac:dyDescent="0.25">
      <c r="AR937" s="656" t="str">
        <f>Select_naics2022[[#This Row],[2022 NAICS Code]]&amp;":  "&amp;Select_naics2022[[#This Row],[2022 NAICS Title]]</f>
        <v>713930:  Marinas</v>
      </c>
      <c r="AS937" s="656">
        <v>713930</v>
      </c>
      <c r="AT937" s="656" t="s">
        <v>1575</v>
      </c>
      <c r="AU937" s="656" t="str">
        <f>Select_naics2022[[#This Row],[2022 NAICS Title]]</f>
        <v>Marinas</v>
      </c>
    </row>
    <row r="938" spans="44:47" x14ac:dyDescent="0.25">
      <c r="AR938" s="656" t="str">
        <f>Select_naics2022[[#This Row],[2022 NAICS Code]]&amp;":  "&amp;Select_naics2022[[#This Row],[2022 NAICS Title]]</f>
        <v xml:space="preserve">713940:  Fitness and Recreational Sports Centers </v>
      </c>
      <c r="AS938" s="656">
        <v>713940</v>
      </c>
      <c r="AT938" s="656" t="s">
        <v>1576</v>
      </c>
      <c r="AU938" s="656" t="str">
        <f>Select_naics2022[[#This Row],[2022 NAICS Title]]</f>
        <v xml:space="preserve">Fitness and Recreational Sports Centers </v>
      </c>
    </row>
    <row r="939" spans="44:47" x14ac:dyDescent="0.25">
      <c r="AR939" s="656" t="str">
        <f>Select_naics2022[[#This Row],[2022 NAICS Code]]&amp;":  "&amp;Select_naics2022[[#This Row],[2022 NAICS Title]]</f>
        <v>713950:  Bowling Centers</v>
      </c>
      <c r="AS939" s="656">
        <v>713950</v>
      </c>
      <c r="AT939" s="656" t="s">
        <v>1577</v>
      </c>
      <c r="AU939" s="656" t="str">
        <f>Select_naics2022[[#This Row],[2022 NAICS Title]]</f>
        <v>Bowling Centers</v>
      </c>
    </row>
    <row r="940" spans="44:47" x14ac:dyDescent="0.25">
      <c r="AR940" s="656" t="str">
        <f>Select_naics2022[[#This Row],[2022 NAICS Code]]&amp;":  "&amp;Select_naics2022[[#This Row],[2022 NAICS Title]]</f>
        <v xml:space="preserve">713990:  All Other Amusement and Recreation Industries </v>
      </c>
      <c r="AS940" s="656">
        <v>713990</v>
      </c>
      <c r="AT940" s="656" t="s">
        <v>1578</v>
      </c>
      <c r="AU940" s="656" t="str">
        <f>Select_naics2022[[#This Row],[2022 NAICS Title]]</f>
        <v xml:space="preserve">All Other Amusement and Recreation Industries </v>
      </c>
    </row>
    <row r="941" spans="44:47" x14ac:dyDescent="0.25">
      <c r="AR941" s="656" t="str">
        <f>Select_naics2022[[#This Row],[2022 NAICS Code]]&amp;":  "&amp;Select_naics2022[[#This Row],[2022 NAICS Title]]</f>
        <v xml:space="preserve">721110:  Hotels (except Casino Hotels) and Motels </v>
      </c>
      <c r="AS941" s="656">
        <v>721110</v>
      </c>
      <c r="AT941" s="656" t="s">
        <v>1579</v>
      </c>
      <c r="AU941" s="656" t="str">
        <f>Select_naics2022[[#This Row],[2022 NAICS Title]]</f>
        <v xml:space="preserve">Hotels (except Casino Hotels) and Motels </v>
      </c>
    </row>
    <row r="942" spans="44:47" x14ac:dyDescent="0.25">
      <c r="AR942" s="656" t="str">
        <f>Select_naics2022[[#This Row],[2022 NAICS Code]]&amp;":  "&amp;Select_naics2022[[#This Row],[2022 NAICS Title]]</f>
        <v>721120:  Casino Hotels</v>
      </c>
      <c r="AS942" s="656">
        <v>721120</v>
      </c>
      <c r="AT942" s="656" t="s">
        <v>1580</v>
      </c>
      <c r="AU942" s="656" t="str">
        <f>Select_naics2022[[#This Row],[2022 NAICS Title]]</f>
        <v>Casino Hotels</v>
      </c>
    </row>
    <row r="943" spans="44:47" x14ac:dyDescent="0.25">
      <c r="AR943" s="656" t="str">
        <f>Select_naics2022[[#This Row],[2022 NAICS Code]]&amp;":  "&amp;Select_naics2022[[#This Row],[2022 NAICS Title]]</f>
        <v xml:space="preserve">721191:  Bed-and-Breakfast Inns </v>
      </c>
      <c r="AS943" s="656">
        <v>721191</v>
      </c>
      <c r="AT943" s="656" t="s">
        <v>1581</v>
      </c>
      <c r="AU943" s="656" t="str">
        <f>Select_naics2022[[#This Row],[2022 NAICS Title]]</f>
        <v xml:space="preserve">Bed-and-Breakfast Inns </v>
      </c>
    </row>
    <row r="944" spans="44:47" x14ac:dyDescent="0.25">
      <c r="AR944" s="656" t="str">
        <f>Select_naics2022[[#This Row],[2022 NAICS Code]]&amp;":  "&amp;Select_naics2022[[#This Row],[2022 NAICS Title]]</f>
        <v xml:space="preserve">721199:  All Other Traveler Accommodation </v>
      </c>
      <c r="AS944" s="656">
        <v>721199</v>
      </c>
      <c r="AT944" s="656" t="s">
        <v>1582</v>
      </c>
      <c r="AU944" s="656" t="str">
        <f>Select_naics2022[[#This Row],[2022 NAICS Title]]</f>
        <v xml:space="preserve">All Other Traveler Accommodation </v>
      </c>
    </row>
    <row r="945" spans="44:47" x14ac:dyDescent="0.25">
      <c r="AR945" s="656" t="str">
        <f>Select_naics2022[[#This Row],[2022 NAICS Code]]&amp;":  "&amp;Select_naics2022[[#This Row],[2022 NAICS Title]]</f>
        <v xml:space="preserve">721211:  RV (Recreational Vehicle) Parks and Campgrounds </v>
      </c>
      <c r="AS945" s="656">
        <v>721211</v>
      </c>
      <c r="AT945" s="656" t="s">
        <v>1583</v>
      </c>
      <c r="AU945" s="656" t="str">
        <f>Select_naics2022[[#This Row],[2022 NAICS Title]]</f>
        <v xml:space="preserve">RV (Recreational Vehicle) Parks and Campgrounds </v>
      </c>
    </row>
    <row r="946" spans="44:47" x14ac:dyDescent="0.25">
      <c r="AR946" s="656" t="str">
        <f>Select_naics2022[[#This Row],[2022 NAICS Code]]&amp;":  "&amp;Select_naics2022[[#This Row],[2022 NAICS Title]]</f>
        <v xml:space="preserve">721214:  Recreational and Vacation Camps (except Campgrounds) </v>
      </c>
      <c r="AS946" s="656">
        <v>721214</v>
      </c>
      <c r="AT946" s="656" t="s">
        <v>1584</v>
      </c>
      <c r="AU946" s="656" t="str">
        <f>Select_naics2022[[#This Row],[2022 NAICS Title]]</f>
        <v xml:space="preserve">Recreational and Vacation Camps (except Campgrounds) </v>
      </c>
    </row>
    <row r="947" spans="44:47" x14ac:dyDescent="0.25">
      <c r="AR947" s="656" t="str">
        <f>Select_naics2022[[#This Row],[2022 NAICS Code]]&amp;":  "&amp;Select_naics2022[[#This Row],[2022 NAICS Title]]</f>
        <v xml:space="preserve">721310:  Rooming and Boarding Houses, Dormitories, and Workers' Camps </v>
      </c>
      <c r="AS947" s="656">
        <v>721310</v>
      </c>
      <c r="AT947" s="656" t="s">
        <v>1585</v>
      </c>
      <c r="AU947" s="656" t="str">
        <f>Select_naics2022[[#This Row],[2022 NAICS Title]]</f>
        <v xml:space="preserve">Rooming and Boarding Houses, Dormitories, and Workers' Camps </v>
      </c>
    </row>
    <row r="948" spans="44:47" x14ac:dyDescent="0.25">
      <c r="AR948" s="656" t="str">
        <f>Select_naics2022[[#This Row],[2022 NAICS Code]]&amp;":  "&amp;Select_naics2022[[#This Row],[2022 NAICS Title]]</f>
        <v>722310:  Food Service Contractors</v>
      </c>
      <c r="AS948" s="656">
        <v>722310</v>
      </c>
      <c r="AT948" s="656" t="s">
        <v>1586</v>
      </c>
      <c r="AU948" s="656" t="str">
        <f>Select_naics2022[[#This Row],[2022 NAICS Title]]</f>
        <v>Food Service Contractors</v>
      </c>
    </row>
    <row r="949" spans="44:47" x14ac:dyDescent="0.25">
      <c r="AR949" s="656" t="str">
        <f>Select_naics2022[[#This Row],[2022 NAICS Code]]&amp;":  "&amp;Select_naics2022[[#This Row],[2022 NAICS Title]]</f>
        <v>722320:  Caterers</v>
      </c>
      <c r="AS949" s="656">
        <v>722320</v>
      </c>
      <c r="AT949" s="656" t="s">
        <v>1587</v>
      </c>
      <c r="AU949" s="656" t="str">
        <f>Select_naics2022[[#This Row],[2022 NAICS Title]]</f>
        <v>Caterers</v>
      </c>
    </row>
    <row r="950" spans="44:47" x14ac:dyDescent="0.25">
      <c r="AR950" s="656" t="str">
        <f>Select_naics2022[[#This Row],[2022 NAICS Code]]&amp;":  "&amp;Select_naics2022[[#This Row],[2022 NAICS Title]]</f>
        <v>722330:  Mobile Food Services</v>
      </c>
      <c r="AS950" s="656">
        <v>722330</v>
      </c>
      <c r="AT950" s="656" t="s">
        <v>1588</v>
      </c>
      <c r="AU950" s="656" t="str">
        <f>Select_naics2022[[#This Row],[2022 NAICS Title]]</f>
        <v>Mobile Food Services</v>
      </c>
    </row>
    <row r="951" spans="44:47" x14ac:dyDescent="0.25">
      <c r="AR951" s="656" t="str">
        <f>Select_naics2022[[#This Row],[2022 NAICS Code]]&amp;":  "&amp;Select_naics2022[[#This Row],[2022 NAICS Title]]</f>
        <v xml:space="preserve">722410:  Drinking Places (Alcoholic Beverages) </v>
      </c>
      <c r="AS951" s="656">
        <v>722410</v>
      </c>
      <c r="AT951" s="656" t="s">
        <v>1589</v>
      </c>
      <c r="AU951" s="656" t="str">
        <f>Select_naics2022[[#This Row],[2022 NAICS Title]]</f>
        <v xml:space="preserve">Drinking Places (Alcoholic Beverages) </v>
      </c>
    </row>
    <row r="952" spans="44:47" x14ac:dyDescent="0.25">
      <c r="AR952" s="656" t="str">
        <f>Select_naics2022[[#This Row],[2022 NAICS Code]]&amp;":  "&amp;Select_naics2022[[#This Row],[2022 NAICS Title]]</f>
        <v xml:space="preserve">722511:  Full-Service Restaurants </v>
      </c>
      <c r="AS952" s="656">
        <v>722511</v>
      </c>
      <c r="AT952" s="656" t="s">
        <v>1590</v>
      </c>
      <c r="AU952" s="656" t="str">
        <f>Select_naics2022[[#This Row],[2022 NAICS Title]]</f>
        <v xml:space="preserve">Full-Service Restaurants </v>
      </c>
    </row>
    <row r="953" spans="44:47" x14ac:dyDescent="0.25">
      <c r="AR953" s="656" t="str">
        <f>Select_naics2022[[#This Row],[2022 NAICS Code]]&amp;":  "&amp;Select_naics2022[[#This Row],[2022 NAICS Title]]</f>
        <v xml:space="preserve">722513:  Limited-Service Restaurants </v>
      </c>
      <c r="AS953" s="656">
        <v>722513</v>
      </c>
      <c r="AT953" s="656" t="s">
        <v>1591</v>
      </c>
      <c r="AU953" s="656" t="str">
        <f>Select_naics2022[[#This Row],[2022 NAICS Title]]</f>
        <v xml:space="preserve">Limited-Service Restaurants </v>
      </c>
    </row>
    <row r="954" spans="44:47" x14ac:dyDescent="0.25">
      <c r="AR954" s="656" t="str">
        <f>Select_naics2022[[#This Row],[2022 NAICS Code]]&amp;":  "&amp;Select_naics2022[[#This Row],[2022 NAICS Title]]</f>
        <v xml:space="preserve">722514:  Cafeterias, Grill Buffets, and Buffets </v>
      </c>
      <c r="AS954" s="656">
        <v>722514</v>
      </c>
      <c r="AT954" s="656" t="s">
        <v>1592</v>
      </c>
      <c r="AU954" s="656" t="str">
        <f>Select_naics2022[[#This Row],[2022 NAICS Title]]</f>
        <v xml:space="preserve">Cafeterias, Grill Buffets, and Buffets </v>
      </c>
    </row>
    <row r="955" spans="44:47" x14ac:dyDescent="0.25">
      <c r="AR955" s="656" t="str">
        <f>Select_naics2022[[#This Row],[2022 NAICS Code]]&amp;":  "&amp;Select_naics2022[[#This Row],[2022 NAICS Title]]</f>
        <v xml:space="preserve">722515:  Snack and Nonalcoholic Beverage Bars </v>
      </c>
      <c r="AS955" s="656">
        <v>722515</v>
      </c>
      <c r="AT955" s="656" t="s">
        <v>1593</v>
      </c>
      <c r="AU955" s="656" t="str">
        <f>Select_naics2022[[#This Row],[2022 NAICS Title]]</f>
        <v xml:space="preserve">Snack and Nonalcoholic Beverage Bars </v>
      </c>
    </row>
    <row r="956" spans="44:47" x14ac:dyDescent="0.25">
      <c r="AR956" s="656" t="str">
        <f>Select_naics2022[[#This Row],[2022 NAICS Code]]&amp;":  "&amp;Select_naics2022[[#This Row],[2022 NAICS Title]]</f>
        <v xml:space="preserve">811111:  General Automotive Repair </v>
      </c>
      <c r="AS956" s="656">
        <v>811111</v>
      </c>
      <c r="AT956" s="656" t="s">
        <v>1594</v>
      </c>
      <c r="AU956" s="656" t="str">
        <f>Select_naics2022[[#This Row],[2022 NAICS Title]]</f>
        <v xml:space="preserve">General Automotive Repair </v>
      </c>
    </row>
    <row r="957" spans="44:47" x14ac:dyDescent="0.25">
      <c r="AR957" s="656" t="str">
        <f>Select_naics2022[[#This Row],[2022 NAICS Code]]&amp;":  "&amp;Select_naics2022[[#This Row],[2022 NAICS Title]]</f>
        <v xml:space="preserve">811114:  Specialized Automotive Repair </v>
      </c>
      <c r="AS957" s="656">
        <v>811114</v>
      </c>
      <c r="AT957" s="656" t="s">
        <v>1595</v>
      </c>
      <c r="AU957" s="656" t="str">
        <f>Select_naics2022[[#This Row],[2022 NAICS Title]]</f>
        <v xml:space="preserve">Specialized Automotive Repair </v>
      </c>
    </row>
    <row r="958" spans="44:47" x14ac:dyDescent="0.25">
      <c r="AR958" s="656" t="str">
        <f>Select_naics2022[[#This Row],[2022 NAICS Code]]&amp;":  "&amp;Select_naics2022[[#This Row],[2022 NAICS Title]]</f>
        <v xml:space="preserve">811121:  Automotive Body, Paint, and Interior Repair and Maintenance </v>
      </c>
      <c r="AS958" s="656">
        <v>811121</v>
      </c>
      <c r="AT958" s="656" t="s">
        <v>1596</v>
      </c>
      <c r="AU958" s="656" t="str">
        <f>Select_naics2022[[#This Row],[2022 NAICS Title]]</f>
        <v xml:space="preserve">Automotive Body, Paint, and Interior Repair and Maintenance </v>
      </c>
    </row>
    <row r="959" spans="44:47" x14ac:dyDescent="0.25">
      <c r="AR959" s="656" t="str">
        <f>Select_naics2022[[#This Row],[2022 NAICS Code]]&amp;":  "&amp;Select_naics2022[[#This Row],[2022 NAICS Title]]</f>
        <v xml:space="preserve">811122:  Automotive Glass Replacement Shops </v>
      </c>
      <c r="AS959" s="656">
        <v>811122</v>
      </c>
      <c r="AT959" s="656" t="s">
        <v>1597</v>
      </c>
      <c r="AU959" s="656" t="str">
        <f>Select_naics2022[[#This Row],[2022 NAICS Title]]</f>
        <v xml:space="preserve">Automotive Glass Replacement Shops </v>
      </c>
    </row>
    <row r="960" spans="44:47" x14ac:dyDescent="0.25">
      <c r="AR960" s="656" t="str">
        <f>Select_naics2022[[#This Row],[2022 NAICS Code]]&amp;":  "&amp;Select_naics2022[[#This Row],[2022 NAICS Title]]</f>
        <v xml:space="preserve">811191:  Automotive Oil Change and Lubrication Shops </v>
      </c>
      <c r="AS960" s="656">
        <v>811191</v>
      </c>
      <c r="AT960" s="656" t="s">
        <v>1598</v>
      </c>
      <c r="AU960" s="656" t="str">
        <f>Select_naics2022[[#This Row],[2022 NAICS Title]]</f>
        <v xml:space="preserve">Automotive Oil Change and Lubrication Shops </v>
      </c>
    </row>
    <row r="961" spans="44:47" x14ac:dyDescent="0.25">
      <c r="AR961" s="656" t="str">
        <f>Select_naics2022[[#This Row],[2022 NAICS Code]]&amp;":  "&amp;Select_naics2022[[#This Row],[2022 NAICS Title]]</f>
        <v xml:space="preserve">811192:  Car Washes </v>
      </c>
      <c r="AS961" s="656">
        <v>811192</v>
      </c>
      <c r="AT961" s="656" t="s">
        <v>1599</v>
      </c>
      <c r="AU961" s="656" t="str">
        <f>Select_naics2022[[#This Row],[2022 NAICS Title]]</f>
        <v xml:space="preserve">Car Washes </v>
      </c>
    </row>
    <row r="962" spans="44:47" x14ac:dyDescent="0.25">
      <c r="AR962" s="656" t="str">
        <f>Select_naics2022[[#This Row],[2022 NAICS Code]]&amp;":  "&amp;Select_naics2022[[#This Row],[2022 NAICS Title]]</f>
        <v xml:space="preserve">811198:  All Other Automotive Repair and Maintenance </v>
      </c>
      <c r="AS962" s="656">
        <v>811198</v>
      </c>
      <c r="AT962" s="656" t="s">
        <v>1600</v>
      </c>
      <c r="AU962" s="656" t="str">
        <f>Select_naics2022[[#This Row],[2022 NAICS Title]]</f>
        <v xml:space="preserve">All Other Automotive Repair and Maintenance </v>
      </c>
    </row>
    <row r="963" spans="44:47" x14ac:dyDescent="0.25">
      <c r="AR963" s="656" t="str">
        <f>Select_naics2022[[#This Row],[2022 NAICS Code]]&amp;":  "&amp;Select_naics2022[[#This Row],[2022 NAICS Title]]</f>
        <v xml:space="preserve">811210:  Electronic and Precision Equipment Repair and Maintenance </v>
      </c>
      <c r="AS963" s="656">
        <v>811210</v>
      </c>
      <c r="AT963" s="656" t="s">
        <v>1601</v>
      </c>
      <c r="AU963" s="656" t="str">
        <f>Select_naics2022[[#This Row],[2022 NAICS Title]]</f>
        <v xml:space="preserve">Electronic and Precision Equipment Repair and Maintenance </v>
      </c>
    </row>
    <row r="964" spans="44:47" x14ac:dyDescent="0.25">
      <c r="AR964" s="656" t="str">
        <f>Select_naics2022[[#This Row],[2022 NAICS Code]]&amp;":  "&amp;Select_naics2022[[#This Row],[2022 NAICS Title]]</f>
        <v xml:space="preserve">811310:  Commercial and Industrial Machinery and Equipment (except Automotive and Electronic) Repair and Maintenance </v>
      </c>
      <c r="AS964" s="656">
        <v>811310</v>
      </c>
      <c r="AT964" s="656" t="s">
        <v>1602</v>
      </c>
      <c r="AU964" s="656" t="str">
        <f>Select_naics2022[[#This Row],[2022 NAICS Title]]</f>
        <v xml:space="preserve">Commercial and Industrial Machinery and Equipment (except Automotive and Electronic) Repair and Maintenance </v>
      </c>
    </row>
    <row r="965" spans="44:47" x14ac:dyDescent="0.25">
      <c r="AR965" s="656" t="str">
        <f>Select_naics2022[[#This Row],[2022 NAICS Code]]&amp;":  "&amp;Select_naics2022[[#This Row],[2022 NAICS Title]]</f>
        <v xml:space="preserve">811411:  Home and Garden Equipment Repair and Maintenance </v>
      </c>
      <c r="AS965" s="656">
        <v>811411</v>
      </c>
      <c r="AT965" s="656" t="s">
        <v>1603</v>
      </c>
      <c r="AU965" s="656" t="str">
        <f>Select_naics2022[[#This Row],[2022 NAICS Title]]</f>
        <v xml:space="preserve">Home and Garden Equipment Repair and Maintenance </v>
      </c>
    </row>
    <row r="966" spans="44:47" x14ac:dyDescent="0.25">
      <c r="AR966" s="656" t="str">
        <f>Select_naics2022[[#This Row],[2022 NAICS Code]]&amp;":  "&amp;Select_naics2022[[#This Row],[2022 NAICS Title]]</f>
        <v xml:space="preserve">811412:  Appliance Repair and Maintenance </v>
      </c>
      <c r="AS966" s="656">
        <v>811412</v>
      </c>
      <c r="AT966" s="656" t="s">
        <v>1604</v>
      </c>
      <c r="AU966" s="656" t="str">
        <f>Select_naics2022[[#This Row],[2022 NAICS Title]]</f>
        <v xml:space="preserve">Appliance Repair and Maintenance </v>
      </c>
    </row>
    <row r="967" spans="44:47" x14ac:dyDescent="0.25">
      <c r="AR967" s="656" t="str">
        <f>Select_naics2022[[#This Row],[2022 NAICS Code]]&amp;":  "&amp;Select_naics2022[[#This Row],[2022 NAICS Title]]</f>
        <v>811420:  Reupholstery and Furniture Repair</v>
      </c>
      <c r="AS967" s="656">
        <v>811420</v>
      </c>
      <c r="AT967" s="656" t="s">
        <v>1605</v>
      </c>
      <c r="AU967" s="656" t="str">
        <f>Select_naics2022[[#This Row],[2022 NAICS Title]]</f>
        <v>Reupholstery and Furniture Repair</v>
      </c>
    </row>
    <row r="968" spans="44:47" x14ac:dyDescent="0.25">
      <c r="AR968" s="656" t="str">
        <f>Select_naics2022[[#This Row],[2022 NAICS Code]]&amp;":  "&amp;Select_naics2022[[#This Row],[2022 NAICS Title]]</f>
        <v>811430:  Footwear and Leather Goods Repair</v>
      </c>
      <c r="AS968" s="656">
        <v>811430</v>
      </c>
      <c r="AT968" s="656" t="s">
        <v>1606</v>
      </c>
      <c r="AU968" s="656" t="str">
        <f>Select_naics2022[[#This Row],[2022 NAICS Title]]</f>
        <v>Footwear and Leather Goods Repair</v>
      </c>
    </row>
    <row r="969" spans="44:47" x14ac:dyDescent="0.25">
      <c r="AR969" s="656" t="str">
        <f>Select_naics2022[[#This Row],[2022 NAICS Code]]&amp;":  "&amp;Select_naics2022[[#This Row],[2022 NAICS Title]]</f>
        <v xml:space="preserve">811490:  Other Personal and Household Goods Repair and Maintenance </v>
      </c>
      <c r="AS969" s="656">
        <v>811490</v>
      </c>
      <c r="AT969" s="656" t="s">
        <v>1607</v>
      </c>
      <c r="AU969" s="656" t="str">
        <f>Select_naics2022[[#This Row],[2022 NAICS Title]]</f>
        <v xml:space="preserve">Other Personal and Household Goods Repair and Maintenance </v>
      </c>
    </row>
    <row r="970" spans="44:47" x14ac:dyDescent="0.25">
      <c r="AR970" s="656" t="str">
        <f>Select_naics2022[[#This Row],[2022 NAICS Code]]&amp;":  "&amp;Select_naics2022[[#This Row],[2022 NAICS Title]]</f>
        <v xml:space="preserve">812111:  Barber Shops </v>
      </c>
      <c r="AS970" s="656">
        <v>812111</v>
      </c>
      <c r="AT970" s="656" t="s">
        <v>1608</v>
      </c>
      <c r="AU970" s="656" t="str">
        <f>Select_naics2022[[#This Row],[2022 NAICS Title]]</f>
        <v xml:space="preserve">Barber Shops </v>
      </c>
    </row>
    <row r="971" spans="44:47" x14ac:dyDescent="0.25">
      <c r="AR971" s="656" t="str">
        <f>Select_naics2022[[#This Row],[2022 NAICS Code]]&amp;":  "&amp;Select_naics2022[[#This Row],[2022 NAICS Title]]</f>
        <v xml:space="preserve">812112:  Beauty Salons </v>
      </c>
      <c r="AS971" s="656">
        <v>812112</v>
      </c>
      <c r="AT971" s="656" t="s">
        <v>1609</v>
      </c>
      <c r="AU971" s="656" t="str">
        <f>Select_naics2022[[#This Row],[2022 NAICS Title]]</f>
        <v xml:space="preserve">Beauty Salons </v>
      </c>
    </row>
    <row r="972" spans="44:47" x14ac:dyDescent="0.25">
      <c r="AR972" s="656" t="str">
        <f>Select_naics2022[[#This Row],[2022 NAICS Code]]&amp;":  "&amp;Select_naics2022[[#This Row],[2022 NAICS Title]]</f>
        <v xml:space="preserve">812113:  Nail Salons </v>
      </c>
      <c r="AS972" s="656">
        <v>812113</v>
      </c>
      <c r="AT972" s="656" t="s">
        <v>1610</v>
      </c>
      <c r="AU972" s="656" t="str">
        <f>Select_naics2022[[#This Row],[2022 NAICS Title]]</f>
        <v xml:space="preserve">Nail Salons </v>
      </c>
    </row>
    <row r="973" spans="44:47" x14ac:dyDescent="0.25">
      <c r="AR973" s="656" t="str">
        <f>Select_naics2022[[#This Row],[2022 NAICS Code]]&amp;":  "&amp;Select_naics2022[[#This Row],[2022 NAICS Title]]</f>
        <v xml:space="preserve">812191:  Diet and Weight Reducing Centers </v>
      </c>
      <c r="AS973" s="656">
        <v>812191</v>
      </c>
      <c r="AT973" s="656" t="s">
        <v>1611</v>
      </c>
      <c r="AU973" s="656" t="str">
        <f>Select_naics2022[[#This Row],[2022 NAICS Title]]</f>
        <v xml:space="preserve">Diet and Weight Reducing Centers </v>
      </c>
    </row>
    <row r="974" spans="44:47" x14ac:dyDescent="0.25">
      <c r="AR974" s="656" t="str">
        <f>Select_naics2022[[#This Row],[2022 NAICS Code]]&amp;":  "&amp;Select_naics2022[[#This Row],[2022 NAICS Title]]</f>
        <v xml:space="preserve">812199:  Other Personal Care Services </v>
      </c>
      <c r="AS974" s="656">
        <v>812199</v>
      </c>
      <c r="AT974" s="656" t="s">
        <v>1612</v>
      </c>
      <c r="AU974" s="656" t="str">
        <f>Select_naics2022[[#This Row],[2022 NAICS Title]]</f>
        <v xml:space="preserve">Other Personal Care Services </v>
      </c>
    </row>
    <row r="975" spans="44:47" x14ac:dyDescent="0.25">
      <c r="AR975" s="656" t="str">
        <f>Select_naics2022[[#This Row],[2022 NAICS Code]]&amp;":  "&amp;Select_naics2022[[#This Row],[2022 NAICS Title]]</f>
        <v xml:space="preserve">812210:  Funeral Homes and Funeral Services </v>
      </c>
      <c r="AS975" s="656">
        <v>812210</v>
      </c>
      <c r="AT975" s="656" t="s">
        <v>1613</v>
      </c>
      <c r="AU975" s="656" t="str">
        <f>Select_naics2022[[#This Row],[2022 NAICS Title]]</f>
        <v xml:space="preserve">Funeral Homes and Funeral Services </v>
      </c>
    </row>
    <row r="976" spans="44:47" x14ac:dyDescent="0.25">
      <c r="AR976" s="656" t="str">
        <f>Select_naics2022[[#This Row],[2022 NAICS Code]]&amp;":  "&amp;Select_naics2022[[#This Row],[2022 NAICS Title]]</f>
        <v xml:space="preserve">812220:  Cemeteries and Crematories </v>
      </c>
      <c r="AS976" s="656">
        <v>812220</v>
      </c>
      <c r="AT976" s="656" t="s">
        <v>1614</v>
      </c>
      <c r="AU976" s="656" t="str">
        <f>Select_naics2022[[#This Row],[2022 NAICS Title]]</f>
        <v xml:space="preserve">Cemeteries and Crematories </v>
      </c>
    </row>
    <row r="977" spans="44:47" x14ac:dyDescent="0.25">
      <c r="AR977" s="656" t="str">
        <f>Select_naics2022[[#This Row],[2022 NAICS Code]]&amp;":  "&amp;Select_naics2022[[#This Row],[2022 NAICS Title]]</f>
        <v xml:space="preserve">812310:  Coin-Operated Laundries and Drycleaners </v>
      </c>
      <c r="AS977" s="656">
        <v>812310</v>
      </c>
      <c r="AT977" s="656" t="s">
        <v>1615</v>
      </c>
      <c r="AU977" s="656" t="str">
        <f>Select_naics2022[[#This Row],[2022 NAICS Title]]</f>
        <v xml:space="preserve">Coin-Operated Laundries and Drycleaners </v>
      </c>
    </row>
    <row r="978" spans="44:47" x14ac:dyDescent="0.25">
      <c r="AR978" s="656" t="str">
        <f>Select_naics2022[[#This Row],[2022 NAICS Code]]&amp;":  "&amp;Select_naics2022[[#This Row],[2022 NAICS Title]]</f>
        <v xml:space="preserve">812320:  Drycleaning and Laundry Services (except Coin-Operated) </v>
      </c>
      <c r="AS978" s="656">
        <v>812320</v>
      </c>
      <c r="AT978" s="656" t="s">
        <v>1616</v>
      </c>
      <c r="AU978" s="656" t="str">
        <f>Select_naics2022[[#This Row],[2022 NAICS Title]]</f>
        <v xml:space="preserve">Drycleaning and Laundry Services (except Coin-Operated) </v>
      </c>
    </row>
    <row r="979" spans="44:47" x14ac:dyDescent="0.25">
      <c r="AR979" s="656" t="str">
        <f>Select_naics2022[[#This Row],[2022 NAICS Code]]&amp;":  "&amp;Select_naics2022[[#This Row],[2022 NAICS Title]]</f>
        <v xml:space="preserve">812331:  Linen Supply </v>
      </c>
      <c r="AS979" s="656">
        <v>812331</v>
      </c>
      <c r="AT979" s="656" t="s">
        <v>1617</v>
      </c>
      <c r="AU979" s="656" t="str">
        <f>Select_naics2022[[#This Row],[2022 NAICS Title]]</f>
        <v xml:space="preserve">Linen Supply </v>
      </c>
    </row>
    <row r="980" spans="44:47" x14ac:dyDescent="0.25">
      <c r="AR980" s="656" t="str">
        <f>Select_naics2022[[#This Row],[2022 NAICS Code]]&amp;":  "&amp;Select_naics2022[[#This Row],[2022 NAICS Title]]</f>
        <v xml:space="preserve">812332:  Industrial Launderers </v>
      </c>
      <c r="AS980" s="656">
        <v>812332</v>
      </c>
      <c r="AT980" s="656" t="s">
        <v>1618</v>
      </c>
      <c r="AU980" s="656" t="str">
        <f>Select_naics2022[[#This Row],[2022 NAICS Title]]</f>
        <v xml:space="preserve">Industrial Launderers </v>
      </c>
    </row>
    <row r="981" spans="44:47" x14ac:dyDescent="0.25">
      <c r="AR981" s="656" t="str">
        <f>Select_naics2022[[#This Row],[2022 NAICS Code]]&amp;":  "&amp;Select_naics2022[[#This Row],[2022 NAICS Title]]</f>
        <v xml:space="preserve">812910:  Pet Care (except Veterinary) Services </v>
      </c>
      <c r="AS981" s="656">
        <v>812910</v>
      </c>
      <c r="AT981" s="656" t="s">
        <v>1619</v>
      </c>
      <c r="AU981" s="656" t="str">
        <f>Select_naics2022[[#This Row],[2022 NAICS Title]]</f>
        <v xml:space="preserve">Pet Care (except Veterinary) Services </v>
      </c>
    </row>
    <row r="982" spans="44:47" x14ac:dyDescent="0.25">
      <c r="AR982" s="656" t="str">
        <f>Select_naics2022[[#This Row],[2022 NAICS Code]]&amp;":  "&amp;Select_naics2022[[#This Row],[2022 NAICS Title]]</f>
        <v xml:space="preserve">812921:  Photofinishing Laboratories (except One-Hour) </v>
      </c>
      <c r="AS982" s="656">
        <v>812921</v>
      </c>
      <c r="AT982" s="656" t="s">
        <v>1620</v>
      </c>
      <c r="AU982" s="656" t="str">
        <f>Select_naics2022[[#This Row],[2022 NAICS Title]]</f>
        <v xml:space="preserve">Photofinishing Laboratories (except One-Hour) </v>
      </c>
    </row>
    <row r="983" spans="44:47" x14ac:dyDescent="0.25">
      <c r="AR983" s="656" t="str">
        <f>Select_naics2022[[#This Row],[2022 NAICS Code]]&amp;":  "&amp;Select_naics2022[[#This Row],[2022 NAICS Title]]</f>
        <v xml:space="preserve">812922:  One-Hour Photofinishing </v>
      </c>
      <c r="AS983" s="656">
        <v>812922</v>
      </c>
      <c r="AT983" s="656" t="s">
        <v>1621</v>
      </c>
      <c r="AU983" s="656" t="str">
        <f>Select_naics2022[[#This Row],[2022 NAICS Title]]</f>
        <v xml:space="preserve">One-Hour Photofinishing </v>
      </c>
    </row>
    <row r="984" spans="44:47" x14ac:dyDescent="0.25">
      <c r="AR984" s="656" t="str">
        <f>Select_naics2022[[#This Row],[2022 NAICS Code]]&amp;":  "&amp;Select_naics2022[[#This Row],[2022 NAICS Title]]</f>
        <v xml:space="preserve">812930:  Parking Lots and Garages </v>
      </c>
      <c r="AS984" s="656">
        <v>812930</v>
      </c>
      <c r="AT984" s="656" t="s">
        <v>1622</v>
      </c>
      <c r="AU984" s="656" t="str">
        <f>Select_naics2022[[#This Row],[2022 NAICS Title]]</f>
        <v xml:space="preserve">Parking Lots and Garages </v>
      </c>
    </row>
    <row r="985" spans="44:47" x14ac:dyDescent="0.25">
      <c r="AR985" s="656" t="str">
        <f>Select_naics2022[[#This Row],[2022 NAICS Code]]&amp;":  "&amp;Select_naics2022[[#This Row],[2022 NAICS Title]]</f>
        <v xml:space="preserve">812990:  All Other Personal Services </v>
      </c>
      <c r="AS985" s="656">
        <v>812990</v>
      </c>
      <c r="AT985" s="656" t="s">
        <v>1623</v>
      </c>
      <c r="AU985" s="656" t="str">
        <f>Select_naics2022[[#This Row],[2022 NAICS Title]]</f>
        <v xml:space="preserve">All Other Personal Services </v>
      </c>
    </row>
    <row r="986" spans="44:47" x14ac:dyDescent="0.25">
      <c r="AR986" s="656" t="str">
        <f>Select_naics2022[[#This Row],[2022 NAICS Code]]&amp;":  "&amp;Select_naics2022[[#This Row],[2022 NAICS Title]]</f>
        <v xml:space="preserve">813110:  Religious Organizations </v>
      </c>
      <c r="AS986" s="656">
        <v>813110</v>
      </c>
      <c r="AT986" s="656" t="s">
        <v>1624</v>
      </c>
      <c r="AU986" s="656" t="str">
        <f>Select_naics2022[[#This Row],[2022 NAICS Title]]</f>
        <v xml:space="preserve">Religious Organizations </v>
      </c>
    </row>
    <row r="987" spans="44:47" x14ac:dyDescent="0.25">
      <c r="AR987" s="656" t="str">
        <f>Select_naics2022[[#This Row],[2022 NAICS Code]]&amp;":  "&amp;Select_naics2022[[#This Row],[2022 NAICS Title]]</f>
        <v xml:space="preserve">813211:  Grantmaking Foundations </v>
      </c>
      <c r="AS987" s="656">
        <v>813211</v>
      </c>
      <c r="AT987" s="656" t="s">
        <v>1625</v>
      </c>
      <c r="AU987" s="656" t="str">
        <f>Select_naics2022[[#This Row],[2022 NAICS Title]]</f>
        <v xml:space="preserve">Grantmaking Foundations </v>
      </c>
    </row>
    <row r="988" spans="44:47" x14ac:dyDescent="0.25">
      <c r="AR988" s="656" t="str">
        <f>Select_naics2022[[#This Row],[2022 NAICS Code]]&amp;":  "&amp;Select_naics2022[[#This Row],[2022 NAICS Title]]</f>
        <v xml:space="preserve">813212:  Voluntary Health Organizations </v>
      </c>
      <c r="AS988" s="656">
        <v>813212</v>
      </c>
      <c r="AT988" s="656" t="s">
        <v>1626</v>
      </c>
      <c r="AU988" s="656" t="str">
        <f>Select_naics2022[[#This Row],[2022 NAICS Title]]</f>
        <v xml:space="preserve">Voluntary Health Organizations </v>
      </c>
    </row>
    <row r="989" spans="44:47" x14ac:dyDescent="0.25">
      <c r="AR989" s="656" t="str">
        <f>Select_naics2022[[#This Row],[2022 NAICS Code]]&amp;":  "&amp;Select_naics2022[[#This Row],[2022 NAICS Title]]</f>
        <v xml:space="preserve">813219:  Other Grantmaking and Giving Services </v>
      </c>
      <c r="AS989" s="656">
        <v>813219</v>
      </c>
      <c r="AT989" s="656" t="s">
        <v>1627</v>
      </c>
      <c r="AU989" s="656" t="str">
        <f>Select_naics2022[[#This Row],[2022 NAICS Title]]</f>
        <v xml:space="preserve">Other Grantmaking and Giving Services </v>
      </c>
    </row>
    <row r="990" spans="44:47" x14ac:dyDescent="0.25">
      <c r="AR990" s="656" t="str">
        <f>Select_naics2022[[#This Row],[2022 NAICS Code]]&amp;":  "&amp;Select_naics2022[[#This Row],[2022 NAICS Title]]</f>
        <v xml:space="preserve">813311:  Human Rights Organizations </v>
      </c>
      <c r="AS990" s="656">
        <v>813311</v>
      </c>
      <c r="AT990" s="656" t="s">
        <v>1628</v>
      </c>
      <c r="AU990" s="656" t="str">
        <f>Select_naics2022[[#This Row],[2022 NAICS Title]]</f>
        <v xml:space="preserve">Human Rights Organizations </v>
      </c>
    </row>
    <row r="991" spans="44:47" x14ac:dyDescent="0.25">
      <c r="AR991" s="656" t="str">
        <f>Select_naics2022[[#This Row],[2022 NAICS Code]]&amp;":  "&amp;Select_naics2022[[#This Row],[2022 NAICS Title]]</f>
        <v xml:space="preserve">813312:  Environment, Conservation and Wildlife Organizations </v>
      </c>
      <c r="AS991" s="656">
        <v>813312</v>
      </c>
      <c r="AT991" s="656" t="s">
        <v>1629</v>
      </c>
      <c r="AU991" s="656" t="str">
        <f>Select_naics2022[[#This Row],[2022 NAICS Title]]</f>
        <v xml:space="preserve">Environment, Conservation and Wildlife Organizations </v>
      </c>
    </row>
    <row r="992" spans="44:47" x14ac:dyDescent="0.25">
      <c r="AR992" s="656" t="str">
        <f>Select_naics2022[[#This Row],[2022 NAICS Code]]&amp;":  "&amp;Select_naics2022[[#This Row],[2022 NAICS Title]]</f>
        <v xml:space="preserve">813319:  Other Social Advocacy Organizations </v>
      </c>
      <c r="AS992" s="656">
        <v>813319</v>
      </c>
      <c r="AT992" s="656" t="s">
        <v>1630</v>
      </c>
      <c r="AU992" s="656" t="str">
        <f>Select_naics2022[[#This Row],[2022 NAICS Title]]</f>
        <v xml:space="preserve">Other Social Advocacy Organizations </v>
      </c>
    </row>
    <row r="993" spans="44:47" x14ac:dyDescent="0.25">
      <c r="AR993" s="656" t="str">
        <f>Select_naics2022[[#This Row],[2022 NAICS Code]]&amp;":  "&amp;Select_naics2022[[#This Row],[2022 NAICS Title]]</f>
        <v xml:space="preserve">813410:  Civic and Social Organizations </v>
      </c>
      <c r="AS993" s="656">
        <v>813410</v>
      </c>
      <c r="AT993" s="656" t="s">
        <v>1631</v>
      </c>
      <c r="AU993" s="656" t="str">
        <f>Select_naics2022[[#This Row],[2022 NAICS Title]]</f>
        <v xml:space="preserve">Civic and Social Organizations </v>
      </c>
    </row>
    <row r="994" spans="44:47" x14ac:dyDescent="0.25">
      <c r="AR994" s="656" t="str">
        <f>Select_naics2022[[#This Row],[2022 NAICS Code]]&amp;":  "&amp;Select_naics2022[[#This Row],[2022 NAICS Title]]</f>
        <v xml:space="preserve">813910:  Business Associations </v>
      </c>
      <c r="AS994" s="656">
        <v>813910</v>
      </c>
      <c r="AT994" s="656" t="s">
        <v>1632</v>
      </c>
      <c r="AU994" s="656" t="str">
        <f>Select_naics2022[[#This Row],[2022 NAICS Title]]</f>
        <v xml:space="preserve">Business Associations </v>
      </c>
    </row>
    <row r="995" spans="44:47" x14ac:dyDescent="0.25">
      <c r="AR995" s="656" t="str">
        <f>Select_naics2022[[#This Row],[2022 NAICS Code]]&amp;":  "&amp;Select_naics2022[[#This Row],[2022 NAICS Title]]</f>
        <v xml:space="preserve">813920:  Professional Organizations </v>
      </c>
      <c r="AS995" s="656">
        <v>813920</v>
      </c>
      <c r="AT995" s="656" t="s">
        <v>1633</v>
      </c>
      <c r="AU995" s="656" t="str">
        <f>Select_naics2022[[#This Row],[2022 NAICS Title]]</f>
        <v xml:space="preserve">Professional Organizations </v>
      </c>
    </row>
    <row r="996" spans="44:47" x14ac:dyDescent="0.25">
      <c r="AR996" s="656" t="str">
        <f>Select_naics2022[[#This Row],[2022 NAICS Code]]&amp;":  "&amp;Select_naics2022[[#This Row],[2022 NAICS Title]]</f>
        <v xml:space="preserve">813930:  Labor Unions and Similar Labor Organizations </v>
      </c>
      <c r="AS996" s="656">
        <v>813930</v>
      </c>
      <c r="AT996" s="656" t="s">
        <v>1634</v>
      </c>
      <c r="AU996" s="656" t="str">
        <f>Select_naics2022[[#This Row],[2022 NAICS Title]]</f>
        <v xml:space="preserve">Labor Unions and Similar Labor Organizations </v>
      </c>
    </row>
    <row r="997" spans="44:47" x14ac:dyDescent="0.25">
      <c r="AR997" s="656" t="str">
        <f>Select_naics2022[[#This Row],[2022 NAICS Code]]&amp;":  "&amp;Select_naics2022[[#This Row],[2022 NAICS Title]]</f>
        <v xml:space="preserve">813940:  Political Organizations </v>
      </c>
      <c r="AS997" s="656">
        <v>813940</v>
      </c>
      <c r="AT997" s="656" t="s">
        <v>1635</v>
      </c>
      <c r="AU997" s="656" t="str">
        <f>Select_naics2022[[#This Row],[2022 NAICS Title]]</f>
        <v xml:space="preserve">Political Organizations </v>
      </c>
    </row>
    <row r="998" spans="44:47" x14ac:dyDescent="0.25">
      <c r="AR998" s="656" t="str">
        <f>Select_naics2022[[#This Row],[2022 NAICS Code]]&amp;":  "&amp;Select_naics2022[[#This Row],[2022 NAICS Title]]</f>
        <v xml:space="preserve">813990:  Other Similar Organizations (except Business, Professional, Labor, and Political Organizations) </v>
      </c>
      <c r="AS998" s="656">
        <v>813990</v>
      </c>
      <c r="AT998" s="656" t="s">
        <v>1636</v>
      </c>
      <c r="AU998" s="656" t="str">
        <f>Select_naics2022[[#This Row],[2022 NAICS Title]]</f>
        <v xml:space="preserve">Other Similar Organizations (except Business, Professional, Labor, and Political Organizations) </v>
      </c>
    </row>
    <row r="999" spans="44:47" x14ac:dyDescent="0.25">
      <c r="AR999" s="656" t="str">
        <f>Select_naics2022[[#This Row],[2022 NAICS Code]]&amp;":  "&amp;Select_naics2022[[#This Row],[2022 NAICS Title]]</f>
        <v>814110:  Private Households</v>
      </c>
      <c r="AS999" s="656">
        <v>814110</v>
      </c>
      <c r="AT999" s="656" t="s">
        <v>1637</v>
      </c>
      <c r="AU999" s="656" t="str">
        <f>Select_naics2022[[#This Row],[2022 NAICS Title]]</f>
        <v>Private Households</v>
      </c>
    </row>
    <row r="1000" spans="44:47" x14ac:dyDescent="0.25">
      <c r="AR1000" s="656" t="str">
        <f>Select_naics2022[[#This Row],[2022 NAICS Code]]&amp;":  "&amp;Select_naics2022[[#This Row],[2022 NAICS Title]]</f>
        <v xml:space="preserve">921110:  Executive Offices </v>
      </c>
      <c r="AS1000" s="656">
        <v>921110</v>
      </c>
      <c r="AT1000" s="656" t="s">
        <v>1638</v>
      </c>
      <c r="AU1000" s="656" t="str">
        <f>Select_naics2022[[#This Row],[2022 NAICS Title]]</f>
        <v xml:space="preserve">Executive Offices </v>
      </c>
    </row>
    <row r="1001" spans="44:47" x14ac:dyDescent="0.25">
      <c r="AR1001" s="656" t="str">
        <f>Select_naics2022[[#This Row],[2022 NAICS Code]]&amp;":  "&amp;Select_naics2022[[#This Row],[2022 NAICS Title]]</f>
        <v xml:space="preserve">921120:  Legislative Bodies </v>
      </c>
      <c r="AS1001" s="656">
        <v>921120</v>
      </c>
      <c r="AT1001" s="656" t="s">
        <v>1639</v>
      </c>
      <c r="AU1001" s="656" t="str">
        <f>Select_naics2022[[#This Row],[2022 NAICS Title]]</f>
        <v xml:space="preserve">Legislative Bodies </v>
      </c>
    </row>
    <row r="1002" spans="44:47" x14ac:dyDescent="0.25">
      <c r="AR1002" s="656" t="str">
        <f>Select_naics2022[[#This Row],[2022 NAICS Code]]&amp;":  "&amp;Select_naics2022[[#This Row],[2022 NAICS Title]]</f>
        <v xml:space="preserve">921130:  Public Finance Activities </v>
      </c>
      <c r="AS1002" s="656">
        <v>921130</v>
      </c>
      <c r="AT1002" s="656" t="s">
        <v>1640</v>
      </c>
      <c r="AU1002" s="656" t="str">
        <f>Select_naics2022[[#This Row],[2022 NAICS Title]]</f>
        <v xml:space="preserve">Public Finance Activities </v>
      </c>
    </row>
    <row r="1003" spans="44:47" x14ac:dyDescent="0.25">
      <c r="AR1003" s="656" t="str">
        <f>Select_naics2022[[#This Row],[2022 NAICS Code]]&amp;":  "&amp;Select_naics2022[[#This Row],[2022 NAICS Title]]</f>
        <v xml:space="preserve">921140:  Executive and Legislative Offices, Combined </v>
      </c>
      <c r="AS1003" s="656">
        <v>921140</v>
      </c>
      <c r="AT1003" s="656" t="s">
        <v>1641</v>
      </c>
      <c r="AU1003" s="656" t="str">
        <f>Select_naics2022[[#This Row],[2022 NAICS Title]]</f>
        <v xml:space="preserve">Executive and Legislative Offices, Combined </v>
      </c>
    </row>
    <row r="1004" spans="44:47" x14ac:dyDescent="0.25">
      <c r="AR1004" s="656" t="str">
        <f>Select_naics2022[[#This Row],[2022 NAICS Code]]&amp;":  "&amp;Select_naics2022[[#This Row],[2022 NAICS Title]]</f>
        <v xml:space="preserve">921150:  American Indian and Alaska Native Tribal Governments </v>
      </c>
      <c r="AS1004" s="656">
        <v>921150</v>
      </c>
      <c r="AT1004" s="656" t="s">
        <v>1642</v>
      </c>
      <c r="AU1004" s="656" t="str">
        <f>Select_naics2022[[#This Row],[2022 NAICS Title]]</f>
        <v xml:space="preserve">American Indian and Alaska Native Tribal Governments </v>
      </c>
    </row>
    <row r="1005" spans="44:47" x14ac:dyDescent="0.25">
      <c r="AR1005" s="656" t="str">
        <f>Select_naics2022[[#This Row],[2022 NAICS Code]]&amp;":  "&amp;Select_naics2022[[#This Row],[2022 NAICS Title]]</f>
        <v xml:space="preserve">921190:  Other General Government Support </v>
      </c>
      <c r="AS1005" s="656">
        <v>921190</v>
      </c>
      <c r="AT1005" s="656" t="s">
        <v>1643</v>
      </c>
      <c r="AU1005" s="656" t="str">
        <f>Select_naics2022[[#This Row],[2022 NAICS Title]]</f>
        <v xml:space="preserve">Other General Government Support </v>
      </c>
    </row>
    <row r="1006" spans="44:47" x14ac:dyDescent="0.25">
      <c r="AR1006" s="656" t="str">
        <f>Select_naics2022[[#This Row],[2022 NAICS Code]]&amp;":  "&amp;Select_naics2022[[#This Row],[2022 NAICS Title]]</f>
        <v xml:space="preserve">922110:  Courts </v>
      </c>
      <c r="AS1006" s="656">
        <v>922110</v>
      </c>
      <c r="AT1006" s="656" t="s">
        <v>1644</v>
      </c>
      <c r="AU1006" s="656" t="str">
        <f>Select_naics2022[[#This Row],[2022 NAICS Title]]</f>
        <v xml:space="preserve">Courts </v>
      </c>
    </row>
    <row r="1007" spans="44:47" x14ac:dyDescent="0.25">
      <c r="AR1007" s="656" t="str">
        <f>Select_naics2022[[#This Row],[2022 NAICS Code]]&amp;":  "&amp;Select_naics2022[[#This Row],[2022 NAICS Title]]</f>
        <v xml:space="preserve">922120:  Police Protection </v>
      </c>
      <c r="AS1007" s="656">
        <v>922120</v>
      </c>
      <c r="AT1007" s="656" t="s">
        <v>1645</v>
      </c>
      <c r="AU1007" s="656" t="str">
        <f>Select_naics2022[[#This Row],[2022 NAICS Title]]</f>
        <v xml:space="preserve">Police Protection </v>
      </c>
    </row>
    <row r="1008" spans="44:47" x14ac:dyDescent="0.25">
      <c r="AR1008" s="656" t="str">
        <f>Select_naics2022[[#This Row],[2022 NAICS Code]]&amp;":  "&amp;Select_naics2022[[#This Row],[2022 NAICS Title]]</f>
        <v xml:space="preserve">922130:  Legal Counsel and Prosecution </v>
      </c>
      <c r="AS1008" s="656">
        <v>922130</v>
      </c>
      <c r="AT1008" s="656" t="s">
        <v>1646</v>
      </c>
      <c r="AU1008" s="656" t="str">
        <f>Select_naics2022[[#This Row],[2022 NAICS Title]]</f>
        <v xml:space="preserve">Legal Counsel and Prosecution </v>
      </c>
    </row>
    <row r="1009" spans="44:47" x14ac:dyDescent="0.25">
      <c r="AR1009" s="656" t="str">
        <f>Select_naics2022[[#This Row],[2022 NAICS Code]]&amp;":  "&amp;Select_naics2022[[#This Row],[2022 NAICS Title]]</f>
        <v xml:space="preserve">922140:  Correctional Institutions </v>
      </c>
      <c r="AS1009" s="656">
        <v>922140</v>
      </c>
      <c r="AT1009" s="656" t="s">
        <v>1647</v>
      </c>
      <c r="AU1009" s="656" t="str">
        <f>Select_naics2022[[#This Row],[2022 NAICS Title]]</f>
        <v xml:space="preserve">Correctional Institutions </v>
      </c>
    </row>
    <row r="1010" spans="44:47" x14ac:dyDescent="0.25">
      <c r="AR1010" s="656" t="str">
        <f>Select_naics2022[[#This Row],[2022 NAICS Code]]&amp;":  "&amp;Select_naics2022[[#This Row],[2022 NAICS Title]]</f>
        <v xml:space="preserve">922150:  Parole Offices and Probation Offices </v>
      </c>
      <c r="AS1010" s="656">
        <v>922150</v>
      </c>
      <c r="AT1010" s="656" t="s">
        <v>1648</v>
      </c>
      <c r="AU1010" s="656" t="str">
        <f>Select_naics2022[[#This Row],[2022 NAICS Title]]</f>
        <v xml:space="preserve">Parole Offices and Probation Offices </v>
      </c>
    </row>
    <row r="1011" spans="44:47" x14ac:dyDescent="0.25">
      <c r="AR1011" s="656" t="str">
        <f>Select_naics2022[[#This Row],[2022 NAICS Code]]&amp;":  "&amp;Select_naics2022[[#This Row],[2022 NAICS Title]]</f>
        <v xml:space="preserve">922160:  Fire Protection </v>
      </c>
      <c r="AS1011" s="656">
        <v>922160</v>
      </c>
      <c r="AT1011" s="656" t="s">
        <v>1649</v>
      </c>
      <c r="AU1011" s="656" t="str">
        <f>Select_naics2022[[#This Row],[2022 NAICS Title]]</f>
        <v xml:space="preserve">Fire Protection </v>
      </c>
    </row>
    <row r="1012" spans="44:47" x14ac:dyDescent="0.25">
      <c r="AR1012" s="656" t="str">
        <f>Select_naics2022[[#This Row],[2022 NAICS Code]]&amp;":  "&amp;Select_naics2022[[#This Row],[2022 NAICS Title]]</f>
        <v xml:space="preserve">922190:  Other Justice, Public Order, and Safety Activities </v>
      </c>
      <c r="AS1012" s="656">
        <v>922190</v>
      </c>
      <c r="AT1012" s="656" t="s">
        <v>1650</v>
      </c>
      <c r="AU1012" s="656" t="str">
        <f>Select_naics2022[[#This Row],[2022 NAICS Title]]</f>
        <v xml:space="preserve">Other Justice, Public Order, and Safety Activities </v>
      </c>
    </row>
    <row r="1013" spans="44:47" x14ac:dyDescent="0.25">
      <c r="AR1013" s="656" t="str">
        <f>Select_naics2022[[#This Row],[2022 NAICS Code]]&amp;":  "&amp;Select_naics2022[[#This Row],[2022 NAICS Title]]</f>
        <v xml:space="preserve">923110:  Administration of Education Programs </v>
      </c>
      <c r="AS1013" s="656">
        <v>923110</v>
      </c>
      <c r="AT1013" s="656" t="s">
        <v>1651</v>
      </c>
      <c r="AU1013" s="656" t="str">
        <f>Select_naics2022[[#This Row],[2022 NAICS Title]]</f>
        <v xml:space="preserve">Administration of Education Programs </v>
      </c>
    </row>
    <row r="1014" spans="44:47" x14ac:dyDescent="0.25">
      <c r="AR1014" s="656" t="str">
        <f>Select_naics2022[[#This Row],[2022 NAICS Code]]&amp;":  "&amp;Select_naics2022[[#This Row],[2022 NAICS Title]]</f>
        <v xml:space="preserve">923120:  Administration of Public Health Programs </v>
      </c>
      <c r="AS1014" s="656">
        <v>923120</v>
      </c>
      <c r="AT1014" s="656" t="s">
        <v>1652</v>
      </c>
      <c r="AU1014" s="656" t="str">
        <f>Select_naics2022[[#This Row],[2022 NAICS Title]]</f>
        <v xml:space="preserve">Administration of Public Health Programs </v>
      </c>
    </row>
    <row r="1015" spans="44:47" x14ac:dyDescent="0.25">
      <c r="AR1015" s="656" t="str">
        <f>Select_naics2022[[#This Row],[2022 NAICS Code]]&amp;":  "&amp;Select_naics2022[[#This Row],[2022 NAICS Title]]</f>
        <v xml:space="preserve">923130:  Administration of Human Resource Programs (except Education, Public Health, and Veterans' Affairs Programs) </v>
      </c>
      <c r="AS1015" s="656">
        <v>923130</v>
      </c>
      <c r="AT1015" s="656" t="s">
        <v>1653</v>
      </c>
      <c r="AU1015" s="656" t="str">
        <f>Select_naics2022[[#This Row],[2022 NAICS Title]]</f>
        <v xml:space="preserve">Administration of Human Resource Programs (except Education, Public Health, and Veterans' Affairs Programs) </v>
      </c>
    </row>
    <row r="1016" spans="44:47" x14ac:dyDescent="0.25">
      <c r="AR1016" s="656" t="str">
        <f>Select_naics2022[[#This Row],[2022 NAICS Code]]&amp;":  "&amp;Select_naics2022[[#This Row],[2022 NAICS Title]]</f>
        <v xml:space="preserve">923140:  Administration of Veterans' Affairs </v>
      </c>
      <c r="AS1016" s="656">
        <v>923140</v>
      </c>
      <c r="AT1016" s="656" t="s">
        <v>1654</v>
      </c>
      <c r="AU1016" s="656" t="str">
        <f>Select_naics2022[[#This Row],[2022 NAICS Title]]</f>
        <v xml:space="preserve">Administration of Veterans' Affairs </v>
      </c>
    </row>
    <row r="1017" spans="44:47" x14ac:dyDescent="0.25">
      <c r="AR1017" s="656" t="str">
        <f>Select_naics2022[[#This Row],[2022 NAICS Code]]&amp;":  "&amp;Select_naics2022[[#This Row],[2022 NAICS Title]]</f>
        <v xml:space="preserve">924110:  Administration of Air and Water Resource and Solid Waste Management Programs </v>
      </c>
      <c r="AS1017" s="656">
        <v>924110</v>
      </c>
      <c r="AT1017" s="656" t="s">
        <v>1655</v>
      </c>
      <c r="AU1017" s="656" t="str">
        <f>Select_naics2022[[#This Row],[2022 NAICS Title]]</f>
        <v xml:space="preserve">Administration of Air and Water Resource and Solid Waste Management Programs </v>
      </c>
    </row>
    <row r="1018" spans="44:47" x14ac:dyDescent="0.25">
      <c r="AR1018" s="656" t="str">
        <f>Select_naics2022[[#This Row],[2022 NAICS Code]]&amp;":  "&amp;Select_naics2022[[#This Row],[2022 NAICS Title]]</f>
        <v xml:space="preserve">924120:  Administration of Conservation Programs </v>
      </c>
      <c r="AS1018" s="656">
        <v>924120</v>
      </c>
      <c r="AT1018" s="656" t="s">
        <v>1656</v>
      </c>
      <c r="AU1018" s="656" t="str">
        <f>Select_naics2022[[#This Row],[2022 NAICS Title]]</f>
        <v xml:space="preserve">Administration of Conservation Programs </v>
      </c>
    </row>
    <row r="1019" spans="44:47" x14ac:dyDescent="0.25">
      <c r="AR1019" s="656" t="str">
        <f>Select_naics2022[[#This Row],[2022 NAICS Code]]&amp;":  "&amp;Select_naics2022[[#This Row],[2022 NAICS Title]]</f>
        <v xml:space="preserve">925110:  Administration of Housing Programs </v>
      </c>
      <c r="AS1019" s="656">
        <v>925110</v>
      </c>
      <c r="AT1019" s="656" t="s">
        <v>1657</v>
      </c>
      <c r="AU1019" s="656" t="str">
        <f>Select_naics2022[[#This Row],[2022 NAICS Title]]</f>
        <v xml:space="preserve">Administration of Housing Programs </v>
      </c>
    </row>
    <row r="1020" spans="44:47" x14ac:dyDescent="0.25">
      <c r="AR1020" s="656" t="str">
        <f>Select_naics2022[[#This Row],[2022 NAICS Code]]&amp;":  "&amp;Select_naics2022[[#This Row],[2022 NAICS Title]]</f>
        <v xml:space="preserve">925120:  Administration of Urban Planning and Community and Rural Development </v>
      </c>
      <c r="AS1020" s="656">
        <v>925120</v>
      </c>
      <c r="AT1020" s="656" t="s">
        <v>1658</v>
      </c>
      <c r="AU1020" s="656" t="str">
        <f>Select_naics2022[[#This Row],[2022 NAICS Title]]</f>
        <v xml:space="preserve">Administration of Urban Planning and Community and Rural Development </v>
      </c>
    </row>
    <row r="1021" spans="44:47" x14ac:dyDescent="0.25">
      <c r="AR1021" s="656" t="str">
        <f>Select_naics2022[[#This Row],[2022 NAICS Code]]&amp;":  "&amp;Select_naics2022[[#This Row],[2022 NAICS Title]]</f>
        <v xml:space="preserve">926110:  Administration of General Economic Programs </v>
      </c>
      <c r="AS1021" s="656">
        <v>926110</v>
      </c>
      <c r="AT1021" s="656" t="s">
        <v>1659</v>
      </c>
      <c r="AU1021" s="656" t="str">
        <f>Select_naics2022[[#This Row],[2022 NAICS Title]]</f>
        <v xml:space="preserve">Administration of General Economic Programs </v>
      </c>
    </row>
    <row r="1022" spans="44:47" x14ac:dyDescent="0.25">
      <c r="AR1022" s="656" t="str">
        <f>Select_naics2022[[#This Row],[2022 NAICS Code]]&amp;":  "&amp;Select_naics2022[[#This Row],[2022 NAICS Title]]</f>
        <v xml:space="preserve">926120:  Regulation and Administration of Transportation Programs </v>
      </c>
      <c r="AS1022" s="656">
        <v>926120</v>
      </c>
      <c r="AT1022" s="656" t="s">
        <v>1660</v>
      </c>
      <c r="AU1022" s="656" t="str">
        <f>Select_naics2022[[#This Row],[2022 NAICS Title]]</f>
        <v xml:space="preserve">Regulation and Administration of Transportation Programs </v>
      </c>
    </row>
    <row r="1023" spans="44:47" x14ac:dyDescent="0.25">
      <c r="AR1023" s="656" t="str">
        <f>Select_naics2022[[#This Row],[2022 NAICS Code]]&amp;":  "&amp;Select_naics2022[[#This Row],[2022 NAICS Title]]</f>
        <v xml:space="preserve">926130:  Regulation and Administration of Communications, Electric, Gas, and Other Utilities </v>
      </c>
      <c r="AS1023" s="656">
        <v>926130</v>
      </c>
      <c r="AT1023" s="656" t="s">
        <v>1661</v>
      </c>
      <c r="AU1023" s="656" t="str">
        <f>Select_naics2022[[#This Row],[2022 NAICS Title]]</f>
        <v xml:space="preserve">Regulation and Administration of Communications, Electric, Gas, and Other Utilities </v>
      </c>
    </row>
    <row r="1024" spans="44:47" x14ac:dyDescent="0.25">
      <c r="AR1024" s="656" t="str">
        <f>Select_naics2022[[#This Row],[2022 NAICS Code]]&amp;":  "&amp;Select_naics2022[[#This Row],[2022 NAICS Title]]</f>
        <v xml:space="preserve">926140:  Regulation of Agricultural Marketing and Commodities </v>
      </c>
      <c r="AS1024" s="656">
        <v>926140</v>
      </c>
      <c r="AT1024" s="656" t="s">
        <v>1662</v>
      </c>
      <c r="AU1024" s="656" t="str">
        <f>Select_naics2022[[#This Row],[2022 NAICS Title]]</f>
        <v xml:space="preserve">Regulation of Agricultural Marketing and Commodities </v>
      </c>
    </row>
    <row r="1025" spans="44:47" x14ac:dyDescent="0.25">
      <c r="AR1025" s="656" t="str">
        <f>Select_naics2022[[#This Row],[2022 NAICS Code]]&amp;":  "&amp;Select_naics2022[[#This Row],[2022 NAICS Title]]</f>
        <v xml:space="preserve">926150:  Regulation, Licensing, and Inspection of Miscellaneous Commercial Sectors </v>
      </c>
      <c r="AS1025" s="656">
        <v>926150</v>
      </c>
      <c r="AT1025" s="656" t="s">
        <v>1663</v>
      </c>
      <c r="AU1025" s="656" t="str">
        <f>Select_naics2022[[#This Row],[2022 NAICS Title]]</f>
        <v xml:space="preserve">Regulation, Licensing, and Inspection of Miscellaneous Commercial Sectors </v>
      </c>
    </row>
    <row r="1026" spans="44:47" x14ac:dyDescent="0.25">
      <c r="AR1026" s="656" t="str">
        <f>Select_naics2022[[#This Row],[2022 NAICS Code]]&amp;":  "&amp;Select_naics2022[[#This Row],[2022 NAICS Title]]</f>
        <v xml:space="preserve">927110:  Space Research and Technology </v>
      </c>
      <c r="AS1026" s="656">
        <v>927110</v>
      </c>
      <c r="AT1026" s="656" t="s">
        <v>1664</v>
      </c>
      <c r="AU1026" s="656" t="str">
        <f>Select_naics2022[[#This Row],[2022 NAICS Title]]</f>
        <v xml:space="preserve">Space Research and Technology </v>
      </c>
    </row>
    <row r="1027" spans="44:47" x14ac:dyDescent="0.25">
      <c r="AR1027" s="656" t="str">
        <f>Select_naics2022[[#This Row],[2022 NAICS Code]]&amp;":  "&amp;Select_naics2022[[#This Row],[2022 NAICS Title]]</f>
        <v xml:space="preserve">928110:  National Security </v>
      </c>
      <c r="AS1027" s="656">
        <v>928110</v>
      </c>
      <c r="AT1027" s="656" t="s">
        <v>1665</v>
      </c>
      <c r="AU1027" s="656" t="str">
        <f>Select_naics2022[[#This Row],[2022 NAICS Title]]</f>
        <v xml:space="preserve">National Security </v>
      </c>
    </row>
    <row r="1028" spans="44:47" x14ac:dyDescent="0.25">
      <c r="AR1028" s="656" t="str">
        <f>Select_naics2022[[#This Row],[2022 NAICS Code]]&amp;":  "&amp;Select_naics2022[[#This Row],[2022 NAICS Title]]</f>
        <v xml:space="preserve">928120:  International Affairs </v>
      </c>
      <c r="AS1028" s="656">
        <v>928120</v>
      </c>
      <c r="AT1028" s="656" t="s">
        <v>1666</v>
      </c>
      <c r="AU1028" s="656" t="str">
        <f>Select_naics2022[[#This Row],[2022 NAICS Title]]</f>
        <v xml:space="preserve">International Affairs </v>
      </c>
    </row>
  </sheetData>
  <mergeCells count="50">
    <mergeCell ref="BU3:BV3"/>
    <mergeCell ref="BU4:BV4"/>
    <mergeCell ref="BX3:BY3"/>
    <mergeCell ref="BX4:BY4"/>
    <mergeCell ref="CB3:CC3"/>
    <mergeCell ref="CB4:CC4"/>
    <mergeCell ref="BC3:BD3"/>
    <mergeCell ref="BC4:BD4"/>
    <mergeCell ref="AO3:AP3"/>
    <mergeCell ref="AO4:AP4"/>
    <mergeCell ref="AR3:AU3"/>
    <mergeCell ref="AR4:AU4"/>
    <mergeCell ref="AC3:AD3"/>
    <mergeCell ref="AC4:AD4"/>
    <mergeCell ref="AI3:AJ3"/>
    <mergeCell ref="AI4:AJ4"/>
    <mergeCell ref="AL3:AM3"/>
    <mergeCell ref="AL4:AM4"/>
    <mergeCell ref="BO3:BP3"/>
    <mergeCell ref="BO4:BP4"/>
    <mergeCell ref="C4:H4"/>
    <mergeCell ref="J4:K4"/>
    <mergeCell ref="M4:N4"/>
    <mergeCell ref="C3:H3"/>
    <mergeCell ref="J3:K3"/>
    <mergeCell ref="M3:N3"/>
    <mergeCell ref="S3:T3"/>
    <mergeCell ref="S4:T4"/>
    <mergeCell ref="V3:W3"/>
    <mergeCell ref="V4:W4"/>
    <mergeCell ref="AF3:AG3"/>
    <mergeCell ref="AF4:AG4"/>
    <mergeCell ref="Y4:AA4"/>
    <mergeCell ref="Y3:AA3"/>
    <mergeCell ref="BR3:BS3"/>
    <mergeCell ref="BR4:BS4"/>
    <mergeCell ref="P3:Q3"/>
    <mergeCell ref="P4:Q4"/>
    <mergeCell ref="CH3:CI3"/>
    <mergeCell ref="CH4:CI4"/>
    <mergeCell ref="AW3:AX3"/>
    <mergeCell ref="AW4:AX4"/>
    <mergeCell ref="AZ3:BA3"/>
    <mergeCell ref="AZ4:BA4"/>
    <mergeCell ref="BF3:BG3"/>
    <mergeCell ref="BF4:BG4"/>
    <mergeCell ref="BI3:BJ3"/>
    <mergeCell ref="BI4:BJ4"/>
    <mergeCell ref="BL3:BM3"/>
    <mergeCell ref="BL4:BM4"/>
  </mergeCells>
  <phoneticPr fontId="2" type="noConversion"/>
  <pageMargins left="0.7" right="0.7" top="0.75" bottom="0.75" header="0.3" footer="0.3"/>
  <pageSetup orientation="portrait" r:id="rId1"/>
  <tableParts count="24">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F91D818-3B2C-4B42-98A5-4F11201F2AE1}">
          <x14:formula1>
            <xm:f>TOC!$G$4:$G$31</xm:f>
          </x14:formula1>
          <xm:sqref>J7:J14 CH7:CH10 F17:F89 CB7:CB14 CF17:CF59 BX7:BX14 BU7:BU14 BR7:BR14 BO7:BO14 BL7:BL14 BI7:BI14 BF7:BF14 BC7:BC14 AZ7:AZ14 AW7:AW14 AR7:AR14 AC7:AC14 AL7:AL14 AI7:AI14 AF7:AF14 AO7:AO14 Y7:Y14 V7:V14 S7:S14 P7:P14 M7:M14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6445C-8C4C-4189-9B76-FE95A4C59161}">
  <sheetPr codeName="Sheet29">
    <outlinePr summaryBelow="0" summaryRight="0"/>
  </sheetPr>
  <dimension ref="A1:Y51"/>
  <sheetViews>
    <sheetView topLeftCell="A35" workbookViewId="0">
      <selection activeCell="A28" sqref="A28:XFD30"/>
    </sheetView>
  </sheetViews>
  <sheetFormatPr defaultColWidth="10.7265625" defaultRowHeight="13.15" customHeight="1" outlineLevelCol="1" x14ac:dyDescent="0.2"/>
  <cols>
    <col min="1" max="1" width="1" style="77" customWidth="1"/>
    <col min="2" max="2" width="10.453125" style="77" customWidth="1" outlineLevel="1"/>
    <col min="3" max="3" width="5.453125" style="77" customWidth="1" outlineLevel="1"/>
    <col min="4" max="4" width="10.7265625" style="77" customWidth="1" outlineLevel="1"/>
    <col min="5" max="5" width="3" style="77" customWidth="1" outlineLevel="1"/>
    <col min="6" max="6" width="6.54296875" style="77" customWidth="1" outlineLevel="1"/>
    <col min="7" max="7" width="20.7265625" style="77" customWidth="1" outlineLevel="1"/>
    <col min="8" max="8" width="2.81640625" style="77" customWidth="1" outlineLevel="1"/>
    <col min="9" max="9" width="10.7265625" style="77" customWidth="1" outlineLevel="1"/>
    <col min="10" max="10" width="21.26953125" style="77" customWidth="1" outlineLevel="1"/>
    <col min="11" max="11" width="2.54296875" style="77" customWidth="1" outlineLevel="1"/>
    <col min="12" max="12" width="5.453125" style="77" customWidth="1" outlineLevel="1"/>
    <col min="13" max="13" width="1" style="77" customWidth="1"/>
    <col min="14" max="14" width="3.26953125" style="77" customWidth="1" collapsed="1"/>
    <col min="15" max="15" width="3.7265625" style="77" hidden="1" customWidth="1" outlineLevel="1"/>
    <col min="16" max="16" width="6.81640625" style="77" hidden="1" customWidth="1" outlineLevel="1"/>
    <col min="17" max="17" width="6.1796875" style="77" hidden="1" customWidth="1" outlineLevel="1"/>
    <col min="18" max="18" width="5" style="77" hidden="1" customWidth="1" outlineLevel="1"/>
    <col min="19" max="19" width="23.7265625" style="77" hidden="1" customWidth="1" outlineLevel="1"/>
    <col min="20" max="20" width="3.1796875" style="77" hidden="1" customWidth="1" outlineLevel="1"/>
    <col min="21" max="21" width="5.26953125" style="77" hidden="1" customWidth="1" outlineLevel="1"/>
    <col min="22" max="22" width="10.7265625" style="77" hidden="1" customWidth="1" outlineLevel="1"/>
    <col min="23" max="23" width="13.81640625" style="77" hidden="1" customWidth="1" outlineLevel="1"/>
    <col min="24" max="24" width="10.7265625" style="77" hidden="1" customWidth="1" outlineLevel="1"/>
    <col min="25" max="25" width="3.26953125" style="77" hidden="1" customWidth="1" outlineLevel="1"/>
    <col min="26" max="16384" width="10.7265625" style="77"/>
  </cols>
  <sheetData>
    <row r="1" spans="1:25" s="92" customFormat="1" ht="13.15" customHeight="1" x14ac:dyDescent="0.2">
      <c r="A1" s="92" t="s">
        <v>187</v>
      </c>
      <c r="N1" s="92" t="s">
        <v>2189</v>
      </c>
    </row>
    <row r="2" spans="1:25" ht="13.15" customHeight="1" x14ac:dyDescent="0.2">
      <c r="B2" s="73"/>
      <c r="C2" s="74"/>
      <c r="D2" s="74"/>
      <c r="E2" s="74"/>
      <c r="F2" s="244"/>
      <c r="G2" s="243" t="s">
        <v>2190</v>
      </c>
      <c r="H2" s="244"/>
      <c r="I2" s="244"/>
      <c r="J2" s="244"/>
      <c r="K2" s="244"/>
      <c r="L2" s="76" t="str">
        <f>'1-Cover'!$G$1</f>
        <v>OMB Approval No. 3245-0063</v>
      </c>
      <c r="O2" s="73"/>
      <c r="P2" s="74"/>
      <c r="Q2" s="74"/>
      <c r="R2" s="244"/>
      <c r="S2" s="244"/>
      <c r="T2" s="243" t="s">
        <v>2190</v>
      </c>
      <c r="U2" s="244"/>
      <c r="V2" s="244"/>
      <c r="W2" s="244"/>
      <c r="X2" s="244"/>
      <c r="Y2" s="76" t="str">
        <f>'1-Cover'!$G$1</f>
        <v>OMB Approval No. 3245-0063</v>
      </c>
    </row>
    <row r="3" spans="1:25" ht="13.15" customHeight="1" x14ac:dyDescent="0.2">
      <c r="B3" s="78"/>
      <c r="L3" s="80" t="str">
        <f>'1-Cover'!$G$2</f>
        <v>Expiration Date MM/DD/YYYY</v>
      </c>
      <c r="O3" s="78"/>
      <c r="Y3" s="80" t="str">
        <f>'1-Cover'!$G$2</f>
        <v>Expiration Date MM/DD/YYYY</v>
      </c>
    </row>
    <row r="4" spans="1:25" ht="13.15" customHeight="1" x14ac:dyDescent="0.2">
      <c r="B4" s="136"/>
      <c r="C4" s="82"/>
      <c r="D4" s="82"/>
      <c r="E4" s="137"/>
      <c r="F4" s="137"/>
      <c r="G4" s="137"/>
      <c r="H4" s="137"/>
      <c r="I4" s="137"/>
      <c r="J4" s="137"/>
      <c r="K4" s="137"/>
      <c r="L4" s="442"/>
      <c r="O4" s="136"/>
      <c r="P4" s="82"/>
      <c r="Q4" s="137"/>
      <c r="R4" s="137"/>
      <c r="S4" s="137"/>
      <c r="T4" s="137"/>
      <c r="U4" s="137"/>
      <c r="V4" s="137"/>
      <c r="W4" s="137"/>
      <c r="X4" s="137"/>
      <c r="Y4" s="442"/>
    </row>
    <row r="5" spans="1:25" ht="13.15" customHeight="1" x14ac:dyDescent="0.2">
      <c r="B5" s="121" t="str">
        <f>"Name of License:  "&amp;sbicname</f>
        <v xml:space="preserve">Name of License:  </v>
      </c>
      <c r="C5" s="122"/>
      <c r="D5" s="140">
        <f>sbicname</f>
        <v>0</v>
      </c>
      <c r="E5" s="140"/>
      <c r="F5" s="140"/>
      <c r="G5" s="140"/>
      <c r="H5" s="140"/>
      <c r="I5" s="140"/>
      <c r="J5" s="140"/>
      <c r="K5" s="140"/>
      <c r="L5" s="123" t="str">
        <f>"License no.:  "&amp;TEXT(licenseno,"00\/00\-0000")</f>
        <v>License no.:  00/00-0000</v>
      </c>
      <c r="O5" s="121" t="str">
        <f>"Name of License:  "&amp;sbicname</f>
        <v xml:space="preserve">Name of License:  </v>
      </c>
      <c r="P5" s="140"/>
      <c r="Q5" s="140"/>
      <c r="R5" s="140"/>
      <c r="S5" s="140"/>
      <c r="T5" s="140"/>
      <c r="U5" s="140"/>
      <c r="V5" s="140"/>
      <c r="W5" s="140"/>
      <c r="X5" s="140"/>
      <c r="Y5" s="123" t="str">
        <f>"License no.:  "&amp;TEXT(licenseno,"00\/00\-0000")</f>
        <v>License no.:  00/00-0000</v>
      </c>
    </row>
    <row r="6" spans="1:25" ht="13.15" customHeight="1" x14ac:dyDescent="0.2">
      <c r="B6" s="78"/>
      <c r="C6" s="74"/>
      <c r="D6" s="74"/>
      <c r="E6" s="74"/>
      <c r="F6" s="74"/>
      <c r="H6" s="74"/>
      <c r="I6" s="74"/>
      <c r="J6" s="74"/>
      <c r="K6" s="74"/>
      <c r="L6" s="409"/>
      <c r="O6" s="410"/>
      <c r="P6" s="411"/>
      <c r="Q6" s="411"/>
      <c r="R6" s="411"/>
      <c r="S6" s="411"/>
      <c r="T6" s="411"/>
      <c r="U6" s="411"/>
      <c r="V6" s="411"/>
      <c r="W6" s="411"/>
      <c r="X6" s="411"/>
      <c r="Y6" s="412"/>
    </row>
    <row r="7" spans="1:25" ht="13.15" customHeight="1" x14ac:dyDescent="0.2">
      <c r="B7" s="78"/>
      <c r="G7" s="105" t="s">
        <v>2191</v>
      </c>
      <c r="L7" s="366"/>
      <c r="O7" s="410"/>
      <c r="P7" s="411"/>
      <c r="Q7" s="411"/>
      <c r="R7" s="411"/>
      <c r="S7" s="411"/>
      <c r="T7" s="413" t="s">
        <v>2191</v>
      </c>
      <c r="U7" s="411"/>
      <c r="V7" s="411"/>
      <c r="W7" s="411"/>
      <c r="X7" s="411"/>
      <c r="Y7" s="412"/>
    </row>
    <row r="8" spans="1:25" ht="13.15" customHeight="1" collapsed="1" x14ac:dyDescent="0.2">
      <c r="B8" s="78"/>
      <c r="C8" s="145"/>
      <c r="D8" s="145"/>
      <c r="E8" s="145"/>
      <c r="F8" s="145"/>
      <c r="G8" s="145"/>
      <c r="H8" s="145"/>
      <c r="I8" s="145"/>
      <c r="J8" s="145"/>
      <c r="K8" s="145"/>
      <c r="L8" s="414"/>
      <c r="O8" s="410"/>
      <c r="P8" s="415"/>
      <c r="Q8" s="415"/>
      <c r="R8" s="415"/>
      <c r="S8" s="415"/>
      <c r="T8" s="415"/>
      <c r="U8" s="415"/>
      <c r="V8" s="415"/>
      <c r="W8" s="415"/>
      <c r="X8" s="415"/>
      <c r="Y8" s="416"/>
    </row>
    <row r="9" spans="1:25" ht="12" customHeight="1" x14ac:dyDescent="0.2">
      <c r="B9" s="78"/>
      <c r="C9" s="703" t="str">
        <f>"I, [, a General Partner of "&amp;sbicname&amp;" (Licensee),] [ , a General Partner of the General Partner of "&amp;sbicname&amp;" (Licensee),]"</f>
        <v>I, [, a General Partner of  (Licensee),] [ , a General Partner of the General Partner of  (Licensee),]</v>
      </c>
      <c r="D9" s="703"/>
      <c r="E9" s="703"/>
      <c r="F9" s="703"/>
      <c r="G9" s="703"/>
      <c r="H9" s="703"/>
      <c r="I9" s="703"/>
      <c r="J9" s="703"/>
      <c r="K9" s="175"/>
      <c r="L9" s="418"/>
      <c r="O9" s="410"/>
      <c r="P9" s="415" t="str">
        <f>"I, the Chief Financial Office of "&amp;sbicname&amp;" (Licensee), do hereby certify as follows:"</f>
        <v>I, the Chief Financial Office of  (Licensee), do hereby certify as follows:</v>
      </c>
      <c r="Q9" s="415"/>
      <c r="R9" s="415"/>
      <c r="S9" s="415"/>
      <c r="T9" s="415"/>
      <c r="U9" s="415"/>
      <c r="V9" s="415"/>
      <c r="W9" s="415"/>
      <c r="X9" s="415"/>
      <c r="Y9" s="416"/>
    </row>
    <row r="10" spans="1:25" ht="21.75" customHeight="1" x14ac:dyDescent="0.2">
      <c r="B10" s="78"/>
      <c r="C10" s="703"/>
      <c r="D10" s="703"/>
      <c r="E10" s="703"/>
      <c r="F10" s="703"/>
      <c r="G10" s="703"/>
      <c r="H10" s="703"/>
      <c r="I10" s="703"/>
      <c r="J10" s="703"/>
      <c r="K10" s="175"/>
      <c r="L10" s="418"/>
      <c r="O10" s="410"/>
      <c r="P10" s="415"/>
      <c r="Q10" s="415"/>
      <c r="R10" s="415"/>
      <c r="S10" s="415"/>
      <c r="T10" s="415"/>
      <c r="U10" s="415"/>
      <c r="V10" s="415"/>
      <c r="W10" s="415"/>
      <c r="X10" s="415"/>
      <c r="Y10" s="416"/>
    </row>
    <row r="11" spans="1:25" ht="10" x14ac:dyDescent="0.2">
      <c r="B11" s="78"/>
      <c r="C11" s="417"/>
      <c r="D11" s="417"/>
      <c r="E11" s="417"/>
      <c r="F11" s="417"/>
      <c r="G11" s="417"/>
      <c r="H11" s="417"/>
      <c r="I11" s="417"/>
      <c r="J11" s="417"/>
      <c r="K11" s="175"/>
      <c r="L11" s="418"/>
      <c r="O11" s="410"/>
      <c r="P11" s="780" t="str">
        <f>"1.  The "&amp;IF(LEFT(ReportType,1)="a"," audited ","")&amp;ReportType&amp;IF(LEFT(ReportType,1)="a"," for the fiscal year ended "," for the "&amp;Number_of_Months&amp;" months ended ") &amp;TEXT(Form468Date,"mmmm-dd, yyyy")&amp;" submitted by "&amp;sbicname&amp;" (Licensee) to the Small Business Administration on SBA Form 468 is true and correct in all aspects.  The statements and schedules listed below have been omitted from the submission."</f>
        <v>1.  The Quarterly Report for the  months ended January-00, 1900 submitted by  (Licensee) to the Small Business Administration on SBA Form 468 is true and correct in all aspects.  The statements and schedules listed below have been omitted from the submission.</v>
      </c>
      <c r="Q11" s="780"/>
      <c r="R11" s="780"/>
      <c r="S11" s="780"/>
      <c r="T11" s="780"/>
      <c r="U11" s="780"/>
      <c r="V11" s="780"/>
      <c r="W11" s="780"/>
      <c r="X11" s="780"/>
      <c r="Y11" s="416"/>
    </row>
    <row r="12" spans="1:25" ht="10" x14ac:dyDescent="0.2">
      <c r="B12" s="78"/>
      <c r="C12" s="242" t="str">
        <f>"[, a Managing Member of , the General Partner of "&amp;sbicname&amp;" (Licensee),]"</f>
        <v>[, a Managing Member of , the General Partner of  (Licensee),]</v>
      </c>
      <c r="D12" s="242"/>
      <c r="E12" s="242"/>
      <c r="F12" s="242"/>
      <c r="G12" s="242"/>
      <c r="H12" s="242"/>
      <c r="I12" s="242"/>
      <c r="J12" s="242"/>
      <c r="K12" s="175"/>
      <c r="L12" s="418"/>
      <c r="O12" s="410"/>
      <c r="P12" s="780"/>
      <c r="Q12" s="780"/>
      <c r="R12" s="780"/>
      <c r="S12" s="780"/>
      <c r="T12" s="780"/>
      <c r="U12" s="780"/>
      <c r="V12" s="780"/>
      <c r="W12" s="780"/>
      <c r="X12" s="780"/>
      <c r="Y12" s="416"/>
    </row>
    <row r="13" spans="1:25" ht="10" x14ac:dyDescent="0.2">
      <c r="B13" s="78"/>
      <c r="C13" s="242"/>
      <c r="D13" s="242"/>
      <c r="E13" s="242"/>
      <c r="F13" s="242"/>
      <c r="G13" s="242"/>
      <c r="H13" s="242"/>
      <c r="I13" s="242"/>
      <c r="J13" s="242"/>
      <c r="K13" s="175"/>
      <c r="L13" s="418"/>
      <c r="O13" s="410"/>
      <c r="P13" s="780"/>
      <c r="Q13" s="780"/>
      <c r="R13" s="780"/>
      <c r="S13" s="780"/>
      <c r="T13" s="780"/>
      <c r="U13" s="780"/>
      <c r="V13" s="780"/>
      <c r="W13" s="780"/>
      <c r="X13" s="780"/>
      <c r="Y13" s="416"/>
    </row>
    <row r="14" spans="1:25" ht="10" x14ac:dyDescent="0.2">
      <c r="B14" s="78"/>
      <c r="C14" s="242" t="str">
        <f>"[, the President of , the General Partner of "&amp;sbicname&amp;" (Licensee),]"</f>
        <v>[, the President of , the General Partner of  (Licensee),]</v>
      </c>
      <c r="D14" s="175"/>
      <c r="E14" s="175"/>
      <c r="F14" s="175"/>
      <c r="G14" s="175"/>
      <c r="H14" s="175"/>
      <c r="I14" s="175"/>
      <c r="J14" s="175"/>
      <c r="K14" s="175"/>
      <c r="L14" s="418"/>
      <c r="O14" s="410"/>
      <c r="P14" s="780"/>
      <c r="Q14" s="780"/>
      <c r="R14" s="780"/>
      <c r="S14" s="780"/>
      <c r="T14" s="780"/>
      <c r="U14" s="780"/>
      <c r="V14" s="780"/>
      <c r="W14" s="780"/>
      <c r="X14" s="780"/>
      <c r="Y14" s="416"/>
    </row>
    <row r="15" spans="1:25" ht="10" x14ac:dyDescent="0.2">
      <c r="B15" s="78"/>
      <c r="C15" s="175"/>
      <c r="D15" s="175"/>
      <c r="E15" s="175"/>
      <c r="F15" s="175"/>
      <c r="G15" s="175"/>
      <c r="H15" s="175"/>
      <c r="I15" s="175"/>
      <c r="J15" s="175"/>
      <c r="K15" s="175"/>
      <c r="L15" s="418"/>
      <c r="O15" s="410"/>
      <c r="P15" s="420" t="s">
        <v>2192</v>
      </c>
      <c r="Q15" s="415"/>
      <c r="R15" s="415"/>
      <c r="S15" s="415"/>
      <c r="T15" s="415"/>
      <c r="U15" s="415"/>
      <c r="V15" s="415"/>
      <c r="W15" s="415"/>
      <c r="X15" s="415"/>
      <c r="Y15" s="416"/>
    </row>
    <row r="16" spans="1:25" ht="13.15" customHeight="1" x14ac:dyDescent="0.2">
      <c r="B16" s="78"/>
      <c r="C16" s="145" t="s">
        <v>2193</v>
      </c>
      <c r="D16" s="145"/>
      <c r="E16" s="145"/>
      <c r="F16" s="175"/>
      <c r="G16" s="175"/>
      <c r="H16" s="175"/>
      <c r="I16" s="175"/>
      <c r="J16" s="175"/>
      <c r="K16" s="175"/>
      <c r="L16" s="414"/>
      <c r="O16" s="410"/>
      <c r="P16" s="787"/>
      <c r="Q16" s="788"/>
      <c r="R16" s="788"/>
      <c r="S16" s="788"/>
      <c r="T16" s="788"/>
      <c r="U16" s="788"/>
      <c r="V16" s="788"/>
      <c r="W16" s="788"/>
      <c r="X16" s="789"/>
      <c r="Y16" s="416"/>
    </row>
    <row r="17" spans="2:25" ht="13.15" customHeight="1" x14ac:dyDescent="0.2">
      <c r="B17" s="78"/>
      <c r="D17" s="145"/>
      <c r="E17" s="145"/>
      <c r="F17" s="145"/>
      <c r="G17" s="145"/>
      <c r="H17" s="145"/>
      <c r="I17" s="145"/>
      <c r="J17" s="145"/>
      <c r="K17" s="145"/>
      <c r="L17" s="414"/>
      <c r="O17" s="410"/>
      <c r="P17" s="790"/>
      <c r="Q17" s="791"/>
      <c r="R17" s="791"/>
      <c r="S17" s="791"/>
      <c r="T17" s="791"/>
      <c r="U17" s="791"/>
      <c r="V17" s="791"/>
      <c r="W17" s="791"/>
      <c r="X17" s="792"/>
      <c r="Y17" s="416"/>
    </row>
    <row r="18" spans="2:25" ht="10" x14ac:dyDescent="0.2">
      <c r="B18" s="78"/>
      <c r="C18" s="145"/>
      <c r="D18" s="145"/>
      <c r="E18" s="145"/>
      <c r="F18" s="145"/>
      <c r="G18" s="145"/>
      <c r="H18" s="145"/>
      <c r="I18" s="145"/>
      <c r="J18" s="145"/>
      <c r="K18" s="145"/>
      <c r="L18" s="414"/>
      <c r="O18" s="410"/>
      <c r="P18" s="790"/>
      <c r="Q18" s="791"/>
      <c r="R18" s="791"/>
      <c r="S18" s="791"/>
      <c r="T18" s="791"/>
      <c r="U18" s="791"/>
      <c r="V18" s="791"/>
      <c r="W18" s="791"/>
      <c r="X18" s="792"/>
      <c r="Y18" s="416"/>
    </row>
    <row r="19" spans="2:25" ht="10" x14ac:dyDescent="0.2">
      <c r="B19" s="78"/>
      <c r="C19" s="703" t="str">
        <f>"1.  The "&amp;IF(LEFT(ReportType,1)="a","unaudited ","")&amp;ReportType&amp;IF(LEFT(ReportType,1)="a"," for the quarter ended "," for the "&amp;Number_of_Months&amp;" months ended ") &amp;TEXT(Form468Date,"mmmm dd, yyyy")&amp;" submitted by "&amp;sbicname&amp;" (Licensee) to the Small Business Administration on SBA Form 468 is true and correct in all aspects.  The statements and schedules listed below have been omitted from the submission."</f>
        <v>1.  The Quarterly Report for the  months ended January 00, 1900 submitted by  (Licensee) to the Small Business Administration on SBA Form 468 is true and correct in all aspects.  The statements and schedules listed below have been omitted from the submission.</v>
      </c>
      <c r="D19" s="703"/>
      <c r="E19" s="703"/>
      <c r="F19" s="703"/>
      <c r="G19" s="703"/>
      <c r="H19" s="703"/>
      <c r="I19" s="703"/>
      <c r="J19" s="703"/>
      <c r="K19" s="703"/>
      <c r="L19" s="414"/>
      <c r="O19" s="410"/>
      <c r="P19" s="793"/>
      <c r="Q19" s="794"/>
      <c r="R19" s="794"/>
      <c r="S19" s="794"/>
      <c r="T19" s="794"/>
      <c r="U19" s="794"/>
      <c r="V19" s="794"/>
      <c r="W19" s="794"/>
      <c r="X19" s="795"/>
      <c r="Y19" s="416"/>
    </row>
    <row r="20" spans="2:25" ht="10" x14ac:dyDescent="0.2">
      <c r="B20" s="78"/>
      <c r="C20" s="703"/>
      <c r="D20" s="703"/>
      <c r="E20" s="703"/>
      <c r="F20" s="703"/>
      <c r="G20" s="703"/>
      <c r="H20" s="703"/>
      <c r="I20" s="703"/>
      <c r="J20" s="703"/>
      <c r="K20" s="703"/>
      <c r="L20" s="414"/>
      <c r="O20" s="410"/>
      <c r="P20" s="415"/>
      <c r="Q20" s="415"/>
      <c r="R20" s="415"/>
      <c r="S20" s="415"/>
      <c r="T20" s="415"/>
      <c r="U20" s="415"/>
      <c r="V20" s="415"/>
      <c r="W20" s="415"/>
      <c r="X20" s="415"/>
      <c r="Y20" s="416"/>
    </row>
    <row r="21" spans="2:25" ht="20.25" customHeight="1" x14ac:dyDescent="0.2">
      <c r="B21" s="78"/>
      <c r="C21" s="703"/>
      <c r="D21" s="703"/>
      <c r="E21" s="703"/>
      <c r="F21" s="703"/>
      <c r="G21" s="703"/>
      <c r="H21" s="703"/>
      <c r="I21" s="703"/>
      <c r="J21" s="703"/>
      <c r="K21" s="703"/>
      <c r="L21" s="414"/>
      <c r="O21" s="410"/>
      <c r="P21" s="415" t="s">
        <v>2194</v>
      </c>
      <c r="Q21" s="415"/>
      <c r="R21" s="415"/>
      <c r="S21" s="415"/>
      <c r="T21" s="411"/>
      <c r="U21" s="411"/>
      <c r="V21" s="411"/>
      <c r="W21" s="421">
        <f>cytotalassets</f>
        <v>0</v>
      </c>
      <c r="X21" s="411"/>
      <c r="Y21" s="416"/>
    </row>
    <row r="22" spans="2:25" ht="13.15" customHeight="1" x14ac:dyDescent="0.2">
      <c r="B22" s="78"/>
      <c r="C22" s="145"/>
      <c r="D22" s="145"/>
      <c r="E22" s="145"/>
      <c r="F22" s="145"/>
      <c r="G22" s="145"/>
      <c r="H22" s="145"/>
      <c r="I22" s="145"/>
      <c r="J22" s="145"/>
      <c r="K22" s="145"/>
      <c r="L22" s="414"/>
      <c r="O22" s="410"/>
      <c r="P22" s="415" t="s">
        <v>2195</v>
      </c>
      <c r="Q22" s="415"/>
      <c r="R22" s="415"/>
      <c r="S22" s="415"/>
      <c r="T22" s="411"/>
      <c r="U22" s="411"/>
      <c r="V22" s="411"/>
      <c r="W22" s="421">
        <f>cytd_netincome</f>
        <v>0</v>
      </c>
      <c r="X22" s="411"/>
      <c r="Y22" s="416"/>
    </row>
    <row r="23" spans="2:25" ht="13.15" customHeight="1" x14ac:dyDescent="0.2">
      <c r="B23" s="78"/>
      <c r="C23" s="703" t="str">
        <f>"2. The General Partner of "&amp;sbicname&amp;" (Licensee) has reviewed and approved the Quarterly Report for the "&amp;Number_of_Months&amp;" months ended " &amp;TEXT(Form468Date,"mmmm dd, yyyy")&amp;"."</f>
        <v>2. The General Partner of  (Licensee) has reviewed and approved the Quarterly Report for the  months ended January 00, 1900.</v>
      </c>
      <c r="D23" s="703"/>
      <c r="E23" s="703"/>
      <c r="F23" s="703"/>
      <c r="G23" s="703"/>
      <c r="H23" s="703"/>
      <c r="I23" s="703"/>
      <c r="J23" s="703"/>
      <c r="K23" s="703"/>
      <c r="L23" s="414"/>
      <c r="O23" s="410"/>
      <c r="P23" s="415" t="s">
        <v>2196</v>
      </c>
      <c r="Q23" s="415"/>
      <c r="R23" s="415"/>
      <c r="S23" s="415"/>
      <c r="T23" s="411"/>
      <c r="U23" s="411"/>
      <c r="V23" s="411"/>
      <c r="W23" s="421">
        <f>cycash+cyidle</f>
        <v>0</v>
      </c>
      <c r="X23" s="411"/>
      <c r="Y23" s="416"/>
    </row>
    <row r="24" spans="2:25" ht="15.75" customHeight="1" x14ac:dyDescent="0.2">
      <c r="B24" s="78"/>
      <c r="C24" s="703"/>
      <c r="D24" s="703"/>
      <c r="E24" s="703"/>
      <c r="F24" s="703"/>
      <c r="G24" s="703"/>
      <c r="H24" s="703"/>
      <c r="I24" s="703"/>
      <c r="J24" s="703"/>
      <c r="K24" s="703"/>
      <c r="L24" s="414"/>
      <c r="O24" s="410"/>
      <c r="P24" s="415"/>
      <c r="Q24" s="415"/>
      <c r="R24" s="415"/>
      <c r="S24" s="415"/>
      <c r="T24" s="415"/>
      <c r="U24" s="415"/>
      <c r="V24" s="415"/>
      <c r="W24" s="415"/>
      <c r="X24" s="415"/>
      <c r="Y24" s="416"/>
    </row>
    <row r="25" spans="2:25" ht="13.15" customHeight="1" x14ac:dyDescent="0.2">
      <c r="B25" s="78"/>
      <c r="C25" s="145"/>
      <c r="D25" s="145"/>
      <c r="E25" s="145"/>
      <c r="F25" s="145"/>
      <c r="G25" s="145"/>
      <c r="H25" s="145"/>
      <c r="I25" s="145"/>
      <c r="J25" s="145"/>
      <c r="K25" s="145"/>
      <c r="L25" s="414"/>
      <c r="O25" s="410"/>
      <c r="P25" s="780" t="s">
        <v>2197</v>
      </c>
      <c r="Q25" s="780"/>
      <c r="R25" s="780"/>
      <c r="S25" s="780"/>
      <c r="T25" s="780"/>
      <c r="U25" s="780"/>
      <c r="V25" s="780"/>
      <c r="W25" s="780"/>
      <c r="X25" s="780"/>
      <c r="Y25" s="416"/>
    </row>
    <row r="26" spans="2:25" ht="13.15" customHeight="1" x14ac:dyDescent="0.2">
      <c r="B26" s="78"/>
      <c r="C26" s="799" t="str">
        <f>"3. "&amp;sbicname&amp;" (Licensee) is in good standing under the laws of the State of "&amp;'1-Cover'!C14&amp;"."</f>
        <v>3.  (Licensee) is in good standing under the laws of the State of .</v>
      </c>
      <c r="D26" s="799"/>
      <c r="E26" s="799"/>
      <c r="F26" s="799"/>
      <c r="G26" s="799"/>
      <c r="H26" s="799"/>
      <c r="I26" s="799"/>
      <c r="J26" s="799"/>
      <c r="K26" s="799"/>
      <c r="L26" s="414"/>
      <c r="O26" s="410"/>
      <c r="P26" s="780"/>
      <c r="Q26" s="780"/>
      <c r="R26" s="780"/>
      <c r="S26" s="780"/>
      <c r="T26" s="780"/>
      <c r="U26" s="780"/>
      <c r="V26" s="780"/>
      <c r="W26" s="780"/>
      <c r="X26" s="780"/>
      <c r="Y26" s="416"/>
    </row>
    <row r="27" spans="2:25" ht="10" x14ac:dyDescent="0.2">
      <c r="B27" s="78"/>
      <c r="C27" s="799"/>
      <c r="D27" s="799"/>
      <c r="E27" s="799"/>
      <c r="F27" s="799"/>
      <c r="G27" s="799"/>
      <c r="H27" s="799"/>
      <c r="I27" s="799"/>
      <c r="J27" s="799"/>
      <c r="K27" s="799"/>
      <c r="L27" s="414"/>
      <c r="O27" s="410"/>
      <c r="P27" s="780"/>
      <c r="Q27" s="780"/>
      <c r="R27" s="780"/>
      <c r="S27" s="780"/>
      <c r="T27" s="780"/>
      <c r="U27" s="780"/>
      <c r="V27" s="780"/>
      <c r="W27" s="780"/>
      <c r="X27" s="780"/>
      <c r="Y27" s="416"/>
    </row>
    <row r="28" spans="2:25" ht="13.15" customHeight="1" x14ac:dyDescent="0.2">
      <c r="B28" s="78"/>
      <c r="C28" s="145"/>
      <c r="D28" s="145"/>
      <c r="E28" s="145"/>
      <c r="F28" s="145"/>
      <c r="G28" s="145"/>
      <c r="H28" s="145"/>
      <c r="I28" s="145"/>
      <c r="J28" s="145"/>
      <c r="K28" s="145"/>
      <c r="L28" s="414"/>
      <c r="O28" s="410"/>
      <c r="P28" s="415"/>
      <c r="Q28" s="415" t="s">
        <v>2200</v>
      </c>
      <c r="R28" s="785"/>
      <c r="S28" s="785"/>
      <c r="V28" s="415" t="s">
        <v>2200</v>
      </c>
      <c r="W28" s="785"/>
      <c r="X28" s="785"/>
      <c r="Y28" s="416"/>
    </row>
    <row r="29" spans="2:25" ht="13.15" customHeight="1" x14ac:dyDescent="0.2">
      <c r="B29" s="78"/>
      <c r="C29" s="422" t="s">
        <v>2192</v>
      </c>
      <c r="D29" s="423"/>
      <c r="E29" s="423"/>
      <c r="F29" s="423"/>
      <c r="G29" s="423"/>
      <c r="H29" s="423"/>
      <c r="I29" s="423"/>
      <c r="J29" s="423"/>
      <c r="K29" s="424"/>
      <c r="L29" s="414"/>
      <c r="O29" s="410"/>
      <c r="P29" s="415"/>
      <c r="Q29" s="415" t="s">
        <v>2201</v>
      </c>
      <c r="R29" s="786"/>
      <c r="S29" s="786"/>
      <c r="V29" s="415" t="s">
        <v>2201</v>
      </c>
      <c r="W29" s="786"/>
      <c r="X29" s="786"/>
      <c r="Y29" s="416"/>
    </row>
    <row r="30" spans="2:25" ht="13.15" customHeight="1" x14ac:dyDescent="0.2">
      <c r="B30" s="78"/>
      <c r="C30" s="796"/>
      <c r="D30" s="797"/>
      <c r="E30" s="797"/>
      <c r="F30" s="797"/>
      <c r="G30" s="797"/>
      <c r="H30" s="797"/>
      <c r="I30" s="797"/>
      <c r="J30" s="797"/>
      <c r="K30" s="798"/>
      <c r="L30" s="414"/>
      <c r="O30" s="410"/>
      <c r="P30" s="419"/>
      <c r="Q30" s="419"/>
      <c r="R30" s="419"/>
      <c r="S30" s="419"/>
      <c r="T30" s="419"/>
      <c r="U30" s="419"/>
      <c r="V30" s="419"/>
      <c r="W30" s="419"/>
      <c r="X30" s="419"/>
      <c r="Y30" s="416"/>
    </row>
    <row r="31" spans="2:25" ht="13.15" customHeight="1" x14ac:dyDescent="0.2">
      <c r="B31" s="78"/>
      <c r="C31" s="796"/>
      <c r="D31" s="797"/>
      <c r="E31" s="797"/>
      <c r="F31" s="797"/>
      <c r="G31" s="797"/>
      <c r="H31" s="797"/>
      <c r="I31" s="797"/>
      <c r="J31" s="797"/>
      <c r="K31" s="798"/>
      <c r="L31" s="414"/>
      <c r="O31" s="425"/>
      <c r="P31" s="426"/>
      <c r="Q31" s="426"/>
      <c r="R31" s="426"/>
      <c r="S31" s="426"/>
      <c r="T31" s="426"/>
      <c r="U31" s="426"/>
      <c r="V31" s="426"/>
      <c r="W31" s="426"/>
      <c r="X31" s="426"/>
      <c r="Y31" s="427"/>
    </row>
    <row r="32" spans="2:25" ht="13.15" customHeight="1" x14ac:dyDescent="0.2">
      <c r="B32" s="78"/>
      <c r="C32" s="796"/>
      <c r="D32" s="797"/>
      <c r="E32" s="797"/>
      <c r="F32" s="797"/>
      <c r="G32" s="797"/>
      <c r="H32" s="797"/>
      <c r="I32" s="797"/>
      <c r="J32" s="797"/>
      <c r="K32" s="798"/>
      <c r="L32" s="414"/>
      <c r="O32" s="410"/>
      <c r="P32" s="419"/>
      <c r="Q32" s="419"/>
      <c r="R32" s="419"/>
      <c r="S32" s="419"/>
      <c r="T32" s="413" t="s">
        <v>2202</v>
      </c>
      <c r="U32" s="419"/>
      <c r="V32" s="419"/>
      <c r="W32" s="419"/>
      <c r="X32" s="419"/>
      <c r="Y32" s="416"/>
    </row>
    <row r="33" spans="2:25" ht="13.15" customHeight="1" x14ac:dyDescent="0.2">
      <c r="B33" s="78"/>
      <c r="C33" s="796"/>
      <c r="D33" s="797"/>
      <c r="E33" s="797"/>
      <c r="F33" s="797"/>
      <c r="G33" s="797"/>
      <c r="H33" s="797"/>
      <c r="I33" s="797"/>
      <c r="J33" s="797"/>
      <c r="K33" s="798"/>
      <c r="L33" s="414"/>
      <c r="O33" s="410"/>
      <c r="P33" s="415"/>
      <c r="Q33" s="415"/>
      <c r="R33" s="415"/>
      <c r="S33" s="415"/>
      <c r="T33" s="415"/>
      <c r="U33" s="415"/>
      <c r="V33" s="415"/>
      <c r="W33" s="415"/>
      <c r="X33" s="415"/>
      <c r="Y33" s="416"/>
    </row>
    <row r="34" spans="2:25" ht="13.15" customHeight="1" x14ac:dyDescent="0.2">
      <c r="B34" s="78"/>
      <c r="C34" s="796"/>
      <c r="D34" s="797"/>
      <c r="E34" s="797"/>
      <c r="F34" s="797"/>
      <c r="G34" s="797"/>
      <c r="H34" s="797"/>
      <c r="I34" s="797"/>
      <c r="J34" s="797"/>
      <c r="K34" s="798"/>
      <c r="L34" s="414"/>
      <c r="O34" s="410"/>
      <c r="P34" s="780" t="str">
        <f>"I, the duly elected, qualified and acting Secretary of "&amp;sbicname&amp;"(Licensee), do hereby certify as follows:"</f>
        <v>I, the duly elected, qualified and acting Secretary of (Licensee), do hereby certify as follows:</v>
      </c>
      <c r="Q34" s="780"/>
      <c r="R34" s="780"/>
      <c r="S34" s="780"/>
      <c r="T34" s="780"/>
      <c r="U34" s="780"/>
      <c r="V34" s="780"/>
      <c r="W34" s="780"/>
      <c r="X34" s="428"/>
      <c r="Y34" s="416"/>
    </row>
    <row r="35" spans="2:25" ht="24.75" customHeight="1" x14ac:dyDescent="0.2">
      <c r="B35" s="78"/>
      <c r="C35" s="712"/>
      <c r="D35" s="713"/>
      <c r="E35" s="713"/>
      <c r="F35" s="713"/>
      <c r="G35" s="713"/>
      <c r="H35" s="713"/>
      <c r="I35" s="713"/>
      <c r="J35" s="713"/>
      <c r="K35" s="714"/>
      <c r="L35" s="414"/>
      <c r="O35" s="410"/>
      <c r="P35" s="780"/>
      <c r="Q35" s="780"/>
      <c r="R35" s="780"/>
      <c r="S35" s="780"/>
      <c r="T35" s="780"/>
      <c r="U35" s="780"/>
      <c r="V35" s="780"/>
      <c r="W35" s="780"/>
      <c r="X35" s="428"/>
      <c r="Y35" s="416"/>
    </row>
    <row r="36" spans="2:25" ht="13.15" customHeight="1" x14ac:dyDescent="0.2">
      <c r="B36" s="136"/>
      <c r="C36" s="429"/>
      <c r="D36" s="429"/>
      <c r="E36" s="429"/>
      <c r="F36" s="429"/>
      <c r="G36" s="429"/>
      <c r="H36" s="429"/>
      <c r="I36" s="429"/>
      <c r="J36" s="429"/>
      <c r="K36" s="429"/>
      <c r="L36" s="430"/>
      <c r="O36" s="410"/>
      <c r="P36" s="428"/>
      <c r="Q36" s="428"/>
      <c r="R36" s="428"/>
      <c r="S36" s="428"/>
      <c r="T36" s="428"/>
      <c r="U36" s="428"/>
      <c r="V36" s="428"/>
      <c r="W36" s="428"/>
      <c r="X36" s="428"/>
      <c r="Y36" s="416"/>
    </row>
    <row r="37" spans="2:25" ht="13.15" customHeight="1" x14ac:dyDescent="0.2">
      <c r="B37" s="73"/>
      <c r="C37" s="423"/>
      <c r="D37" s="423"/>
      <c r="E37" s="423"/>
      <c r="F37" s="423"/>
      <c r="G37" s="423"/>
      <c r="H37" s="423"/>
      <c r="I37" s="423"/>
      <c r="J37" s="423"/>
      <c r="K37" s="423"/>
      <c r="L37" s="424"/>
      <c r="O37" s="410"/>
      <c r="P37" s="415" t="e" cm="1">
        <f t="array" ref="P37">"1. "&amp;sbicname&amp;" (Licensee) is in good standing under the laws of the State of "&amp;sbicstate&amp;"."</f>
        <v>#N/A</v>
      </c>
      <c r="Q37" s="415"/>
      <c r="R37" s="415"/>
      <c r="S37" s="415"/>
      <c r="T37" s="415"/>
      <c r="U37" s="411"/>
      <c r="V37" s="415"/>
      <c r="W37" s="428"/>
      <c r="X37" s="431" t="s">
        <v>2203</v>
      </c>
      <c r="Y37" s="416"/>
    </row>
    <row r="38" spans="2:25" ht="13.15" customHeight="1" x14ac:dyDescent="0.2">
      <c r="B38" s="78"/>
      <c r="C38" s="145" t="s">
        <v>2204</v>
      </c>
      <c r="D38" s="145"/>
      <c r="E38" s="145"/>
      <c r="F38" s="145"/>
      <c r="G38" s="145"/>
      <c r="H38" s="145"/>
      <c r="I38" s="145"/>
      <c r="J38" s="432">
        <f>totassets</f>
        <v>0</v>
      </c>
      <c r="L38" s="366"/>
      <c r="O38" s="410"/>
      <c r="P38" s="415"/>
      <c r="Q38" s="415"/>
      <c r="R38" s="415"/>
      <c r="S38" s="415"/>
      <c r="T38" s="415"/>
      <c r="U38" s="415"/>
      <c r="V38" s="415"/>
      <c r="W38" s="415"/>
      <c r="X38" s="415"/>
      <c r="Y38" s="416"/>
    </row>
    <row r="39" spans="2:25" ht="13.15" customHeight="1" x14ac:dyDescent="0.2">
      <c r="B39" s="78"/>
      <c r="C39" s="145" t="s">
        <v>2205</v>
      </c>
      <c r="D39" s="145"/>
      <c r="E39" s="145"/>
      <c r="F39" s="145"/>
      <c r="G39" s="145"/>
      <c r="H39" s="145"/>
      <c r="I39" s="145"/>
      <c r="J39" s="432">
        <f>'4-NI'!H58</f>
        <v>0</v>
      </c>
      <c r="L39" s="366"/>
      <c r="O39" s="410"/>
      <c r="P39" s="780" t="str">
        <f>"2. The minutes of the meeting of the Board of Directors of "&amp;sbicname&amp;" (Licensee) on "</f>
        <v xml:space="preserve">2. The minutes of the meeting of the Board of Directors of  (Licensee) on </v>
      </c>
      <c r="Q39" s="780"/>
      <c r="R39" s="780"/>
      <c r="S39" s="780"/>
      <c r="T39" s="780"/>
      <c r="U39" s="780"/>
      <c r="V39" s="780"/>
      <c r="W39" s="780"/>
      <c r="X39" s="433"/>
      <c r="Y39" s="434" t="s">
        <v>2206</v>
      </c>
    </row>
    <row r="40" spans="2:25" ht="13.15" customHeight="1" x14ac:dyDescent="0.2">
      <c r="B40" s="78"/>
      <c r="C40" s="145" t="s">
        <v>2207</v>
      </c>
      <c r="D40" s="145"/>
      <c r="E40" s="145"/>
      <c r="F40" s="145"/>
      <c r="G40" s="145"/>
      <c r="H40" s="145"/>
      <c r="I40" s="145"/>
      <c r="J40" s="432">
        <f>cycash</f>
        <v>0</v>
      </c>
      <c r="L40" s="366"/>
      <c r="O40" s="410"/>
      <c r="P40" s="780" t="str">
        <f>"document that the Board at each meeting, reviewed and approved the "&amp; IF(LEFT(ReportType,1)="a","audited  ","")&amp;ReportType&amp;" of such company "&amp;IF(LEFT(ReportType,1)="a"," for the fiscal year ended ","for the "&amp;Number_of_Months&amp;" months ended ") &amp;TEXT(Form468Date,"mmmm dd, yyyy")&amp;"."</f>
        <v>document that the Board at each meeting, reviewed and approved the Quarterly Report of such company for the  months ended January 00, 1900.</v>
      </c>
      <c r="Q40" s="780"/>
      <c r="R40" s="780"/>
      <c r="S40" s="780"/>
      <c r="T40" s="780"/>
      <c r="U40" s="780"/>
      <c r="V40" s="780"/>
      <c r="W40" s="780"/>
      <c r="X40" s="780"/>
      <c r="Y40" s="416"/>
    </row>
    <row r="41" spans="2:25" ht="13.15" customHeight="1" x14ac:dyDescent="0.2">
      <c r="B41" s="78"/>
      <c r="C41" s="145"/>
      <c r="D41" s="145"/>
      <c r="E41" s="145"/>
      <c r="F41" s="145"/>
      <c r="G41" s="145"/>
      <c r="H41" s="145"/>
      <c r="I41" s="145"/>
      <c r="J41" s="145"/>
      <c r="L41" s="366"/>
      <c r="O41" s="410"/>
      <c r="P41" s="780"/>
      <c r="Q41" s="780"/>
      <c r="R41" s="780"/>
      <c r="S41" s="780"/>
      <c r="T41" s="780"/>
      <c r="U41" s="780"/>
      <c r="V41" s="780"/>
      <c r="W41" s="780"/>
      <c r="X41" s="780"/>
      <c r="Y41" s="416"/>
    </row>
    <row r="42" spans="2:25" ht="13.15" customHeight="1" x14ac:dyDescent="0.2">
      <c r="B42" s="78"/>
      <c r="C42" s="145"/>
      <c r="D42" s="145"/>
      <c r="E42" s="145"/>
      <c r="F42" s="145"/>
      <c r="G42" s="145"/>
      <c r="H42" s="145"/>
      <c r="I42" s="145"/>
      <c r="J42" s="145"/>
      <c r="L42" s="366"/>
      <c r="O42" s="410"/>
      <c r="P42" s="435"/>
      <c r="Q42" s="435"/>
      <c r="R42" s="435"/>
      <c r="S42" s="435"/>
      <c r="T42" s="435"/>
      <c r="U42" s="435"/>
      <c r="V42" s="435"/>
      <c r="W42" s="435"/>
      <c r="X42" s="435"/>
      <c r="Y42" s="416"/>
    </row>
    <row r="43" spans="2:25" ht="13.15" customHeight="1" x14ac:dyDescent="0.2">
      <c r="B43" s="78"/>
      <c r="C43" s="703" t="s">
        <v>3492</v>
      </c>
      <c r="D43" s="703"/>
      <c r="E43" s="703"/>
      <c r="F43" s="703"/>
      <c r="G43" s="703"/>
      <c r="H43" s="703"/>
      <c r="I43" s="703"/>
      <c r="J43" s="703"/>
      <c r="K43" s="703"/>
      <c r="L43" s="418"/>
      <c r="O43" s="410"/>
      <c r="P43" s="780" t="s">
        <v>2197</v>
      </c>
      <c r="Q43" s="780"/>
      <c r="R43" s="780"/>
      <c r="S43" s="780"/>
      <c r="T43" s="780"/>
      <c r="U43" s="780"/>
      <c r="V43" s="780"/>
      <c r="W43" s="780"/>
      <c r="X43" s="780"/>
      <c r="Y43" s="416"/>
    </row>
    <row r="44" spans="2:25" ht="58" customHeight="1" x14ac:dyDescent="0.2">
      <c r="B44" s="78"/>
      <c r="C44" s="703"/>
      <c r="D44" s="703"/>
      <c r="E44" s="703"/>
      <c r="F44" s="703"/>
      <c r="G44" s="703"/>
      <c r="H44" s="703"/>
      <c r="I44" s="703"/>
      <c r="J44" s="703"/>
      <c r="K44" s="703"/>
      <c r="L44" s="418"/>
      <c r="O44" s="410"/>
      <c r="P44" s="780"/>
      <c r="Q44" s="780"/>
      <c r="R44" s="780"/>
      <c r="S44" s="780"/>
      <c r="T44" s="780"/>
      <c r="U44" s="780"/>
      <c r="V44" s="780"/>
      <c r="W44" s="780"/>
      <c r="X44" s="780"/>
      <c r="Y44" s="416"/>
    </row>
    <row r="45" spans="2:25" ht="13.15" customHeight="1" x14ac:dyDescent="0.2">
      <c r="B45" s="78"/>
      <c r="C45" s="703"/>
      <c r="D45" s="703"/>
      <c r="E45" s="703"/>
      <c r="F45" s="703"/>
      <c r="G45" s="703"/>
      <c r="H45" s="703"/>
      <c r="I45" s="703"/>
      <c r="J45" s="703"/>
      <c r="K45" s="703"/>
      <c r="L45" s="418"/>
      <c r="O45" s="410"/>
      <c r="P45" s="780"/>
      <c r="Q45" s="780"/>
      <c r="R45" s="780"/>
      <c r="S45" s="780"/>
      <c r="T45" s="780"/>
      <c r="U45" s="780"/>
      <c r="V45" s="780"/>
      <c r="W45" s="780"/>
      <c r="X45" s="780"/>
      <c r="Y45" s="416"/>
    </row>
    <row r="46" spans="2:25" ht="13.15" customHeight="1" x14ac:dyDescent="0.2">
      <c r="B46" s="78"/>
      <c r="C46" s="703"/>
      <c r="D46" s="703"/>
      <c r="E46" s="703"/>
      <c r="F46" s="703"/>
      <c r="G46" s="703"/>
      <c r="H46" s="703"/>
      <c r="I46" s="703"/>
      <c r="J46" s="703"/>
      <c r="K46" s="703"/>
      <c r="L46" s="418"/>
      <c r="O46" s="410"/>
      <c r="P46" s="780" t="s">
        <v>2193</v>
      </c>
      <c r="Q46" s="780"/>
      <c r="R46" s="780"/>
      <c r="S46" s="780"/>
      <c r="T46" s="780"/>
      <c r="U46" s="780"/>
      <c r="V46" s="780"/>
      <c r="W46" s="780"/>
      <c r="X46" s="780"/>
      <c r="Y46" s="416"/>
    </row>
    <row r="47" spans="2:25" ht="13.15" customHeight="1" x14ac:dyDescent="0.2">
      <c r="B47" s="78"/>
      <c r="C47" s="417"/>
      <c r="D47" s="417"/>
      <c r="E47" s="417"/>
      <c r="F47" s="417"/>
      <c r="G47" s="417"/>
      <c r="H47" s="417"/>
      <c r="I47" s="417"/>
      <c r="J47" s="417"/>
      <c r="K47" s="417"/>
      <c r="L47" s="436"/>
      <c r="O47" s="410"/>
      <c r="P47" s="419"/>
      <c r="Q47" s="419"/>
      <c r="R47" s="419"/>
      <c r="S47" s="419"/>
      <c r="T47" s="419"/>
      <c r="U47" s="419"/>
      <c r="V47" s="419"/>
      <c r="W47" s="419"/>
      <c r="X47" s="419"/>
      <c r="Y47" s="437"/>
    </row>
    <row r="48" spans="2:25" ht="13.15" customHeight="1" x14ac:dyDescent="0.2">
      <c r="B48" s="78"/>
      <c r="C48" s="145" t="s">
        <v>2201</v>
      </c>
      <c r="D48" s="443"/>
      <c r="E48" s="417"/>
      <c r="F48" s="145" t="s">
        <v>2198</v>
      </c>
      <c r="G48" s="438"/>
      <c r="H48" s="417"/>
      <c r="I48" s="145" t="s">
        <v>2199</v>
      </c>
      <c r="J48" s="438"/>
      <c r="K48" s="417"/>
      <c r="L48" s="414"/>
      <c r="O48" s="410"/>
      <c r="Q48" s="415" t="s">
        <v>2198</v>
      </c>
      <c r="R48" s="783"/>
      <c r="S48" s="784"/>
      <c r="V48" s="415" t="s">
        <v>2199</v>
      </c>
      <c r="W48" s="785"/>
      <c r="X48" s="785"/>
      <c r="Y48" s="416"/>
    </row>
    <row r="49" spans="2:25" ht="13.15" customHeight="1" x14ac:dyDescent="0.2">
      <c r="B49" s="78"/>
      <c r="C49" s="145"/>
      <c r="D49" s="145"/>
      <c r="E49" s="417"/>
      <c r="F49" s="145" t="s">
        <v>2200</v>
      </c>
      <c r="G49" s="438"/>
      <c r="H49" s="417"/>
      <c r="I49" s="145"/>
      <c r="J49" s="145"/>
      <c r="K49" s="417"/>
      <c r="L49" s="414"/>
      <c r="O49" s="410"/>
      <c r="P49" s="415"/>
      <c r="Q49" s="415" t="s">
        <v>2200</v>
      </c>
      <c r="R49" s="783"/>
      <c r="S49" s="784"/>
      <c r="V49" s="415" t="s">
        <v>2200</v>
      </c>
      <c r="W49" s="785"/>
      <c r="X49" s="785"/>
      <c r="Y49" s="416"/>
    </row>
    <row r="50" spans="2:25" ht="13.15" customHeight="1" collapsed="1" x14ac:dyDescent="0.2">
      <c r="B50" s="78"/>
      <c r="C50" s="145"/>
      <c r="D50" s="145"/>
      <c r="E50" s="145"/>
      <c r="F50" s="145"/>
      <c r="G50" s="145"/>
      <c r="H50" s="417"/>
      <c r="I50" s="145"/>
      <c r="J50" s="145"/>
      <c r="K50" s="417"/>
      <c r="L50" s="414"/>
      <c r="O50" s="410"/>
      <c r="P50" s="415"/>
      <c r="Q50" s="415" t="s">
        <v>2201</v>
      </c>
      <c r="R50" s="781"/>
      <c r="S50" s="782"/>
      <c r="V50" s="415" t="s">
        <v>2201</v>
      </c>
      <c r="W50" s="786"/>
      <c r="X50" s="786"/>
      <c r="Y50" s="416"/>
    </row>
    <row r="51" spans="2:25" ht="13.15" customHeight="1" collapsed="1" x14ac:dyDescent="0.2">
      <c r="B51" s="136"/>
      <c r="C51" s="82"/>
      <c r="D51" s="82"/>
      <c r="E51" s="82"/>
      <c r="F51" s="82"/>
      <c r="G51" s="82"/>
      <c r="H51" s="82"/>
      <c r="I51" s="82"/>
      <c r="J51" s="82"/>
      <c r="K51" s="82"/>
      <c r="L51" s="260"/>
      <c r="O51" s="439"/>
      <c r="P51" s="440"/>
      <c r="Q51" s="440"/>
      <c r="R51" s="440"/>
      <c r="S51" s="440"/>
      <c r="T51" s="440"/>
      <c r="U51" s="440"/>
      <c r="V51" s="440"/>
      <c r="W51" s="440"/>
      <c r="X51" s="440"/>
      <c r="Y51" s="441"/>
    </row>
  </sheetData>
  <mergeCells count="23">
    <mergeCell ref="W49:X49"/>
    <mergeCell ref="W50:X50"/>
    <mergeCell ref="C19:K21"/>
    <mergeCell ref="C23:K24"/>
    <mergeCell ref="C26:K27"/>
    <mergeCell ref="P25:X27"/>
    <mergeCell ref="R29:S29"/>
    <mergeCell ref="C9:J10"/>
    <mergeCell ref="P40:X41"/>
    <mergeCell ref="P43:X46"/>
    <mergeCell ref="R50:S50"/>
    <mergeCell ref="R48:S48"/>
    <mergeCell ref="W48:X48"/>
    <mergeCell ref="R28:S28"/>
    <mergeCell ref="W28:X28"/>
    <mergeCell ref="W29:X29"/>
    <mergeCell ref="P34:W35"/>
    <mergeCell ref="P39:W39"/>
    <mergeCell ref="P11:X14"/>
    <mergeCell ref="P16:X19"/>
    <mergeCell ref="C43:K46"/>
    <mergeCell ref="C30:K35"/>
    <mergeCell ref="R49:S49"/>
  </mergeCells>
  <pageMargins left="0.5" right="0.5" top="0.5" bottom="0.5" header="0.3" footer="0.3"/>
  <pageSetup scale="95"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3BF73-B7C0-4824-B6FE-7578F1CB9103}">
  <sheetPr codeName="Sheet26">
    <tabColor theme="2"/>
  </sheetPr>
  <dimension ref="A1:AL100"/>
  <sheetViews>
    <sheetView tabSelected="1" workbookViewId="0">
      <selection activeCell="B5" sqref="B5"/>
    </sheetView>
  </sheetViews>
  <sheetFormatPr defaultColWidth="6.54296875" defaultRowHeight="10" outlineLevelRow="1" x14ac:dyDescent="0.2"/>
  <cols>
    <col min="1" max="1" width="16.81640625" style="77" customWidth="1"/>
    <col min="2" max="2" width="10.81640625" style="79" bestFit="1" customWidth="1"/>
    <col min="3" max="3" width="12.54296875" style="79" customWidth="1"/>
    <col min="4" max="4" width="10.81640625" style="79" customWidth="1"/>
    <col min="5" max="5" width="10.7265625" style="77" customWidth="1"/>
    <col min="6" max="6" width="13" style="77" customWidth="1"/>
    <col min="7" max="7" width="9.54296875" style="77" customWidth="1"/>
    <col min="8" max="8" width="10.81640625" style="77" customWidth="1"/>
    <col min="9" max="10" width="9.54296875" style="77" customWidth="1"/>
    <col min="11" max="11" width="11.453125" style="77" customWidth="1"/>
    <col min="12" max="12" width="9.1796875" style="77" customWidth="1"/>
    <col min="13" max="16" width="11.7265625" style="145" customWidth="1"/>
    <col min="17" max="17" width="14.1796875" style="145" customWidth="1"/>
    <col min="18" max="18" width="13.453125" style="145" customWidth="1"/>
    <col min="19" max="19" width="11.7265625" style="644" customWidth="1"/>
    <col min="20" max="20" width="11.7265625" style="145" customWidth="1"/>
    <col min="21" max="21" width="12.81640625" style="306" customWidth="1"/>
    <col min="22" max="22" width="13.81640625" style="306" customWidth="1"/>
    <col min="23" max="29" width="9.1796875" style="306" customWidth="1"/>
    <col min="30" max="30" width="11.81640625" style="352" customWidth="1"/>
    <col min="31" max="31" width="2" style="77" customWidth="1"/>
    <col min="32" max="32" width="1.81640625" style="77" customWidth="1"/>
    <col min="33" max="35" width="6.54296875" style="77"/>
    <col min="36" max="36" width="6.54296875" style="77" customWidth="1"/>
    <col min="37" max="38" width="0" style="77" hidden="1" customWidth="1"/>
    <col min="39" max="39" width="6.54296875" style="77" customWidth="1"/>
    <col min="40" max="16384" width="6.54296875" style="77"/>
  </cols>
  <sheetData>
    <row r="1" spans="1:31" ht="13.15" customHeight="1" x14ac:dyDescent="0.2">
      <c r="A1" s="73" t="s">
        <v>2208</v>
      </c>
      <c r="B1" s="74"/>
      <c r="C1" s="74"/>
      <c r="D1" s="75"/>
      <c r="E1" s="75"/>
      <c r="F1" s="244"/>
      <c r="G1" s="244"/>
      <c r="H1" s="243" t="s">
        <v>2209</v>
      </c>
      <c r="I1" s="244"/>
      <c r="J1" s="244"/>
      <c r="K1" s="244"/>
      <c r="L1" s="244"/>
      <c r="M1" s="76" t="str">
        <f>ombapproval</f>
        <v>OMB Approval No. 3245-0063</v>
      </c>
      <c r="N1" s="150"/>
      <c r="O1" s="150"/>
      <c r="P1" s="150"/>
      <c r="Q1" s="150"/>
      <c r="R1" s="150"/>
      <c r="S1" s="643"/>
      <c r="T1" s="150"/>
      <c r="U1" s="77"/>
      <c r="V1" s="244"/>
      <c r="W1" s="244"/>
      <c r="X1" s="244"/>
      <c r="Y1" s="244"/>
      <c r="Z1" s="244"/>
      <c r="AA1" s="303"/>
      <c r="AB1" s="303"/>
      <c r="AC1" s="303"/>
      <c r="AD1" s="303"/>
      <c r="AE1" s="76" t="str">
        <f>ombapproval</f>
        <v>OMB Approval No. 3245-0063</v>
      </c>
    </row>
    <row r="2" spans="1:31" ht="13.15" customHeight="1" x14ac:dyDescent="0.2">
      <c r="A2" s="78"/>
      <c r="B2" s="77"/>
      <c r="C2" s="77"/>
      <c r="E2" s="79"/>
      <c r="F2" s="352"/>
      <c r="G2" s="459"/>
      <c r="H2" s="460" t="str">
        <f>"PERIOD ENDED: "&amp;TEXT(Form468Date,"MM/DD/YYYY")</f>
        <v>PERIOD ENDED: 01/00/1900</v>
      </c>
      <c r="I2" s="459"/>
      <c r="J2" s="352"/>
      <c r="K2" s="352"/>
      <c r="L2" s="352"/>
      <c r="M2" s="80" t="str">
        <f>expirationdate</f>
        <v>Expiration Date MM/DD/YYYY</v>
      </c>
      <c r="N2" s="150"/>
      <c r="O2" s="150"/>
      <c r="P2" s="150"/>
      <c r="Q2" s="150"/>
      <c r="R2" s="150"/>
      <c r="S2" s="643"/>
      <c r="T2" s="150"/>
      <c r="U2" s="77"/>
      <c r="V2" s="352"/>
      <c r="W2" s="352"/>
      <c r="X2" s="352"/>
      <c r="Y2" s="352"/>
      <c r="Z2" s="352"/>
      <c r="AD2" s="306"/>
      <c r="AE2" s="80" t="str">
        <f>expirationdate</f>
        <v>Expiration Date MM/DD/YYYY</v>
      </c>
    </row>
    <row r="3" spans="1:31" ht="13.15" customHeight="1" x14ac:dyDescent="0.2">
      <c r="A3" s="136"/>
      <c r="B3" s="137"/>
      <c r="C3" s="137"/>
      <c r="D3" s="137"/>
      <c r="E3" s="137"/>
      <c r="F3" s="137"/>
      <c r="G3" s="137"/>
      <c r="H3" s="137"/>
      <c r="I3" s="137"/>
      <c r="J3" s="137"/>
      <c r="K3" s="137"/>
      <c r="L3" s="137"/>
      <c r="M3" s="430"/>
      <c r="U3" s="77"/>
      <c r="V3" s="365"/>
      <c r="W3" s="365"/>
      <c r="X3" s="365"/>
      <c r="Y3" s="365"/>
      <c r="Z3" s="365"/>
      <c r="AA3" s="365"/>
      <c r="AB3" s="365"/>
      <c r="AC3" s="365"/>
      <c r="AD3" s="365"/>
      <c r="AE3" s="139"/>
    </row>
    <row r="4" spans="1:31" ht="13.15" customHeight="1" x14ac:dyDescent="0.2">
      <c r="A4" s="121" t="str">
        <f>"Name of License:  "&amp;sbicname</f>
        <v xml:space="preserve">Name of License:  </v>
      </c>
      <c r="B4" s="122">
        <f>sbicname</f>
        <v>0</v>
      </c>
      <c r="C4" s="122"/>
      <c r="D4" s="248"/>
      <c r="E4" s="248"/>
      <c r="F4" s="140"/>
      <c r="G4" s="140"/>
      <c r="H4" s="140"/>
      <c r="I4" s="140"/>
      <c r="J4" s="140"/>
      <c r="K4" s="140"/>
      <c r="L4" s="140"/>
      <c r="M4" s="123" t="str">
        <f>"License no.:  "&amp;TEXT(licenseno,"00\/00\-0000")</f>
        <v>License no.:  00/00-0000</v>
      </c>
      <c r="N4" s="480"/>
      <c r="O4" s="480"/>
      <c r="P4" s="480"/>
      <c r="Q4" s="480"/>
      <c r="R4" s="480"/>
      <c r="S4" s="645"/>
      <c r="T4" s="480"/>
      <c r="U4" s="140"/>
      <c r="V4" s="140"/>
      <c r="W4" s="140"/>
      <c r="X4" s="140"/>
      <c r="Y4" s="140"/>
      <c r="Z4" s="140"/>
      <c r="AA4" s="140"/>
      <c r="AB4" s="140"/>
      <c r="AC4" s="140"/>
      <c r="AD4" s="140"/>
      <c r="AE4" s="123" t="str">
        <f>"License no.:  "&amp;TEXT(licenseno,"00\/00\-0000")</f>
        <v>License no.:  00/00-0000</v>
      </c>
    </row>
    <row r="5" spans="1:31" ht="3" customHeight="1" x14ac:dyDescent="0.2">
      <c r="A5" s="73"/>
      <c r="B5" s="75"/>
      <c r="C5" s="75"/>
      <c r="D5" s="75"/>
      <c r="E5" s="75"/>
      <c r="F5" s="74"/>
      <c r="G5" s="74"/>
      <c r="H5" s="74"/>
      <c r="I5" s="74"/>
      <c r="J5" s="74"/>
      <c r="K5" s="74"/>
      <c r="L5" s="461"/>
      <c r="M5" s="74"/>
      <c r="N5" s="74"/>
      <c r="O5" s="74"/>
      <c r="P5" s="74"/>
      <c r="Q5" s="74"/>
      <c r="R5" s="74"/>
      <c r="S5" s="646"/>
      <c r="T5" s="74"/>
      <c r="U5" s="424"/>
      <c r="V5" s="303"/>
      <c r="W5" s="303"/>
      <c r="X5" s="303"/>
      <c r="Y5" s="303"/>
      <c r="Z5" s="303"/>
      <c r="AA5" s="303"/>
      <c r="AB5" s="303"/>
      <c r="AC5" s="303"/>
      <c r="AD5" s="303"/>
      <c r="AE5" s="409"/>
    </row>
    <row r="6" spans="1:31" outlineLevel="1" x14ac:dyDescent="0.2">
      <c r="A6" s="328" t="s">
        <v>2210</v>
      </c>
      <c r="B6" s="175"/>
      <c r="C6" s="175"/>
      <c r="D6" s="175"/>
      <c r="E6" s="175"/>
      <c r="F6" s="175"/>
      <c r="G6" s="175"/>
      <c r="H6" s="175"/>
      <c r="I6" s="175"/>
      <c r="J6" s="175"/>
      <c r="K6" s="175"/>
      <c r="L6" s="175"/>
      <c r="M6" s="175"/>
      <c r="N6" s="175"/>
      <c r="O6" s="175"/>
      <c r="P6" s="175"/>
      <c r="Q6" s="175"/>
      <c r="R6" s="175"/>
      <c r="S6" s="647"/>
      <c r="T6" s="175"/>
      <c r="U6" s="175"/>
      <c r="V6" s="175"/>
      <c r="W6" s="175"/>
      <c r="X6" s="175"/>
      <c r="Y6" s="175"/>
      <c r="Z6" s="175"/>
      <c r="AA6" s="175"/>
      <c r="AB6" s="175"/>
      <c r="AC6" s="175"/>
      <c r="AD6" s="175"/>
      <c r="AE6" s="418"/>
    </row>
    <row r="7" spans="1:31" ht="13.15" customHeight="1" outlineLevel="1" x14ac:dyDescent="0.2">
      <c r="A7" s="328" t="s">
        <v>2211</v>
      </c>
      <c r="B7" s="175"/>
      <c r="C7" s="175"/>
      <c r="D7" s="175"/>
      <c r="E7" s="175"/>
      <c r="F7" s="175"/>
      <c r="G7" s="175"/>
      <c r="H7" s="175"/>
      <c r="I7" s="175"/>
      <c r="J7" s="175"/>
      <c r="K7" s="175"/>
      <c r="L7" s="175"/>
      <c r="M7" s="175"/>
      <c r="N7" s="175"/>
      <c r="O7" s="175"/>
      <c r="P7" s="175"/>
      <c r="Q7" s="175"/>
      <c r="R7" s="175"/>
      <c r="S7" s="647"/>
      <c r="T7" s="175"/>
      <c r="U7" s="175"/>
      <c r="V7" s="175"/>
      <c r="W7" s="175"/>
      <c r="X7" s="175"/>
      <c r="Y7" s="175"/>
      <c r="Z7" s="175"/>
      <c r="AA7" s="175"/>
      <c r="AB7" s="175"/>
      <c r="AC7" s="175"/>
      <c r="AD7" s="175"/>
      <c r="AE7" s="418"/>
    </row>
    <row r="8" spans="1:31" ht="5.5" customHeight="1" outlineLevel="1" x14ac:dyDescent="0.2">
      <c r="A8" s="462"/>
      <c r="B8" s="417"/>
      <c r="C8" s="417"/>
      <c r="D8" s="463"/>
      <c r="E8" s="463"/>
      <c r="F8" s="417"/>
      <c r="G8" s="417"/>
      <c r="H8" s="417"/>
      <c r="I8" s="417"/>
      <c r="J8" s="417"/>
      <c r="K8" s="417"/>
      <c r="L8" s="417"/>
      <c r="M8" s="417"/>
      <c r="N8" s="417"/>
      <c r="O8" s="417"/>
      <c r="P8" s="417"/>
      <c r="Q8" s="417"/>
      <c r="R8" s="417"/>
      <c r="S8" s="648"/>
      <c r="T8" s="417"/>
      <c r="U8" s="417"/>
      <c r="V8" s="417"/>
      <c r="W8" s="417"/>
      <c r="X8" s="417"/>
      <c r="Y8" s="417"/>
      <c r="Z8" s="417"/>
      <c r="AA8" s="417"/>
      <c r="AB8" s="417"/>
      <c r="AC8" s="417"/>
      <c r="AD8" s="417"/>
      <c r="AE8" s="418"/>
    </row>
    <row r="9" spans="1:31" s="352" customFormat="1" ht="12" customHeight="1" outlineLevel="1" x14ac:dyDescent="0.35">
      <c r="A9" s="464" t="s">
        <v>2212</v>
      </c>
      <c r="B9" s="306"/>
      <c r="C9" s="306"/>
      <c r="D9" s="306"/>
      <c r="E9" s="306"/>
      <c r="F9" s="445"/>
      <c r="G9" s="445"/>
      <c r="H9" s="445"/>
      <c r="I9" s="445"/>
      <c r="J9" s="445"/>
      <c r="K9" s="445"/>
      <c r="S9" s="649"/>
      <c r="U9" s="385"/>
      <c r="V9" s="385"/>
      <c r="W9" s="385"/>
      <c r="X9" s="385"/>
      <c r="Y9" s="385"/>
      <c r="Z9" s="385"/>
      <c r="AA9" s="385"/>
      <c r="AB9" s="385"/>
      <c r="AC9" s="385"/>
      <c r="AD9" s="385"/>
      <c r="AE9" s="465"/>
    </row>
    <row r="10" spans="1:31" s="352" customFormat="1" ht="12" customHeight="1" outlineLevel="1" x14ac:dyDescent="0.35">
      <c r="A10" s="464" t="s">
        <v>2213</v>
      </c>
      <c r="B10" s="306"/>
      <c r="C10" s="306"/>
      <c r="D10" s="306"/>
      <c r="E10" s="306"/>
      <c r="S10" s="649"/>
      <c r="U10" s="385"/>
      <c r="V10" s="385"/>
      <c r="W10" s="385"/>
      <c r="X10" s="385"/>
      <c r="Y10" s="385"/>
      <c r="Z10" s="385"/>
      <c r="AA10" s="385"/>
      <c r="AB10" s="385"/>
      <c r="AC10" s="385"/>
      <c r="AD10" s="385"/>
      <c r="AE10" s="465"/>
    </row>
    <row r="11" spans="1:31" s="352" customFormat="1" ht="40" outlineLevel="1" x14ac:dyDescent="0.35">
      <c r="A11" s="375"/>
      <c r="B11" s="306"/>
      <c r="C11" s="306"/>
      <c r="D11" s="319" t="s">
        <v>2214</v>
      </c>
      <c r="E11" s="319" t="s">
        <v>2215</v>
      </c>
      <c r="F11" s="319" t="s">
        <v>2216</v>
      </c>
      <c r="G11" s="319" t="s">
        <v>2217</v>
      </c>
      <c r="H11" s="319" t="s">
        <v>2218</v>
      </c>
      <c r="I11" s="319" t="s">
        <v>1941</v>
      </c>
      <c r="J11" s="319" t="s">
        <v>2054</v>
      </c>
      <c r="K11" s="319" t="s">
        <v>2055</v>
      </c>
      <c r="L11" s="470" t="s">
        <v>2219</v>
      </c>
      <c r="M11" s="470" t="s">
        <v>2220</v>
      </c>
      <c r="N11" s="639"/>
      <c r="O11" s="639"/>
      <c r="P11" s="639"/>
      <c r="Q11" s="639"/>
      <c r="R11" s="639"/>
      <c r="S11" s="650"/>
      <c r="T11" s="639"/>
      <c r="U11" s="306"/>
      <c r="V11" s="306"/>
      <c r="W11" s="306"/>
      <c r="X11" s="306"/>
      <c r="Y11" s="306"/>
      <c r="Z11" s="306"/>
      <c r="AA11" s="306"/>
      <c r="AB11" s="306"/>
      <c r="AC11" s="306"/>
      <c r="AD11" s="306"/>
      <c r="AE11" s="446"/>
    </row>
    <row r="12" spans="1:31" s="352" customFormat="1" x14ac:dyDescent="0.35">
      <c r="A12" s="466"/>
      <c r="C12" s="306" t="s">
        <v>2026</v>
      </c>
      <c r="D12" s="447">
        <f>COUNTA(s11cumperf[Portfolio Company Name])</f>
        <v>0</v>
      </c>
      <c r="E12" s="447">
        <f>SUM(s11cumperf[Number of Investments Since Inception])</f>
        <v>0</v>
      </c>
      <c r="F12" s="448">
        <f>SUM(s11cumperf[Total Dollars Invested])</f>
        <v>0</v>
      </c>
      <c r="G12" s="448">
        <f>SUM(s11cumperf[Gross Receipts Cash])</f>
        <v>0</v>
      </c>
      <c r="H12" s="448">
        <f>SUM(s11cumperf[Gross Receipts Equity])</f>
        <v>0</v>
      </c>
      <c r="I12" s="448">
        <f>SUM(s11cumperf[Total Receipts])</f>
        <v>0</v>
      </c>
      <c r="J12" s="448">
        <f>SUM(s11cumperf[SBA Reported Value])</f>
        <v>0</v>
      </c>
      <c r="K12" s="448">
        <f>SUM(s11cumperf[GAAP Reported Value])</f>
        <v>0</v>
      </c>
      <c r="L12" s="477">
        <f>IFERROR(I12/F12,0)</f>
        <v>0</v>
      </c>
      <c r="M12" s="477">
        <f>IFERROR((I12+K12)/F12,0)</f>
        <v>0</v>
      </c>
      <c r="N12" s="640"/>
      <c r="O12" s="640"/>
      <c r="P12" s="640"/>
      <c r="Q12" s="640"/>
      <c r="R12" s="640"/>
      <c r="S12" s="651"/>
      <c r="T12" s="640"/>
      <c r="V12" s="459" t="s">
        <v>3484</v>
      </c>
      <c r="AE12" s="446"/>
    </row>
    <row r="13" spans="1:31" s="352" customFormat="1" ht="12" customHeight="1" outlineLevel="1" x14ac:dyDescent="0.35">
      <c r="A13" s="375"/>
      <c r="S13" s="649"/>
      <c r="U13" s="306"/>
      <c r="V13" s="627" t="s">
        <v>3480</v>
      </c>
      <c r="W13" s="306"/>
      <c r="X13" s="306"/>
      <c r="Y13" s="306"/>
      <c r="Z13" s="306"/>
      <c r="AA13" s="306"/>
      <c r="AB13" s="306"/>
      <c r="AC13" s="306"/>
      <c r="AD13" s="306"/>
      <c r="AE13" s="446"/>
    </row>
    <row r="14" spans="1:31" s="306" customFormat="1" ht="12" customHeight="1" outlineLevel="1" x14ac:dyDescent="0.35">
      <c r="A14" s="467" t="s">
        <v>159</v>
      </c>
      <c r="B14" s="467" t="s">
        <v>2044</v>
      </c>
      <c r="C14" s="467" t="s">
        <v>154</v>
      </c>
      <c r="D14" s="467" t="s">
        <v>2045</v>
      </c>
      <c r="E14" s="467" t="s">
        <v>2046</v>
      </c>
      <c r="F14" s="467" t="s">
        <v>199</v>
      </c>
      <c r="G14" s="467" t="s">
        <v>2047</v>
      </c>
      <c r="H14" s="467" t="s">
        <v>2048</v>
      </c>
      <c r="I14" s="467" t="s">
        <v>2073</v>
      </c>
      <c r="J14" s="467" t="s">
        <v>2090</v>
      </c>
      <c r="K14" s="467" t="s">
        <v>2091</v>
      </c>
      <c r="L14" s="467" t="s">
        <v>2092</v>
      </c>
      <c r="M14" s="467" t="s">
        <v>166</v>
      </c>
      <c r="N14" s="467"/>
      <c r="O14" s="467"/>
      <c r="P14" s="467"/>
      <c r="Q14" s="467"/>
      <c r="R14" s="467"/>
      <c r="S14" s="652"/>
      <c r="T14" s="467"/>
      <c r="U14" s="467" t="s">
        <v>196</v>
      </c>
      <c r="V14" s="305" t="s">
        <v>2221</v>
      </c>
      <c r="W14" s="467" t="s">
        <v>153</v>
      </c>
      <c r="X14" s="467" t="s">
        <v>191</v>
      </c>
      <c r="Y14" s="467" t="s">
        <v>2222</v>
      </c>
      <c r="Z14" s="467" t="s">
        <v>2223</v>
      </c>
      <c r="AA14" s="467" t="s">
        <v>2224</v>
      </c>
      <c r="AB14" s="467" t="s">
        <v>2225</v>
      </c>
      <c r="AC14" s="467" t="s">
        <v>2226</v>
      </c>
      <c r="AD14" s="467" t="s">
        <v>2227</v>
      </c>
      <c r="AE14" s="468" t="s">
        <v>198</v>
      </c>
    </row>
    <row r="15" spans="1:31" s="352" customFormat="1" ht="12" customHeight="1" x14ac:dyDescent="0.35">
      <c r="A15" s="449"/>
      <c r="B15" s="380"/>
      <c r="C15" s="380"/>
      <c r="D15" s="380"/>
      <c r="E15" s="380"/>
      <c r="F15" s="380"/>
      <c r="G15" s="380"/>
      <c r="H15" s="380"/>
      <c r="I15" s="380"/>
      <c r="J15" s="380"/>
      <c r="K15" s="380"/>
      <c r="L15" s="380"/>
      <c r="M15" s="380"/>
      <c r="N15" s="380"/>
      <c r="O15" s="380"/>
      <c r="P15" s="380"/>
      <c r="Q15" s="380"/>
      <c r="R15" s="380"/>
      <c r="S15" s="653"/>
      <c r="T15" s="380"/>
      <c r="U15" s="381"/>
      <c r="V15" s="800" t="s">
        <v>3482</v>
      </c>
      <c r="W15" s="800"/>
      <c r="X15" s="800"/>
      <c r="Y15" s="800"/>
      <c r="Z15" s="800"/>
      <c r="AA15" s="800"/>
      <c r="AB15" s="800"/>
      <c r="AC15" s="800"/>
      <c r="AD15" s="800"/>
      <c r="AE15" s="801"/>
    </row>
    <row r="16" spans="1:31" ht="14.5" customHeight="1" x14ac:dyDescent="0.2">
      <c r="A16" s="450"/>
      <c r="B16" s="304"/>
      <c r="C16" s="304"/>
      <c r="D16" s="304"/>
      <c r="E16" s="304"/>
      <c r="F16" s="450"/>
      <c r="G16" s="763" t="s">
        <v>2228</v>
      </c>
      <c r="H16" s="764"/>
      <c r="I16" s="765"/>
      <c r="J16" s="628" t="s">
        <v>2229</v>
      </c>
      <c r="K16" s="382"/>
      <c r="L16" s="382"/>
      <c r="M16" s="382"/>
      <c r="N16" s="802" t="s">
        <v>3481</v>
      </c>
      <c r="O16" s="803"/>
      <c r="P16" s="803"/>
      <c r="Q16" s="803"/>
      <c r="R16" s="803"/>
      <c r="S16" s="803"/>
      <c r="T16" s="804"/>
      <c r="U16" s="802" t="s">
        <v>3485</v>
      </c>
      <c r="V16" s="803"/>
      <c r="W16" s="803"/>
      <c r="X16" s="803"/>
      <c r="Y16" s="804"/>
      <c r="Z16" s="805" t="s">
        <v>2230</v>
      </c>
      <c r="AA16" s="805"/>
      <c r="AB16" s="805"/>
      <c r="AC16" s="805"/>
      <c r="AD16" s="805"/>
      <c r="AE16" s="806"/>
    </row>
    <row r="17" spans="1:38" s="278" customFormat="1" ht="50" x14ac:dyDescent="0.35">
      <c r="A17" s="253" t="s">
        <v>2029</v>
      </c>
      <c r="B17" s="321" t="s">
        <v>2030</v>
      </c>
      <c r="C17" s="321" t="s">
        <v>149</v>
      </c>
      <c r="D17" s="307" t="s">
        <v>2231</v>
      </c>
      <c r="E17" s="321" t="s">
        <v>2215</v>
      </c>
      <c r="F17" s="321" t="s">
        <v>2216</v>
      </c>
      <c r="G17" s="321" t="s">
        <v>2217</v>
      </c>
      <c r="H17" s="321" t="s">
        <v>2218</v>
      </c>
      <c r="I17" s="321" t="s">
        <v>2232</v>
      </c>
      <c r="J17" s="321" t="s">
        <v>2054</v>
      </c>
      <c r="K17" s="321" t="s">
        <v>2055</v>
      </c>
      <c r="L17" s="321" t="s">
        <v>2219</v>
      </c>
      <c r="M17" s="321" t="s">
        <v>2220</v>
      </c>
      <c r="N17" s="321" t="s">
        <v>3487</v>
      </c>
      <c r="O17" s="321" t="s">
        <v>3488</v>
      </c>
      <c r="P17" s="321" t="s">
        <v>3489</v>
      </c>
      <c r="Q17" s="321" t="s">
        <v>3491</v>
      </c>
      <c r="R17" s="321" t="s">
        <v>3490</v>
      </c>
      <c r="S17" s="654" t="s">
        <v>3479</v>
      </c>
      <c r="T17" s="321" t="s">
        <v>3478</v>
      </c>
      <c r="U17" s="321" t="s">
        <v>3486</v>
      </c>
      <c r="V17" s="321" t="s">
        <v>3483</v>
      </c>
      <c r="W17" s="321" t="s">
        <v>2233</v>
      </c>
      <c r="X17" s="321" t="s">
        <v>2234</v>
      </c>
      <c r="Y17" s="321" t="s">
        <v>2235</v>
      </c>
      <c r="Z17" s="321" t="s">
        <v>2236</v>
      </c>
      <c r="AA17" s="321" t="s">
        <v>2237</v>
      </c>
      <c r="AB17" s="321" t="s">
        <v>2238</v>
      </c>
      <c r="AC17" s="321" t="s">
        <v>2239</v>
      </c>
      <c r="AD17" s="321" t="s">
        <v>2240</v>
      </c>
      <c r="AL17" s="451" t="s">
        <v>200</v>
      </c>
    </row>
    <row r="18" spans="1:38" s="352" customFormat="1" ht="10.5" customHeight="1" x14ac:dyDescent="0.35">
      <c r="A18" s="469"/>
      <c r="B18" s="452"/>
      <c r="C18" s="453"/>
      <c r="D18" s="454"/>
      <c r="E18" s="455"/>
      <c r="F18" s="456"/>
      <c r="G18" s="456"/>
      <c r="H18" s="456"/>
      <c r="I18" s="457">
        <f>s11cumperf[[#This Row],[Gross Receipts Cash]]+s11cumperf[[#This Row],[Gross Receipts Equity]]</f>
        <v>0</v>
      </c>
      <c r="J18" s="457">
        <f>SUMIF(s1inv[Employer ID],s11cumperf[[#This Row],[Employer ID]],s1inv[SBA Reported Value (B)])</f>
        <v>0</v>
      </c>
      <c r="K18" s="457">
        <f>SUMIF(s1inv[Employer ID],s11cumperf[[#This Row],[Employer ID]],s1inv[GAAP Reported Value (C)])</f>
        <v>0</v>
      </c>
      <c r="L18" s="476" t="str">
        <f>IFERROR(s11cumperf[[#This Row],[Total Receipts]]/s11cumperf[[#This Row],[Total Dollars Invested]],"")</f>
        <v/>
      </c>
      <c r="M18" s="476" t="str">
        <f>IFERROR((s11cumperf[[#This Row],[Total Receipts]]+s11cumperf[[#This Row],[SBA Reported Value]])/s11cumperf[[#This Row],[Total Dollars Invested]],"")</f>
        <v/>
      </c>
      <c r="N18" s="642"/>
      <c r="O18" s="642"/>
      <c r="P18" s="642"/>
      <c r="Q18" s="642"/>
      <c r="R18" s="642"/>
      <c r="S18" s="655"/>
      <c r="T18" s="641"/>
      <c r="U18" s="458"/>
      <c r="V18" s="458"/>
      <c r="W18" s="458"/>
      <c r="X18" s="458"/>
      <c r="Y18" s="456"/>
      <c r="Z18" s="458"/>
      <c r="AA18" s="458"/>
      <c r="AB18" s="458"/>
      <c r="AC18" s="458"/>
      <c r="AD18" s="456"/>
      <c r="AK18" s="352" t="s">
        <v>164</v>
      </c>
      <c r="AL18" s="459" t="s">
        <v>198</v>
      </c>
    </row>
    <row r="19" spans="1:38" s="352" customFormat="1" ht="10.5" customHeight="1" x14ac:dyDescent="0.35">
      <c r="A19" s="469"/>
      <c r="B19" s="452"/>
      <c r="C19" s="453"/>
      <c r="D19" s="454"/>
      <c r="E19" s="455"/>
      <c r="F19" s="456"/>
      <c r="G19" s="456"/>
      <c r="H19" s="456"/>
      <c r="I19" s="457">
        <f>s11cumperf[[#This Row],[Gross Receipts Cash]]+s11cumperf[[#This Row],[Gross Receipts Equity]]</f>
        <v>0</v>
      </c>
      <c r="J19" s="457">
        <f>SUMIF(s1inv[Employer ID],s11cumperf[[#This Row],[Employer ID]],s1inv[SBA Reported Value (B)])</f>
        <v>0</v>
      </c>
      <c r="K19" s="457">
        <f>SUMIF(s1inv[Employer ID],s11cumperf[[#This Row],[Employer ID]],s1inv[GAAP Reported Value (C)])</f>
        <v>0</v>
      </c>
      <c r="L19" s="476" t="str">
        <f>IFERROR(s11cumperf[[#This Row],[Total Receipts]]/s11cumperf[[#This Row],[Total Dollars Invested]],"")</f>
        <v/>
      </c>
      <c r="M19" s="476" t="str">
        <f>IFERROR((s11cumperf[[#This Row],[Total Receipts]]+s11cumperf[[#This Row],[SBA Reported Value]])/s11cumperf[[#This Row],[Total Dollars Invested]],"")</f>
        <v/>
      </c>
      <c r="N19" s="642"/>
      <c r="O19" s="642"/>
      <c r="P19" s="642"/>
      <c r="Q19" s="642"/>
      <c r="R19" s="642"/>
      <c r="S19" s="655"/>
      <c r="T19" s="641"/>
      <c r="U19" s="458"/>
      <c r="V19" s="458"/>
      <c r="W19" s="458"/>
      <c r="X19" s="458"/>
      <c r="Y19" s="456"/>
      <c r="Z19" s="458"/>
      <c r="AA19" s="458"/>
      <c r="AB19" s="458"/>
      <c r="AC19" s="458"/>
      <c r="AD19" s="456"/>
      <c r="AK19" s="352" t="s">
        <v>196</v>
      </c>
      <c r="AL19" s="459" t="s">
        <v>226</v>
      </c>
    </row>
    <row r="20" spans="1:38" s="352" customFormat="1" ht="10.5" customHeight="1" x14ac:dyDescent="0.35">
      <c r="A20" s="469"/>
      <c r="B20" s="452"/>
      <c r="C20" s="453"/>
      <c r="D20" s="454"/>
      <c r="E20" s="455"/>
      <c r="F20" s="456"/>
      <c r="G20" s="456"/>
      <c r="H20" s="456"/>
      <c r="I20" s="457">
        <f>s11cumperf[[#This Row],[Gross Receipts Cash]]+s11cumperf[[#This Row],[Gross Receipts Equity]]</f>
        <v>0</v>
      </c>
      <c r="J20" s="457">
        <f>SUMIF(s1inv[Employer ID],s11cumperf[[#This Row],[Employer ID]],s1inv[SBA Reported Value (B)])</f>
        <v>0</v>
      </c>
      <c r="K20" s="457">
        <f>SUMIF(s1inv[Employer ID],s11cumperf[[#This Row],[Employer ID]],s1inv[GAAP Reported Value (C)])</f>
        <v>0</v>
      </c>
      <c r="L20" s="476" t="str">
        <f>IFERROR(s11cumperf[[#This Row],[Total Receipts]]/s11cumperf[[#This Row],[Total Dollars Invested]],"")</f>
        <v/>
      </c>
      <c r="M20" s="476" t="str">
        <f>IFERROR((s11cumperf[[#This Row],[Total Receipts]]+s11cumperf[[#This Row],[SBA Reported Value]])/s11cumperf[[#This Row],[Total Dollars Invested]],"")</f>
        <v/>
      </c>
      <c r="N20" s="642"/>
      <c r="O20" s="642"/>
      <c r="P20" s="642"/>
      <c r="Q20" s="642"/>
      <c r="R20" s="642"/>
      <c r="S20" s="655"/>
      <c r="T20" s="641"/>
      <c r="U20" s="458"/>
      <c r="V20" s="458"/>
      <c r="W20" s="458"/>
      <c r="X20" s="458"/>
      <c r="Y20" s="456"/>
      <c r="Z20" s="458"/>
      <c r="AA20" s="458"/>
      <c r="AB20" s="458"/>
      <c r="AC20" s="458"/>
      <c r="AD20" s="456"/>
      <c r="AK20" s="352" t="s">
        <v>226</v>
      </c>
      <c r="AL20" s="459"/>
    </row>
    <row r="21" spans="1:38" s="352" customFormat="1" ht="10.5" customHeight="1" x14ac:dyDescent="0.35">
      <c r="A21" s="469"/>
      <c r="B21" s="452"/>
      <c r="C21" s="453"/>
      <c r="D21" s="454"/>
      <c r="E21" s="455"/>
      <c r="F21" s="456"/>
      <c r="G21" s="456"/>
      <c r="H21" s="456"/>
      <c r="I21" s="457">
        <f>s11cumperf[[#This Row],[Gross Receipts Cash]]+s11cumperf[[#This Row],[Gross Receipts Equity]]</f>
        <v>0</v>
      </c>
      <c r="J21" s="457">
        <f>SUMIF(s1inv[Employer ID],s11cumperf[[#This Row],[Employer ID]],s1inv[SBA Reported Value (B)])</f>
        <v>0</v>
      </c>
      <c r="K21" s="457">
        <f>SUMIF(s1inv[Employer ID],s11cumperf[[#This Row],[Employer ID]],s1inv[GAAP Reported Value (C)])</f>
        <v>0</v>
      </c>
      <c r="L21" s="476" t="str">
        <f>IFERROR(s11cumperf[[#This Row],[Total Receipts]]/s11cumperf[[#This Row],[Total Dollars Invested]],"")</f>
        <v/>
      </c>
      <c r="M21" s="476" t="str">
        <f>IFERROR((s11cumperf[[#This Row],[Total Receipts]]+s11cumperf[[#This Row],[SBA Reported Value]])/s11cumperf[[#This Row],[Total Dollars Invested]],"")</f>
        <v/>
      </c>
      <c r="N21" s="642"/>
      <c r="O21" s="642"/>
      <c r="P21" s="642"/>
      <c r="Q21" s="642"/>
      <c r="R21" s="642"/>
      <c r="S21" s="655"/>
      <c r="T21" s="641"/>
      <c r="U21" s="458"/>
      <c r="V21" s="458"/>
      <c r="W21" s="458"/>
      <c r="X21" s="458"/>
      <c r="Y21" s="456"/>
      <c r="Z21" s="458"/>
      <c r="AA21" s="458"/>
      <c r="AB21" s="458"/>
      <c r="AC21" s="458"/>
      <c r="AD21" s="456"/>
      <c r="AL21" s="459"/>
    </row>
    <row r="22" spans="1:38" s="352" customFormat="1" ht="10.5" customHeight="1" x14ac:dyDescent="0.35">
      <c r="A22" s="469"/>
      <c r="B22" s="452"/>
      <c r="C22" s="453"/>
      <c r="D22" s="454"/>
      <c r="E22" s="455"/>
      <c r="F22" s="456"/>
      <c r="G22" s="456"/>
      <c r="H22" s="456"/>
      <c r="I22" s="457">
        <f>s11cumperf[[#This Row],[Gross Receipts Cash]]+s11cumperf[[#This Row],[Gross Receipts Equity]]</f>
        <v>0</v>
      </c>
      <c r="J22" s="457">
        <f>SUMIF(s1inv[Employer ID],s11cumperf[[#This Row],[Employer ID]],s1inv[SBA Reported Value (B)])</f>
        <v>0</v>
      </c>
      <c r="K22" s="457">
        <f>SUMIF(s1inv[Employer ID],s11cumperf[[#This Row],[Employer ID]],s1inv[GAAP Reported Value (C)])</f>
        <v>0</v>
      </c>
      <c r="L22" s="476" t="str">
        <f>IFERROR(s11cumperf[[#This Row],[Total Receipts]]/s11cumperf[[#This Row],[Total Dollars Invested]],"")</f>
        <v/>
      </c>
      <c r="M22" s="476" t="str">
        <f>IFERROR((s11cumperf[[#This Row],[Total Receipts]]+s11cumperf[[#This Row],[SBA Reported Value]])/s11cumperf[[#This Row],[Total Dollars Invested]],"")</f>
        <v/>
      </c>
      <c r="N22" s="642"/>
      <c r="O22" s="642"/>
      <c r="P22" s="642"/>
      <c r="Q22" s="642"/>
      <c r="R22" s="642"/>
      <c r="S22" s="655"/>
      <c r="T22" s="641"/>
      <c r="U22" s="458"/>
      <c r="V22" s="458"/>
      <c r="W22" s="458"/>
      <c r="X22" s="458"/>
      <c r="Y22" s="456"/>
      <c r="Z22" s="458"/>
      <c r="AA22" s="458"/>
      <c r="AB22" s="458"/>
      <c r="AC22" s="458"/>
      <c r="AD22" s="456"/>
      <c r="AL22" s="459"/>
    </row>
    <row r="23" spans="1:38" s="352" customFormat="1" ht="10.5" customHeight="1" x14ac:dyDescent="0.35">
      <c r="A23" s="469"/>
      <c r="B23" s="452"/>
      <c r="C23" s="453"/>
      <c r="D23" s="454"/>
      <c r="E23" s="455"/>
      <c r="F23" s="456"/>
      <c r="G23" s="456"/>
      <c r="H23" s="456"/>
      <c r="I23" s="457">
        <f>s11cumperf[[#This Row],[Gross Receipts Cash]]+s11cumperf[[#This Row],[Gross Receipts Equity]]</f>
        <v>0</v>
      </c>
      <c r="J23" s="457">
        <f>SUMIF(s1inv[Employer ID],s11cumperf[[#This Row],[Employer ID]],s1inv[SBA Reported Value (B)])</f>
        <v>0</v>
      </c>
      <c r="K23" s="457">
        <f>SUMIF(s1inv[Employer ID],s11cumperf[[#This Row],[Employer ID]],s1inv[GAAP Reported Value (C)])</f>
        <v>0</v>
      </c>
      <c r="L23" s="476" t="str">
        <f>IFERROR(s11cumperf[[#This Row],[Total Receipts]]/s11cumperf[[#This Row],[Total Dollars Invested]],"")</f>
        <v/>
      </c>
      <c r="M23" s="476" t="str">
        <f>IFERROR((s11cumperf[[#This Row],[Total Receipts]]+s11cumperf[[#This Row],[SBA Reported Value]])/s11cumperf[[#This Row],[Total Dollars Invested]],"")</f>
        <v/>
      </c>
      <c r="N23" s="642"/>
      <c r="O23" s="642"/>
      <c r="P23" s="642"/>
      <c r="Q23" s="642"/>
      <c r="R23" s="642"/>
      <c r="S23" s="655"/>
      <c r="T23" s="641"/>
      <c r="U23" s="458"/>
      <c r="V23" s="458"/>
      <c r="W23" s="458"/>
      <c r="X23" s="458"/>
      <c r="Y23" s="456"/>
      <c r="Z23" s="458"/>
      <c r="AA23" s="458"/>
      <c r="AB23" s="458"/>
      <c r="AC23" s="458"/>
      <c r="AD23" s="456"/>
      <c r="AL23" s="459"/>
    </row>
    <row r="24" spans="1:38" s="352" customFormat="1" ht="10.5" customHeight="1" x14ac:dyDescent="0.35">
      <c r="A24" s="469"/>
      <c r="B24" s="452"/>
      <c r="C24" s="453"/>
      <c r="D24" s="454"/>
      <c r="E24" s="455"/>
      <c r="F24" s="456"/>
      <c r="G24" s="456"/>
      <c r="H24" s="456"/>
      <c r="I24" s="457">
        <f>s11cumperf[[#This Row],[Gross Receipts Cash]]+s11cumperf[[#This Row],[Gross Receipts Equity]]</f>
        <v>0</v>
      </c>
      <c r="J24" s="457">
        <f>SUMIF(s1inv[Employer ID],s11cumperf[[#This Row],[Employer ID]],s1inv[SBA Reported Value (B)])</f>
        <v>0</v>
      </c>
      <c r="K24" s="457">
        <f>SUMIF(s1inv[Employer ID],s11cumperf[[#This Row],[Employer ID]],s1inv[GAAP Reported Value (C)])</f>
        <v>0</v>
      </c>
      <c r="L24" s="476" t="str">
        <f>IFERROR(s11cumperf[[#This Row],[Total Receipts]]/s11cumperf[[#This Row],[Total Dollars Invested]],"")</f>
        <v/>
      </c>
      <c r="M24" s="476" t="str">
        <f>IFERROR((s11cumperf[[#This Row],[Total Receipts]]+s11cumperf[[#This Row],[SBA Reported Value]])/s11cumperf[[#This Row],[Total Dollars Invested]],"")</f>
        <v/>
      </c>
      <c r="N24" s="642"/>
      <c r="O24" s="642"/>
      <c r="P24" s="642"/>
      <c r="Q24" s="642"/>
      <c r="R24" s="642"/>
      <c r="S24" s="655"/>
      <c r="T24" s="641"/>
      <c r="U24" s="458"/>
      <c r="V24" s="458"/>
      <c r="W24" s="458"/>
      <c r="X24" s="458"/>
      <c r="Y24" s="456"/>
      <c r="Z24" s="458"/>
      <c r="AA24" s="458"/>
      <c r="AB24" s="458"/>
      <c r="AC24" s="458"/>
      <c r="AD24" s="456"/>
      <c r="AL24" s="459"/>
    </row>
    <row r="25" spans="1:38" s="352" customFormat="1" ht="10.5" customHeight="1" x14ac:dyDescent="0.35">
      <c r="A25" s="469"/>
      <c r="B25" s="452"/>
      <c r="C25" s="453"/>
      <c r="D25" s="454"/>
      <c r="E25" s="455"/>
      <c r="F25" s="456"/>
      <c r="G25" s="456"/>
      <c r="H25" s="456"/>
      <c r="I25" s="457">
        <f>s11cumperf[[#This Row],[Gross Receipts Cash]]+s11cumperf[[#This Row],[Gross Receipts Equity]]</f>
        <v>0</v>
      </c>
      <c r="J25" s="457">
        <f>SUMIF(s1inv[Employer ID],s11cumperf[[#This Row],[Employer ID]],s1inv[SBA Reported Value (B)])</f>
        <v>0</v>
      </c>
      <c r="K25" s="457">
        <f>SUMIF(s1inv[Employer ID],s11cumperf[[#This Row],[Employer ID]],s1inv[GAAP Reported Value (C)])</f>
        <v>0</v>
      </c>
      <c r="L25" s="476" t="str">
        <f>IFERROR(s11cumperf[[#This Row],[Total Receipts]]/s11cumperf[[#This Row],[Total Dollars Invested]],"")</f>
        <v/>
      </c>
      <c r="M25" s="476" t="str">
        <f>IFERROR((s11cumperf[[#This Row],[Total Receipts]]+s11cumperf[[#This Row],[SBA Reported Value]])/s11cumperf[[#This Row],[Total Dollars Invested]],"")</f>
        <v/>
      </c>
      <c r="N25" s="642"/>
      <c r="O25" s="642"/>
      <c r="P25" s="642"/>
      <c r="Q25" s="642"/>
      <c r="R25" s="642"/>
      <c r="S25" s="655"/>
      <c r="T25" s="641"/>
      <c r="U25" s="458"/>
      <c r="V25" s="458"/>
      <c r="W25" s="458"/>
      <c r="X25" s="458"/>
      <c r="Y25" s="456"/>
      <c r="Z25" s="458"/>
      <c r="AA25" s="458"/>
      <c r="AB25" s="458"/>
      <c r="AC25" s="458"/>
      <c r="AD25" s="456"/>
      <c r="AL25" s="459"/>
    </row>
    <row r="26" spans="1:38" s="352" customFormat="1" ht="10.5" customHeight="1" x14ac:dyDescent="0.35">
      <c r="A26" s="469"/>
      <c r="B26" s="452"/>
      <c r="C26" s="453"/>
      <c r="D26" s="454"/>
      <c r="E26" s="455"/>
      <c r="F26" s="456"/>
      <c r="G26" s="456"/>
      <c r="H26" s="456"/>
      <c r="I26" s="457">
        <f>s11cumperf[[#This Row],[Gross Receipts Cash]]+s11cumperf[[#This Row],[Gross Receipts Equity]]</f>
        <v>0</v>
      </c>
      <c r="J26" s="457">
        <f>SUMIF(s1inv[Employer ID],s11cumperf[[#This Row],[Employer ID]],s1inv[SBA Reported Value (B)])</f>
        <v>0</v>
      </c>
      <c r="K26" s="457">
        <f>SUMIF(s1inv[Employer ID],s11cumperf[[#This Row],[Employer ID]],s1inv[GAAP Reported Value (C)])</f>
        <v>0</v>
      </c>
      <c r="L26" s="476" t="str">
        <f>IFERROR(s11cumperf[[#This Row],[Total Receipts]]/s11cumperf[[#This Row],[Total Dollars Invested]],"")</f>
        <v/>
      </c>
      <c r="M26" s="476" t="str">
        <f>IFERROR((s11cumperf[[#This Row],[Total Receipts]]+s11cumperf[[#This Row],[SBA Reported Value]])/s11cumperf[[#This Row],[Total Dollars Invested]],"")</f>
        <v/>
      </c>
      <c r="N26" s="642"/>
      <c r="O26" s="642"/>
      <c r="P26" s="642"/>
      <c r="Q26" s="642"/>
      <c r="R26" s="642"/>
      <c r="S26" s="655"/>
      <c r="T26" s="641"/>
      <c r="U26" s="458"/>
      <c r="V26" s="458"/>
      <c r="W26" s="458"/>
      <c r="X26" s="458"/>
      <c r="Y26" s="456"/>
      <c r="Z26" s="458"/>
      <c r="AA26" s="458"/>
      <c r="AB26" s="458"/>
      <c r="AC26" s="458"/>
      <c r="AD26" s="456"/>
      <c r="AL26" s="459"/>
    </row>
    <row r="27" spans="1:38" s="352" customFormat="1" ht="10.5" customHeight="1" x14ac:dyDescent="0.35">
      <c r="A27" s="469"/>
      <c r="B27" s="452"/>
      <c r="C27" s="453"/>
      <c r="D27" s="454"/>
      <c r="E27" s="455"/>
      <c r="F27" s="456"/>
      <c r="G27" s="456"/>
      <c r="H27" s="456"/>
      <c r="I27" s="457">
        <f>s11cumperf[[#This Row],[Gross Receipts Cash]]+s11cumperf[[#This Row],[Gross Receipts Equity]]</f>
        <v>0</v>
      </c>
      <c r="J27" s="457">
        <f>SUMIF(s1inv[Employer ID],s11cumperf[[#This Row],[Employer ID]],s1inv[SBA Reported Value (B)])</f>
        <v>0</v>
      </c>
      <c r="K27" s="457">
        <f>SUMIF(s1inv[Employer ID],s11cumperf[[#This Row],[Employer ID]],s1inv[GAAP Reported Value (C)])</f>
        <v>0</v>
      </c>
      <c r="L27" s="476" t="str">
        <f>IFERROR(s11cumperf[[#This Row],[Total Receipts]]/s11cumperf[[#This Row],[Total Dollars Invested]],"")</f>
        <v/>
      </c>
      <c r="M27" s="476" t="str">
        <f>IFERROR((s11cumperf[[#This Row],[Total Receipts]]+s11cumperf[[#This Row],[SBA Reported Value]])/s11cumperf[[#This Row],[Total Dollars Invested]],"")</f>
        <v/>
      </c>
      <c r="N27" s="642"/>
      <c r="O27" s="642"/>
      <c r="P27" s="642"/>
      <c r="Q27" s="642"/>
      <c r="R27" s="642"/>
      <c r="S27" s="655"/>
      <c r="T27" s="641"/>
      <c r="U27" s="458"/>
      <c r="V27" s="458"/>
      <c r="W27" s="458"/>
      <c r="X27" s="458"/>
      <c r="Y27" s="456"/>
      <c r="Z27" s="458"/>
      <c r="AA27" s="458"/>
      <c r="AB27" s="458"/>
      <c r="AC27" s="458"/>
      <c r="AD27" s="456"/>
      <c r="AL27" s="459"/>
    </row>
    <row r="28" spans="1:38" s="352" customFormat="1" ht="10.5" customHeight="1" x14ac:dyDescent="0.35">
      <c r="A28" s="469"/>
      <c r="B28" s="452"/>
      <c r="C28" s="453"/>
      <c r="D28" s="454"/>
      <c r="E28" s="455"/>
      <c r="F28" s="456"/>
      <c r="G28" s="456"/>
      <c r="H28" s="456"/>
      <c r="I28" s="457">
        <f>s11cumperf[[#This Row],[Gross Receipts Cash]]+s11cumperf[[#This Row],[Gross Receipts Equity]]</f>
        <v>0</v>
      </c>
      <c r="J28" s="457">
        <f>SUMIF(s1inv[Employer ID],s11cumperf[[#This Row],[Employer ID]],s1inv[SBA Reported Value (B)])</f>
        <v>0</v>
      </c>
      <c r="K28" s="457">
        <f>SUMIF(s1inv[Employer ID],s11cumperf[[#This Row],[Employer ID]],s1inv[GAAP Reported Value (C)])</f>
        <v>0</v>
      </c>
      <c r="L28" s="476" t="str">
        <f>IFERROR(s11cumperf[[#This Row],[Total Receipts]]/s11cumperf[[#This Row],[Total Dollars Invested]],"")</f>
        <v/>
      </c>
      <c r="M28" s="476" t="str">
        <f>IFERROR((s11cumperf[[#This Row],[Total Receipts]]+s11cumperf[[#This Row],[SBA Reported Value]])/s11cumperf[[#This Row],[Total Dollars Invested]],"")</f>
        <v/>
      </c>
      <c r="N28" s="642"/>
      <c r="O28" s="642"/>
      <c r="P28" s="642"/>
      <c r="Q28" s="642"/>
      <c r="R28" s="642"/>
      <c r="S28" s="655"/>
      <c r="T28" s="641"/>
      <c r="U28" s="458"/>
      <c r="V28" s="458"/>
      <c r="W28" s="458"/>
      <c r="X28" s="458"/>
      <c r="Y28" s="456"/>
      <c r="Z28" s="458"/>
      <c r="AA28" s="458"/>
      <c r="AB28" s="458"/>
      <c r="AC28" s="458"/>
      <c r="AD28" s="456"/>
      <c r="AL28" s="459"/>
    </row>
    <row r="29" spans="1:38" s="352" customFormat="1" ht="10.5" customHeight="1" x14ac:dyDescent="0.35">
      <c r="A29" s="469"/>
      <c r="B29" s="452"/>
      <c r="C29" s="453"/>
      <c r="D29" s="454"/>
      <c r="E29" s="455"/>
      <c r="F29" s="456"/>
      <c r="G29" s="456"/>
      <c r="H29" s="456"/>
      <c r="I29" s="457">
        <f>s11cumperf[[#This Row],[Gross Receipts Cash]]+s11cumperf[[#This Row],[Gross Receipts Equity]]</f>
        <v>0</v>
      </c>
      <c r="J29" s="457">
        <f>SUMIF(s1inv[Employer ID],s11cumperf[[#This Row],[Employer ID]],s1inv[SBA Reported Value (B)])</f>
        <v>0</v>
      </c>
      <c r="K29" s="457">
        <f>SUMIF(s1inv[Employer ID],s11cumperf[[#This Row],[Employer ID]],s1inv[GAAP Reported Value (C)])</f>
        <v>0</v>
      </c>
      <c r="L29" s="476" t="str">
        <f>IFERROR(s11cumperf[[#This Row],[Total Receipts]]/s11cumperf[[#This Row],[Total Dollars Invested]],"")</f>
        <v/>
      </c>
      <c r="M29" s="476" t="str">
        <f>IFERROR((s11cumperf[[#This Row],[Total Receipts]]+s11cumperf[[#This Row],[SBA Reported Value]])/s11cumperf[[#This Row],[Total Dollars Invested]],"")</f>
        <v/>
      </c>
      <c r="N29" s="642"/>
      <c r="O29" s="642"/>
      <c r="P29" s="642"/>
      <c r="Q29" s="642"/>
      <c r="R29" s="642"/>
      <c r="S29" s="655"/>
      <c r="T29" s="641"/>
      <c r="U29" s="458"/>
      <c r="V29" s="458"/>
      <c r="W29" s="458"/>
      <c r="X29" s="458"/>
      <c r="Y29" s="456"/>
      <c r="Z29" s="458"/>
      <c r="AA29" s="458"/>
      <c r="AB29" s="458"/>
      <c r="AC29" s="458"/>
      <c r="AD29" s="456"/>
      <c r="AL29" s="459"/>
    </row>
    <row r="30" spans="1:38" s="352" customFormat="1" ht="10.5" customHeight="1" x14ac:dyDescent="0.35">
      <c r="A30" s="469"/>
      <c r="B30" s="452"/>
      <c r="C30" s="453"/>
      <c r="D30" s="454"/>
      <c r="E30" s="455"/>
      <c r="F30" s="456"/>
      <c r="G30" s="456"/>
      <c r="H30" s="456"/>
      <c r="I30" s="457">
        <f>s11cumperf[[#This Row],[Gross Receipts Cash]]+s11cumperf[[#This Row],[Gross Receipts Equity]]</f>
        <v>0</v>
      </c>
      <c r="J30" s="457">
        <f>SUMIF(s1inv[Employer ID],s11cumperf[[#This Row],[Employer ID]],s1inv[SBA Reported Value (B)])</f>
        <v>0</v>
      </c>
      <c r="K30" s="457">
        <f>SUMIF(s1inv[Employer ID],s11cumperf[[#This Row],[Employer ID]],s1inv[GAAP Reported Value (C)])</f>
        <v>0</v>
      </c>
      <c r="L30" s="476" t="str">
        <f>IFERROR(s11cumperf[[#This Row],[Total Receipts]]/s11cumperf[[#This Row],[Total Dollars Invested]],"")</f>
        <v/>
      </c>
      <c r="M30" s="476" t="str">
        <f>IFERROR((s11cumperf[[#This Row],[Total Receipts]]+s11cumperf[[#This Row],[SBA Reported Value]])/s11cumperf[[#This Row],[Total Dollars Invested]],"")</f>
        <v/>
      </c>
      <c r="N30" s="642"/>
      <c r="O30" s="642"/>
      <c r="P30" s="642"/>
      <c r="Q30" s="642"/>
      <c r="R30" s="642"/>
      <c r="S30" s="655"/>
      <c r="T30" s="641"/>
      <c r="U30" s="458"/>
      <c r="V30" s="458"/>
      <c r="W30" s="458"/>
      <c r="X30" s="458"/>
      <c r="Y30" s="456"/>
      <c r="Z30" s="458"/>
      <c r="AA30" s="458"/>
      <c r="AB30" s="458"/>
      <c r="AC30" s="458"/>
      <c r="AD30" s="456"/>
      <c r="AL30" s="459"/>
    </row>
    <row r="31" spans="1:38" s="352" customFormat="1" ht="10.5" customHeight="1" x14ac:dyDescent="0.35">
      <c r="A31" s="469"/>
      <c r="B31" s="452"/>
      <c r="C31" s="453"/>
      <c r="D31" s="454"/>
      <c r="E31" s="455"/>
      <c r="F31" s="456"/>
      <c r="G31" s="456"/>
      <c r="H31" s="456"/>
      <c r="I31" s="457">
        <f>s11cumperf[[#This Row],[Gross Receipts Cash]]+s11cumperf[[#This Row],[Gross Receipts Equity]]</f>
        <v>0</v>
      </c>
      <c r="J31" s="457">
        <f>SUMIF(s1inv[Employer ID],s11cumperf[[#This Row],[Employer ID]],s1inv[SBA Reported Value (B)])</f>
        <v>0</v>
      </c>
      <c r="K31" s="457">
        <f>SUMIF(s1inv[Employer ID],s11cumperf[[#This Row],[Employer ID]],s1inv[GAAP Reported Value (C)])</f>
        <v>0</v>
      </c>
      <c r="L31" s="476" t="str">
        <f>IFERROR(s11cumperf[[#This Row],[Total Receipts]]/s11cumperf[[#This Row],[Total Dollars Invested]],"")</f>
        <v/>
      </c>
      <c r="M31" s="476" t="str">
        <f>IFERROR((s11cumperf[[#This Row],[Total Receipts]]+s11cumperf[[#This Row],[SBA Reported Value]])/s11cumperf[[#This Row],[Total Dollars Invested]],"")</f>
        <v/>
      </c>
      <c r="N31" s="642"/>
      <c r="O31" s="642"/>
      <c r="P31" s="642"/>
      <c r="Q31" s="642"/>
      <c r="R31" s="642"/>
      <c r="S31" s="655"/>
      <c r="T31" s="641"/>
      <c r="U31" s="458"/>
      <c r="V31" s="458"/>
      <c r="W31" s="458"/>
      <c r="X31" s="458"/>
      <c r="Y31" s="456"/>
      <c r="Z31" s="458"/>
      <c r="AA31" s="458"/>
      <c r="AB31" s="458"/>
      <c r="AC31" s="458"/>
      <c r="AD31" s="456"/>
      <c r="AL31" s="459"/>
    </row>
    <row r="32" spans="1:38" s="352" customFormat="1" ht="10.5" customHeight="1" x14ac:dyDescent="0.35">
      <c r="A32" s="469"/>
      <c r="B32" s="452"/>
      <c r="C32" s="453"/>
      <c r="D32" s="454"/>
      <c r="E32" s="455"/>
      <c r="F32" s="456"/>
      <c r="G32" s="456"/>
      <c r="H32" s="456"/>
      <c r="I32" s="457">
        <f>s11cumperf[[#This Row],[Gross Receipts Cash]]+s11cumperf[[#This Row],[Gross Receipts Equity]]</f>
        <v>0</v>
      </c>
      <c r="J32" s="457">
        <f>SUMIF(s1inv[Employer ID],s11cumperf[[#This Row],[Employer ID]],s1inv[SBA Reported Value (B)])</f>
        <v>0</v>
      </c>
      <c r="K32" s="457">
        <f>SUMIF(s1inv[Employer ID],s11cumperf[[#This Row],[Employer ID]],s1inv[GAAP Reported Value (C)])</f>
        <v>0</v>
      </c>
      <c r="L32" s="476" t="str">
        <f>IFERROR(s11cumperf[[#This Row],[Total Receipts]]/s11cumperf[[#This Row],[Total Dollars Invested]],"")</f>
        <v/>
      </c>
      <c r="M32" s="476" t="str">
        <f>IFERROR((s11cumperf[[#This Row],[Total Receipts]]+s11cumperf[[#This Row],[SBA Reported Value]])/s11cumperf[[#This Row],[Total Dollars Invested]],"")</f>
        <v/>
      </c>
      <c r="N32" s="642"/>
      <c r="O32" s="642"/>
      <c r="P32" s="642"/>
      <c r="Q32" s="642"/>
      <c r="R32" s="642"/>
      <c r="S32" s="655"/>
      <c r="T32" s="641"/>
      <c r="U32" s="458"/>
      <c r="V32" s="458"/>
      <c r="W32" s="458"/>
      <c r="X32" s="458"/>
      <c r="Y32" s="456"/>
      <c r="Z32" s="458"/>
      <c r="AA32" s="458"/>
      <c r="AB32" s="458"/>
      <c r="AC32" s="458"/>
      <c r="AD32" s="456"/>
      <c r="AL32" s="459"/>
    </row>
    <row r="33" spans="1:38" s="352" customFormat="1" ht="10.5" customHeight="1" x14ac:dyDescent="0.35">
      <c r="A33" s="469"/>
      <c r="B33" s="452"/>
      <c r="C33" s="453"/>
      <c r="D33" s="454"/>
      <c r="E33" s="455"/>
      <c r="F33" s="456"/>
      <c r="G33" s="456"/>
      <c r="H33" s="456"/>
      <c r="I33" s="457">
        <f>s11cumperf[[#This Row],[Gross Receipts Cash]]+s11cumperf[[#This Row],[Gross Receipts Equity]]</f>
        <v>0</v>
      </c>
      <c r="J33" s="457">
        <f>SUMIF(s1inv[Employer ID],s11cumperf[[#This Row],[Employer ID]],s1inv[SBA Reported Value (B)])</f>
        <v>0</v>
      </c>
      <c r="K33" s="457">
        <f>SUMIF(s1inv[Employer ID],s11cumperf[[#This Row],[Employer ID]],s1inv[GAAP Reported Value (C)])</f>
        <v>0</v>
      </c>
      <c r="L33" s="476" t="str">
        <f>IFERROR(s11cumperf[[#This Row],[Total Receipts]]/s11cumperf[[#This Row],[Total Dollars Invested]],"")</f>
        <v/>
      </c>
      <c r="M33" s="476" t="str">
        <f>IFERROR((s11cumperf[[#This Row],[Total Receipts]]+s11cumperf[[#This Row],[SBA Reported Value]])/s11cumperf[[#This Row],[Total Dollars Invested]],"")</f>
        <v/>
      </c>
      <c r="N33" s="642"/>
      <c r="O33" s="642"/>
      <c r="P33" s="642"/>
      <c r="Q33" s="642"/>
      <c r="R33" s="642"/>
      <c r="S33" s="655"/>
      <c r="T33" s="641"/>
      <c r="U33" s="458"/>
      <c r="V33" s="458"/>
      <c r="W33" s="458"/>
      <c r="X33" s="458"/>
      <c r="Y33" s="456"/>
      <c r="Z33" s="458"/>
      <c r="AA33" s="458"/>
      <c r="AB33" s="458"/>
      <c r="AC33" s="458"/>
      <c r="AD33" s="456"/>
      <c r="AL33" s="459"/>
    </row>
    <row r="34" spans="1:38" s="352" customFormat="1" ht="10.5" customHeight="1" x14ac:dyDescent="0.35">
      <c r="A34" s="469"/>
      <c r="B34" s="452"/>
      <c r="C34" s="453"/>
      <c r="D34" s="454"/>
      <c r="E34" s="455"/>
      <c r="F34" s="456"/>
      <c r="G34" s="456"/>
      <c r="H34" s="456"/>
      <c r="I34" s="457">
        <f>s11cumperf[[#This Row],[Gross Receipts Cash]]+s11cumperf[[#This Row],[Gross Receipts Equity]]</f>
        <v>0</v>
      </c>
      <c r="J34" s="457">
        <f>SUMIF(s1inv[Employer ID],s11cumperf[[#This Row],[Employer ID]],s1inv[SBA Reported Value (B)])</f>
        <v>0</v>
      </c>
      <c r="K34" s="457">
        <f>SUMIF(s1inv[Employer ID],s11cumperf[[#This Row],[Employer ID]],s1inv[GAAP Reported Value (C)])</f>
        <v>0</v>
      </c>
      <c r="L34" s="476" t="str">
        <f>IFERROR(s11cumperf[[#This Row],[Total Receipts]]/s11cumperf[[#This Row],[Total Dollars Invested]],"")</f>
        <v/>
      </c>
      <c r="M34" s="476" t="str">
        <f>IFERROR((s11cumperf[[#This Row],[Total Receipts]]+s11cumperf[[#This Row],[SBA Reported Value]])/s11cumperf[[#This Row],[Total Dollars Invested]],"")</f>
        <v/>
      </c>
      <c r="N34" s="642"/>
      <c r="O34" s="642"/>
      <c r="P34" s="642"/>
      <c r="Q34" s="642"/>
      <c r="R34" s="642"/>
      <c r="S34" s="655"/>
      <c r="T34" s="641"/>
      <c r="U34" s="458"/>
      <c r="V34" s="458"/>
      <c r="W34" s="458"/>
      <c r="X34" s="458"/>
      <c r="Y34" s="456"/>
      <c r="Z34" s="458"/>
      <c r="AA34" s="458"/>
      <c r="AB34" s="458"/>
      <c r="AC34" s="458"/>
      <c r="AD34" s="456"/>
      <c r="AL34" s="459"/>
    </row>
    <row r="35" spans="1:38" s="352" customFormat="1" ht="10.5" customHeight="1" x14ac:dyDescent="0.35">
      <c r="A35" s="469"/>
      <c r="B35" s="452"/>
      <c r="C35" s="453"/>
      <c r="D35" s="454"/>
      <c r="E35" s="455"/>
      <c r="F35" s="456"/>
      <c r="G35" s="456"/>
      <c r="H35" s="456"/>
      <c r="I35" s="457">
        <f>s11cumperf[[#This Row],[Gross Receipts Cash]]+s11cumperf[[#This Row],[Gross Receipts Equity]]</f>
        <v>0</v>
      </c>
      <c r="J35" s="457">
        <f>SUMIF(s1inv[Employer ID],s11cumperf[[#This Row],[Employer ID]],s1inv[SBA Reported Value (B)])</f>
        <v>0</v>
      </c>
      <c r="K35" s="457">
        <f>SUMIF(s1inv[Employer ID],s11cumperf[[#This Row],[Employer ID]],s1inv[GAAP Reported Value (C)])</f>
        <v>0</v>
      </c>
      <c r="L35" s="476" t="str">
        <f>IFERROR(s11cumperf[[#This Row],[Total Receipts]]/s11cumperf[[#This Row],[Total Dollars Invested]],"")</f>
        <v/>
      </c>
      <c r="M35" s="476" t="str">
        <f>IFERROR((s11cumperf[[#This Row],[Total Receipts]]+s11cumperf[[#This Row],[SBA Reported Value]])/s11cumperf[[#This Row],[Total Dollars Invested]],"")</f>
        <v/>
      </c>
      <c r="N35" s="642"/>
      <c r="O35" s="642"/>
      <c r="P35" s="642"/>
      <c r="Q35" s="642"/>
      <c r="R35" s="642"/>
      <c r="S35" s="655"/>
      <c r="T35" s="641"/>
      <c r="U35" s="458"/>
      <c r="V35" s="458"/>
      <c r="W35" s="458"/>
      <c r="X35" s="458"/>
      <c r="Y35" s="456"/>
      <c r="Z35" s="458"/>
      <c r="AA35" s="458"/>
      <c r="AB35" s="458"/>
      <c r="AC35" s="458"/>
      <c r="AD35" s="456"/>
      <c r="AL35" s="459"/>
    </row>
    <row r="36" spans="1:38" s="352" customFormat="1" ht="10.5" customHeight="1" x14ac:dyDescent="0.35">
      <c r="A36" s="469"/>
      <c r="B36" s="452"/>
      <c r="C36" s="453"/>
      <c r="D36" s="454"/>
      <c r="E36" s="455"/>
      <c r="F36" s="456"/>
      <c r="G36" s="456"/>
      <c r="H36" s="456"/>
      <c r="I36" s="457">
        <f>s11cumperf[[#This Row],[Gross Receipts Cash]]+s11cumperf[[#This Row],[Gross Receipts Equity]]</f>
        <v>0</v>
      </c>
      <c r="J36" s="457">
        <f>SUMIF(s1inv[Employer ID],s11cumperf[[#This Row],[Employer ID]],s1inv[SBA Reported Value (B)])</f>
        <v>0</v>
      </c>
      <c r="K36" s="457">
        <f>SUMIF(s1inv[Employer ID],s11cumperf[[#This Row],[Employer ID]],s1inv[GAAP Reported Value (C)])</f>
        <v>0</v>
      </c>
      <c r="L36" s="476" t="str">
        <f>IFERROR(s11cumperf[[#This Row],[Total Receipts]]/s11cumperf[[#This Row],[Total Dollars Invested]],"")</f>
        <v/>
      </c>
      <c r="M36" s="476" t="str">
        <f>IFERROR((s11cumperf[[#This Row],[Total Receipts]]+s11cumperf[[#This Row],[SBA Reported Value]])/s11cumperf[[#This Row],[Total Dollars Invested]],"")</f>
        <v/>
      </c>
      <c r="N36" s="642"/>
      <c r="O36" s="642"/>
      <c r="P36" s="642"/>
      <c r="Q36" s="642"/>
      <c r="R36" s="642"/>
      <c r="S36" s="655"/>
      <c r="T36" s="641"/>
      <c r="U36" s="458"/>
      <c r="V36" s="458"/>
      <c r="W36" s="458"/>
      <c r="X36" s="458"/>
      <c r="Y36" s="456"/>
      <c r="Z36" s="458"/>
      <c r="AA36" s="458"/>
      <c r="AB36" s="458"/>
      <c r="AC36" s="458"/>
      <c r="AD36" s="456"/>
      <c r="AL36" s="459"/>
    </row>
    <row r="37" spans="1:38" s="352" customFormat="1" ht="10.5" customHeight="1" x14ac:dyDescent="0.35">
      <c r="A37" s="469"/>
      <c r="B37" s="452"/>
      <c r="C37" s="453"/>
      <c r="D37" s="454"/>
      <c r="E37" s="455"/>
      <c r="F37" s="456"/>
      <c r="G37" s="456"/>
      <c r="H37" s="456"/>
      <c r="I37" s="457">
        <f>s11cumperf[[#This Row],[Gross Receipts Cash]]+s11cumperf[[#This Row],[Gross Receipts Equity]]</f>
        <v>0</v>
      </c>
      <c r="J37" s="457">
        <f>SUMIF(s1inv[Employer ID],s11cumperf[[#This Row],[Employer ID]],s1inv[SBA Reported Value (B)])</f>
        <v>0</v>
      </c>
      <c r="K37" s="457">
        <f>SUMIF(s1inv[Employer ID],s11cumperf[[#This Row],[Employer ID]],s1inv[GAAP Reported Value (C)])</f>
        <v>0</v>
      </c>
      <c r="L37" s="476" t="str">
        <f>IFERROR(s11cumperf[[#This Row],[Total Receipts]]/s11cumperf[[#This Row],[Total Dollars Invested]],"")</f>
        <v/>
      </c>
      <c r="M37" s="476" t="str">
        <f>IFERROR((s11cumperf[[#This Row],[Total Receipts]]+s11cumperf[[#This Row],[SBA Reported Value]])/s11cumperf[[#This Row],[Total Dollars Invested]],"")</f>
        <v/>
      </c>
      <c r="N37" s="642"/>
      <c r="O37" s="642"/>
      <c r="P37" s="642"/>
      <c r="Q37" s="642"/>
      <c r="R37" s="642"/>
      <c r="S37" s="655"/>
      <c r="T37" s="641"/>
      <c r="U37" s="458"/>
      <c r="V37" s="458"/>
      <c r="W37" s="458"/>
      <c r="X37" s="458"/>
      <c r="Y37" s="456"/>
      <c r="Z37" s="458"/>
      <c r="AA37" s="458"/>
      <c r="AB37" s="458"/>
      <c r="AC37" s="458"/>
      <c r="AD37" s="456"/>
      <c r="AL37" s="459"/>
    </row>
    <row r="38" spans="1:38" s="352" customFormat="1" ht="10.5" customHeight="1" x14ac:dyDescent="0.35">
      <c r="A38" s="469"/>
      <c r="B38" s="452"/>
      <c r="C38" s="453"/>
      <c r="D38" s="454"/>
      <c r="E38" s="455"/>
      <c r="F38" s="456"/>
      <c r="G38" s="456"/>
      <c r="H38" s="456"/>
      <c r="I38" s="457">
        <f>s11cumperf[[#This Row],[Gross Receipts Cash]]+s11cumperf[[#This Row],[Gross Receipts Equity]]</f>
        <v>0</v>
      </c>
      <c r="J38" s="457">
        <f>SUMIF(s1inv[Employer ID],s11cumperf[[#This Row],[Employer ID]],s1inv[SBA Reported Value (B)])</f>
        <v>0</v>
      </c>
      <c r="K38" s="457">
        <f>SUMIF(s1inv[Employer ID],s11cumperf[[#This Row],[Employer ID]],s1inv[GAAP Reported Value (C)])</f>
        <v>0</v>
      </c>
      <c r="L38" s="476" t="str">
        <f>IFERROR(s11cumperf[[#This Row],[Total Receipts]]/s11cumperf[[#This Row],[Total Dollars Invested]],"")</f>
        <v/>
      </c>
      <c r="M38" s="476" t="str">
        <f>IFERROR((s11cumperf[[#This Row],[Total Receipts]]+s11cumperf[[#This Row],[SBA Reported Value]])/s11cumperf[[#This Row],[Total Dollars Invested]],"")</f>
        <v/>
      </c>
      <c r="N38" s="642"/>
      <c r="O38" s="642"/>
      <c r="P38" s="642"/>
      <c r="Q38" s="642"/>
      <c r="R38" s="642"/>
      <c r="S38" s="655"/>
      <c r="T38" s="641"/>
      <c r="U38" s="458"/>
      <c r="V38" s="458"/>
      <c r="W38" s="458"/>
      <c r="X38" s="458"/>
      <c r="Y38" s="456"/>
      <c r="Z38" s="458"/>
      <c r="AA38" s="458"/>
      <c r="AB38" s="458"/>
      <c r="AC38" s="458"/>
      <c r="AD38" s="456"/>
      <c r="AL38" s="459"/>
    </row>
    <row r="39" spans="1:38" s="352" customFormat="1" ht="10.5" customHeight="1" x14ac:dyDescent="0.35">
      <c r="A39" s="469"/>
      <c r="B39" s="452"/>
      <c r="C39" s="453"/>
      <c r="D39" s="454"/>
      <c r="E39" s="455"/>
      <c r="F39" s="456"/>
      <c r="G39" s="456"/>
      <c r="H39" s="456"/>
      <c r="I39" s="457">
        <f>s11cumperf[[#This Row],[Gross Receipts Cash]]+s11cumperf[[#This Row],[Gross Receipts Equity]]</f>
        <v>0</v>
      </c>
      <c r="J39" s="457">
        <f>SUMIF(s1inv[Employer ID],s11cumperf[[#This Row],[Employer ID]],s1inv[SBA Reported Value (B)])</f>
        <v>0</v>
      </c>
      <c r="K39" s="457">
        <f>SUMIF(s1inv[Employer ID],s11cumperf[[#This Row],[Employer ID]],s1inv[GAAP Reported Value (C)])</f>
        <v>0</v>
      </c>
      <c r="L39" s="476" t="str">
        <f>IFERROR(s11cumperf[[#This Row],[Total Receipts]]/s11cumperf[[#This Row],[Total Dollars Invested]],"")</f>
        <v/>
      </c>
      <c r="M39" s="476" t="str">
        <f>IFERROR((s11cumperf[[#This Row],[Total Receipts]]+s11cumperf[[#This Row],[SBA Reported Value]])/s11cumperf[[#This Row],[Total Dollars Invested]],"")</f>
        <v/>
      </c>
      <c r="N39" s="642"/>
      <c r="O39" s="642"/>
      <c r="P39" s="642"/>
      <c r="Q39" s="642"/>
      <c r="R39" s="642"/>
      <c r="S39" s="655"/>
      <c r="T39" s="641"/>
      <c r="U39" s="458"/>
      <c r="V39" s="458"/>
      <c r="W39" s="458"/>
      <c r="X39" s="458"/>
      <c r="Y39" s="456"/>
      <c r="Z39" s="458"/>
      <c r="AA39" s="458"/>
      <c r="AB39" s="458"/>
      <c r="AC39" s="458"/>
      <c r="AD39" s="456"/>
      <c r="AL39" s="459"/>
    </row>
    <row r="40" spans="1:38" s="352" customFormat="1" ht="10.5" customHeight="1" x14ac:dyDescent="0.35">
      <c r="A40" s="469"/>
      <c r="B40" s="452"/>
      <c r="C40" s="453"/>
      <c r="D40" s="454"/>
      <c r="E40" s="455"/>
      <c r="F40" s="456"/>
      <c r="G40" s="456"/>
      <c r="H40" s="456"/>
      <c r="I40" s="457">
        <f>s11cumperf[[#This Row],[Gross Receipts Cash]]+s11cumperf[[#This Row],[Gross Receipts Equity]]</f>
        <v>0</v>
      </c>
      <c r="J40" s="457">
        <f>SUMIF(s1inv[Employer ID],s11cumperf[[#This Row],[Employer ID]],s1inv[SBA Reported Value (B)])</f>
        <v>0</v>
      </c>
      <c r="K40" s="457">
        <f>SUMIF(s1inv[Employer ID],s11cumperf[[#This Row],[Employer ID]],s1inv[GAAP Reported Value (C)])</f>
        <v>0</v>
      </c>
      <c r="L40" s="476" t="str">
        <f>IFERROR(s11cumperf[[#This Row],[Total Receipts]]/s11cumperf[[#This Row],[Total Dollars Invested]],"")</f>
        <v/>
      </c>
      <c r="M40" s="476" t="str">
        <f>IFERROR((s11cumperf[[#This Row],[Total Receipts]]+s11cumperf[[#This Row],[SBA Reported Value]])/s11cumperf[[#This Row],[Total Dollars Invested]],"")</f>
        <v/>
      </c>
      <c r="N40" s="642"/>
      <c r="O40" s="642"/>
      <c r="P40" s="642"/>
      <c r="Q40" s="642"/>
      <c r="R40" s="642"/>
      <c r="S40" s="655"/>
      <c r="T40" s="641"/>
      <c r="U40" s="458"/>
      <c r="V40" s="458"/>
      <c r="W40" s="458"/>
      <c r="X40" s="458"/>
      <c r="Y40" s="456"/>
      <c r="Z40" s="458"/>
      <c r="AA40" s="458"/>
      <c r="AB40" s="458"/>
      <c r="AC40" s="458"/>
      <c r="AD40" s="456"/>
      <c r="AL40" s="459"/>
    </row>
    <row r="41" spans="1:38" s="352" customFormat="1" ht="10.5" customHeight="1" x14ac:dyDescent="0.35">
      <c r="A41" s="469"/>
      <c r="B41" s="452"/>
      <c r="C41" s="453"/>
      <c r="D41" s="454"/>
      <c r="E41" s="455"/>
      <c r="F41" s="456"/>
      <c r="G41" s="456"/>
      <c r="H41" s="456"/>
      <c r="I41" s="457">
        <f>s11cumperf[[#This Row],[Gross Receipts Cash]]+s11cumperf[[#This Row],[Gross Receipts Equity]]</f>
        <v>0</v>
      </c>
      <c r="J41" s="457">
        <f>SUMIF(s1inv[Employer ID],s11cumperf[[#This Row],[Employer ID]],s1inv[SBA Reported Value (B)])</f>
        <v>0</v>
      </c>
      <c r="K41" s="457">
        <f>SUMIF(s1inv[Employer ID],s11cumperf[[#This Row],[Employer ID]],s1inv[GAAP Reported Value (C)])</f>
        <v>0</v>
      </c>
      <c r="L41" s="476" t="str">
        <f>IFERROR(s11cumperf[[#This Row],[Total Receipts]]/s11cumperf[[#This Row],[Total Dollars Invested]],"")</f>
        <v/>
      </c>
      <c r="M41" s="476" t="str">
        <f>IFERROR((s11cumperf[[#This Row],[Total Receipts]]+s11cumperf[[#This Row],[SBA Reported Value]])/s11cumperf[[#This Row],[Total Dollars Invested]],"")</f>
        <v/>
      </c>
      <c r="N41" s="642"/>
      <c r="O41" s="642"/>
      <c r="P41" s="642"/>
      <c r="Q41" s="642"/>
      <c r="R41" s="642"/>
      <c r="S41" s="655"/>
      <c r="T41" s="641"/>
      <c r="U41" s="458"/>
      <c r="V41" s="458"/>
      <c r="W41" s="458"/>
      <c r="X41" s="458"/>
      <c r="Y41" s="456"/>
      <c r="Z41" s="458"/>
      <c r="AA41" s="458"/>
      <c r="AB41" s="458"/>
      <c r="AC41" s="458"/>
      <c r="AD41" s="456"/>
      <c r="AL41" s="459"/>
    </row>
    <row r="42" spans="1:38" s="352" customFormat="1" ht="10.5" customHeight="1" x14ac:dyDescent="0.35">
      <c r="A42" s="469"/>
      <c r="B42" s="452"/>
      <c r="C42" s="453"/>
      <c r="D42" s="454"/>
      <c r="E42" s="455"/>
      <c r="F42" s="456"/>
      <c r="G42" s="456"/>
      <c r="H42" s="456"/>
      <c r="I42" s="457">
        <f>s11cumperf[[#This Row],[Gross Receipts Cash]]+s11cumperf[[#This Row],[Gross Receipts Equity]]</f>
        <v>0</v>
      </c>
      <c r="J42" s="457">
        <f>SUMIF(s1inv[Employer ID],s11cumperf[[#This Row],[Employer ID]],s1inv[SBA Reported Value (B)])</f>
        <v>0</v>
      </c>
      <c r="K42" s="457">
        <f>SUMIF(s1inv[Employer ID],s11cumperf[[#This Row],[Employer ID]],s1inv[GAAP Reported Value (C)])</f>
        <v>0</v>
      </c>
      <c r="L42" s="476" t="str">
        <f>IFERROR(s11cumperf[[#This Row],[Total Receipts]]/s11cumperf[[#This Row],[Total Dollars Invested]],"")</f>
        <v/>
      </c>
      <c r="M42" s="476" t="str">
        <f>IFERROR((s11cumperf[[#This Row],[Total Receipts]]+s11cumperf[[#This Row],[SBA Reported Value]])/s11cumperf[[#This Row],[Total Dollars Invested]],"")</f>
        <v/>
      </c>
      <c r="N42" s="642"/>
      <c r="O42" s="642"/>
      <c r="P42" s="642"/>
      <c r="Q42" s="642"/>
      <c r="R42" s="642"/>
      <c r="S42" s="655"/>
      <c r="T42" s="641"/>
      <c r="U42" s="458"/>
      <c r="V42" s="458"/>
      <c r="W42" s="458"/>
      <c r="X42" s="458"/>
      <c r="Y42" s="456"/>
      <c r="Z42" s="458"/>
      <c r="AA42" s="458"/>
      <c r="AB42" s="458"/>
      <c r="AC42" s="458"/>
      <c r="AD42" s="456"/>
      <c r="AL42" s="459"/>
    </row>
    <row r="43" spans="1:38" s="352" customFormat="1" ht="10.5" customHeight="1" x14ac:dyDescent="0.35">
      <c r="A43" s="469"/>
      <c r="B43" s="452"/>
      <c r="C43" s="453"/>
      <c r="D43" s="454"/>
      <c r="E43" s="455"/>
      <c r="F43" s="456"/>
      <c r="G43" s="456"/>
      <c r="H43" s="456"/>
      <c r="I43" s="457">
        <f>s11cumperf[[#This Row],[Gross Receipts Cash]]+s11cumperf[[#This Row],[Gross Receipts Equity]]</f>
        <v>0</v>
      </c>
      <c r="J43" s="457">
        <f>SUMIF(s1inv[Employer ID],s11cumperf[[#This Row],[Employer ID]],s1inv[SBA Reported Value (B)])</f>
        <v>0</v>
      </c>
      <c r="K43" s="457">
        <f>SUMIF(s1inv[Employer ID],s11cumperf[[#This Row],[Employer ID]],s1inv[GAAP Reported Value (C)])</f>
        <v>0</v>
      </c>
      <c r="L43" s="476" t="str">
        <f>IFERROR(s11cumperf[[#This Row],[Total Receipts]]/s11cumperf[[#This Row],[Total Dollars Invested]],"")</f>
        <v/>
      </c>
      <c r="M43" s="476" t="str">
        <f>IFERROR((s11cumperf[[#This Row],[Total Receipts]]+s11cumperf[[#This Row],[SBA Reported Value]])/s11cumperf[[#This Row],[Total Dollars Invested]],"")</f>
        <v/>
      </c>
      <c r="N43" s="642"/>
      <c r="O43" s="642"/>
      <c r="P43" s="642"/>
      <c r="Q43" s="642"/>
      <c r="R43" s="642"/>
      <c r="S43" s="655"/>
      <c r="T43" s="641"/>
      <c r="U43" s="458"/>
      <c r="V43" s="458"/>
      <c r="W43" s="458"/>
      <c r="X43" s="458"/>
      <c r="Y43" s="456"/>
      <c r="Z43" s="458"/>
      <c r="AA43" s="458"/>
      <c r="AB43" s="458"/>
      <c r="AC43" s="458"/>
      <c r="AD43" s="456"/>
      <c r="AL43" s="459"/>
    </row>
    <row r="44" spans="1:38" s="352" customFormat="1" ht="10.5" customHeight="1" x14ac:dyDescent="0.35">
      <c r="A44" s="469"/>
      <c r="B44" s="452"/>
      <c r="C44" s="453"/>
      <c r="D44" s="454"/>
      <c r="E44" s="455"/>
      <c r="F44" s="456"/>
      <c r="G44" s="456"/>
      <c r="H44" s="456"/>
      <c r="I44" s="457">
        <f>s11cumperf[[#This Row],[Gross Receipts Cash]]+s11cumperf[[#This Row],[Gross Receipts Equity]]</f>
        <v>0</v>
      </c>
      <c r="J44" s="457">
        <f>SUMIF(s1inv[Employer ID],s11cumperf[[#This Row],[Employer ID]],s1inv[SBA Reported Value (B)])</f>
        <v>0</v>
      </c>
      <c r="K44" s="457">
        <f>SUMIF(s1inv[Employer ID],s11cumperf[[#This Row],[Employer ID]],s1inv[GAAP Reported Value (C)])</f>
        <v>0</v>
      </c>
      <c r="L44" s="476" t="str">
        <f>IFERROR(s11cumperf[[#This Row],[Total Receipts]]/s11cumperf[[#This Row],[Total Dollars Invested]],"")</f>
        <v/>
      </c>
      <c r="M44" s="476" t="str">
        <f>IFERROR((s11cumperf[[#This Row],[Total Receipts]]+s11cumperf[[#This Row],[SBA Reported Value]])/s11cumperf[[#This Row],[Total Dollars Invested]],"")</f>
        <v/>
      </c>
      <c r="N44" s="642"/>
      <c r="O44" s="642"/>
      <c r="P44" s="642"/>
      <c r="Q44" s="642"/>
      <c r="R44" s="642"/>
      <c r="S44" s="655"/>
      <c r="T44" s="641"/>
      <c r="U44" s="458"/>
      <c r="V44" s="458"/>
      <c r="W44" s="458"/>
      <c r="X44" s="458"/>
      <c r="Y44" s="456"/>
      <c r="Z44" s="458"/>
      <c r="AA44" s="458"/>
      <c r="AB44" s="458"/>
      <c r="AC44" s="458"/>
      <c r="AD44" s="456"/>
      <c r="AL44" s="459"/>
    </row>
    <row r="45" spans="1:38" s="352" customFormat="1" ht="10.5" customHeight="1" x14ac:dyDescent="0.35">
      <c r="A45" s="469"/>
      <c r="B45" s="452"/>
      <c r="C45" s="453"/>
      <c r="D45" s="454"/>
      <c r="E45" s="455"/>
      <c r="F45" s="456"/>
      <c r="G45" s="456"/>
      <c r="H45" s="456"/>
      <c r="I45" s="457">
        <f>s11cumperf[[#This Row],[Gross Receipts Cash]]+s11cumperf[[#This Row],[Gross Receipts Equity]]</f>
        <v>0</v>
      </c>
      <c r="J45" s="457">
        <f>SUMIF(s1inv[Employer ID],s11cumperf[[#This Row],[Employer ID]],s1inv[SBA Reported Value (B)])</f>
        <v>0</v>
      </c>
      <c r="K45" s="457">
        <f>SUMIF(s1inv[Employer ID],s11cumperf[[#This Row],[Employer ID]],s1inv[GAAP Reported Value (C)])</f>
        <v>0</v>
      </c>
      <c r="L45" s="476" t="str">
        <f>IFERROR(s11cumperf[[#This Row],[Total Receipts]]/s11cumperf[[#This Row],[Total Dollars Invested]],"")</f>
        <v/>
      </c>
      <c r="M45" s="476" t="str">
        <f>IFERROR((s11cumperf[[#This Row],[Total Receipts]]+s11cumperf[[#This Row],[SBA Reported Value]])/s11cumperf[[#This Row],[Total Dollars Invested]],"")</f>
        <v/>
      </c>
      <c r="N45" s="642"/>
      <c r="O45" s="642"/>
      <c r="P45" s="642"/>
      <c r="Q45" s="642"/>
      <c r="R45" s="642"/>
      <c r="S45" s="655"/>
      <c r="T45" s="641"/>
      <c r="U45" s="458"/>
      <c r="V45" s="458"/>
      <c r="W45" s="458"/>
      <c r="X45" s="458"/>
      <c r="Y45" s="456"/>
      <c r="Z45" s="458"/>
      <c r="AA45" s="458"/>
      <c r="AB45" s="458"/>
      <c r="AC45" s="458"/>
      <c r="AD45" s="456"/>
      <c r="AL45" s="459"/>
    </row>
    <row r="46" spans="1:38" s="352" customFormat="1" ht="10.5" customHeight="1" x14ac:dyDescent="0.35">
      <c r="A46" s="469"/>
      <c r="B46" s="452"/>
      <c r="C46" s="453"/>
      <c r="D46" s="454"/>
      <c r="E46" s="455"/>
      <c r="F46" s="456"/>
      <c r="G46" s="456"/>
      <c r="H46" s="456"/>
      <c r="I46" s="457">
        <f>s11cumperf[[#This Row],[Gross Receipts Cash]]+s11cumperf[[#This Row],[Gross Receipts Equity]]</f>
        <v>0</v>
      </c>
      <c r="J46" s="457">
        <f>SUMIF(s1inv[Employer ID],s11cumperf[[#This Row],[Employer ID]],s1inv[SBA Reported Value (B)])</f>
        <v>0</v>
      </c>
      <c r="K46" s="457">
        <f>SUMIF(s1inv[Employer ID],s11cumperf[[#This Row],[Employer ID]],s1inv[GAAP Reported Value (C)])</f>
        <v>0</v>
      </c>
      <c r="L46" s="476" t="str">
        <f>IFERROR(s11cumperf[[#This Row],[Total Receipts]]/s11cumperf[[#This Row],[Total Dollars Invested]],"")</f>
        <v/>
      </c>
      <c r="M46" s="476" t="str">
        <f>IFERROR((s11cumperf[[#This Row],[Total Receipts]]+s11cumperf[[#This Row],[SBA Reported Value]])/s11cumperf[[#This Row],[Total Dollars Invested]],"")</f>
        <v/>
      </c>
      <c r="N46" s="642"/>
      <c r="O46" s="642"/>
      <c r="P46" s="642"/>
      <c r="Q46" s="642"/>
      <c r="R46" s="642"/>
      <c r="S46" s="655"/>
      <c r="T46" s="641"/>
      <c r="U46" s="458"/>
      <c r="V46" s="458"/>
      <c r="W46" s="458"/>
      <c r="X46" s="458"/>
      <c r="Y46" s="456"/>
      <c r="Z46" s="458"/>
      <c r="AA46" s="458"/>
      <c r="AB46" s="458"/>
      <c r="AC46" s="458"/>
      <c r="AD46" s="456"/>
      <c r="AL46" s="459"/>
    </row>
    <row r="47" spans="1:38" s="352" customFormat="1" ht="10.5" customHeight="1" x14ac:dyDescent="0.35">
      <c r="A47" s="469"/>
      <c r="B47" s="452"/>
      <c r="C47" s="453"/>
      <c r="D47" s="454"/>
      <c r="E47" s="455"/>
      <c r="F47" s="456"/>
      <c r="G47" s="456"/>
      <c r="H47" s="456"/>
      <c r="I47" s="457">
        <f>s11cumperf[[#This Row],[Gross Receipts Cash]]+s11cumperf[[#This Row],[Gross Receipts Equity]]</f>
        <v>0</v>
      </c>
      <c r="J47" s="457">
        <f>SUMIF(s1inv[Employer ID],s11cumperf[[#This Row],[Employer ID]],s1inv[SBA Reported Value (B)])</f>
        <v>0</v>
      </c>
      <c r="K47" s="457">
        <f>SUMIF(s1inv[Employer ID],s11cumperf[[#This Row],[Employer ID]],s1inv[GAAP Reported Value (C)])</f>
        <v>0</v>
      </c>
      <c r="L47" s="476" t="str">
        <f>IFERROR(s11cumperf[[#This Row],[Total Receipts]]/s11cumperf[[#This Row],[Total Dollars Invested]],"")</f>
        <v/>
      </c>
      <c r="M47" s="476" t="str">
        <f>IFERROR((s11cumperf[[#This Row],[Total Receipts]]+s11cumperf[[#This Row],[SBA Reported Value]])/s11cumperf[[#This Row],[Total Dollars Invested]],"")</f>
        <v/>
      </c>
      <c r="N47" s="642"/>
      <c r="O47" s="642"/>
      <c r="P47" s="642"/>
      <c r="Q47" s="642"/>
      <c r="R47" s="642"/>
      <c r="S47" s="655"/>
      <c r="T47" s="641"/>
      <c r="U47" s="458"/>
      <c r="V47" s="458"/>
      <c r="W47" s="458"/>
      <c r="X47" s="458"/>
      <c r="Y47" s="456"/>
      <c r="Z47" s="458"/>
      <c r="AA47" s="458"/>
      <c r="AB47" s="458"/>
      <c r="AC47" s="458"/>
      <c r="AD47" s="456"/>
      <c r="AL47" s="459"/>
    </row>
    <row r="48" spans="1:38" s="352" customFormat="1" ht="10.5" customHeight="1" x14ac:dyDescent="0.35">
      <c r="A48" s="469"/>
      <c r="B48" s="452"/>
      <c r="C48" s="453"/>
      <c r="D48" s="454"/>
      <c r="E48" s="455"/>
      <c r="F48" s="456"/>
      <c r="G48" s="456"/>
      <c r="H48" s="456"/>
      <c r="I48" s="457">
        <f>s11cumperf[[#This Row],[Gross Receipts Cash]]+s11cumperf[[#This Row],[Gross Receipts Equity]]</f>
        <v>0</v>
      </c>
      <c r="J48" s="457">
        <f>SUMIF(s1inv[Employer ID],s11cumperf[[#This Row],[Employer ID]],s1inv[SBA Reported Value (B)])</f>
        <v>0</v>
      </c>
      <c r="K48" s="457">
        <f>SUMIF(s1inv[Employer ID],s11cumperf[[#This Row],[Employer ID]],s1inv[GAAP Reported Value (C)])</f>
        <v>0</v>
      </c>
      <c r="L48" s="476" t="str">
        <f>IFERROR(s11cumperf[[#This Row],[Total Receipts]]/s11cumperf[[#This Row],[Total Dollars Invested]],"")</f>
        <v/>
      </c>
      <c r="M48" s="476" t="str">
        <f>IFERROR((s11cumperf[[#This Row],[Total Receipts]]+s11cumperf[[#This Row],[SBA Reported Value]])/s11cumperf[[#This Row],[Total Dollars Invested]],"")</f>
        <v/>
      </c>
      <c r="N48" s="642"/>
      <c r="O48" s="642"/>
      <c r="P48" s="642"/>
      <c r="Q48" s="642"/>
      <c r="R48" s="642"/>
      <c r="S48" s="655"/>
      <c r="T48" s="641"/>
      <c r="U48" s="458"/>
      <c r="V48" s="458"/>
      <c r="W48" s="458"/>
      <c r="X48" s="458"/>
      <c r="Y48" s="456"/>
      <c r="Z48" s="458"/>
      <c r="AA48" s="458"/>
      <c r="AB48" s="458"/>
      <c r="AC48" s="458"/>
      <c r="AD48" s="456"/>
      <c r="AL48" s="459"/>
    </row>
    <row r="49" spans="1:38" s="352" customFormat="1" ht="10.5" customHeight="1" x14ac:dyDescent="0.35">
      <c r="A49" s="469"/>
      <c r="B49" s="452"/>
      <c r="C49" s="453"/>
      <c r="D49" s="454"/>
      <c r="E49" s="455"/>
      <c r="F49" s="456"/>
      <c r="G49" s="456"/>
      <c r="H49" s="456"/>
      <c r="I49" s="457">
        <f>s11cumperf[[#This Row],[Gross Receipts Cash]]+s11cumperf[[#This Row],[Gross Receipts Equity]]</f>
        <v>0</v>
      </c>
      <c r="J49" s="457">
        <f>SUMIF(s1inv[Employer ID],s11cumperf[[#This Row],[Employer ID]],s1inv[SBA Reported Value (B)])</f>
        <v>0</v>
      </c>
      <c r="K49" s="457">
        <f>SUMIF(s1inv[Employer ID],s11cumperf[[#This Row],[Employer ID]],s1inv[GAAP Reported Value (C)])</f>
        <v>0</v>
      </c>
      <c r="L49" s="476" t="str">
        <f>IFERROR(s11cumperf[[#This Row],[Total Receipts]]/s11cumperf[[#This Row],[Total Dollars Invested]],"")</f>
        <v/>
      </c>
      <c r="M49" s="476" t="str">
        <f>IFERROR((s11cumperf[[#This Row],[Total Receipts]]+s11cumperf[[#This Row],[SBA Reported Value]])/s11cumperf[[#This Row],[Total Dollars Invested]],"")</f>
        <v/>
      </c>
      <c r="N49" s="642"/>
      <c r="O49" s="642"/>
      <c r="P49" s="642"/>
      <c r="Q49" s="642"/>
      <c r="R49" s="642"/>
      <c r="S49" s="655"/>
      <c r="T49" s="641"/>
      <c r="U49" s="458"/>
      <c r="V49" s="458"/>
      <c r="W49" s="458"/>
      <c r="X49" s="458"/>
      <c r="Y49" s="456"/>
      <c r="Z49" s="458"/>
      <c r="AA49" s="458"/>
      <c r="AB49" s="458"/>
      <c r="AC49" s="458"/>
      <c r="AD49" s="456"/>
      <c r="AL49" s="459"/>
    </row>
    <row r="50" spans="1:38" s="352" customFormat="1" ht="10.5" customHeight="1" x14ac:dyDescent="0.35">
      <c r="A50" s="469"/>
      <c r="B50" s="452"/>
      <c r="C50" s="453"/>
      <c r="D50" s="454"/>
      <c r="E50" s="455"/>
      <c r="F50" s="456"/>
      <c r="G50" s="456"/>
      <c r="H50" s="456"/>
      <c r="I50" s="457">
        <f>s11cumperf[[#This Row],[Gross Receipts Cash]]+s11cumperf[[#This Row],[Gross Receipts Equity]]</f>
        <v>0</v>
      </c>
      <c r="J50" s="457">
        <f>SUMIF(s1inv[Employer ID],s11cumperf[[#This Row],[Employer ID]],s1inv[SBA Reported Value (B)])</f>
        <v>0</v>
      </c>
      <c r="K50" s="457">
        <f>SUMIF(s1inv[Employer ID],s11cumperf[[#This Row],[Employer ID]],s1inv[GAAP Reported Value (C)])</f>
        <v>0</v>
      </c>
      <c r="L50" s="476" t="str">
        <f>IFERROR(s11cumperf[[#This Row],[Total Receipts]]/s11cumperf[[#This Row],[Total Dollars Invested]],"")</f>
        <v/>
      </c>
      <c r="M50" s="476" t="str">
        <f>IFERROR((s11cumperf[[#This Row],[Total Receipts]]+s11cumperf[[#This Row],[SBA Reported Value]])/s11cumperf[[#This Row],[Total Dollars Invested]],"")</f>
        <v/>
      </c>
      <c r="N50" s="642"/>
      <c r="O50" s="642"/>
      <c r="P50" s="642"/>
      <c r="Q50" s="642"/>
      <c r="R50" s="642"/>
      <c r="S50" s="655"/>
      <c r="T50" s="641"/>
      <c r="U50" s="458"/>
      <c r="V50" s="458"/>
      <c r="W50" s="458"/>
      <c r="X50" s="458"/>
      <c r="Y50" s="456"/>
      <c r="Z50" s="458"/>
      <c r="AA50" s="458"/>
      <c r="AB50" s="458"/>
      <c r="AC50" s="458"/>
      <c r="AD50" s="456"/>
      <c r="AL50" s="459"/>
    </row>
    <row r="51" spans="1:38" s="352" customFormat="1" ht="10.5" customHeight="1" x14ac:dyDescent="0.35">
      <c r="A51" s="469"/>
      <c r="B51" s="452"/>
      <c r="C51" s="453"/>
      <c r="D51" s="454"/>
      <c r="E51" s="455"/>
      <c r="F51" s="456"/>
      <c r="G51" s="456"/>
      <c r="H51" s="456"/>
      <c r="I51" s="457">
        <f>s11cumperf[[#This Row],[Gross Receipts Cash]]+s11cumperf[[#This Row],[Gross Receipts Equity]]</f>
        <v>0</v>
      </c>
      <c r="J51" s="457">
        <f>SUMIF(s1inv[Employer ID],s11cumperf[[#This Row],[Employer ID]],s1inv[SBA Reported Value (B)])</f>
        <v>0</v>
      </c>
      <c r="K51" s="457">
        <f>SUMIF(s1inv[Employer ID],s11cumperf[[#This Row],[Employer ID]],s1inv[GAAP Reported Value (C)])</f>
        <v>0</v>
      </c>
      <c r="L51" s="476" t="str">
        <f>IFERROR(s11cumperf[[#This Row],[Total Receipts]]/s11cumperf[[#This Row],[Total Dollars Invested]],"")</f>
        <v/>
      </c>
      <c r="M51" s="476" t="str">
        <f>IFERROR((s11cumperf[[#This Row],[Total Receipts]]+s11cumperf[[#This Row],[SBA Reported Value]])/s11cumperf[[#This Row],[Total Dollars Invested]],"")</f>
        <v/>
      </c>
      <c r="N51" s="642"/>
      <c r="O51" s="642"/>
      <c r="P51" s="642"/>
      <c r="Q51" s="642"/>
      <c r="R51" s="642"/>
      <c r="S51" s="655"/>
      <c r="T51" s="641"/>
      <c r="U51" s="458"/>
      <c r="V51" s="458"/>
      <c r="W51" s="458"/>
      <c r="X51" s="458"/>
      <c r="Y51" s="456"/>
      <c r="Z51" s="458"/>
      <c r="AA51" s="458"/>
      <c r="AB51" s="458"/>
      <c r="AC51" s="458"/>
      <c r="AD51" s="456"/>
      <c r="AL51" s="459"/>
    </row>
    <row r="52" spans="1:38" s="352" customFormat="1" ht="10.5" customHeight="1" x14ac:dyDescent="0.35">
      <c r="A52" s="469"/>
      <c r="B52" s="452"/>
      <c r="C52" s="453"/>
      <c r="D52" s="454"/>
      <c r="E52" s="455"/>
      <c r="F52" s="456"/>
      <c r="G52" s="456"/>
      <c r="H52" s="456"/>
      <c r="I52" s="457">
        <f>s11cumperf[[#This Row],[Gross Receipts Cash]]+s11cumperf[[#This Row],[Gross Receipts Equity]]</f>
        <v>0</v>
      </c>
      <c r="J52" s="457">
        <f>SUMIF(s1inv[Employer ID],s11cumperf[[#This Row],[Employer ID]],s1inv[SBA Reported Value (B)])</f>
        <v>0</v>
      </c>
      <c r="K52" s="457">
        <f>SUMIF(s1inv[Employer ID],s11cumperf[[#This Row],[Employer ID]],s1inv[GAAP Reported Value (C)])</f>
        <v>0</v>
      </c>
      <c r="L52" s="476" t="str">
        <f>IFERROR(s11cumperf[[#This Row],[Total Receipts]]/s11cumperf[[#This Row],[Total Dollars Invested]],"")</f>
        <v/>
      </c>
      <c r="M52" s="476" t="str">
        <f>IFERROR((s11cumperf[[#This Row],[Total Receipts]]+s11cumperf[[#This Row],[SBA Reported Value]])/s11cumperf[[#This Row],[Total Dollars Invested]],"")</f>
        <v/>
      </c>
      <c r="N52" s="642"/>
      <c r="O52" s="642"/>
      <c r="P52" s="642"/>
      <c r="Q52" s="642"/>
      <c r="R52" s="642"/>
      <c r="S52" s="655"/>
      <c r="T52" s="641"/>
      <c r="U52" s="458"/>
      <c r="V52" s="458"/>
      <c r="W52" s="458"/>
      <c r="X52" s="458"/>
      <c r="Y52" s="456"/>
      <c r="Z52" s="458"/>
      <c r="AA52" s="458"/>
      <c r="AB52" s="458"/>
      <c r="AC52" s="458"/>
      <c r="AD52" s="456"/>
      <c r="AL52" s="459"/>
    </row>
    <row r="53" spans="1:38" s="352" customFormat="1" ht="10.5" customHeight="1" x14ac:dyDescent="0.35">
      <c r="A53" s="469"/>
      <c r="B53" s="452"/>
      <c r="C53" s="453"/>
      <c r="D53" s="454"/>
      <c r="E53" s="455"/>
      <c r="F53" s="456"/>
      <c r="G53" s="456"/>
      <c r="H53" s="456"/>
      <c r="I53" s="457">
        <f>s11cumperf[[#This Row],[Gross Receipts Cash]]+s11cumperf[[#This Row],[Gross Receipts Equity]]</f>
        <v>0</v>
      </c>
      <c r="J53" s="457">
        <f>SUMIF(s1inv[Employer ID],s11cumperf[[#This Row],[Employer ID]],s1inv[SBA Reported Value (B)])</f>
        <v>0</v>
      </c>
      <c r="K53" s="457">
        <f>SUMIF(s1inv[Employer ID],s11cumperf[[#This Row],[Employer ID]],s1inv[GAAP Reported Value (C)])</f>
        <v>0</v>
      </c>
      <c r="L53" s="476" t="str">
        <f>IFERROR(s11cumperf[[#This Row],[Total Receipts]]/s11cumperf[[#This Row],[Total Dollars Invested]],"")</f>
        <v/>
      </c>
      <c r="M53" s="476" t="str">
        <f>IFERROR((s11cumperf[[#This Row],[Total Receipts]]+s11cumperf[[#This Row],[SBA Reported Value]])/s11cumperf[[#This Row],[Total Dollars Invested]],"")</f>
        <v/>
      </c>
      <c r="N53" s="642"/>
      <c r="O53" s="642"/>
      <c r="P53" s="642"/>
      <c r="Q53" s="642"/>
      <c r="R53" s="642"/>
      <c r="S53" s="655"/>
      <c r="T53" s="641"/>
      <c r="U53" s="458"/>
      <c r="V53" s="458"/>
      <c r="W53" s="458"/>
      <c r="X53" s="458"/>
      <c r="Y53" s="456"/>
      <c r="Z53" s="458"/>
      <c r="AA53" s="458"/>
      <c r="AB53" s="458"/>
      <c r="AC53" s="458"/>
      <c r="AD53" s="456"/>
      <c r="AL53" s="459"/>
    </row>
    <row r="54" spans="1:38" s="352" customFormat="1" ht="10.5" customHeight="1" x14ac:dyDescent="0.35">
      <c r="A54" s="469"/>
      <c r="B54" s="452"/>
      <c r="C54" s="453"/>
      <c r="D54" s="454"/>
      <c r="E54" s="455"/>
      <c r="F54" s="456"/>
      <c r="G54" s="456"/>
      <c r="H54" s="456"/>
      <c r="I54" s="457">
        <f>s11cumperf[[#This Row],[Gross Receipts Cash]]+s11cumperf[[#This Row],[Gross Receipts Equity]]</f>
        <v>0</v>
      </c>
      <c r="J54" s="457">
        <f>SUMIF(s1inv[Employer ID],s11cumperf[[#This Row],[Employer ID]],s1inv[SBA Reported Value (B)])</f>
        <v>0</v>
      </c>
      <c r="K54" s="457">
        <f>SUMIF(s1inv[Employer ID],s11cumperf[[#This Row],[Employer ID]],s1inv[GAAP Reported Value (C)])</f>
        <v>0</v>
      </c>
      <c r="L54" s="476" t="str">
        <f>IFERROR(s11cumperf[[#This Row],[Total Receipts]]/s11cumperf[[#This Row],[Total Dollars Invested]],"")</f>
        <v/>
      </c>
      <c r="M54" s="476" t="str">
        <f>IFERROR((s11cumperf[[#This Row],[Total Receipts]]+s11cumperf[[#This Row],[SBA Reported Value]])/s11cumperf[[#This Row],[Total Dollars Invested]],"")</f>
        <v/>
      </c>
      <c r="N54" s="642"/>
      <c r="O54" s="642"/>
      <c r="P54" s="642"/>
      <c r="Q54" s="642"/>
      <c r="R54" s="642"/>
      <c r="S54" s="655"/>
      <c r="T54" s="641"/>
      <c r="U54" s="458"/>
      <c r="V54" s="458"/>
      <c r="W54" s="458"/>
      <c r="X54" s="458"/>
      <c r="Y54" s="456"/>
      <c r="Z54" s="458"/>
      <c r="AA54" s="458"/>
      <c r="AB54" s="458"/>
      <c r="AC54" s="458"/>
      <c r="AD54" s="456"/>
      <c r="AL54" s="459"/>
    </row>
    <row r="55" spans="1:38" s="352" customFormat="1" ht="10.5" customHeight="1" x14ac:dyDescent="0.35">
      <c r="A55" s="469"/>
      <c r="B55" s="452"/>
      <c r="C55" s="453"/>
      <c r="D55" s="454"/>
      <c r="E55" s="455"/>
      <c r="F55" s="456"/>
      <c r="G55" s="456"/>
      <c r="H55" s="456"/>
      <c r="I55" s="457">
        <f>s11cumperf[[#This Row],[Gross Receipts Cash]]+s11cumperf[[#This Row],[Gross Receipts Equity]]</f>
        <v>0</v>
      </c>
      <c r="J55" s="457">
        <f>SUMIF(s1inv[Employer ID],s11cumperf[[#This Row],[Employer ID]],s1inv[SBA Reported Value (B)])</f>
        <v>0</v>
      </c>
      <c r="K55" s="457">
        <f>SUMIF(s1inv[Employer ID],s11cumperf[[#This Row],[Employer ID]],s1inv[GAAP Reported Value (C)])</f>
        <v>0</v>
      </c>
      <c r="L55" s="476" t="str">
        <f>IFERROR(s11cumperf[[#This Row],[Total Receipts]]/s11cumperf[[#This Row],[Total Dollars Invested]],"")</f>
        <v/>
      </c>
      <c r="M55" s="476" t="str">
        <f>IFERROR((s11cumperf[[#This Row],[Total Receipts]]+s11cumperf[[#This Row],[SBA Reported Value]])/s11cumperf[[#This Row],[Total Dollars Invested]],"")</f>
        <v/>
      </c>
      <c r="N55" s="642"/>
      <c r="O55" s="642"/>
      <c r="P55" s="642"/>
      <c r="Q55" s="642"/>
      <c r="R55" s="642"/>
      <c r="S55" s="655"/>
      <c r="T55" s="641"/>
      <c r="U55" s="458"/>
      <c r="V55" s="458"/>
      <c r="W55" s="458"/>
      <c r="X55" s="458"/>
      <c r="Y55" s="456"/>
      <c r="Z55" s="458"/>
      <c r="AA55" s="458"/>
      <c r="AB55" s="458"/>
      <c r="AC55" s="458"/>
      <c r="AD55" s="456"/>
      <c r="AL55" s="459"/>
    </row>
    <row r="56" spans="1:38" s="352" customFormat="1" ht="10.5" customHeight="1" x14ac:dyDescent="0.35">
      <c r="A56" s="469"/>
      <c r="B56" s="452"/>
      <c r="C56" s="453"/>
      <c r="D56" s="454"/>
      <c r="E56" s="455"/>
      <c r="F56" s="456"/>
      <c r="G56" s="456"/>
      <c r="H56" s="456"/>
      <c r="I56" s="457">
        <f>s11cumperf[[#This Row],[Gross Receipts Cash]]+s11cumperf[[#This Row],[Gross Receipts Equity]]</f>
        <v>0</v>
      </c>
      <c r="J56" s="457">
        <f>SUMIF(s1inv[Employer ID],s11cumperf[[#This Row],[Employer ID]],s1inv[SBA Reported Value (B)])</f>
        <v>0</v>
      </c>
      <c r="K56" s="457">
        <f>SUMIF(s1inv[Employer ID],s11cumperf[[#This Row],[Employer ID]],s1inv[GAAP Reported Value (C)])</f>
        <v>0</v>
      </c>
      <c r="L56" s="476" t="str">
        <f>IFERROR(s11cumperf[[#This Row],[Total Receipts]]/s11cumperf[[#This Row],[Total Dollars Invested]],"")</f>
        <v/>
      </c>
      <c r="M56" s="476" t="str">
        <f>IFERROR((s11cumperf[[#This Row],[Total Receipts]]+s11cumperf[[#This Row],[SBA Reported Value]])/s11cumperf[[#This Row],[Total Dollars Invested]],"")</f>
        <v/>
      </c>
      <c r="N56" s="642"/>
      <c r="O56" s="642"/>
      <c r="P56" s="642"/>
      <c r="Q56" s="642"/>
      <c r="R56" s="642"/>
      <c r="S56" s="655"/>
      <c r="T56" s="641"/>
      <c r="U56" s="458"/>
      <c r="V56" s="458"/>
      <c r="W56" s="458"/>
      <c r="X56" s="458"/>
      <c r="Y56" s="456"/>
      <c r="Z56" s="458"/>
      <c r="AA56" s="458"/>
      <c r="AB56" s="458"/>
      <c r="AC56" s="458"/>
      <c r="AD56" s="456"/>
      <c r="AL56" s="459"/>
    </row>
    <row r="57" spans="1:38" s="352" customFormat="1" ht="10.5" customHeight="1" x14ac:dyDescent="0.35">
      <c r="A57" s="469"/>
      <c r="B57" s="452"/>
      <c r="C57" s="453"/>
      <c r="D57" s="454"/>
      <c r="E57" s="455"/>
      <c r="F57" s="456"/>
      <c r="G57" s="456"/>
      <c r="H57" s="456"/>
      <c r="I57" s="457">
        <f>s11cumperf[[#This Row],[Gross Receipts Cash]]+s11cumperf[[#This Row],[Gross Receipts Equity]]</f>
        <v>0</v>
      </c>
      <c r="J57" s="457">
        <f>SUMIF(s1inv[Employer ID],s11cumperf[[#This Row],[Employer ID]],s1inv[SBA Reported Value (B)])</f>
        <v>0</v>
      </c>
      <c r="K57" s="457">
        <f>SUMIF(s1inv[Employer ID],s11cumperf[[#This Row],[Employer ID]],s1inv[GAAP Reported Value (C)])</f>
        <v>0</v>
      </c>
      <c r="L57" s="476" t="str">
        <f>IFERROR(s11cumperf[[#This Row],[Total Receipts]]/s11cumperf[[#This Row],[Total Dollars Invested]],"")</f>
        <v/>
      </c>
      <c r="M57" s="476" t="str">
        <f>IFERROR((s11cumperf[[#This Row],[Total Receipts]]+s11cumperf[[#This Row],[SBA Reported Value]])/s11cumperf[[#This Row],[Total Dollars Invested]],"")</f>
        <v/>
      </c>
      <c r="N57" s="642"/>
      <c r="O57" s="642"/>
      <c r="P57" s="642"/>
      <c r="Q57" s="642"/>
      <c r="R57" s="642"/>
      <c r="S57" s="655"/>
      <c r="T57" s="641"/>
      <c r="U57" s="458"/>
      <c r="V57" s="458"/>
      <c r="W57" s="458"/>
      <c r="X57" s="458"/>
      <c r="Y57" s="456"/>
      <c r="Z57" s="458"/>
      <c r="AA57" s="458"/>
      <c r="AB57" s="458"/>
      <c r="AC57" s="458"/>
      <c r="AD57" s="456"/>
      <c r="AL57" s="459"/>
    </row>
    <row r="58" spans="1:38" s="352" customFormat="1" ht="10.5" customHeight="1" x14ac:dyDescent="0.35">
      <c r="A58" s="469"/>
      <c r="B58" s="452"/>
      <c r="C58" s="453"/>
      <c r="D58" s="454"/>
      <c r="E58" s="455"/>
      <c r="F58" s="456"/>
      <c r="G58" s="456"/>
      <c r="H58" s="456"/>
      <c r="I58" s="457">
        <f>s11cumperf[[#This Row],[Gross Receipts Cash]]+s11cumperf[[#This Row],[Gross Receipts Equity]]</f>
        <v>0</v>
      </c>
      <c r="J58" s="457">
        <f>SUMIF(s1inv[Employer ID],s11cumperf[[#This Row],[Employer ID]],s1inv[SBA Reported Value (B)])</f>
        <v>0</v>
      </c>
      <c r="K58" s="457">
        <f>SUMIF(s1inv[Employer ID],s11cumperf[[#This Row],[Employer ID]],s1inv[GAAP Reported Value (C)])</f>
        <v>0</v>
      </c>
      <c r="L58" s="476" t="str">
        <f>IFERROR(s11cumperf[[#This Row],[Total Receipts]]/s11cumperf[[#This Row],[Total Dollars Invested]],"")</f>
        <v/>
      </c>
      <c r="M58" s="476" t="str">
        <f>IFERROR((s11cumperf[[#This Row],[Total Receipts]]+s11cumperf[[#This Row],[SBA Reported Value]])/s11cumperf[[#This Row],[Total Dollars Invested]],"")</f>
        <v/>
      </c>
      <c r="N58" s="642"/>
      <c r="O58" s="642"/>
      <c r="P58" s="642"/>
      <c r="Q58" s="642"/>
      <c r="R58" s="642"/>
      <c r="S58" s="655"/>
      <c r="T58" s="641"/>
      <c r="U58" s="458"/>
      <c r="V58" s="458"/>
      <c r="W58" s="458"/>
      <c r="X58" s="458"/>
      <c r="Y58" s="456"/>
      <c r="Z58" s="458"/>
      <c r="AA58" s="458"/>
      <c r="AB58" s="458"/>
      <c r="AC58" s="458"/>
      <c r="AD58" s="456"/>
      <c r="AL58" s="459"/>
    </row>
    <row r="59" spans="1:38" s="352" customFormat="1" ht="10.5" customHeight="1" x14ac:dyDescent="0.35">
      <c r="A59" s="469"/>
      <c r="B59" s="452"/>
      <c r="C59" s="453"/>
      <c r="D59" s="454"/>
      <c r="E59" s="455"/>
      <c r="F59" s="456"/>
      <c r="G59" s="456"/>
      <c r="H59" s="456"/>
      <c r="I59" s="457">
        <f>s11cumperf[[#This Row],[Gross Receipts Cash]]+s11cumperf[[#This Row],[Gross Receipts Equity]]</f>
        <v>0</v>
      </c>
      <c r="J59" s="457">
        <f>SUMIF(s1inv[Employer ID],s11cumperf[[#This Row],[Employer ID]],s1inv[SBA Reported Value (B)])</f>
        <v>0</v>
      </c>
      <c r="K59" s="457">
        <f>SUMIF(s1inv[Employer ID],s11cumperf[[#This Row],[Employer ID]],s1inv[GAAP Reported Value (C)])</f>
        <v>0</v>
      </c>
      <c r="L59" s="476" t="str">
        <f>IFERROR(s11cumperf[[#This Row],[Total Receipts]]/s11cumperf[[#This Row],[Total Dollars Invested]],"")</f>
        <v/>
      </c>
      <c r="M59" s="476" t="str">
        <f>IFERROR((s11cumperf[[#This Row],[Total Receipts]]+s11cumperf[[#This Row],[SBA Reported Value]])/s11cumperf[[#This Row],[Total Dollars Invested]],"")</f>
        <v/>
      </c>
      <c r="N59" s="642"/>
      <c r="O59" s="642"/>
      <c r="P59" s="642"/>
      <c r="Q59" s="642"/>
      <c r="R59" s="642"/>
      <c r="S59" s="655"/>
      <c r="T59" s="641"/>
      <c r="U59" s="458"/>
      <c r="V59" s="458"/>
      <c r="W59" s="458"/>
      <c r="X59" s="458"/>
      <c r="Y59" s="456"/>
      <c r="Z59" s="458"/>
      <c r="AA59" s="458"/>
      <c r="AB59" s="458"/>
      <c r="AC59" s="458"/>
      <c r="AD59" s="456"/>
      <c r="AL59" s="459"/>
    </row>
    <row r="60" spans="1:38" s="352" customFormat="1" ht="10.5" customHeight="1" x14ac:dyDescent="0.35">
      <c r="A60" s="469"/>
      <c r="B60" s="452"/>
      <c r="C60" s="453"/>
      <c r="D60" s="454"/>
      <c r="E60" s="455"/>
      <c r="F60" s="456"/>
      <c r="G60" s="456"/>
      <c r="H60" s="456"/>
      <c r="I60" s="457">
        <f>s11cumperf[[#This Row],[Gross Receipts Cash]]+s11cumperf[[#This Row],[Gross Receipts Equity]]</f>
        <v>0</v>
      </c>
      <c r="J60" s="457">
        <f>SUMIF(s1inv[Employer ID],s11cumperf[[#This Row],[Employer ID]],s1inv[SBA Reported Value (B)])</f>
        <v>0</v>
      </c>
      <c r="K60" s="457">
        <f>SUMIF(s1inv[Employer ID],s11cumperf[[#This Row],[Employer ID]],s1inv[GAAP Reported Value (C)])</f>
        <v>0</v>
      </c>
      <c r="L60" s="476" t="str">
        <f>IFERROR(s11cumperf[[#This Row],[Total Receipts]]/s11cumperf[[#This Row],[Total Dollars Invested]],"")</f>
        <v/>
      </c>
      <c r="M60" s="476" t="str">
        <f>IFERROR((s11cumperf[[#This Row],[Total Receipts]]+s11cumperf[[#This Row],[SBA Reported Value]])/s11cumperf[[#This Row],[Total Dollars Invested]],"")</f>
        <v/>
      </c>
      <c r="N60" s="642"/>
      <c r="O60" s="642"/>
      <c r="P60" s="642"/>
      <c r="Q60" s="642"/>
      <c r="R60" s="642"/>
      <c r="S60" s="655"/>
      <c r="T60" s="641"/>
      <c r="U60" s="458"/>
      <c r="V60" s="458"/>
      <c r="W60" s="458"/>
      <c r="X60" s="458"/>
      <c r="Y60" s="456"/>
      <c r="Z60" s="458"/>
      <c r="AA60" s="458"/>
      <c r="AB60" s="458"/>
      <c r="AC60" s="458"/>
      <c r="AD60" s="456"/>
      <c r="AL60" s="459"/>
    </row>
    <row r="61" spans="1:38" s="352" customFormat="1" ht="10.5" customHeight="1" x14ac:dyDescent="0.35">
      <c r="A61" s="469"/>
      <c r="B61" s="452"/>
      <c r="C61" s="453"/>
      <c r="D61" s="454"/>
      <c r="E61" s="455"/>
      <c r="F61" s="456"/>
      <c r="G61" s="456"/>
      <c r="H61" s="456"/>
      <c r="I61" s="457">
        <f>s11cumperf[[#This Row],[Gross Receipts Cash]]+s11cumperf[[#This Row],[Gross Receipts Equity]]</f>
        <v>0</v>
      </c>
      <c r="J61" s="457">
        <f>SUMIF(s1inv[Employer ID],s11cumperf[[#This Row],[Employer ID]],s1inv[SBA Reported Value (B)])</f>
        <v>0</v>
      </c>
      <c r="K61" s="457">
        <f>SUMIF(s1inv[Employer ID],s11cumperf[[#This Row],[Employer ID]],s1inv[GAAP Reported Value (C)])</f>
        <v>0</v>
      </c>
      <c r="L61" s="476" t="str">
        <f>IFERROR(s11cumperf[[#This Row],[Total Receipts]]/s11cumperf[[#This Row],[Total Dollars Invested]],"")</f>
        <v/>
      </c>
      <c r="M61" s="476" t="str">
        <f>IFERROR((s11cumperf[[#This Row],[Total Receipts]]+s11cumperf[[#This Row],[SBA Reported Value]])/s11cumperf[[#This Row],[Total Dollars Invested]],"")</f>
        <v/>
      </c>
      <c r="N61" s="642"/>
      <c r="O61" s="642"/>
      <c r="P61" s="642"/>
      <c r="Q61" s="642"/>
      <c r="R61" s="642"/>
      <c r="S61" s="655"/>
      <c r="T61" s="641"/>
      <c r="U61" s="458"/>
      <c r="V61" s="458"/>
      <c r="W61" s="458"/>
      <c r="X61" s="458"/>
      <c r="Y61" s="456"/>
      <c r="Z61" s="458"/>
      <c r="AA61" s="458"/>
      <c r="AB61" s="458"/>
      <c r="AC61" s="458"/>
      <c r="AD61" s="456"/>
      <c r="AL61" s="459"/>
    </row>
    <row r="62" spans="1:38" s="352" customFormat="1" ht="10.5" customHeight="1" x14ac:dyDescent="0.35">
      <c r="A62" s="469"/>
      <c r="B62" s="452"/>
      <c r="C62" s="453"/>
      <c r="D62" s="454"/>
      <c r="E62" s="455"/>
      <c r="F62" s="456"/>
      <c r="G62" s="456"/>
      <c r="H62" s="456"/>
      <c r="I62" s="457">
        <f>s11cumperf[[#This Row],[Gross Receipts Cash]]+s11cumperf[[#This Row],[Gross Receipts Equity]]</f>
        <v>0</v>
      </c>
      <c r="J62" s="457">
        <f>SUMIF(s1inv[Employer ID],s11cumperf[[#This Row],[Employer ID]],s1inv[SBA Reported Value (B)])</f>
        <v>0</v>
      </c>
      <c r="K62" s="457">
        <f>SUMIF(s1inv[Employer ID],s11cumperf[[#This Row],[Employer ID]],s1inv[GAAP Reported Value (C)])</f>
        <v>0</v>
      </c>
      <c r="L62" s="476" t="str">
        <f>IFERROR(s11cumperf[[#This Row],[Total Receipts]]/s11cumperf[[#This Row],[Total Dollars Invested]],"")</f>
        <v/>
      </c>
      <c r="M62" s="476" t="str">
        <f>IFERROR((s11cumperf[[#This Row],[Total Receipts]]+s11cumperf[[#This Row],[SBA Reported Value]])/s11cumperf[[#This Row],[Total Dollars Invested]],"")</f>
        <v/>
      </c>
      <c r="N62" s="642"/>
      <c r="O62" s="642"/>
      <c r="P62" s="642"/>
      <c r="Q62" s="642"/>
      <c r="R62" s="642"/>
      <c r="S62" s="655"/>
      <c r="T62" s="641"/>
      <c r="U62" s="458"/>
      <c r="V62" s="458"/>
      <c r="W62" s="458"/>
      <c r="X62" s="458"/>
      <c r="Y62" s="456"/>
      <c r="Z62" s="458"/>
      <c r="AA62" s="458"/>
      <c r="AB62" s="458"/>
      <c r="AC62" s="458"/>
      <c r="AD62" s="456"/>
      <c r="AL62" s="459"/>
    </row>
    <row r="63" spans="1:38" s="352" customFormat="1" ht="10.5" customHeight="1" x14ac:dyDescent="0.35">
      <c r="A63" s="469"/>
      <c r="B63" s="452"/>
      <c r="C63" s="453"/>
      <c r="D63" s="454"/>
      <c r="E63" s="455"/>
      <c r="F63" s="456"/>
      <c r="G63" s="456"/>
      <c r="H63" s="456"/>
      <c r="I63" s="457">
        <f>s11cumperf[[#This Row],[Gross Receipts Cash]]+s11cumperf[[#This Row],[Gross Receipts Equity]]</f>
        <v>0</v>
      </c>
      <c r="J63" s="457">
        <f>SUMIF(s1inv[Employer ID],s11cumperf[[#This Row],[Employer ID]],s1inv[SBA Reported Value (B)])</f>
        <v>0</v>
      </c>
      <c r="K63" s="457">
        <f>SUMIF(s1inv[Employer ID],s11cumperf[[#This Row],[Employer ID]],s1inv[GAAP Reported Value (C)])</f>
        <v>0</v>
      </c>
      <c r="L63" s="476" t="str">
        <f>IFERROR(s11cumperf[[#This Row],[Total Receipts]]/s11cumperf[[#This Row],[Total Dollars Invested]],"")</f>
        <v/>
      </c>
      <c r="M63" s="476" t="str">
        <f>IFERROR((s11cumperf[[#This Row],[Total Receipts]]+s11cumperf[[#This Row],[SBA Reported Value]])/s11cumperf[[#This Row],[Total Dollars Invested]],"")</f>
        <v/>
      </c>
      <c r="N63" s="642"/>
      <c r="O63" s="642"/>
      <c r="P63" s="642"/>
      <c r="Q63" s="642"/>
      <c r="R63" s="642"/>
      <c r="S63" s="655"/>
      <c r="T63" s="641"/>
      <c r="U63" s="458"/>
      <c r="V63" s="458"/>
      <c r="W63" s="458"/>
      <c r="X63" s="458"/>
      <c r="Y63" s="456"/>
      <c r="Z63" s="458"/>
      <c r="AA63" s="458"/>
      <c r="AB63" s="458"/>
      <c r="AC63" s="458"/>
      <c r="AD63" s="456"/>
      <c r="AL63" s="459"/>
    </row>
    <row r="64" spans="1:38" s="352" customFormat="1" ht="10.5" customHeight="1" x14ac:dyDescent="0.35">
      <c r="A64" s="469"/>
      <c r="B64" s="452"/>
      <c r="C64" s="453"/>
      <c r="D64" s="454"/>
      <c r="E64" s="455"/>
      <c r="F64" s="456"/>
      <c r="G64" s="456"/>
      <c r="H64" s="456"/>
      <c r="I64" s="457">
        <f>s11cumperf[[#This Row],[Gross Receipts Cash]]+s11cumperf[[#This Row],[Gross Receipts Equity]]</f>
        <v>0</v>
      </c>
      <c r="J64" s="457">
        <f>SUMIF(s1inv[Employer ID],s11cumperf[[#This Row],[Employer ID]],s1inv[SBA Reported Value (B)])</f>
        <v>0</v>
      </c>
      <c r="K64" s="457">
        <f>SUMIF(s1inv[Employer ID],s11cumperf[[#This Row],[Employer ID]],s1inv[GAAP Reported Value (C)])</f>
        <v>0</v>
      </c>
      <c r="L64" s="476" t="str">
        <f>IFERROR(s11cumperf[[#This Row],[Total Receipts]]/s11cumperf[[#This Row],[Total Dollars Invested]],"")</f>
        <v/>
      </c>
      <c r="M64" s="476" t="str">
        <f>IFERROR((s11cumperf[[#This Row],[Total Receipts]]+s11cumperf[[#This Row],[SBA Reported Value]])/s11cumperf[[#This Row],[Total Dollars Invested]],"")</f>
        <v/>
      </c>
      <c r="N64" s="642"/>
      <c r="O64" s="642"/>
      <c r="P64" s="642"/>
      <c r="Q64" s="642"/>
      <c r="R64" s="642"/>
      <c r="S64" s="655"/>
      <c r="T64" s="641"/>
      <c r="U64" s="458"/>
      <c r="V64" s="458"/>
      <c r="W64" s="458"/>
      <c r="X64" s="458"/>
      <c r="Y64" s="456"/>
      <c r="Z64" s="458"/>
      <c r="AA64" s="458"/>
      <c r="AB64" s="458"/>
      <c r="AC64" s="458"/>
      <c r="AD64" s="456"/>
      <c r="AL64" s="459"/>
    </row>
    <row r="65" spans="1:38" s="352" customFormat="1" ht="10.5" customHeight="1" x14ac:dyDescent="0.35">
      <c r="A65" s="469"/>
      <c r="B65" s="452"/>
      <c r="C65" s="453"/>
      <c r="D65" s="454"/>
      <c r="E65" s="455"/>
      <c r="F65" s="456"/>
      <c r="G65" s="456"/>
      <c r="H65" s="456"/>
      <c r="I65" s="457">
        <f>s11cumperf[[#This Row],[Gross Receipts Cash]]+s11cumperf[[#This Row],[Gross Receipts Equity]]</f>
        <v>0</v>
      </c>
      <c r="J65" s="457">
        <f>SUMIF(s1inv[Employer ID],s11cumperf[[#This Row],[Employer ID]],s1inv[SBA Reported Value (B)])</f>
        <v>0</v>
      </c>
      <c r="K65" s="457">
        <f>SUMIF(s1inv[Employer ID],s11cumperf[[#This Row],[Employer ID]],s1inv[GAAP Reported Value (C)])</f>
        <v>0</v>
      </c>
      <c r="L65" s="476" t="str">
        <f>IFERROR(s11cumperf[[#This Row],[Total Receipts]]/s11cumperf[[#This Row],[Total Dollars Invested]],"")</f>
        <v/>
      </c>
      <c r="M65" s="476" t="str">
        <f>IFERROR((s11cumperf[[#This Row],[Total Receipts]]+s11cumperf[[#This Row],[SBA Reported Value]])/s11cumperf[[#This Row],[Total Dollars Invested]],"")</f>
        <v/>
      </c>
      <c r="N65" s="642"/>
      <c r="O65" s="642"/>
      <c r="P65" s="642"/>
      <c r="Q65" s="642"/>
      <c r="R65" s="642"/>
      <c r="S65" s="655"/>
      <c r="T65" s="641"/>
      <c r="U65" s="458"/>
      <c r="V65" s="458"/>
      <c r="W65" s="458"/>
      <c r="X65" s="458"/>
      <c r="Y65" s="456"/>
      <c r="Z65" s="458"/>
      <c r="AA65" s="458"/>
      <c r="AB65" s="458"/>
      <c r="AC65" s="458"/>
      <c r="AD65" s="456"/>
      <c r="AL65" s="459"/>
    </row>
    <row r="66" spans="1:38" s="352" customFormat="1" ht="10.5" customHeight="1" x14ac:dyDescent="0.35">
      <c r="A66" s="469"/>
      <c r="B66" s="452"/>
      <c r="C66" s="453"/>
      <c r="D66" s="454"/>
      <c r="E66" s="455"/>
      <c r="F66" s="456"/>
      <c r="G66" s="456"/>
      <c r="H66" s="456"/>
      <c r="I66" s="457">
        <f>s11cumperf[[#This Row],[Gross Receipts Cash]]+s11cumperf[[#This Row],[Gross Receipts Equity]]</f>
        <v>0</v>
      </c>
      <c r="J66" s="457">
        <f>SUMIF(s1inv[Employer ID],s11cumperf[[#This Row],[Employer ID]],s1inv[SBA Reported Value (B)])</f>
        <v>0</v>
      </c>
      <c r="K66" s="457">
        <f>SUMIF(s1inv[Employer ID],s11cumperf[[#This Row],[Employer ID]],s1inv[GAAP Reported Value (C)])</f>
        <v>0</v>
      </c>
      <c r="L66" s="476" t="str">
        <f>IFERROR(s11cumperf[[#This Row],[Total Receipts]]/s11cumperf[[#This Row],[Total Dollars Invested]],"")</f>
        <v/>
      </c>
      <c r="M66" s="476" t="str">
        <f>IFERROR((s11cumperf[[#This Row],[Total Receipts]]+s11cumperf[[#This Row],[SBA Reported Value]])/s11cumperf[[#This Row],[Total Dollars Invested]],"")</f>
        <v/>
      </c>
      <c r="N66" s="642"/>
      <c r="O66" s="642"/>
      <c r="P66" s="642"/>
      <c r="Q66" s="642"/>
      <c r="R66" s="642"/>
      <c r="S66" s="655"/>
      <c r="T66" s="641"/>
      <c r="U66" s="458"/>
      <c r="V66" s="458"/>
      <c r="W66" s="458"/>
      <c r="X66" s="458"/>
      <c r="Y66" s="456"/>
      <c r="Z66" s="458"/>
      <c r="AA66" s="458"/>
      <c r="AB66" s="458"/>
      <c r="AC66" s="458"/>
      <c r="AD66" s="456"/>
      <c r="AL66" s="459"/>
    </row>
    <row r="67" spans="1:38" s="352" customFormat="1" ht="10.5" customHeight="1" x14ac:dyDescent="0.35">
      <c r="A67" s="469"/>
      <c r="B67" s="452"/>
      <c r="C67" s="453"/>
      <c r="D67" s="454"/>
      <c r="E67" s="455"/>
      <c r="F67" s="456"/>
      <c r="G67" s="456"/>
      <c r="H67" s="456"/>
      <c r="I67" s="457">
        <f>s11cumperf[[#This Row],[Gross Receipts Cash]]+s11cumperf[[#This Row],[Gross Receipts Equity]]</f>
        <v>0</v>
      </c>
      <c r="J67" s="457">
        <f>SUMIF(s1inv[Employer ID],s11cumperf[[#This Row],[Employer ID]],s1inv[SBA Reported Value (B)])</f>
        <v>0</v>
      </c>
      <c r="K67" s="457">
        <f>SUMIF(s1inv[Employer ID],s11cumperf[[#This Row],[Employer ID]],s1inv[GAAP Reported Value (C)])</f>
        <v>0</v>
      </c>
      <c r="L67" s="476" t="str">
        <f>IFERROR(s11cumperf[[#This Row],[Total Receipts]]/s11cumperf[[#This Row],[Total Dollars Invested]],"")</f>
        <v/>
      </c>
      <c r="M67" s="476" t="str">
        <f>IFERROR((s11cumperf[[#This Row],[Total Receipts]]+s11cumperf[[#This Row],[SBA Reported Value]])/s11cumperf[[#This Row],[Total Dollars Invested]],"")</f>
        <v/>
      </c>
      <c r="N67" s="642"/>
      <c r="O67" s="642"/>
      <c r="P67" s="642"/>
      <c r="Q67" s="642"/>
      <c r="R67" s="642"/>
      <c r="S67" s="655"/>
      <c r="T67" s="641"/>
      <c r="U67" s="458"/>
      <c r="V67" s="458"/>
      <c r="W67" s="458"/>
      <c r="X67" s="458"/>
      <c r="Y67" s="456"/>
      <c r="Z67" s="458"/>
      <c r="AA67" s="458"/>
      <c r="AB67" s="458"/>
      <c r="AC67" s="458"/>
      <c r="AD67" s="456"/>
      <c r="AL67" s="459"/>
    </row>
    <row r="68" spans="1:38" s="352" customFormat="1" ht="10.5" customHeight="1" x14ac:dyDescent="0.35">
      <c r="A68" s="469"/>
      <c r="B68" s="452"/>
      <c r="C68" s="453"/>
      <c r="D68" s="454"/>
      <c r="E68" s="455"/>
      <c r="F68" s="456"/>
      <c r="G68" s="456"/>
      <c r="H68" s="456"/>
      <c r="I68" s="457">
        <f>s11cumperf[[#This Row],[Gross Receipts Cash]]+s11cumperf[[#This Row],[Gross Receipts Equity]]</f>
        <v>0</v>
      </c>
      <c r="J68" s="457">
        <f>SUMIF(s1inv[Employer ID],s11cumperf[[#This Row],[Employer ID]],s1inv[SBA Reported Value (B)])</f>
        <v>0</v>
      </c>
      <c r="K68" s="457">
        <f>SUMIF(s1inv[Employer ID],s11cumperf[[#This Row],[Employer ID]],s1inv[GAAP Reported Value (C)])</f>
        <v>0</v>
      </c>
      <c r="L68" s="476" t="str">
        <f>IFERROR(s11cumperf[[#This Row],[Total Receipts]]/s11cumperf[[#This Row],[Total Dollars Invested]],"")</f>
        <v/>
      </c>
      <c r="M68" s="476" t="str">
        <f>IFERROR((s11cumperf[[#This Row],[Total Receipts]]+s11cumperf[[#This Row],[SBA Reported Value]])/s11cumperf[[#This Row],[Total Dollars Invested]],"")</f>
        <v/>
      </c>
      <c r="N68" s="642"/>
      <c r="O68" s="642"/>
      <c r="P68" s="642"/>
      <c r="Q68" s="642"/>
      <c r="R68" s="642"/>
      <c r="S68" s="655"/>
      <c r="T68" s="641"/>
      <c r="U68" s="458"/>
      <c r="V68" s="458"/>
      <c r="W68" s="458"/>
      <c r="X68" s="458"/>
      <c r="Y68" s="456"/>
      <c r="Z68" s="458"/>
      <c r="AA68" s="458"/>
      <c r="AB68" s="458"/>
      <c r="AC68" s="458"/>
      <c r="AD68" s="456"/>
      <c r="AL68" s="459"/>
    </row>
    <row r="69" spans="1:38" s="352" customFormat="1" ht="10.5" customHeight="1" x14ac:dyDescent="0.35">
      <c r="A69" s="469"/>
      <c r="B69" s="452"/>
      <c r="C69" s="453"/>
      <c r="D69" s="454"/>
      <c r="E69" s="455"/>
      <c r="F69" s="456"/>
      <c r="G69" s="456"/>
      <c r="H69" s="456"/>
      <c r="I69" s="457">
        <f>s11cumperf[[#This Row],[Gross Receipts Cash]]+s11cumperf[[#This Row],[Gross Receipts Equity]]</f>
        <v>0</v>
      </c>
      <c r="J69" s="457">
        <f>SUMIF(s1inv[Employer ID],s11cumperf[[#This Row],[Employer ID]],s1inv[SBA Reported Value (B)])</f>
        <v>0</v>
      </c>
      <c r="K69" s="457">
        <f>SUMIF(s1inv[Employer ID],s11cumperf[[#This Row],[Employer ID]],s1inv[GAAP Reported Value (C)])</f>
        <v>0</v>
      </c>
      <c r="L69" s="476" t="str">
        <f>IFERROR(s11cumperf[[#This Row],[Total Receipts]]/s11cumperf[[#This Row],[Total Dollars Invested]],"")</f>
        <v/>
      </c>
      <c r="M69" s="476" t="str">
        <f>IFERROR((s11cumperf[[#This Row],[Total Receipts]]+s11cumperf[[#This Row],[SBA Reported Value]])/s11cumperf[[#This Row],[Total Dollars Invested]],"")</f>
        <v/>
      </c>
      <c r="N69" s="642"/>
      <c r="O69" s="642"/>
      <c r="P69" s="642"/>
      <c r="Q69" s="642"/>
      <c r="R69" s="642"/>
      <c r="S69" s="655"/>
      <c r="T69" s="641"/>
      <c r="U69" s="458"/>
      <c r="V69" s="458"/>
      <c r="W69" s="458"/>
      <c r="X69" s="458"/>
      <c r="Y69" s="456"/>
      <c r="Z69" s="458"/>
      <c r="AA69" s="458"/>
      <c r="AB69" s="458"/>
      <c r="AC69" s="458"/>
      <c r="AD69" s="456"/>
      <c r="AL69" s="459"/>
    </row>
    <row r="70" spans="1:38" s="352" customFormat="1" ht="10.5" customHeight="1" x14ac:dyDescent="0.35">
      <c r="A70" s="469"/>
      <c r="B70" s="452"/>
      <c r="C70" s="453"/>
      <c r="D70" s="454"/>
      <c r="E70" s="455"/>
      <c r="F70" s="456"/>
      <c r="G70" s="456"/>
      <c r="H70" s="456"/>
      <c r="I70" s="457">
        <f>s11cumperf[[#This Row],[Gross Receipts Cash]]+s11cumperf[[#This Row],[Gross Receipts Equity]]</f>
        <v>0</v>
      </c>
      <c r="J70" s="457">
        <f>SUMIF(s1inv[Employer ID],s11cumperf[[#This Row],[Employer ID]],s1inv[SBA Reported Value (B)])</f>
        <v>0</v>
      </c>
      <c r="K70" s="457">
        <f>SUMIF(s1inv[Employer ID],s11cumperf[[#This Row],[Employer ID]],s1inv[GAAP Reported Value (C)])</f>
        <v>0</v>
      </c>
      <c r="L70" s="476" t="str">
        <f>IFERROR(s11cumperf[[#This Row],[Total Receipts]]/s11cumperf[[#This Row],[Total Dollars Invested]],"")</f>
        <v/>
      </c>
      <c r="M70" s="476" t="str">
        <f>IFERROR((s11cumperf[[#This Row],[Total Receipts]]+s11cumperf[[#This Row],[SBA Reported Value]])/s11cumperf[[#This Row],[Total Dollars Invested]],"")</f>
        <v/>
      </c>
      <c r="N70" s="642"/>
      <c r="O70" s="642"/>
      <c r="P70" s="642"/>
      <c r="Q70" s="642"/>
      <c r="R70" s="642"/>
      <c r="S70" s="655"/>
      <c r="T70" s="641"/>
      <c r="U70" s="458"/>
      <c r="V70" s="458"/>
      <c r="W70" s="458"/>
      <c r="X70" s="458"/>
      <c r="Y70" s="456"/>
      <c r="Z70" s="458"/>
      <c r="AA70" s="458"/>
      <c r="AB70" s="458"/>
      <c r="AC70" s="458"/>
      <c r="AD70" s="456"/>
      <c r="AL70" s="459"/>
    </row>
    <row r="71" spans="1:38" s="352" customFormat="1" ht="10.5" customHeight="1" x14ac:dyDescent="0.35">
      <c r="A71" s="469"/>
      <c r="B71" s="452"/>
      <c r="C71" s="453"/>
      <c r="D71" s="454"/>
      <c r="E71" s="455"/>
      <c r="F71" s="456"/>
      <c r="G71" s="456"/>
      <c r="H71" s="456"/>
      <c r="I71" s="457">
        <f>s11cumperf[[#This Row],[Gross Receipts Cash]]+s11cumperf[[#This Row],[Gross Receipts Equity]]</f>
        <v>0</v>
      </c>
      <c r="J71" s="457">
        <f>SUMIF(s1inv[Employer ID],s11cumperf[[#This Row],[Employer ID]],s1inv[SBA Reported Value (B)])</f>
        <v>0</v>
      </c>
      <c r="K71" s="457">
        <f>SUMIF(s1inv[Employer ID],s11cumperf[[#This Row],[Employer ID]],s1inv[GAAP Reported Value (C)])</f>
        <v>0</v>
      </c>
      <c r="L71" s="476" t="str">
        <f>IFERROR(s11cumperf[[#This Row],[Total Receipts]]/s11cumperf[[#This Row],[Total Dollars Invested]],"")</f>
        <v/>
      </c>
      <c r="M71" s="476" t="str">
        <f>IFERROR((s11cumperf[[#This Row],[Total Receipts]]+s11cumperf[[#This Row],[SBA Reported Value]])/s11cumperf[[#This Row],[Total Dollars Invested]],"")</f>
        <v/>
      </c>
      <c r="N71" s="642"/>
      <c r="O71" s="642"/>
      <c r="P71" s="642"/>
      <c r="Q71" s="642"/>
      <c r="R71" s="642"/>
      <c r="S71" s="655"/>
      <c r="T71" s="641"/>
      <c r="U71" s="458"/>
      <c r="V71" s="458"/>
      <c r="W71" s="458"/>
      <c r="X71" s="458"/>
      <c r="Y71" s="456"/>
      <c r="Z71" s="458"/>
      <c r="AA71" s="458"/>
      <c r="AB71" s="458"/>
      <c r="AC71" s="458"/>
      <c r="AD71" s="456"/>
      <c r="AL71" s="459"/>
    </row>
    <row r="72" spans="1:38" s="352" customFormat="1" ht="10.5" customHeight="1" x14ac:dyDescent="0.35">
      <c r="A72" s="469"/>
      <c r="B72" s="452"/>
      <c r="C72" s="453"/>
      <c r="D72" s="454"/>
      <c r="E72" s="455"/>
      <c r="F72" s="456"/>
      <c r="G72" s="456"/>
      <c r="H72" s="456"/>
      <c r="I72" s="457">
        <f>s11cumperf[[#This Row],[Gross Receipts Cash]]+s11cumperf[[#This Row],[Gross Receipts Equity]]</f>
        <v>0</v>
      </c>
      <c r="J72" s="457">
        <f>SUMIF(s1inv[Employer ID],s11cumperf[[#This Row],[Employer ID]],s1inv[SBA Reported Value (B)])</f>
        <v>0</v>
      </c>
      <c r="K72" s="457">
        <f>SUMIF(s1inv[Employer ID],s11cumperf[[#This Row],[Employer ID]],s1inv[GAAP Reported Value (C)])</f>
        <v>0</v>
      </c>
      <c r="L72" s="476" t="str">
        <f>IFERROR(s11cumperf[[#This Row],[Total Receipts]]/s11cumperf[[#This Row],[Total Dollars Invested]],"")</f>
        <v/>
      </c>
      <c r="M72" s="476" t="str">
        <f>IFERROR((s11cumperf[[#This Row],[Total Receipts]]+s11cumperf[[#This Row],[SBA Reported Value]])/s11cumperf[[#This Row],[Total Dollars Invested]],"")</f>
        <v/>
      </c>
      <c r="N72" s="642"/>
      <c r="O72" s="642"/>
      <c r="P72" s="642"/>
      <c r="Q72" s="642"/>
      <c r="R72" s="642"/>
      <c r="S72" s="655"/>
      <c r="T72" s="641"/>
      <c r="U72" s="458"/>
      <c r="V72" s="458"/>
      <c r="W72" s="458"/>
      <c r="X72" s="458"/>
      <c r="Y72" s="456"/>
      <c r="Z72" s="458"/>
      <c r="AA72" s="458"/>
      <c r="AB72" s="458"/>
      <c r="AC72" s="458"/>
      <c r="AD72" s="456"/>
      <c r="AL72" s="459"/>
    </row>
    <row r="73" spans="1:38" s="352" customFormat="1" ht="10.5" customHeight="1" x14ac:dyDescent="0.35">
      <c r="A73" s="469"/>
      <c r="B73" s="452"/>
      <c r="C73" s="453"/>
      <c r="D73" s="454"/>
      <c r="E73" s="455"/>
      <c r="F73" s="456"/>
      <c r="G73" s="456"/>
      <c r="H73" s="456"/>
      <c r="I73" s="457">
        <f>s11cumperf[[#This Row],[Gross Receipts Cash]]+s11cumperf[[#This Row],[Gross Receipts Equity]]</f>
        <v>0</v>
      </c>
      <c r="J73" s="457">
        <f>SUMIF(s1inv[Employer ID],s11cumperf[[#This Row],[Employer ID]],s1inv[SBA Reported Value (B)])</f>
        <v>0</v>
      </c>
      <c r="K73" s="457">
        <f>SUMIF(s1inv[Employer ID],s11cumperf[[#This Row],[Employer ID]],s1inv[GAAP Reported Value (C)])</f>
        <v>0</v>
      </c>
      <c r="L73" s="476" t="str">
        <f>IFERROR(s11cumperf[[#This Row],[Total Receipts]]/s11cumperf[[#This Row],[Total Dollars Invested]],"")</f>
        <v/>
      </c>
      <c r="M73" s="476" t="str">
        <f>IFERROR((s11cumperf[[#This Row],[Total Receipts]]+s11cumperf[[#This Row],[SBA Reported Value]])/s11cumperf[[#This Row],[Total Dollars Invested]],"")</f>
        <v/>
      </c>
      <c r="N73" s="642"/>
      <c r="O73" s="642"/>
      <c r="P73" s="642"/>
      <c r="Q73" s="642"/>
      <c r="R73" s="642"/>
      <c r="S73" s="655"/>
      <c r="T73" s="641"/>
      <c r="U73" s="458"/>
      <c r="V73" s="458"/>
      <c r="W73" s="458"/>
      <c r="X73" s="458"/>
      <c r="Y73" s="456"/>
      <c r="Z73" s="458"/>
      <c r="AA73" s="458"/>
      <c r="AB73" s="458"/>
      <c r="AC73" s="458"/>
      <c r="AD73" s="456"/>
      <c r="AL73" s="459"/>
    </row>
    <row r="74" spans="1:38" s="352" customFormat="1" ht="10.5" customHeight="1" x14ac:dyDescent="0.35">
      <c r="A74" s="469"/>
      <c r="B74" s="452"/>
      <c r="C74" s="453"/>
      <c r="D74" s="454"/>
      <c r="E74" s="455"/>
      <c r="F74" s="456"/>
      <c r="G74" s="456"/>
      <c r="H74" s="456"/>
      <c r="I74" s="457">
        <f>s11cumperf[[#This Row],[Gross Receipts Cash]]+s11cumperf[[#This Row],[Gross Receipts Equity]]</f>
        <v>0</v>
      </c>
      <c r="J74" s="457">
        <f>SUMIF(s1inv[Employer ID],s11cumperf[[#This Row],[Employer ID]],s1inv[SBA Reported Value (B)])</f>
        <v>0</v>
      </c>
      <c r="K74" s="457">
        <f>SUMIF(s1inv[Employer ID],s11cumperf[[#This Row],[Employer ID]],s1inv[GAAP Reported Value (C)])</f>
        <v>0</v>
      </c>
      <c r="L74" s="476" t="str">
        <f>IFERROR(s11cumperf[[#This Row],[Total Receipts]]/s11cumperf[[#This Row],[Total Dollars Invested]],"")</f>
        <v/>
      </c>
      <c r="M74" s="476" t="str">
        <f>IFERROR((s11cumperf[[#This Row],[Total Receipts]]+s11cumperf[[#This Row],[SBA Reported Value]])/s11cumperf[[#This Row],[Total Dollars Invested]],"")</f>
        <v/>
      </c>
      <c r="N74" s="642"/>
      <c r="O74" s="642"/>
      <c r="P74" s="642"/>
      <c r="Q74" s="642"/>
      <c r="R74" s="642"/>
      <c r="S74" s="655"/>
      <c r="T74" s="641"/>
      <c r="U74" s="458"/>
      <c r="V74" s="458"/>
      <c r="W74" s="458"/>
      <c r="X74" s="458"/>
      <c r="Y74" s="456"/>
      <c r="Z74" s="458"/>
      <c r="AA74" s="458"/>
      <c r="AB74" s="458"/>
      <c r="AC74" s="458"/>
      <c r="AD74" s="456"/>
      <c r="AL74" s="459"/>
    </row>
    <row r="75" spans="1:38" s="352" customFormat="1" ht="10.5" customHeight="1" x14ac:dyDescent="0.35">
      <c r="A75" s="469"/>
      <c r="B75" s="452"/>
      <c r="C75" s="453"/>
      <c r="D75" s="454"/>
      <c r="E75" s="455"/>
      <c r="F75" s="456"/>
      <c r="G75" s="456"/>
      <c r="H75" s="456"/>
      <c r="I75" s="457">
        <f>s11cumperf[[#This Row],[Gross Receipts Cash]]+s11cumperf[[#This Row],[Gross Receipts Equity]]</f>
        <v>0</v>
      </c>
      <c r="J75" s="457">
        <f>SUMIF(s1inv[Employer ID],s11cumperf[[#This Row],[Employer ID]],s1inv[SBA Reported Value (B)])</f>
        <v>0</v>
      </c>
      <c r="K75" s="457">
        <f>SUMIF(s1inv[Employer ID],s11cumperf[[#This Row],[Employer ID]],s1inv[GAAP Reported Value (C)])</f>
        <v>0</v>
      </c>
      <c r="L75" s="476" t="str">
        <f>IFERROR(s11cumperf[[#This Row],[Total Receipts]]/s11cumperf[[#This Row],[Total Dollars Invested]],"")</f>
        <v/>
      </c>
      <c r="M75" s="476" t="str">
        <f>IFERROR((s11cumperf[[#This Row],[Total Receipts]]+s11cumperf[[#This Row],[SBA Reported Value]])/s11cumperf[[#This Row],[Total Dollars Invested]],"")</f>
        <v/>
      </c>
      <c r="N75" s="642"/>
      <c r="O75" s="642"/>
      <c r="P75" s="642"/>
      <c r="Q75" s="642"/>
      <c r="R75" s="642"/>
      <c r="S75" s="655"/>
      <c r="T75" s="641"/>
      <c r="U75" s="458"/>
      <c r="V75" s="458"/>
      <c r="W75" s="458"/>
      <c r="X75" s="458"/>
      <c r="Y75" s="456"/>
      <c r="Z75" s="458"/>
      <c r="AA75" s="458"/>
      <c r="AB75" s="458"/>
      <c r="AC75" s="458"/>
      <c r="AD75" s="456"/>
      <c r="AL75" s="459"/>
    </row>
    <row r="76" spans="1:38" s="352" customFormat="1" ht="10.5" customHeight="1" x14ac:dyDescent="0.35">
      <c r="A76" s="469"/>
      <c r="B76" s="452"/>
      <c r="C76" s="453"/>
      <c r="D76" s="454"/>
      <c r="E76" s="455"/>
      <c r="F76" s="456"/>
      <c r="G76" s="456"/>
      <c r="H76" s="456"/>
      <c r="I76" s="457">
        <f>s11cumperf[[#This Row],[Gross Receipts Cash]]+s11cumperf[[#This Row],[Gross Receipts Equity]]</f>
        <v>0</v>
      </c>
      <c r="J76" s="457">
        <f>SUMIF(s1inv[Employer ID],s11cumperf[[#This Row],[Employer ID]],s1inv[SBA Reported Value (B)])</f>
        <v>0</v>
      </c>
      <c r="K76" s="457">
        <f>SUMIF(s1inv[Employer ID],s11cumperf[[#This Row],[Employer ID]],s1inv[GAAP Reported Value (C)])</f>
        <v>0</v>
      </c>
      <c r="L76" s="476" t="str">
        <f>IFERROR(s11cumperf[[#This Row],[Total Receipts]]/s11cumperf[[#This Row],[Total Dollars Invested]],"")</f>
        <v/>
      </c>
      <c r="M76" s="476" t="str">
        <f>IFERROR((s11cumperf[[#This Row],[Total Receipts]]+s11cumperf[[#This Row],[SBA Reported Value]])/s11cumperf[[#This Row],[Total Dollars Invested]],"")</f>
        <v/>
      </c>
      <c r="N76" s="642"/>
      <c r="O76" s="642"/>
      <c r="P76" s="642"/>
      <c r="Q76" s="642"/>
      <c r="R76" s="642"/>
      <c r="S76" s="655"/>
      <c r="T76" s="641"/>
      <c r="U76" s="458"/>
      <c r="V76" s="458"/>
      <c r="W76" s="458"/>
      <c r="X76" s="458"/>
      <c r="Y76" s="456"/>
      <c r="Z76" s="458"/>
      <c r="AA76" s="458"/>
      <c r="AB76" s="458"/>
      <c r="AC76" s="458"/>
      <c r="AD76" s="456"/>
      <c r="AL76" s="459"/>
    </row>
    <row r="77" spans="1:38" s="352" customFormat="1" ht="10.5" customHeight="1" x14ac:dyDescent="0.35">
      <c r="A77" s="469"/>
      <c r="B77" s="452"/>
      <c r="C77" s="453"/>
      <c r="D77" s="454"/>
      <c r="E77" s="455"/>
      <c r="F77" s="456"/>
      <c r="G77" s="456"/>
      <c r="H77" s="456"/>
      <c r="I77" s="457">
        <f>s11cumperf[[#This Row],[Gross Receipts Cash]]+s11cumperf[[#This Row],[Gross Receipts Equity]]</f>
        <v>0</v>
      </c>
      <c r="J77" s="457">
        <f>SUMIF(s1inv[Employer ID],s11cumperf[[#This Row],[Employer ID]],s1inv[SBA Reported Value (B)])</f>
        <v>0</v>
      </c>
      <c r="K77" s="457">
        <f>SUMIF(s1inv[Employer ID],s11cumperf[[#This Row],[Employer ID]],s1inv[GAAP Reported Value (C)])</f>
        <v>0</v>
      </c>
      <c r="L77" s="476" t="str">
        <f>IFERROR(s11cumperf[[#This Row],[Total Receipts]]/s11cumperf[[#This Row],[Total Dollars Invested]],"")</f>
        <v/>
      </c>
      <c r="M77" s="476" t="str">
        <f>IFERROR((s11cumperf[[#This Row],[Total Receipts]]+s11cumperf[[#This Row],[SBA Reported Value]])/s11cumperf[[#This Row],[Total Dollars Invested]],"")</f>
        <v/>
      </c>
      <c r="N77" s="642"/>
      <c r="O77" s="642"/>
      <c r="P77" s="642"/>
      <c r="Q77" s="642"/>
      <c r="R77" s="642"/>
      <c r="S77" s="655"/>
      <c r="T77" s="641"/>
      <c r="U77" s="458"/>
      <c r="V77" s="458"/>
      <c r="W77" s="458"/>
      <c r="X77" s="458"/>
      <c r="Y77" s="456"/>
      <c r="Z77" s="458"/>
      <c r="AA77" s="458"/>
      <c r="AB77" s="458"/>
      <c r="AC77" s="458"/>
      <c r="AD77" s="456"/>
      <c r="AL77" s="459"/>
    </row>
    <row r="78" spans="1:38" s="352" customFormat="1" ht="10.5" customHeight="1" x14ac:dyDescent="0.35">
      <c r="A78" s="469"/>
      <c r="B78" s="452"/>
      <c r="C78" s="453"/>
      <c r="D78" s="454"/>
      <c r="E78" s="455"/>
      <c r="F78" s="456"/>
      <c r="G78" s="456"/>
      <c r="H78" s="456"/>
      <c r="I78" s="457">
        <f>s11cumperf[[#This Row],[Gross Receipts Cash]]+s11cumperf[[#This Row],[Gross Receipts Equity]]</f>
        <v>0</v>
      </c>
      <c r="J78" s="457">
        <f>SUMIF(s1inv[Employer ID],s11cumperf[[#This Row],[Employer ID]],s1inv[SBA Reported Value (B)])</f>
        <v>0</v>
      </c>
      <c r="K78" s="457">
        <f>SUMIF(s1inv[Employer ID],s11cumperf[[#This Row],[Employer ID]],s1inv[GAAP Reported Value (C)])</f>
        <v>0</v>
      </c>
      <c r="L78" s="476" t="str">
        <f>IFERROR(s11cumperf[[#This Row],[Total Receipts]]/s11cumperf[[#This Row],[Total Dollars Invested]],"")</f>
        <v/>
      </c>
      <c r="M78" s="476" t="str">
        <f>IFERROR((s11cumperf[[#This Row],[Total Receipts]]+s11cumperf[[#This Row],[SBA Reported Value]])/s11cumperf[[#This Row],[Total Dollars Invested]],"")</f>
        <v/>
      </c>
      <c r="N78" s="642"/>
      <c r="O78" s="642"/>
      <c r="P78" s="642"/>
      <c r="Q78" s="642"/>
      <c r="R78" s="642"/>
      <c r="S78" s="655"/>
      <c r="T78" s="641"/>
      <c r="U78" s="458"/>
      <c r="V78" s="458"/>
      <c r="W78" s="458"/>
      <c r="X78" s="458"/>
      <c r="Y78" s="456"/>
      <c r="Z78" s="458"/>
      <c r="AA78" s="458"/>
      <c r="AB78" s="458"/>
      <c r="AC78" s="458"/>
      <c r="AD78" s="456"/>
      <c r="AL78" s="459"/>
    </row>
    <row r="79" spans="1:38" s="352" customFormat="1" ht="10.5" customHeight="1" x14ac:dyDescent="0.35">
      <c r="A79" s="469"/>
      <c r="B79" s="452"/>
      <c r="C79" s="453"/>
      <c r="D79" s="454"/>
      <c r="E79" s="455"/>
      <c r="F79" s="456"/>
      <c r="G79" s="456"/>
      <c r="H79" s="456"/>
      <c r="I79" s="457">
        <f>s11cumperf[[#This Row],[Gross Receipts Cash]]+s11cumperf[[#This Row],[Gross Receipts Equity]]</f>
        <v>0</v>
      </c>
      <c r="J79" s="457">
        <f>SUMIF(s1inv[Employer ID],s11cumperf[[#This Row],[Employer ID]],s1inv[SBA Reported Value (B)])</f>
        <v>0</v>
      </c>
      <c r="K79" s="457">
        <f>SUMIF(s1inv[Employer ID],s11cumperf[[#This Row],[Employer ID]],s1inv[GAAP Reported Value (C)])</f>
        <v>0</v>
      </c>
      <c r="L79" s="476" t="str">
        <f>IFERROR(s11cumperf[[#This Row],[Total Receipts]]/s11cumperf[[#This Row],[Total Dollars Invested]],"")</f>
        <v/>
      </c>
      <c r="M79" s="476" t="str">
        <f>IFERROR((s11cumperf[[#This Row],[Total Receipts]]+s11cumperf[[#This Row],[SBA Reported Value]])/s11cumperf[[#This Row],[Total Dollars Invested]],"")</f>
        <v/>
      </c>
      <c r="N79" s="642"/>
      <c r="O79" s="642"/>
      <c r="P79" s="642"/>
      <c r="Q79" s="642"/>
      <c r="R79" s="642"/>
      <c r="S79" s="655"/>
      <c r="T79" s="641"/>
      <c r="U79" s="458"/>
      <c r="V79" s="458"/>
      <c r="W79" s="458"/>
      <c r="X79" s="458"/>
      <c r="Y79" s="456"/>
      <c r="Z79" s="458"/>
      <c r="AA79" s="458"/>
      <c r="AB79" s="458"/>
      <c r="AC79" s="458"/>
      <c r="AD79" s="456"/>
      <c r="AL79" s="459"/>
    </row>
    <row r="80" spans="1:38" s="352" customFormat="1" ht="10.5" customHeight="1" x14ac:dyDescent="0.35">
      <c r="A80" s="469"/>
      <c r="B80" s="452"/>
      <c r="C80" s="453"/>
      <c r="D80" s="454"/>
      <c r="E80" s="455"/>
      <c r="F80" s="456"/>
      <c r="G80" s="456"/>
      <c r="H80" s="456"/>
      <c r="I80" s="457">
        <f>s11cumperf[[#This Row],[Gross Receipts Cash]]+s11cumperf[[#This Row],[Gross Receipts Equity]]</f>
        <v>0</v>
      </c>
      <c r="J80" s="457">
        <f>SUMIF(s1inv[Employer ID],s11cumperf[[#This Row],[Employer ID]],s1inv[SBA Reported Value (B)])</f>
        <v>0</v>
      </c>
      <c r="K80" s="457">
        <f>SUMIF(s1inv[Employer ID],s11cumperf[[#This Row],[Employer ID]],s1inv[GAAP Reported Value (C)])</f>
        <v>0</v>
      </c>
      <c r="L80" s="476" t="str">
        <f>IFERROR(s11cumperf[[#This Row],[Total Receipts]]/s11cumperf[[#This Row],[Total Dollars Invested]],"")</f>
        <v/>
      </c>
      <c r="M80" s="476" t="str">
        <f>IFERROR((s11cumperf[[#This Row],[Total Receipts]]+s11cumperf[[#This Row],[SBA Reported Value]])/s11cumperf[[#This Row],[Total Dollars Invested]],"")</f>
        <v/>
      </c>
      <c r="N80" s="642"/>
      <c r="O80" s="642"/>
      <c r="P80" s="642"/>
      <c r="Q80" s="642"/>
      <c r="R80" s="642"/>
      <c r="S80" s="655"/>
      <c r="T80" s="641"/>
      <c r="U80" s="458"/>
      <c r="V80" s="458"/>
      <c r="W80" s="458"/>
      <c r="X80" s="458"/>
      <c r="Y80" s="456"/>
      <c r="Z80" s="458"/>
      <c r="AA80" s="458"/>
      <c r="AB80" s="458"/>
      <c r="AC80" s="458"/>
      <c r="AD80" s="456"/>
      <c r="AL80" s="459"/>
    </row>
    <row r="81" spans="1:38" s="352" customFormat="1" ht="10.5" customHeight="1" x14ac:dyDescent="0.35">
      <c r="A81" s="469"/>
      <c r="B81" s="452"/>
      <c r="C81" s="453"/>
      <c r="D81" s="454"/>
      <c r="E81" s="455"/>
      <c r="F81" s="456"/>
      <c r="G81" s="456"/>
      <c r="H81" s="456"/>
      <c r="I81" s="457">
        <f>s11cumperf[[#This Row],[Gross Receipts Cash]]+s11cumperf[[#This Row],[Gross Receipts Equity]]</f>
        <v>0</v>
      </c>
      <c r="J81" s="457">
        <f>SUMIF(s1inv[Employer ID],s11cumperf[[#This Row],[Employer ID]],s1inv[SBA Reported Value (B)])</f>
        <v>0</v>
      </c>
      <c r="K81" s="457">
        <f>SUMIF(s1inv[Employer ID],s11cumperf[[#This Row],[Employer ID]],s1inv[GAAP Reported Value (C)])</f>
        <v>0</v>
      </c>
      <c r="L81" s="476" t="str">
        <f>IFERROR(s11cumperf[[#This Row],[Total Receipts]]/s11cumperf[[#This Row],[Total Dollars Invested]],"")</f>
        <v/>
      </c>
      <c r="M81" s="476" t="str">
        <f>IFERROR((s11cumperf[[#This Row],[Total Receipts]]+s11cumperf[[#This Row],[SBA Reported Value]])/s11cumperf[[#This Row],[Total Dollars Invested]],"")</f>
        <v/>
      </c>
      <c r="N81" s="642"/>
      <c r="O81" s="642"/>
      <c r="P81" s="642"/>
      <c r="Q81" s="642"/>
      <c r="R81" s="642"/>
      <c r="S81" s="655"/>
      <c r="T81" s="641"/>
      <c r="U81" s="458"/>
      <c r="V81" s="458"/>
      <c r="W81" s="458"/>
      <c r="X81" s="458"/>
      <c r="Y81" s="456"/>
      <c r="Z81" s="458"/>
      <c r="AA81" s="458"/>
      <c r="AB81" s="458"/>
      <c r="AC81" s="458"/>
      <c r="AD81" s="456"/>
      <c r="AL81" s="459"/>
    </row>
    <row r="82" spans="1:38" s="352" customFormat="1" ht="10.5" customHeight="1" x14ac:dyDescent="0.35">
      <c r="A82" s="469"/>
      <c r="B82" s="452"/>
      <c r="C82" s="453"/>
      <c r="D82" s="454"/>
      <c r="E82" s="455"/>
      <c r="F82" s="456"/>
      <c r="G82" s="456"/>
      <c r="H82" s="456"/>
      <c r="I82" s="457">
        <f>s11cumperf[[#This Row],[Gross Receipts Cash]]+s11cumperf[[#This Row],[Gross Receipts Equity]]</f>
        <v>0</v>
      </c>
      <c r="J82" s="457">
        <f>SUMIF(s1inv[Employer ID],s11cumperf[[#This Row],[Employer ID]],s1inv[SBA Reported Value (B)])</f>
        <v>0</v>
      </c>
      <c r="K82" s="457">
        <f>SUMIF(s1inv[Employer ID],s11cumperf[[#This Row],[Employer ID]],s1inv[GAAP Reported Value (C)])</f>
        <v>0</v>
      </c>
      <c r="L82" s="476" t="str">
        <f>IFERROR(s11cumperf[[#This Row],[Total Receipts]]/s11cumperf[[#This Row],[Total Dollars Invested]],"")</f>
        <v/>
      </c>
      <c r="M82" s="476" t="str">
        <f>IFERROR((s11cumperf[[#This Row],[Total Receipts]]+s11cumperf[[#This Row],[SBA Reported Value]])/s11cumperf[[#This Row],[Total Dollars Invested]],"")</f>
        <v/>
      </c>
      <c r="N82" s="642"/>
      <c r="O82" s="642"/>
      <c r="P82" s="642"/>
      <c r="Q82" s="642"/>
      <c r="R82" s="642"/>
      <c r="S82" s="655"/>
      <c r="T82" s="641"/>
      <c r="U82" s="458"/>
      <c r="V82" s="458"/>
      <c r="W82" s="458"/>
      <c r="X82" s="458"/>
      <c r="Y82" s="456"/>
      <c r="Z82" s="458"/>
      <c r="AA82" s="458"/>
      <c r="AB82" s="458"/>
      <c r="AC82" s="458"/>
      <c r="AD82" s="456"/>
      <c r="AL82" s="459"/>
    </row>
    <row r="83" spans="1:38" s="352" customFormat="1" ht="10.5" customHeight="1" x14ac:dyDescent="0.35">
      <c r="A83" s="469"/>
      <c r="B83" s="452"/>
      <c r="C83" s="453"/>
      <c r="D83" s="454"/>
      <c r="E83" s="455"/>
      <c r="F83" s="456"/>
      <c r="G83" s="456"/>
      <c r="H83" s="456"/>
      <c r="I83" s="457">
        <f>s11cumperf[[#This Row],[Gross Receipts Cash]]+s11cumperf[[#This Row],[Gross Receipts Equity]]</f>
        <v>0</v>
      </c>
      <c r="J83" s="457">
        <f>SUMIF(s1inv[Employer ID],s11cumperf[[#This Row],[Employer ID]],s1inv[SBA Reported Value (B)])</f>
        <v>0</v>
      </c>
      <c r="K83" s="457">
        <f>SUMIF(s1inv[Employer ID],s11cumperf[[#This Row],[Employer ID]],s1inv[GAAP Reported Value (C)])</f>
        <v>0</v>
      </c>
      <c r="L83" s="476" t="str">
        <f>IFERROR(s11cumperf[[#This Row],[Total Receipts]]/s11cumperf[[#This Row],[Total Dollars Invested]],"")</f>
        <v/>
      </c>
      <c r="M83" s="476" t="str">
        <f>IFERROR((s11cumperf[[#This Row],[Total Receipts]]+s11cumperf[[#This Row],[SBA Reported Value]])/s11cumperf[[#This Row],[Total Dollars Invested]],"")</f>
        <v/>
      </c>
      <c r="N83" s="642"/>
      <c r="O83" s="642"/>
      <c r="P83" s="642"/>
      <c r="Q83" s="642"/>
      <c r="R83" s="642"/>
      <c r="S83" s="655"/>
      <c r="T83" s="641"/>
      <c r="U83" s="458"/>
      <c r="V83" s="458"/>
      <c r="W83" s="458"/>
      <c r="X83" s="458"/>
      <c r="Y83" s="456"/>
      <c r="Z83" s="458"/>
      <c r="AA83" s="458"/>
      <c r="AB83" s="458"/>
      <c r="AC83" s="458"/>
      <c r="AD83" s="456"/>
      <c r="AL83" s="459"/>
    </row>
    <row r="84" spans="1:38" s="352" customFormat="1" ht="10.5" customHeight="1" x14ac:dyDescent="0.35">
      <c r="A84" s="469"/>
      <c r="B84" s="452"/>
      <c r="C84" s="453"/>
      <c r="D84" s="454"/>
      <c r="E84" s="455"/>
      <c r="F84" s="456"/>
      <c r="G84" s="456"/>
      <c r="H84" s="456"/>
      <c r="I84" s="457">
        <f>s11cumperf[[#This Row],[Gross Receipts Cash]]+s11cumperf[[#This Row],[Gross Receipts Equity]]</f>
        <v>0</v>
      </c>
      <c r="J84" s="457">
        <f>SUMIF(s1inv[Employer ID],s11cumperf[[#This Row],[Employer ID]],s1inv[SBA Reported Value (B)])</f>
        <v>0</v>
      </c>
      <c r="K84" s="457">
        <f>SUMIF(s1inv[Employer ID],s11cumperf[[#This Row],[Employer ID]],s1inv[GAAP Reported Value (C)])</f>
        <v>0</v>
      </c>
      <c r="L84" s="476" t="str">
        <f>IFERROR(s11cumperf[[#This Row],[Total Receipts]]/s11cumperf[[#This Row],[Total Dollars Invested]],"")</f>
        <v/>
      </c>
      <c r="M84" s="476" t="str">
        <f>IFERROR((s11cumperf[[#This Row],[Total Receipts]]+s11cumperf[[#This Row],[SBA Reported Value]])/s11cumperf[[#This Row],[Total Dollars Invested]],"")</f>
        <v/>
      </c>
      <c r="N84" s="642"/>
      <c r="O84" s="642"/>
      <c r="P84" s="642"/>
      <c r="Q84" s="642"/>
      <c r="R84" s="642"/>
      <c r="S84" s="655"/>
      <c r="T84" s="641"/>
      <c r="U84" s="458"/>
      <c r="V84" s="458"/>
      <c r="W84" s="458"/>
      <c r="X84" s="458"/>
      <c r="Y84" s="456"/>
      <c r="Z84" s="458"/>
      <c r="AA84" s="458"/>
      <c r="AB84" s="458"/>
      <c r="AC84" s="458"/>
      <c r="AD84" s="456"/>
      <c r="AL84" s="459"/>
    </row>
    <row r="85" spans="1:38" s="352" customFormat="1" ht="10.5" customHeight="1" x14ac:dyDescent="0.35">
      <c r="A85" s="469"/>
      <c r="B85" s="452"/>
      <c r="C85" s="453"/>
      <c r="D85" s="454"/>
      <c r="E85" s="455"/>
      <c r="F85" s="456"/>
      <c r="G85" s="456"/>
      <c r="H85" s="456"/>
      <c r="I85" s="457">
        <f>s11cumperf[[#This Row],[Gross Receipts Cash]]+s11cumperf[[#This Row],[Gross Receipts Equity]]</f>
        <v>0</v>
      </c>
      <c r="J85" s="457">
        <f>SUMIF(s1inv[Employer ID],s11cumperf[[#This Row],[Employer ID]],s1inv[SBA Reported Value (B)])</f>
        <v>0</v>
      </c>
      <c r="K85" s="457">
        <f>SUMIF(s1inv[Employer ID],s11cumperf[[#This Row],[Employer ID]],s1inv[GAAP Reported Value (C)])</f>
        <v>0</v>
      </c>
      <c r="L85" s="476" t="str">
        <f>IFERROR(s11cumperf[[#This Row],[Total Receipts]]/s11cumperf[[#This Row],[Total Dollars Invested]],"")</f>
        <v/>
      </c>
      <c r="M85" s="476" t="str">
        <f>IFERROR((s11cumperf[[#This Row],[Total Receipts]]+s11cumperf[[#This Row],[SBA Reported Value]])/s11cumperf[[#This Row],[Total Dollars Invested]],"")</f>
        <v/>
      </c>
      <c r="N85" s="642"/>
      <c r="O85" s="642"/>
      <c r="P85" s="642"/>
      <c r="Q85" s="642"/>
      <c r="R85" s="642"/>
      <c r="S85" s="655"/>
      <c r="T85" s="641"/>
      <c r="U85" s="458"/>
      <c r="V85" s="458"/>
      <c r="W85" s="458"/>
      <c r="X85" s="458"/>
      <c r="Y85" s="456"/>
      <c r="Z85" s="458"/>
      <c r="AA85" s="458"/>
      <c r="AB85" s="458"/>
      <c r="AC85" s="458"/>
      <c r="AD85" s="456"/>
      <c r="AL85" s="459"/>
    </row>
    <row r="86" spans="1:38" s="352" customFormat="1" ht="10.5" customHeight="1" x14ac:dyDescent="0.35">
      <c r="A86" s="469"/>
      <c r="B86" s="452"/>
      <c r="C86" s="453"/>
      <c r="D86" s="454"/>
      <c r="E86" s="455"/>
      <c r="F86" s="456"/>
      <c r="G86" s="456"/>
      <c r="H86" s="456"/>
      <c r="I86" s="457">
        <f>s11cumperf[[#This Row],[Gross Receipts Cash]]+s11cumperf[[#This Row],[Gross Receipts Equity]]</f>
        <v>0</v>
      </c>
      <c r="J86" s="457">
        <f>SUMIF(s1inv[Employer ID],s11cumperf[[#This Row],[Employer ID]],s1inv[SBA Reported Value (B)])</f>
        <v>0</v>
      </c>
      <c r="K86" s="457">
        <f>SUMIF(s1inv[Employer ID],s11cumperf[[#This Row],[Employer ID]],s1inv[GAAP Reported Value (C)])</f>
        <v>0</v>
      </c>
      <c r="L86" s="476" t="str">
        <f>IFERROR(s11cumperf[[#This Row],[Total Receipts]]/s11cumperf[[#This Row],[Total Dollars Invested]],"")</f>
        <v/>
      </c>
      <c r="M86" s="476" t="str">
        <f>IFERROR((s11cumperf[[#This Row],[Total Receipts]]+s11cumperf[[#This Row],[SBA Reported Value]])/s11cumperf[[#This Row],[Total Dollars Invested]],"")</f>
        <v/>
      </c>
      <c r="N86" s="642"/>
      <c r="O86" s="642"/>
      <c r="P86" s="642"/>
      <c r="Q86" s="642"/>
      <c r="R86" s="642"/>
      <c r="S86" s="655"/>
      <c r="T86" s="641"/>
      <c r="U86" s="458"/>
      <c r="V86" s="458"/>
      <c r="W86" s="458"/>
      <c r="X86" s="458"/>
      <c r="Y86" s="456"/>
      <c r="Z86" s="458"/>
      <c r="AA86" s="458"/>
      <c r="AB86" s="458"/>
      <c r="AC86" s="458"/>
      <c r="AD86" s="456"/>
      <c r="AL86" s="459"/>
    </row>
    <row r="87" spans="1:38" s="352" customFormat="1" ht="10.5" customHeight="1" x14ac:dyDescent="0.35">
      <c r="A87" s="469"/>
      <c r="B87" s="452"/>
      <c r="C87" s="453"/>
      <c r="D87" s="454"/>
      <c r="E87" s="455"/>
      <c r="F87" s="456"/>
      <c r="G87" s="456"/>
      <c r="H87" s="456"/>
      <c r="I87" s="457">
        <f>s11cumperf[[#This Row],[Gross Receipts Cash]]+s11cumperf[[#This Row],[Gross Receipts Equity]]</f>
        <v>0</v>
      </c>
      <c r="J87" s="457">
        <f>SUMIF(s1inv[Employer ID],s11cumperf[[#This Row],[Employer ID]],s1inv[SBA Reported Value (B)])</f>
        <v>0</v>
      </c>
      <c r="K87" s="457">
        <f>SUMIF(s1inv[Employer ID],s11cumperf[[#This Row],[Employer ID]],s1inv[GAAP Reported Value (C)])</f>
        <v>0</v>
      </c>
      <c r="L87" s="476" t="str">
        <f>IFERROR(s11cumperf[[#This Row],[Total Receipts]]/s11cumperf[[#This Row],[Total Dollars Invested]],"")</f>
        <v/>
      </c>
      <c r="M87" s="476" t="str">
        <f>IFERROR((s11cumperf[[#This Row],[Total Receipts]]+s11cumperf[[#This Row],[SBA Reported Value]])/s11cumperf[[#This Row],[Total Dollars Invested]],"")</f>
        <v/>
      </c>
      <c r="N87" s="642"/>
      <c r="O87" s="642"/>
      <c r="P87" s="642"/>
      <c r="Q87" s="642"/>
      <c r="R87" s="642"/>
      <c r="S87" s="655"/>
      <c r="T87" s="641"/>
      <c r="U87" s="458"/>
      <c r="V87" s="458"/>
      <c r="W87" s="458"/>
      <c r="X87" s="458"/>
      <c r="Y87" s="456"/>
      <c r="Z87" s="458"/>
      <c r="AA87" s="458"/>
      <c r="AB87" s="458"/>
      <c r="AC87" s="458"/>
      <c r="AD87" s="456"/>
      <c r="AL87" s="459"/>
    </row>
    <row r="88" spans="1:38" s="352" customFormat="1" ht="10.5" customHeight="1" x14ac:dyDescent="0.35">
      <c r="A88" s="469"/>
      <c r="B88" s="452"/>
      <c r="C88" s="453"/>
      <c r="D88" s="454"/>
      <c r="E88" s="455"/>
      <c r="F88" s="456"/>
      <c r="G88" s="456"/>
      <c r="H88" s="456"/>
      <c r="I88" s="457">
        <f>s11cumperf[[#This Row],[Gross Receipts Cash]]+s11cumperf[[#This Row],[Gross Receipts Equity]]</f>
        <v>0</v>
      </c>
      <c r="J88" s="457">
        <f>SUMIF(s1inv[Employer ID],s11cumperf[[#This Row],[Employer ID]],s1inv[SBA Reported Value (B)])</f>
        <v>0</v>
      </c>
      <c r="K88" s="457">
        <f>SUMIF(s1inv[Employer ID],s11cumperf[[#This Row],[Employer ID]],s1inv[GAAP Reported Value (C)])</f>
        <v>0</v>
      </c>
      <c r="L88" s="476" t="str">
        <f>IFERROR(s11cumperf[[#This Row],[Total Receipts]]/s11cumperf[[#This Row],[Total Dollars Invested]],"")</f>
        <v/>
      </c>
      <c r="M88" s="476" t="str">
        <f>IFERROR((s11cumperf[[#This Row],[Total Receipts]]+s11cumperf[[#This Row],[SBA Reported Value]])/s11cumperf[[#This Row],[Total Dollars Invested]],"")</f>
        <v/>
      </c>
      <c r="N88" s="642"/>
      <c r="O88" s="642"/>
      <c r="P88" s="642"/>
      <c r="Q88" s="642"/>
      <c r="R88" s="642"/>
      <c r="S88" s="655"/>
      <c r="T88" s="641"/>
      <c r="U88" s="458"/>
      <c r="V88" s="458"/>
      <c r="W88" s="458"/>
      <c r="X88" s="458"/>
      <c r="Y88" s="456"/>
      <c r="Z88" s="458"/>
      <c r="AA88" s="458"/>
      <c r="AB88" s="458"/>
      <c r="AC88" s="458"/>
      <c r="AD88" s="456"/>
      <c r="AL88" s="459"/>
    </row>
    <row r="89" spans="1:38" s="352" customFormat="1" ht="10.5" customHeight="1" x14ac:dyDescent="0.35">
      <c r="A89" s="469"/>
      <c r="B89" s="452"/>
      <c r="C89" s="453"/>
      <c r="D89" s="454"/>
      <c r="E89" s="455"/>
      <c r="F89" s="456"/>
      <c r="G89" s="456"/>
      <c r="H89" s="456"/>
      <c r="I89" s="457">
        <f>s11cumperf[[#This Row],[Gross Receipts Cash]]+s11cumperf[[#This Row],[Gross Receipts Equity]]</f>
        <v>0</v>
      </c>
      <c r="J89" s="457">
        <f>SUMIF(s1inv[Employer ID],s11cumperf[[#This Row],[Employer ID]],s1inv[SBA Reported Value (B)])</f>
        <v>0</v>
      </c>
      <c r="K89" s="457">
        <f>SUMIF(s1inv[Employer ID],s11cumperf[[#This Row],[Employer ID]],s1inv[GAAP Reported Value (C)])</f>
        <v>0</v>
      </c>
      <c r="L89" s="476" t="str">
        <f>IFERROR(s11cumperf[[#This Row],[Total Receipts]]/s11cumperf[[#This Row],[Total Dollars Invested]],"")</f>
        <v/>
      </c>
      <c r="M89" s="476" t="str">
        <f>IFERROR((s11cumperf[[#This Row],[Total Receipts]]+s11cumperf[[#This Row],[SBA Reported Value]])/s11cumperf[[#This Row],[Total Dollars Invested]],"")</f>
        <v/>
      </c>
      <c r="N89" s="642"/>
      <c r="O89" s="642"/>
      <c r="P89" s="642"/>
      <c r="Q89" s="642"/>
      <c r="R89" s="642"/>
      <c r="S89" s="655"/>
      <c r="T89" s="641"/>
      <c r="U89" s="458"/>
      <c r="V89" s="458"/>
      <c r="W89" s="458"/>
      <c r="X89" s="458"/>
      <c r="Y89" s="456"/>
      <c r="Z89" s="458"/>
      <c r="AA89" s="458"/>
      <c r="AB89" s="458"/>
      <c r="AC89" s="458"/>
      <c r="AD89" s="456"/>
      <c r="AL89" s="459"/>
    </row>
    <row r="90" spans="1:38" s="352" customFormat="1" ht="10.5" customHeight="1" x14ac:dyDescent="0.35">
      <c r="A90" s="469"/>
      <c r="B90" s="452"/>
      <c r="C90" s="453"/>
      <c r="D90" s="454"/>
      <c r="E90" s="455"/>
      <c r="F90" s="456"/>
      <c r="G90" s="456"/>
      <c r="H90" s="456"/>
      <c r="I90" s="457">
        <f>s11cumperf[[#This Row],[Gross Receipts Cash]]+s11cumperf[[#This Row],[Gross Receipts Equity]]</f>
        <v>0</v>
      </c>
      <c r="J90" s="457">
        <f>SUMIF(s1inv[Employer ID],s11cumperf[[#This Row],[Employer ID]],s1inv[SBA Reported Value (B)])</f>
        <v>0</v>
      </c>
      <c r="K90" s="457">
        <f>SUMIF(s1inv[Employer ID],s11cumperf[[#This Row],[Employer ID]],s1inv[GAAP Reported Value (C)])</f>
        <v>0</v>
      </c>
      <c r="L90" s="476" t="str">
        <f>IFERROR(s11cumperf[[#This Row],[Total Receipts]]/s11cumperf[[#This Row],[Total Dollars Invested]],"")</f>
        <v/>
      </c>
      <c r="M90" s="476" t="str">
        <f>IFERROR((s11cumperf[[#This Row],[Total Receipts]]+s11cumperf[[#This Row],[SBA Reported Value]])/s11cumperf[[#This Row],[Total Dollars Invested]],"")</f>
        <v/>
      </c>
      <c r="N90" s="642"/>
      <c r="O90" s="642"/>
      <c r="P90" s="642"/>
      <c r="Q90" s="642"/>
      <c r="R90" s="642"/>
      <c r="S90" s="655"/>
      <c r="T90" s="641"/>
      <c r="U90" s="458"/>
      <c r="V90" s="458"/>
      <c r="W90" s="458"/>
      <c r="X90" s="458"/>
      <c r="Y90" s="456"/>
      <c r="Z90" s="458"/>
      <c r="AA90" s="458"/>
      <c r="AB90" s="458"/>
      <c r="AC90" s="458"/>
      <c r="AD90" s="456"/>
      <c r="AL90" s="459"/>
    </row>
    <row r="91" spans="1:38" s="352" customFormat="1" ht="10.5" customHeight="1" x14ac:dyDescent="0.35">
      <c r="A91" s="469"/>
      <c r="B91" s="452"/>
      <c r="C91" s="453"/>
      <c r="D91" s="454"/>
      <c r="E91" s="455"/>
      <c r="F91" s="456"/>
      <c r="G91" s="456"/>
      <c r="H91" s="456"/>
      <c r="I91" s="457">
        <f>s11cumperf[[#This Row],[Gross Receipts Cash]]+s11cumperf[[#This Row],[Gross Receipts Equity]]</f>
        <v>0</v>
      </c>
      <c r="J91" s="457">
        <f>SUMIF(s1inv[Employer ID],s11cumperf[[#This Row],[Employer ID]],s1inv[SBA Reported Value (B)])</f>
        <v>0</v>
      </c>
      <c r="K91" s="457">
        <f>SUMIF(s1inv[Employer ID],s11cumperf[[#This Row],[Employer ID]],s1inv[GAAP Reported Value (C)])</f>
        <v>0</v>
      </c>
      <c r="L91" s="476" t="str">
        <f>IFERROR(s11cumperf[[#This Row],[Total Receipts]]/s11cumperf[[#This Row],[Total Dollars Invested]],"")</f>
        <v/>
      </c>
      <c r="M91" s="476" t="str">
        <f>IFERROR((s11cumperf[[#This Row],[Total Receipts]]+s11cumperf[[#This Row],[SBA Reported Value]])/s11cumperf[[#This Row],[Total Dollars Invested]],"")</f>
        <v/>
      </c>
      <c r="N91" s="642"/>
      <c r="O91" s="642"/>
      <c r="P91" s="642"/>
      <c r="Q91" s="642"/>
      <c r="R91" s="642"/>
      <c r="S91" s="655"/>
      <c r="T91" s="641"/>
      <c r="U91" s="458"/>
      <c r="V91" s="458"/>
      <c r="W91" s="458"/>
      <c r="X91" s="458"/>
      <c r="Y91" s="456"/>
      <c r="Z91" s="458"/>
      <c r="AA91" s="458"/>
      <c r="AB91" s="458"/>
      <c r="AC91" s="458"/>
      <c r="AD91" s="456"/>
      <c r="AL91" s="459"/>
    </row>
    <row r="92" spans="1:38" s="352" customFormat="1" ht="10.5" customHeight="1" x14ac:dyDescent="0.35">
      <c r="A92" s="469"/>
      <c r="B92" s="452"/>
      <c r="C92" s="453"/>
      <c r="D92" s="454"/>
      <c r="E92" s="455"/>
      <c r="F92" s="456"/>
      <c r="G92" s="456"/>
      <c r="H92" s="456"/>
      <c r="I92" s="457">
        <f>s11cumperf[[#This Row],[Gross Receipts Cash]]+s11cumperf[[#This Row],[Gross Receipts Equity]]</f>
        <v>0</v>
      </c>
      <c r="J92" s="457">
        <f>SUMIF(s1inv[Employer ID],s11cumperf[[#This Row],[Employer ID]],s1inv[SBA Reported Value (B)])</f>
        <v>0</v>
      </c>
      <c r="K92" s="457">
        <f>SUMIF(s1inv[Employer ID],s11cumperf[[#This Row],[Employer ID]],s1inv[GAAP Reported Value (C)])</f>
        <v>0</v>
      </c>
      <c r="L92" s="476" t="str">
        <f>IFERROR(s11cumperf[[#This Row],[Total Receipts]]/s11cumperf[[#This Row],[Total Dollars Invested]],"")</f>
        <v/>
      </c>
      <c r="M92" s="476" t="str">
        <f>IFERROR((s11cumperf[[#This Row],[Total Receipts]]+s11cumperf[[#This Row],[SBA Reported Value]])/s11cumperf[[#This Row],[Total Dollars Invested]],"")</f>
        <v/>
      </c>
      <c r="N92" s="642"/>
      <c r="O92" s="642"/>
      <c r="P92" s="642"/>
      <c r="Q92" s="642"/>
      <c r="R92" s="642"/>
      <c r="S92" s="655"/>
      <c r="T92" s="641"/>
      <c r="U92" s="458"/>
      <c r="V92" s="458"/>
      <c r="W92" s="458"/>
      <c r="X92" s="458"/>
      <c r="Y92" s="456"/>
      <c r="Z92" s="458"/>
      <c r="AA92" s="458"/>
      <c r="AB92" s="458"/>
      <c r="AC92" s="458"/>
      <c r="AD92" s="456"/>
      <c r="AL92" s="459"/>
    </row>
    <row r="93" spans="1:38" s="352" customFormat="1" ht="10.5" customHeight="1" x14ac:dyDescent="0.35">
      <c r="A93" s="469"/>
      <c r="B93" s="452"/>
      <c r="C93" s="453"/>
      <c r="D93" s="454"/>
      <c r="E93" s="455"/>
      <c r="F93" s="456"/>
      <c r="G93" s="456"/>
      <c r="H93" s="456"/>
      <c r="I93" s="457">
        <f>s11cumperf[[#This Row],[Gross Receipts Cash]]+s11cumperf[[#This Row],[Gross Receipts Equity]]</f>
        <v>0</v>
      </c>
      <c r="J93" s="457">
        <f>SUMIF(s1inv[Employer ID],s11cumperf[[#This Row],[Employer ID]],s1inv[SBA Reported Value (B)])</f>
        <v>0</v>
      </c>
      <c r="K93" s="457">
        <f>SUMIF(s1inv[Employer ID],s11cumperf[[#This Row],[Employer ID]],s1inv[GAAP Reported Value (C)])</f>
        <v>0</v>
      </c>
      <c r="L93" s="476" t="str">
        <f>IFERROR(s11cumperf[[#This Row],[Total Receipts]]/s11cumperf[[#This Row],[Total Dollars Invested]],"")</f>
        <v/>
      </c>
      <c r="M93" s="476" t="str">
        <f>IFERROR((s11cumperf[[#This Row],[Total Receipts]]+s11cumperf[[#This Row],[SBA Reported Value]])/s11cumperf[[#This Row],[Total Dollars Invested]],"")</f>
        <v/>
      </c>
      <c r="N93" s="642"/>
      <c r="O93" s="642"/>
      <c r="P93" s="642"/>
      <c r="Q93" s="642"/>
      <c r="R93" s="642"/>
      <c r="S93" s="655"/>
      <c r="T93" s="641"/>
      <c r="U93" s="458"/>
      <c r="V93" s="458"/>
      <c r="W93" s="458"/>
      <c r="X93" s="458"/>
      <c r="Y93" s="456"/>
      <c r="Z93" s="458"/>
      <c r="AA93" s="458"/>
      <c r="AB93" s="458"/>
      <c r="AC93" s="458"/>
      <c r="AD93" s="456"/>
      <c r="AL93" s="459"/>
    </row>
    <row r="94" spans="1:38" s="352" customFormat="1" ht="10.5" customHeight="1" x14ac:dyDescent="0.35">
      <c r="A94" s="469"/>
      <c r="B94" s="452"/>
      <c r="C94" s="453"/>
      <c r="D94" s="454"/>
      <c r="E94" s="455"/>
      <c r="F94" s="456"/>
      <c r="G94" s="456"/>
      <c r="H94" s="456"/>
      <c r="I94" s="457">
        <f>s11cumperf[[#This Row],[Gross Receipts Cash]]+s11cumperf[[#This Row],[Gross Receipts Equity]]</f>
        <v>0</v>
      </c>
      <c r="J94" s="457">
        <f>SUMIF(s1inv[Employer ID],s11cumperf[[#This Row],[Employer ID]],s1inv[SBA Reported Value (B)])</f>
        <v>0</v>
      </c>
      <c r="K94" s="457">
        <f>SUMIF(s1inv[Employer ID],s11cumperf[[#This Row],[Employer ID]],s1inv[GAAP Reported Value (C)])</f>
        <v>0</v>
      </c>
      <c r="L94" s="476" t="str">
        <f>IFERROR(s11cumperf[[#This Row],[Total Receipts]]/s11cumperf[[#This Row],[Total Dollars Invested]],"")</f>
        <v/>
      </c>
      <c r="M94" s="476" t="str">
        <f>IFERROR((s11cumperf[[#This Row],[Total Receipts]]+s11cumperf[[#This Row],[SBA Reported Value]])/s11cumperf[[#This Row],[Total Dollars Invested]],"")</f>
        <v/>
      </c>
      <c r="N94" s="642"/>
      <c r="O94" s="642"/>
      <c r="P94" s="642"/>
      <c r="Q94" s="642"/>
      <c r="R94" s="642"/>
      <c r="S94" s="655"/>
      <c r="T94" s="641"/>
      <c r="U94" s="458"/>
      <c r="V94" s="458"/>
      <c r="W94" s="458"/>
      <c r="X94" s="458"/>
      <c r="Y94" s="456"/>
      <c r="Z94" s="458"/>
      <c r="AA94" s="458"/>
      <c r="AB94" s="458"/>
      <c r="AC94" s="458"/>
      <c r="AD94" s="456"/>
      <c r="AL94" s="459"/>
    </row>
    <row r="95" spans="1:38" s="352" customFormat="1" ht="10.5" customHeight="1" x14ac:dyDescent="0.35">
      <c r="A95" s="469"/>
      <c r="B95" s="452"/>
      <c r="C95" s="453"/>
      <c r="D95" s="454"/>
      <c r="E95" s="455"/>
      <c r="F95" s="456"/>
      <c r="G95" s="456"/>
      <c r="H95" s="456"/>
      <c r="I95" s="457">
        <f>s11cumperf[[#This Row],[Gross Receipts Cash]]+s11cumperf[[#This Row],[Gross Receipts Equity]]</f>
        <v>0</v>
      </c>
      <c r="J95" s="457">
        <f>SUMIF(s1inv[Employer ID],s11cumperf[[#This Row],[Employer ID]],s1inv[SBA Reported Value (B)])</f>
        <v>0</v>
      </c>
      <c r="K95" s="457">
        <f>SUMIF(s1inv[Employer ID],s11cumperf[[#This Row],[Employer ID]],s1inv[GAAP Reported Value (C)])</f>
        <v>0</v>
      </c>
      <c r="L95" s="476" t="str">
        <f>IFERROR(s11cumperf[[#This Row],[Total Receipts]]/s11cumperf[[#This Row],[Total Dollars Invested]],"")</f>
        <v/>
      </c>
      <c r="M95" s="476" t="str">
        <f>IFERROR((s11cumperf[[#This Row],[Total Receipts]]+s11cumperf[[#This Row],[SBA Reported Value]])/s11cumperf[[#This Row],[Total Dollars Invested]],"")</f>
        <v/>
      </c>
      <c r="N95" s="642"/>
      <c r="O95" s="642"/>
      <c r="P95" s="642"/>
      <c r="Q95" s="642"/>
      <c r="R95" s="642"/>
      <c r="S95" s="655"/>
      <c r="T95" s="641"/>
      <c r="U95" s="458"/>
      <c r="V95" s="458"/>
      <c r="W95" s="458"/>
      <c r="X95" s="458"/>
      <c r="Y95" s="456"/>
      <c r="Z95" s="458"/>
      <c r="AA95" s="458"/>
      <c r="AB95" s="458"/>
      <c r="AC95" s="458"/>
      <c r="AD95" s="456"/>
      <c r="AL95" s="459"/>
    </row>
    <row r="96" spans="1:38" s="352" customFormat="1" ht="10.5" customHeight="1" x14ac:dyDescent="0.35">
      <c r="A96" s="469"/>
      <c r="B96" s="452"/>
      <c r="C96" s="453"/>
      <c r="D96" s="454"/>
      <c r="E96" s="455"/>
      <c r="F96" s="456"/>
      <c r="G96" s="456"/>
      <c r="H96" s="456"/>
      <c r="I96" s="457">
        <f>s11cumperf[[#This Row],[Gross Receipts Cash]]+s11cumperf[[#This Row],[Gross Receipts Equity]]</f>
        <v>0</v>
      </c>
      <c r="J96" s="457">
        <f>SUMIF(s1inv[Employer ID],s11cumperf[[#This Row],[Employer ID]],s1inv[SBA Reported Value (B)])</f>
        <v>0</v>
      </c>
      <c r="K96" s="457">
        <f>SUMIF(s1inv[Employer ID],s11cumperf[[#This Row],[Employer ID]],s1inv[GAAP Reported Value (C)])</f>
        <v>0</v>
      </c>
      <c r="L96" s="476" t="str">
        <f>IFERROR(s11cumperf[[#This Row],[Total Receipts]]/s11cumperf[[#This Row],[Total Dollars Invested]],"")</f>
        <v/>
      </c>
      <c r="M96" s="476" t="str">
        <f>IFERROR((s11cumperf[[#This Row],[Total Receipts]]+s11cumperf[[#This Row],[SBA Reported Value]])/s11cumperf[[#This Row],[Total Dollars Invested]],"")</f>
        <v/>
      </c>
      <c r="N96" s="642"/>
      <c r="O96" s="642"/>
      <c r="P96" s="642"/>
      <c r="Q96" s="642"/>
      <c r="R96" s="642"/>
      <c r="S96" s="655"/>
      <c r="T96" s="641"/>
      <c r="U96" s="458"/>
      <c r="V96" s="458"/>
      <c r="W96" s="458"/>
      <c r="X96" s="458"/>
      <c r="Y96" s="456"/>
      <c r="Z96" s="458"/>
      <c r="AA96" s="458"/>
      <c r="AB96" s="458"/>
      <c r="AC96" s="458"/>
      <c r="AD96" s="456"/>
      <c r="AL96" s="459"/>
    </row>
    <row r="97" spans="1:38" s="352" customFormat="1" ht="10.5" customHeight="1" x14ac:dyDescent="0.35">
      <c r="A97" s="469"/>
      <c r="B97" s="452"/>
      <c r="C97" s="453"/>
      <c r="D97" s="454"/>
      <c r="E97" s="455"/>
      <c r="F97" s="456"/>
      <c r="G97" s="456"/>
      <c r="H97" s="456"/>
      <c r="I97" s="457">
        <f>s11cumperf[[#This Row],[Gross Receipts Cash]]+s11cumperf[[#This Row],[Gross Receipts Equity]]</f>
        <v>0</v>
      </c>
      <c r="J97" s="457">
        <f>SUMIF(s1inv[Employer ID],s11cumperf[[#This Row],[Employer ID]],s1inv[SBA Reported Value (B)])</f>
        <v>0</v>
      </c>
      <c r="K97" s="457">
        <f>SUMIF(s1inv[Employer ID],s11cumperf[[#This Row],[Employer ID]],s1inv[GAAP Reported Value (C)])</f>
        <v>0</v>
      </c>
      <c r="L97" s="476" t="str">
        <f>IFERROR(s11cumperf[[#This Row],[Total Receipts]]/s11cumperf[[#This Row],[Total Dollars Invested]],"")</f>
        <v/>
      </c>
      <c r="M97" s="476" t="str">
        <f>IFERROR((s11cumperf[[#This Row],[Total Receipts]]+s11cumperf[[#This Row],[SBA Reported Value]])/s11cumperf[[#This Row],[Total Dollars Invested]],"")</f>
        <v/>
      </c>
      <c r="N97" s="642"/>
      <c r="O97" s="642"/>
      <c r="P97" s="642"/>
      <c r="Q97" s="642"/>
      <c r="R97" s="642"/>
      <c r="S97" s="655"/>
      <c r="T97" s="641"/>
      <c r="U97" s="458"/>
      <c r="V97" s="458"/>
      <c r="W97" s="458"/>
      <c r="X97" s="458"/>
      <c r="Y97" s="456"/>
      <c r="Z97" s="458"/>
      <c r="AA97" s="458"/>
      <c r="AB97" s="458"/>
      <c r="AC97" s="458"/>
      <c r="AD97" s="456"/>
      <c r="AL97" s="459"/>
    </row>
    <row r="98" spans="1:38" s="352" customFormat="1" ht="10.5" customHeight="1" x14ac:dyDescent="0.35">
      <c r="A98" s="469"/>
      <c r="B98" s="452"/>
      <c r="C98" s="453"/>
      <c r="D98" s="454"/>
      <c r="E98" s="455"/>
      <c r="F98" s="456"/>
      <c r="G98" s="456"/>
      <c r="H98" s="456"/>
      <c r="I98" s="457">
        <f>s11cumperf[[#This Row],[Gross Receipts Cash]]+s11cumperf[[#This Row],[Gross Receipts Equity]]</f>
        <v>0</v>
      </c>
      <c r="J98" s="457">
        <f>SUMIF(s1inv[Employer ID],s11cumperf[[#This Row],[Employer ID]],s1inv[SBA Reported Value (B)])</f>
        <v>0</v>
      </c>
      <c r="K98" s="457">
        <f>SUMIF(s1inv[Employer ID],s11cumperf[[#This Row],[Employer ID]],s1inv[GAAP Reported Value (C)])</f>
        <v>0</v>
      </c>
      <c r="L98" s="476" t="str">
        <f>IFERROR(s11cumperf[[#This Row],[Total Receipts]]/s11cumperf[[#This Row],[Total Dollars Invested]],"")</f>
        <v/>
      </c>
      <c r="M98" s="476" t="str">
        <f>IFERROR((s11cumperf[[#This Row],[Total Receipts]]+s11cumperf[[#This Row],[SBA Reported Value]])/s11cumperf[[#This Row],[Total Dollars Invested]],"")</f>
        <v/>
      </c>
      <c r="N98" s="642"/>
      <c r="O98" s="642"/>
      <c r="P98" s="642"/>
      <c r="Q98" s="642"/>
      <c r="R98" s="642"/>
      <c r="S98" s="655"/>
      <c r="T98" s="641"/>
      <c r="U98" s="458"/>
      <c r="V98" s="458"/>
      <c r="W98" s="458"/>
      <c r="X98" s="458"/>
      <c r="Y98" s="456"/>
      <c r="Z98" s="458"/>
      <c r="AA98" s="458"/>
      <c r="AB98" s="458"/>
      <c r="AC98" s="458"/>
      <c r="AD98" s="456"/>
      <c r="AL98" s="459"/>
    </row>
    <row r="99" spans="1:38" s="352" customFormat="1" ht="10.5" customHeight="1" x14ac:dyDescent="0.35">
      <c r="A99" s="469"/>
      <c r="B99" s="452"/>
      <c r="C99" s="453"/>
      <c r="D99" s="454"/>
      <c r="E99" s="455"/>
      <c r="F99" s="456"/>
      <c r="G99" s="456"/>
      <c r="H99" s="456"/>
      <c r="I99" s="457">
        <f>s11cumperf[[#This Row],[Gross Receipts Cash]]+s11cumperf[[#This Row],[Gross Receipts Equity]]</f>
        <v>0</v>
      </c>
      <c r="J99" s="457">
        <f>SUMIF(s1inv[Employer ID],s11cumperf[[#This Row],[Employer ID]],s1inv[SBA Reported Value (B)])</f>
        <v>0</v>
      </c>
      <c r="K99" s="457">
        <f>SUMIF(s1inv[Employer ID],s11cumperf[[#This Row],[Employer ID]],s1inv[GAAP Reported Value (C)])</f>
        <v>0</v>
      </c>
      <c r="L99" s="476" t="str">
        <f>IFERROR(s11cumperf[[#This Row],[Total Receipts]]/s11cumperf[[#This Row],[Total Dollars Invested]],"")</f>
        <v/>
      </c>
      <c r="M99" s="476" t="str">
        <f>IFERROR((s11cumperf[[#This Row],[Total Receipts]]+s11cumperf[[#This Row],[SBA Reported Value]])/s11cumperf[[#This Row],[Total Dollars Invested]],"")</f>
        <v/>
      </c>
      <c r="N99" s="642"/>
      <c r="O99" s="642"/>
      <c r="P99" s="642"/>
      <c r="Q99" s="642"/>
      <c r="R99" s="642"/>
      <c r="S99" s="655"/>
      <c r="T99" s="641"/>
      <c r="U99" s="458"/>
      <c r="V99" s="458"/>
      <c r="W99" s="458"/>
      <c r="X99" s="458"/>
      <c r="Y99" s="456"/>
      <c r="Z99" s="458"/>
      <c r="AA99" s="458"/>
      <c r="AB99" s="458"/>
      <c r="AC99" s="458"/>
      <c r="AD99" s="456"/>
      <c r="AL99" s="459"/>
    </row>
    <row r="100" spans="1:38" s="352" customFormat="1" ht="10.5" customHeight="1" x14ac:dyDescent="0.35">
      <c r="A100" s="469"/>
      <c r="B100" s="452"/>
      <c r="C100" s="453"/>
      <c r="D100" s="454"/>
      <c r="E100" s="455"/>
      <c r="F100" s="456"/>
      <c r="G100" s="456"/>
      <c r="H100" s="456"/>
      <c r="I100" s="457">
        <f>s11cumperf[[#This Row],[Gross Receipts Cash]]+s11cumperf[[#This Row],[Gross Receipts Equity]]</f>
        <v>0</v>
      </c>
      <c r="J100" s="457">
        <f>SUMIF(s1inv[Employer ID],s11cumperf[[#This Row],[Employer ID]],s1inv[SBA Reported Value (B)])</f>
        <v>0</v>
      </c>
      <c r="K100" s="457">
        <f>SUMIF(s1inv[Employer ID],s11cumperf[[#This Row],[Employer ID]],s1inv[GAAP Reported Value (C)])</f>
        <v>0</v>
      </c>
      <c r="L100" s="476" t="str">
        <f>IFERROR(s11cumperf[[#This Row],[Total Receipts]]/s11cumperf[[#This Row],[Total Dollars Invested]],"")</f>
        <v/>
      </c>
      <c r="M100" s="476" t="str">
        <f>IFERROR((s11cumperf[[#This Row],[Total Receipts]]+s11cumperf[[#This Row],[SBA Reported Value]])/s11cumperf[[#This Row],[Total Dollars Invested]],"")</f>
        <v/>
      </c>
      <c r="N100" s="642"/>
      <c r="O100" s="642"/>
      <c r="P100" s="642"/>
      <c r="Q100" s="642"/>
      <c r="R100" s="642"/>
      <c r="S100" s="655"/>
      <c r="T100" s="641"/>
      <c r="U100" s="458"/>
      <c r="V100" s="458"/>
      <c r="W100" s="458"/>
      <c r="X100" s="458"/>
      <c r="Y100" s="456"/>
      <c r="Z100" s="458"/>
      <c r="AA100" s="458"/>
      <c r="AB100" s="458"/>
      <c r="AC100" s="458"/>
      <c r="AD100" s="456"/>
      <c r="AL100" s="459"/>
    </row>
  </sheetData>
  <mergeCells count="5">
    <mergeCell ref="V15:AE15"/>
    <mergeCell ref="G16:I16"/>
    <mergeCell ref="N16:T16"/>
    <mergeCell ref="U16:Y16"/>
    <mergeCell ref="Z16:AE16"/>
  </mergeCells>
  <phoneticPr fontId="2" type="noConversion"/>
  <dataValidations count="3">
    <dataValidation operator="equal" allowBlank="1" showInputMessage="1" showErrorMessage="1" sqref="B18:B100" xr:uid="{251671CF-A71A-4798-9B9E-DB4B928C3959}"/>
    <dataValidation type="list" allowBlank="1" showInputMessage="1" showErrorMessage="1" sqref="V18:V100 AA18:AA100" xr:uid="{6EB4108E-4D24-449E-9EC9-4BA1F1DF1515}">
      <formula1>$AL$17:$AL$19</formula1>
    </dataValidation>
    <dataValidation type="list" allowBlank="1" showInputMessage="1" showErrorMessage="1" sqref="Y18:Y100 AD18:AD100" xr:uid="{B4AB36D4-DBE5-4606-A015-E3A0FFDE979D}">
      <formula1>$AK$18:$AK$20</formula1>
    </dataValidation>
  </dataValidations>
  <hyperlinks>
    <hyperlink ref="J16" location="S1Inv!A1" display="* Columns I and J pulled from Schedule 1." xr:uid="{68B3DD8C-794E-4F47-86C1-5A2CC94128A9}"/>
  </hyperlinks>
  <pageMargins left="0.25" right="0.25" top="0.5" bottom="0.25" header="0.3" footer="0.3"/>
  <pageSetup orientation="landscape" r:id="rId1"/>
  <colBreaks count="1" manualBreakCount="1">
    <brk id="20" max="1048575" man="1"/>
  </colBreaks>
  <tableParts count="1">
    <tablePart r:id="rId2"/>
  </tableParts>
  <extLst>
    <ext xmlns:x14="http://schemas.microsoft.com/office/spreadsheetml/2009/9/main" uri="{CCE6A557-97BC-4b89-ADB6-D9C93CAAB3DF}">
      <x14:dataValidations xmlns:xm="http://schemas.microsoft.com/office/excel/2006/main" count="5">
        <x14:dataValidation type="list" allowBlank="1" showInputMessage="1" showErrorMessage="1" xr:uid="{5184E7C9-F995-4970-8052-48BE07BD1AE8}">
          <x14:formula1>
            <xm:f>selection!$Y$17:$Y$18</xm:f>
          </x14:formula1>
          <xm:sqref>U18:U100</xm:sqref>
        </x14:dataValidation>
        <x14:dataValidation type="list" allowBlank="1" showInputMessage="1" showErrorMessage="1" xr:uid="{35D67F17-BA53-403E-A038-A0BCDF6B8F6F}">
          <x14:formula1>
            <xm:f>selection!$Y$17:$Y$19</xm:f>
          </x14:formula1>
          <xm:sqref>Z18:Z100</xm:sqref>
        </x14:dataValidation>
        <x14:dataValidation type="list" allowBlank="1" showInputMessage="1" showErrorMessage="1" xr:uid="{437EA905-7BCA-4F83-AE36-5AD39854D19B}">
          <x14:formula1>
            <xm:f>selection!$AI$17:$AI$22</xm:f>
          </x14:formula1>
          <xm:sqref>W18:W100 AB18:AB100</xm:sqref>
        </x14:dataValidation>
        <x14:dataValidation type="list" allowBlank="1" showInputMessage="1" showErrorMessage="1" xr:uid="{005BC296-DD4E-4159-B231-0B8C237C114E}">
          <x14:formula1>
            <xm:f>selection!$AL$17:$AL$19</xm:f>
          </x14:formula1>
          <xm:sqref>X18:X100 AC18:AC100</xm:sqref>
        </x14:dataValidation>
        <x14:dataValidation type="list" allowBlank="1" showInputMessage="1" showErrorMessage="1" xr:uid="{192FF52C-8342-48AA-B040-079A6936F8FF}">
          <x14:formula1>
            <xm:f>selection!$BX$17:$BX$19</xm:f>
          </x14:formula1>
          <xm:sqref>C18:C100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9F7E8-4DE8-4188-B250-0107405C549C}">
  <sheetPr codeName="Sheet6">
    <pageSetUpPr fitToPage="1"/>
  </sheetPr>
  <dimension ref="A1:P116"/>
  <sheetViews>
    <sheetView workbookViewId="0">
      <selection activeCell="B5" sqref="B5"/>
    </sheetView>
  </sheetViews>
  <sheetFormatPr defaultColWidth="8.81640625" defaultRowHeight="10" x14ac:dyDescent="0.2"/>
  <cols>
    <col min="1" max="1" width="16.26953125" style="77" customWidth="1"/>
    <col min="2" max="2" width="11.54296875" style="77" customWidth="1"/>
    <col min="3" max="3" width="7.1796875" style="77" customWidth="1"/>
    <col min="4" max="4" width="3.26953125" style="77" customWidth="1"/>
    <col min="5" max="5" width="7.1796875" style="77" customWidth="1"/>
    <col min="6" max="6" width="13.54296875" style="77" customWidth="1"/>
    <col min="7" max="7" width="12.54296875" style="77" customWidth="1"/>
    <col min="8" max="8" width="8.6328125" style="77" customWidth="1"/>
    <col min="9" max="9" width="10.26953125" style="77" customWidth="1"/>
    <col min="10" max="10" width="11.453125" style="77" customWidth="1"/>
    <col min="11" max="11" width="10.54296875" style="77" customWidth="1"/>
    <col min="12" max="12" width="2.453125" style="77" customWidth="1"/>
    <col min="13" max="13" width="8.81640625" style="77"/>
    <col min="14" max="14" width="11.7265625" style="77" customWidth="1"/>
    <col min="15" max="16" width="11" style="77" customWidth="1"/>
    <col min="17" max="26" width="8.81640625" style="77" customWidth="1"/>
    <col min="27" max="16384" width="8.81640625" style="77"/>
  </cols>
  <sheetData>
    <row r="1" spans="1:11" x14ac:dyDescent="0.2">
      <c r="A1" s="73"/>
      <c r="B1" s="74"/>
      <c r="C1" s="74"/>
      <c r="D1" s="74"/>
      <c r="E1" s="74"/>
      <c r="F1" s="506" t="s">
        <v>2242</v>
      </c>
      <c r="G1" s="75"/>
      <c r="H1" s="74"/>
      <c r="I1" s="74"/>
      <c r="J1" s="74"/>
      <c r="K1" s="76" t="str">
        <f>'1-Cover'!$G$1</f>
        <v>OMB Approval No. 3245-0063</v>
      </c>
    </row>
    <row r="2" spans="1:11" x14ac:dyDescent="0.2">
      <c r="A2" s="444"/>
      <c r="F2" s="79" t="str">
        <f>"FOR "&amp;Number_of_Months&amp;" MONTH PERIOD ENDED: "&amp;TEXT(Form468Date,"MM/DD/YYYY")</f>
        <v>FOR  MONTH PERIOD ENDED: 01/00/1900</v>
      </c>
      <c r="G2" s="79"/>
      <c r="K2" s="80" t="str">
        <f>'1-Cover'!$G$2</f>
        <v>Expiration Date MM/DD/YYYY</v>
      </c>
    </row>
    <row r="3" spans="1:11" ht="12" customHeight="1" x14ac:dyDescent="0.2">
      <c r="A3" s="136"/>
      <c r="B3" s="82"/>
      <c r="C3" s="82"/>
      <c r="D3" s="82"/>
      <c r="E3" s="82"/>
      <c r="F3" s="507" t="s">
        <v>1726</v>
      </c>
      <c r="G3" s="82"/>
      <c r="H3" s="82"/>
      <c r="I3" s="82"/>
      <c r="J3" s="82"/>
      <c r="K3" s="139"/>
    </row>
    <row r="4" spans="1:11" x14ac:dyDescent="0.2">
      <c r="A4" s="478" t="str">
        <f>"Name of License:  "&amp;sbicname</f>
        <v xml:space="preserve">Name of License:  </v>
      </c>
      <c r="B4" s="479">
        <f>sbicname</f>
        <v>0</v>
      </c>
      <c r="C4" s="122"/>
      <c r="D4" s="122"/>
      <c r="E4" s="122"/>
      <c r="F4" s="122"/>
      <c r="G4" s="122"/>
      <c r="H4" s="122"/>
      <c r="I4" s="122"/>
      <c r="J4" s="480"/>
      <c r="K4" s="123" t="str">
        <f>"License no.:  "&amp;TEXT(licenseno,"00\/00\-0000")</f>
        <v>License no.:  00/00-0000</v>
      </c>
    </row>
    <row r="5" spans="1:11" x14ac:dyDescent="0.2">
      <c r="A5" s="508" t="s">
        <v>2243</v>
      </c>
      <c r="B5" s="481">
        <f>'1-Cover'!C32</f>
        <v>0</v>
      </c>
      <c r="C5" s="481"/>
      <c r="D5" s="481"/>
      <c r="E5" s="481"/>
      <c r="F5" s="481"/>
      <c r="G5" s="82"/>
      <c r="H5" s="82"/>
      <c r="I5" s="82"/>
      <c r="J5" s="509" t="s">
        <v>2244</v>
      </c>
      <c r="K5" s="578">
        <f>'1-Cover'!C28</f>
        <v>0</v>
      </c>
    </row>
    <row r="6" spans="1:11" x14ac:dyDescent="0.2">
      <c r="A6" s="102"/>
    </row>
    <row r="7" spans="1:11" x14ac:dyDescent="0.2">
      <c r="A7" s="376" t="s">
        <v>3462</v>
      </c>
    </row>
    <row r="8" spans="1:11" x14ac:dyDescent="0.2">
      <c r="A8" s="482" t="s">
        <v>3463</v>
      </c>
      <c r="I8" s="324">
        <f>I24+K24</f>
        <v>0</v>
      </c>
    </row>
    <row r="9" spans="1:11" x14ac:dyDescent="0.2">
      <c r="A9" s="482" t="s">
        <v>2245</v>
      </c>
      <c r="I9" s="510"/>
    </row>
    <row r="10" spans="1:11" x14ac:dyDescent="0.2">
      <c r="A10" s="482" t="s">
        <v>2246</v>
      </c>
      <c r="I10" s="510"/>
    </row>
    <row r="11" spans="1:11" x14ac:dyDescent="0.2">
      <c r="A11" s="484" t="s">
        <v>2247</v>
      </c>
      <c r="B11" s="155"/>
      <c r="C11" s="155"/>
      <c r="D11" s="155"/>
      <c r="E11" s="155"/>
      <c r="F11" s="155"/>
      <c r="G11" s="155"/>
      <c r="H11" s="155"/>
      <c r="I11" s="510"/>
    </row>
    <row r="12" spans="1:11" x14ac:dyDescent="0.2">
      <c r="A12" s="484" t="s">
        <v>3467</v>
      </c>
      <c r="B12" s="155"/>
      <c r="C12" s="155"/>
      <c r="D12" s="155"/>
      <c r="E12" s="155"/>
      <c r="F12" s="155"/>
      <c r="G12" s="155"/>
      <c r="H12" s="155"/>
      <c r="I12" s="511"/>
      <c r="J12" s="411"/>
      <c r="K12" s="411"/>
    </row>
    <row r="13" spans="1:11" x14ac:dyDescent="0.2">
      <c r="A13" s="484" t="s">
        <v>2248</v>
      </c>
      <c r="B13" s="411"/>
      <c r="C13" s="411"/>
      <c r="D13" s="411"/>
      <c r="E13" s="411"/>
      <c r="F13" s="411"/>
      <c r="G13" s="155"/>
      <c r="H13" s="155"/>
      <c r="I13" s="512"/>
      <c r="J13" s="411"/>
      <c r="K13" s="411"/>
    </row>
    <row r="14" spans="1:11" x14ac:dyDescent="0.2">
      <c r="A14" s="484" t="s">
        <v>2249</v>
      </c>
      <c r="B14" s="484"/>
      <c r="C14" s="411"/>
      <c r="D14" s="411"/>
      <c r="E14" s="411"/>
      <c r="F14" s="411"/>
      <c r="G14" s="155"/>
      <c r="H14" s="155"/>
      <c r="I14" s="512"/>
      <c r="J14" s="411"/>
      <c r="K14" s="411"/>
    </row>
    <row r="15" spans="1:11" x14ac:dyDescent="0.2">
      <c r="A15" s="484" t="s">
        <v>2250</v>
      </c>
      <c r="B15" s="484"/>
      <c r="C15" s="411"/>
      <c r="D15" s="411"/>
      <c r="E15" s="411"/>
      <c r="F15" s="411"/>
      <c r="I15" s="475"/>
      <c r="J15" s="411"/>
      <c r="K15" s="411"/>
    </row>
    <row r="16" spans="1:11" x14ac:dyDescent="0.2">
      <c r="A16" s="484" t="s">
        <v>2251</v>
      </c>
      <c r="B16" s="484"/>
      <c r="C16" s="411"/>
      <c r="D16" s="411"/>
      <c r="E16" s="411"/>
      <c r="F16" s="411"/>
      <c r="I16" s="475"/>
      <c r="J16" s="411"/>
      <c r="K16" s="411"/>
    </row>
    <row r="17" spans="1:15" x14ac:dyDescent="0.2">
      <c r="A17" s="484" t="s">
        <v>2252</v>
      </c>
      <c r="B17" s="484"/>
      <c r="C17" s="411"/>
      <c r="D17" s="411"/>
      <c r="E17" s="411"/>
      <c r="F17" s="411"/>
      <c r="I17" s="411"/>
      <c r="J17" s="411"/>
      <c r="K17" s="411"/>
    </row>
    <row r="18" spans="1:15" x14ac:dyDescent="0.2">
      <c r="A18" s="485" t="s">
        <v>2253</v>
      </c>
      <c r="B18" s="484"/>
      <c r="C18" s="411"/>
      <c r="D18" s="411"/>
      <c r="E18" s="411"/>
      <c r="F18" s="411"/>
      <c r="I18" s="475"/>
      <c r="J18" s="411"/>
      <c r="K18" s="411"/>
    </row>
    <row r="19" spans="1:15" x14ac:dyDescent="0.2">
      <c r="A19" s="485" t="s">
        <v>2254</v>
      </c>
      <c r="B19" s="484"/>
      <c r="C19" s="411"/>
      <c r="D19" s="411"/>
      <c r="E19" s="411"/>
      <c r="F19" s="411"/>
      <c r="I19" s="475"/>
      <c r="J19" s="411"/>
      <c r="K19" s="411"/>
    </row>
    <row r="20" spans="1:15" x14ac:dyDescent="0.2">
      <c r="A20" s="485" t="s">
        <v>2255</v>
      </c>
      <c r="B20" s="484"/>
      <c r="C20" s="411"/>
      <c r="D20" s="411"/>
      <c r="E20" s="411"/>
      <c r="F20" s="411"/>
      <c r="I20" s="475"/>
      <c r="J20" s="411"/>
      <c r="K20" s="411"/>
    </row>
    <row r="21" spans="1:15" x14ac:dyDescent="0.2">
      <c r="A21" s="485" t="s">
        <v>2256</v>
      </c>
      <c r="B21" s="484"/>
      <c r="C21" s="411"/>
      <c r="D21" s="411"/>
      <c r="E21" s="411"/>
      <c r="F21" s="411"/>
      <c r="I21" s="475"/>
      <c r="J21" s="411"/>
      <c r="K21" s="411"/>
    </row>
    <row r="22" spans="1:15" x14ac:dyDescent="0.2">
      <c r="A22" s="482"/>
      <c r="I22" s="411"/>
      <c r="J22" s="411"/>
      <c r="K22" s="411"/>
    </row>
    <row r="23" spans="1:15" x14ac:dyDescent="0.2">
      <c r="A23" s="486" t="s">
        <v>3464</v>
      </c>
      <c r="I23" s="105" t="s">
        <v>2257</v>
      </c>
      <c r="K23" s="105" t="s">
        <v>2258</v>
      </c>
    </row>
    <row r="24" spans="1:15" x14ac:dyDescent="0.2">
      <c r="A24" s="482" t="s">
        <v>2259</v>
      </c>
      <c r="I24" s="324">
        <f>regcap</f>
        <v>0</v>
      </c>
      <c r="K24" s="324">
        <f>MIN(175000000,I24*2)</f>
        <v>0</v>
      </c>
    </row>
    <row r="25" spans="1:15" x14ac:dyDescent="0.2">
      <c r="A25" s="482" t="s">
        <v>3468</v>
      </c>
      <c r="I25" s="324">
        <f>cyprivcapbal</f>
        <v>0</v>
      </c>
      <c r="K25" s="324">
        <f>cysbabal</f>
        <v>0</v>
      </c>
    </row>
    <row r="26" spans="1:15" x14ac:dyDescent="0.2">
      <c r="A26" s="482" t="s">
        <v>2260</v>
      </c>
      <c r="I26" s="324">
        <f>I24-I25</f>
        <v>0</v>
      </c>
      <c r="K26" s="324">
        <f>K24-K25</f>
        <v>0</v>
      </c>
      <c r="O26" s="113"/>
    </row>
    <row r="27" spans="1:15" x14ac:dyDescent="0.2">
      <c r="A27" s="484" t="s">
        <v>2261</v>
      </c>
      <c r="I27" s="487">
        <f>S11cumperf!E12</f>
        <v>0</v>
      </c>
    </row>
    <row r="28" spans="1:15" x14ac:dyDescent="0.2">
      <c r="A28" s="482" t="s">
        <v>2262</v>
      </c>
      <c r="I28" s="324">
        <f>s9totinvest</f>
        <v>0</v>
      </c>
    </row>
    <row r="29" spans="1:15" x14ac:dyDescent="0.2">
      <c r="A29" s="482" t="s">
        <v>2263</v>
      </c>
      <c r="I29" s="324">
        <f>s11_totreceipts</f>
        <v>0</v>
      </c>
      <c r="J29" s="113"/>
      <c r="K29" s="113"/>
      <c r="L29" s="113"/>
    </row>
    <row r="30" spans="1:15" x14ac:dyDescent="0.2">
      <c r="A30" s="482" t="s">
        <v>2264</v>
      </c>
      <c r="I30" s="513">
        <v>0</v>
      </c>
    </row>
    <row r="31" spans="1:15" x14ac:dyDescent="0.2">
      <c r="A31" s="482" t="s">
        <v>2265</v>
      </c>
      <c r="I31" s="513">
        <v>0</v>
      </c>
    </row>
    <row r="32" spans="1:15" x14ac:dyDescent="0.2">
      <c r="A32" s="482" t="s">
        <v>2266</v>
      </c>
      <c r="I32" s="513">
        <v>0</v>
      </c>
    </row>
    <row r="33" spans="1:16" x14ac:dyDescent="0.2">
      <c r="A33" s="482" t="s">
        <v>2267</v>
      </c>
      <c r="K33" s="488">
        <v>0</v>
      </c>
    </row>
    <row r="34" spans="1:16" x14ac:dyDescent="0.2">
      <c r="A34" s="482" t="s">
        <v>2268</v>
      </c>
      <c r="I34" s="119">
        <f>s11_gaapval</f>
        <v>0</v>
      </c>
    </row>
    <row r="35" spans="1:16" x14ac:dyDescent="0.2">
      <c r="A35" s="482"/>
    </row>
    <row r="36" spans="1:16" x14ac:dyDescent="0.2">
      <c r="A36" s="486" t="s">
        <v>3465</v>
      </c>
      <c r="G36" s="105" t="s">
        <v>2269</v>
      </c>
      <c r="H36" s="489" t="s">
        <v>2270</v>
      </c>
      <c r="I36" s="489" t="s">
        <v>2271</v>
      </c>
      <c r="J36" s="489" t="s">
        <v>2272</v>
      </c>
      <c r="K36" s="490" t="s">
        <v>2273</v>
      </c>
    </row>
    <row r="37" spans="1:16" x14ac:dyDescent="0.2">
      <c r="A37" s="491" t="s">
        <v>2274</v>
      </c>
      <c r="G37" s="492" t="str">
        <f>IFERROR((I29+I34)/InvestAmt,"")</f>
        <v/>
      </c>
      <c r="H37" s="493" t="str">
        <f>IFERROR(I32/privatePIcap,"")</f>
        <v/>
      </c>
      <c r="I37" s="494" t="e">
        <f>NetAssetValue/privatePIcap</f>
        <v>#DIV/0!</v>
      </c>
      <c r="J37" s="494" t="str">
        <f>IFERROR(SUM(H37,I37),"")</f>
        <v/>
      </c>
      <c r="K37" s="495">
        <v>0</v>
      </c>
      <c r="O37" s="115"/>
      <c r="P37" s="113"/>
    </row>
    <row r="38" spans="1:16" x14ac:dyDescent="0.2">
      <c r="A38" s="496" t="s">
        <v>2275</v>
      </c>
    </row>
    <row r="39" spans="1:16" x14ac:dyDescent="0.2">
      <c r="A39" s="496"/>
    </row>
    <row r="40" spans="1:16" x14ac:dyDescent="0.2">
      <c r="A40" s="486" t="s">
        <v>3466</v>
      </c>
      <c r="I40" s="490" t="s">
        <v>2241</v>
      </c>
      <c r="J40" s="413" t="s">
        <v>2270</v>
      </c>
      <c r="K40" s="413" t="s">
        <v>2272</v>
      </c>
    </row>
    <row r="41" spans="1:16" x14ac:dyDescent="0.2">
      <c r="I41" s="474"/>
      <c r="J41" s="497"/>
      <c r="K41" s="497"/>
    </row>
    <row r="42" spans="1:16" x14ac:dyDescent="0.2">
      <c r="I42" s="474"/>
      <c r="J42" s="497"/>
      <c r="K42" s="497"/>
    </row>
    <row r="43" spans="1:16" x14ac:dyDescent="0.2">
      <c r="I43" s="474"/>
      <c r="J43" s="497"/>
      <c r="K43" s="497"/>
    </row>
    <row r="44" spans="1:16" x14ac:dyDescent="0.2">
      <c r="I44" s="474"/>
      <c r="J44" s="497"/>
      <c r="K44" s="497"/>
    </row>
    <row r="45" spans="1:16" x14ac:dyDescent="0.2">
      <c r="I45" s="474"/>
      <c r="J45" s="497"/>
      <c r="K45" s="497"/>
    </row>
    <row r="46" spans="1:16" x14ac:dyDescent="0.2">
      <c r="I46" s="474"/>
      <c r="J46" s="497"/>
      <c r="K46" s="497"/>
    </row>
    <row r="47" spans="1:16" x14ac:dyDescent="0.2">
      <c r="I47" s="474"/>
      <c r="J47" s="497"/>
      <c r="K47" s="497"/>
    </row>
    <row r="48" spans="1:16" x14ac:dyDescent="0.2">
      <c r="I48" s="474"/>
      <c r="J48" s="497"/>
      <c r="K48" s="497"/>
    </row>
    <row r="49" spans="1:11" x14ac:dyDescent="0.2">
      <c r="I49" s="474"/>
      <c r="J49" s="497"/>
      <c r="K49" s="497"/>
    </row>
    <row r="50" spans="1:11" x14ac:dyDescent="0.2">
      <c r="I50" s="474"/>
      <c r="J50" s="497"/>
      <c r="K50" s="497"/>
    </row>
    <row r="51" spans="1:11" x14ac:dyDescent="0.2">
      <c r="I51" s="474"/>
      <c r="J51" s="497"/>
      <c r="K51" s="497"/>
    </row>
    <row r="52" spans="1:11" x14ac:dyDescent="0.2">
      <c r="I52" s="474"/>
      <c r="J52" s="497"/>
      <c r="K52" s="497"/>
    </row>
    <row r="53" spans="1:11" x14ac:dyDescent="0.2">
      <c r="I53" s="474"/>
      <c r="J53" s="497"/>
      <c r="K53" s="497"/>
    </row>
    <row r="54" spans="1:11" x14ac:dyDescent="0.2">
      <c r="I54" s="474"/>
      <c r="J54" s="498"/>
      <c r="K54" s="498"/>
    </row>
    <row r="55" spans="1:11" x14ac:dyDescent="0.2">
      <c r="I55" s="474"/>
      <c r="J55" s="498"/>
      <c r="K55" s="498"/>
    </row>
    <row r="56" spans="1:11" x14ac:dyDescent="0.2">
      <c r="I56" s="474"/>
      <c r="J56" s="498"/>
      <c r="K56" s="498"/>
    </row>
    <row r="57" spans="1:11" hidden="1" x14ac:dyDescent="0.2">
      <c r="I57" s="474"/>
      <c r="J57" s="498"/>
      <c r="K57" s="498"/>
    </row>
    <row r="58" spans="1:11" hidden="1" x14ac:dyDescent="0.2">
      <c r="G58" s="473">
        <v>18</v>
      </c>
      <c r="H58" s="474"/>
      <c r="I58" s="498"/>
      <c r="J58" s="498"/>
      <c r="K58" s="498"/>
    </row>
    <row r="59" spans="1:11" hidden="1" x14ac:dyDescent="0.2">
      <c r="G59" s="473">
        <v>19</v>
      </c>
      <c r="H59" s="474"/>
      <c r="I59" s="498"/>
      <c r="J59" s="498"/>
      <c r="K59" s="498"/>
    </row>
    <row r="60" spans="1:11" hidden="1" x14ac:dyDescent="0.2">
      <c r="G60" s="473">
        <v>20</v>
      </c>
      <c r="H60" s="474"/>
      <c r="I60" s="498"/>
      <c r="J60" s="498"/>
      <c r="K60" s="498"/>
    </row>
    <row r="62" spans="1:11" x14ac:dyDescent="0.2">
      <c r="A62" s="486" t="s">
        <v>3469</v>
      </c>
      <c r="B62" s="84"/>
      <c r="C62" s="84"/>
      <c r="D62" s="84"/>
      <c r="E62" s="84"/>
      <c r="F62" s="84"/>
      <c r="G62" s="84"/>
      <c r="H62" s="84"/>
      <c r="I62" s="84"/>
      <c r="J62" s="215" t="s">
        <v>2276</v>
      </c>
      <c r="K62" s="499">
        <f>InvestAmt</f>
        <v>0</v>
      </c>
    </row>
    <row r="63" spans="1:11" x14ac:dyDescent="0.2">
      <c r="A63" s="144" t="s">
        <v>2277</v>
      </c>
    </row>
    <row r="64" spans="1:11" x14ac:dyDescent="0.2">
      <c r="A64" s="84" t="s">
        <v>140</v>
      </c>
      <c r="B64" s="105" t="s">
        <v>2278</v>
      </c>
      <c r="C64" s="105" t="s">
        <v>2279</v>
      </c>
      <c r="E64" s="77" t="s">
        <v>126</v>
      </c>
      <c r="F64" s="105" t="s">
        <v>2278</v>
      </c>
      <c r="G64" s="79" t="s">
        <v>2279</v>
      </c>
      <c r="I64" s="79" t="s">
        <v>141</v>
      </c>
      <c r="J64" s="105" t="s">
        <v>2278</v>
      </c>
      <c r="K64" s="79" t="s">
        <v>2279</v>
      </c>
    </row>
    <row r="65" spans="1:11" x14ac:dyDescent="0.2">
      <c r="A65" s="500"/>
      <c r="B65" s="472">
        <v>0</v>
      </c>
      <c r="C65" s="501" t="str">
        <f>IFERROR(byind[[#This Row],[Invested $]]/InvestAmt,"")</f>
        <v/>
      </c>
      <c r="E65" s="502"/>
      <c r="F65" s="472">
        <v>0</v>
      </c>
      <c r="G65" s="501" t="str">
        <f>IFERROR(Table1113[[#This Row],[Invested $]]/InvestAmt,"")</f>
        <v/>
      </c>
      <c r="I65" s="502"/>
      <c r="J65" s="472">
        <v>0</v>
      </c>
      <c r="K65" s="501" t="str">
        <f>IFERROR(Table11[[#This Row],[Invested $]]/InvestAmt,"")</f>
        <v/>
      </c>
    </row>
    <row r="66" spans="1:11" x14ac:dyDescent="0.2">
      <c r="A66" s="500"/>
      <c r="B66" s="472">
        <v>0</v>
      </c>
      <c r="C66" s="501" t="str">
        <f>IFERROR(byind[[#This Row],[Invested $]]/InvestAmt,"")</f>
        <v/>
      </c>
      <c r="E66" s="502"/>
      <c r="F66" s="472">
        <v>0</v>
      </c>
      <c r="G66" s="501" t="str">
        <f>IFERROR(Table1113[[#This Row],[Invested $]]/InvestAmt,"")</f>
        <v/>
      </c>
      <c r="I66" s="502"/>
      <c r="J66" s="472">
        <v>0</v>
      </c>
      <c r="K66" s="501" t="str">
        <f>IFERROR(Table11[[#This Row],[Invested $]]/InvestAmt,"")</f>
        <v/>
      </c>
    </row>
    <row r="67" spans="1:11" x14ac:dyDescent="0.2">
      <c r="A67" s="500"/>
      <c r="B67" s="472">
        <v>0</v>
      </c>
      <c r="C67" s="501" t="str">
        <f>IFERROR(byind[[#This Row],[Invested $]]/InvestAmt,"")</f>
        <v/>
      </c>
      <c r="E67" s="502"/>
      <c r="F67" s="472">
        <v>0</v>
      </c>
      <c r="G67" s="501" t="str">
        <f>IFERROR(Table1113[[#This Row],[Invested $]]/InvestAmt,"")</f>
        <v/>
      </c>
      <c r="I67" s="502"/>
      <c r="J67" s="472">
        <v>0</v>
      </c>
      <c r="K67" s="501" t="str">
        <f>IFERROR(Table11[[#This Row],[Invested $]]/InvestAmt,"")</f>
        <v/>
      </c>
    </row>
    <row r="68" spans="1:11" x14ac:dyDescent="0.2">
      <c r="A68" s="500"/>
      <c r="B68" s="472">
        <v>0</v>
      </c>
      <c r="C68" s="501" t="str">
        <f>IFERROR(byind[[#This Row],[Invested $]]/InvestAmt,"")</f>
        <v/>
      </c>
      <c r="E68" s="502"/>
      <c r="F68" s="472">
        <v>0</v>
      </c>
      <c r="G68" s="501" t="str">
        <f>IFERROR(Table1113[[#This Row],[Invested $]]/InvestAmt,"")</f>
        <v/>
      </c>
      <c r="I68" s="502"/>
      <c r="J68" s="472"/>
      <c r="K68" s="501" t="str">
        <f>IFERROR(Table11[[#This Row],[Invested $]]/InvestAmt,"")</f>
        <v/>
      </c>
    </row>
    <row r="69" spans="1:11" x14ac:dyDescent="0.2">
      <c r="A69" s="500"/>
      <c r="B69" s="472">
        <v>0</v>
      </c>
      <c r="C69" s="501" t="str">
        <f>IFERROR(byind[[#This Row],[Invested $]]/InvestAmt,"")</f>
        <v/>
      </c>
      <c r="E69" s="502"/>
      <c r="F69" s="472">
        <v>0</v>
      </c>
      <c r="G69" s="501" t="str">
        <f>IFERROR(Table1113[[#This Row],[Invested $]]/InvestAmt,"")</f>
        <v/>
      </c>
      <c r="I69" s="502"/>
      <c r="J69" s="472"/>
      <c r="K69" s="501" t="str">
        <f>IFERROR(Table11[[#This Row],[Invested $]]/InvestAmt,"")</f>
        <v/>
      </c>
    </row>
    <row r="70" spans="1:11" hidden="1" x14ac:dyDescent="0.2"/>
    <row r="71" spans="1:11" x14ac:dyDescent="0.2">
      <c r="A71" s="77" t="s">
        <v>223</v>
      </c>
      <c r="B71" s="115">
        <f>InvestAmt-SUM(byind[Invested $])</f>
        <v>0</v>
      </c>
      <c r="C71" s="503" t="str">
        <f>IFERROR(B71/InvestAmt,"")</f>
        <v/>
      </c>
      <c r="E71" s="77" t="s">
        <v>223</v>
      </c>
      <c r="F71" s="115">
        <f>InvestAmt-SUM(Table1113[Invested $])</f>
        <v>0</v>
      </c>
      <c r="G71" s="504" t="str">
        <f>IFERROR(F71/InvestAmt,"")</f>
        <v/>
      </c>
      <c r="I71" s="77" t="s">
        <v>223</v>
      </c>
      <c r="J71" s="115">
        <f>InvestAmt-SUM(Table11[Invested $])</f>
        <v>0</v>
      </c>
      <c r="K71" s="505" t="str">
        <f>IFERROR(J71/InvestAmt,"")</f>
        <v/>
      </c>
    </row>
    <row r="72" spans="1:11" hidden="1" x14ac:dyDescent="0.2"/>
    <row r="74" spans="1:11" hidden="1" x14ac:dyDescent="0.2"/>
    <row r="75" spans="1:11" x14ac:dyDescent="0.2">
      <c r="A75" s="84" t="s">
        <v>3456</v>
      </c>
      <c r="B75" s="105" t="s">
        <v>2278</v>
      </c>
      <c r="C75" s="105" t="s">
        <v>2279</v>
      </c>
    </row>
    <row r="76" spans="1:11" x14ac:dyDescent="0.2">
      <c r="A76" s="500"/>
      <c r="B76" s="472">
        <v>0</v>
      </c>
      <c r="C76" s="501" t="str">
        <f>IFERROR(byind11[[#This Row],[Invested $]]/InvestAmt,"")</f>
        <v/>
      </c>
    </row>
    <row r="77" spans="1:11" x14ac:dyDescent="0.2">
      <c r="A77" s="500"/>
      <c r="B77" s="472">
        <v>0</v>
      </c>
      <c r="C77" s="501" t="str">
        <f>IFERROR(byind11[[#This Row],[Invested $]]/InvestAmt,"")</f>
        <v/>
      </c>
    </row>
    <row r="78" spans="1:11" x14ac:dyDescent="0.2">
      <c r="A78" s="500"/>
      <c r="B78" s="472">
        <v>0</v>
      </c>
      <c r="C78" s="501" t="str">
        <f>IFERROR(byind11[[#This Row],[Invested $]]/InvestAmt,"")</f>
        <v/>
      </c>
    </row>
    <row r="79" spans="1:11" x14ac:dyDescent="0.2">
      <c r="A79" s="500"/>
      <c r="B79" s="472">
        <v>0</v>
      </c>
      <c r="C79" s="501" t="str">
        <f>IFERROR(byind11[[#This Row],[Invested $]]/InvestAmt,"")</f>
        <v/>
      </c>
    </row>
    <row r="80" spans="1:11" x14ac:dyDescent="0.2">
      <c r="A80" s="500"/>
      <c r="B80" s="472">
        <v>0</v>
      </c>
      <c r="C80" s="501" t="str">
        <f>IFERROR(byind11[[#This Row],[Invested $]]/InvestAmt,"")</f>
        <v/>
      </c>
    </row>
    <row r="82" spans="1:11" x14ac:dyDescent="0.2">
      <c r="A82" s="77" t="s">
        <v>223</v>
      </c>
      <c r="B82" s="115">
        <f>InvestAmt-SUM(byind11[Invested $])</f>
        <v>0</v>
      </c>
      <c r="C82" s="503" t="str">
        <f>IFERROR(B82/InvestAmt,"")</f>
        <v/>
      </c>
    </row>
    <row r="85" spans="1:11" s="84" customFormat="1" x14ac:dyDescent="0.2">
      <c r="A85" s="84" t="s">
        <v>3470</v>
      </c>
    </row>
    <row r="86" spans="1:11" ht="10" customHeight="1" x14ac:dyDescent="0.2">
      <c r="A86" s="807" t="s">
        <v>3512</v>
      </c>
      <c r="B86" s="807"/>
      <c r="C86" s="807"/>
      <c r="D86" s="807"/>
      <c r="E86" s="807"/>
      <c r="F86" s="807"/>
      <c r="G86" s="807"/>
      <c r="H86" s="807"/>
      <c r="I86" s="807"/>
      <c r="J86" s="807"/>
      <c r="K86" s="807"/>
    </row>
    <row r="87" spans="1:11" x14ac:dyDescent="0.2">
      <c r="A87" s="807"/>
      <c r="B87" s="807"/>
      <c r="C87" s="807"/>
      <c r="D87" s="807"/>
      <c r="E87" s="807"/>
      <c r="F87" s="807"/>
      <c r="G87" s="807"/>
      <c r="H87" s="807"/>
      <c r="I87" s="807"/>
      <c r="J87" s="807"/>
      <c r="K87" s="807"/>
    </row>
    <row r="88" spans="1:11" x14ac:dyDescent="0.2">
      <c r="A88" s="807"/>
      <c r="B88" s="807"/>
      <c r="C88" s="807"/>
      <c r="D88" s="807"/>
      <c r="E88" s="807"/>
      <c r="F88" s="807"/>
      <c r="G88" s="807"/>
      <c r="H88" s="807"/>
      <c r="I88" s="807"/>
      <c r="J88" s="807"/>
      <c r="K88" s="807"/>
    </row>
    <row r="89" spans="1:11" x14ac:dyDescent="0.2">
      <c r="A89" s="807"/>
      <c r="B89" s="807"/>
      <c r="C89" s="807"/>
      <c r="D89" s="807"/>
      <c r="E89" s="807"/>
      <c r="F89" s="807"/>
      <c r="G89" s="807"/>
      <c r="H89" s="807"/>
      <c r="I89" s="807"/>
      <c r="J89" s="807"/>
      <c r="K89" s="807"/>
    </row>
    <row r="90" spans="1:11" x14ac:dyDescent="0.2">
      <c r="A90" s="807"/>
      <c r="B90" s="807"/>
      <c r="C90" s="807"/>
      <c r="D90" s="807"/>
      <c r="E90" s="807"/>
      <c r="F90" s="807"/>
      <c r="G90" s="807"/>
      <c r="H90" s="807"/>
      <c r="I90" s="807"/>
      <c r="J90" s="807"/>
      <c r="K90" s="807"/>
    </row>
    <row r="91" spans="1:11" x14ac:dyDescent="0.2">
      <c r="A91" s="807"/>
      <c r="B91" s="807"/>
      <c r="C91" s="807"/>
      <c r="D91" s="807"/>
      <c r="E91" s="807"/>
      <c r="F91" s="807"/>
      <c r="G91" s="807"/>
      <c r="H91" s="807"/>
      <c r="I91" s="807"/>
      <c r="J91" s="807"/>
      <c r="K91" s="807"/>
    </row>
    <row r="92" spans="1:11" x14ac:dyDescent="0.2">
      <c r="A92" s="807"/>
      <c r="B92" s="807"/>
      <c r="C92" s="807"/>
      <c r="D92" s="807"/>
      <c r="E92" s="807"/>
      <c r="F92" s="807"/>
      <c r="G92" s="807"/>
      <c r="H92" s="807"/>
      <c r="I92" s="807"/>
      <c r="J92" s="807"/>
      <c r="K92" s="807"/>
    </row>
    <row r="93" spans="1:11" x14ac:dyDescent="0.2">
      <c r="A93" s="808"/>
      <c r="B93" s="809"/>
      <c r="C93" s="809"/>
      <c r="D93" s="809"/>
      <c r="E93" s="809"/>
      <c r="F93" s="809"/>
      <c r="G93" s="809"/>
      <c r="H93" s="809"/>
      <c r="I93" s="809"/>
      <c r="J93" s="809"/>
      <c r="K93" s="810"/>
    </row>
    <row r="94" spans="1:11" x14ac:dyDescent="0.2">
      <c r="A94" s="811"/>
      <c r="B94" s="812"/>
      <c r="C94" s="812"/>
      <c r="D94" s="812"/>
      <c r="E94" s="812"/>
      <c r="F94" s="812"/>
      <c r="G94" s="812"/>
      <c r="H94" s="812"/>
      <c r="I94" s="812"/>
      <c r="J94" s="812"/>
      <c r="K94" s="813"/>
    </row>
    <row r="95" spans="1:11" x14ac:dyDescent="0.2">
      <c r="A95" s="811"/>
      <c r="B95" s="812"/>
      <c r="C95" s="812"/>
      <c r="D95" s="812"/>
      <c r="E95" s="812"/>
      <c r="F95" s="812"/>
      <c r="G95" s="812"/>
      <c r="H95" s="812"/>
      <c r="I95" s="812"/>
      <c r="J95" s="812"/>
      <c r="K95" s="813"/>
    </row>
    <row r="96" spans="1:11" x14ac:dyDescent="0.2">
      <c r="A96" s="811"/>
      <c r="B96" s="812"/>
      <c r="C96" s="812"/>
      <c r="D96" s="812"/>
      <c r="E96" s="812"/>
      <c r="F96" s="812"/>
      <c r="G96" s="812"/>
      <c r="H96" s="812"/>
      <c r="I96" s="812"/>
      <c r="J96" s="812"/>
      <c r="K96" s="813"/>
    </row>
    <row r="97" spans="1:11" x14ac:dyDescent="0.2">
      <c r="A97" s="811"/>
      <c r="B97" s="812"/>
      <c r="C97" s="812"/>
      <c r="D97" s="812"/>
      <c r="E97" s="812"/>
      <c r="F97" s="812"/>
      <c r="G97" s="812"/>
      <c r="H97" s="812"/>
      <c r="I97" s="812"/>
      <c r="J97" s="812"/>
      <c r="K97" s="813"/>
    </row>
    <row r="98" spans="1:11" x14ac:dyDescent="0.2">
      <c r="A98" s="811"/>
      <c r="B98" s="812"/>
      <c r="C98" s="812"/>
      <c r="D98" s="812"/>
      <c r="E98" s="812"/>
      <c r="F98" s="812"/>
      <c r="G98" s="812"/>
      <c r="H98" s="812"/>
      <c r="I98" s="812"/>
      <c r="J98" s="812"/>
      <c r="K98" s="813"/>
    </row>
    <row r="99" spans="1:11" x14ac:dyDescent="0.2">
      <c r="A99" s="811"/>
      <c r="B99" s="812"/>
      <c r="C99" s="812"/>
      <c r="D99" s="812"/>
      <c r="E99" s="812"/>
      <c r="F99" s="812"/>
      <c r="G99" s="812"/>
      <c r="H99" s="812"/>
      <c r="I99" s="812"/>
      <c r="J99" s="812"/>
      <c r="K99" s="813"/>
    </row>
    <row r="100" spans="1:11" x14ac:dyDescent="0.2">
      <c r="A100" s="811"/>
      <c r="B100" s="812"/>
      <c r="C100" s="812"/>
      <c r="D100" s="812"/>
      <c r="E100" s="812"/>
      <c r="F100" s="812"/>
      <c r="G100" s="812"/>
      <c r="H100" s="812"/>
      <c r="I100" s="812"/>
      <c r="J100" s="812"/>
      <c r="K100" s="813"/>
    </row>
    <row r="101" spans="1:11" x14ac:dyDescent="0.2">
      <c r="A101" s="811"/>
      <c r="B101" s="812"/>
      <c r="C101" s="812"/>
      <c r="D101" s="812"/>
      <c r="E101" s="812"/>
      <c r="F101" s="812"/>
      <c r="G101" s="812"/>
      <c r="H101" s="812"/>
      <c r="I101" s="812"/>
      <c r="J101" s="812"/>
      <c r="K101" s="813"/>
    </row>
    <row r="102" spans="1:11" x14ac:dyDescent="0.2">
      <c r="A102" s="811"/>
      <c r="B102" s="812"/>
      <c r="C102" s="812"/>
      <c r="D102" s="812"/>
      <c r="E102" s="812"/>
      <c r="F102" s="812"/>
      <c r="G102" s="812"/>
      <c r="H102" s="812"/>
      <c r="I102" s="812"/>
      <c r="J102" s="812"/>
      <c r="K102" s="813"/>
    </row>
    <row r="103" spans="1:11" x14ac:dyDescent="0.2">
      <c r="A103" s="811"/>
      <c r="B103" s="812"/>
      <c r="C103" s="812"/>
      <c r="D103" s="812"/>
      <c r="E103" s="812"/>
      <c r="F103" s="812"/>
      <c r="G103" s="812"/>
      <c r="H103" s="812"/>
      <c r="I103" s="812"/>
      <c r="J103" s="812"/>
      <c r="K103" s="813"/>
    </row>
    <row r="104" spans="1:11" x14ac:dyDescent="0.2">
      <c r="A104" s="811"/>
      <c r="B104" s="812"/>
      <c r="C104" s="812"/>
      <c r="D104" s="812"/>
      <c r="E104" s="812"/>
      <c r="F104" s="812"/>
      <c r="G104" s="812"/>
      <c r="H104" s="812"/>
      <c r="I104" s="812"/>
      <c r="J104" s="812"/>
      <c r="K104" s="813"/>
    </row>
    <row r="105" spans="1:11" x14ac:dyDescent="0.2">
      <c r="A105" s="811"/>
      <c r="B105" s="812"/>
      <c r="C105" s="812"/>
      <c r="D105" s="812"/>
      <c r="E105" s="812"/>
      <c r="F105" s="812"/>
      <c r="G105" s="812"/>
      <c r="H105" s="812"/>
      <c r="I105" s="812"/>
      <c r="J105" s="812"/>
      <c r="K105" s="813"/>
    </row>
    <row r="106" spans="1:11" x14ac:dyDescent="0.2">
      <c r="A106" s="811"/>
      <c r="B106" s="812"/>
      <c r="C106" s="812"/>
      <c r="D106" s="812"/>
      <c r="E106" s="812"/>
      <c r="F106" s="812"/>
      <c r="G106" s="812"/>
      <c r="H106" s="812"/>
      <c r="I106" s="812"/>
      <c r="J106" s="812"/>
      <c r="K106" s="813"/>
    </row>
    <row r="107" spans="1:11" x14ac:dyDescent="0.2">
      <c r="A107" s="811"/>
      <c r="B107" s="812"/>
      <c r="C107" s="812"/>
      <c r="D107" s="812"/>
      <c r="E107" s="812"/>
      <c r="F107" s="812"/>
      <c r="G107" s="812"/>
      <c r="H107" s="812"/>
      <c r="I107" s="812"/>
      <c r="J107" s="812"/>
      <c r="K107" s="813"/>
    </row>
    <row r="108" spans="1:11" x14ac:dyDescent="0.2">
      <c r="A108" s="811"/>
      <c r="B108" s="812"/>
      <c r="C108" s="812"/>
      <c r="D108" s="812"/>
      <c r="E108" s="812"/>
      <c r="F108" s="812"/>
      <c r="G108" s="812"/>
      <c r="H108" s="812"/>
      <c r="I108" s="812"/>
      <c r="J108" s="812"/>
      <c r="K108" s="813"/>
    </row>
    <row r="109" spans="1:11" x14ac:dyDescent="0.2">
      <c r="A109" s="811"/>
      <c r="B109" s="812"/>
      <c r="C109" s="812"/>
      <c r="D109" s="812"/>
      <c r="E109" s="812"/>
      <c r="F109" s="812"/>
      <c r="G109" s="812"/>
      <c r="H109" s="812"/>
      <c r="I109" s="812"/>
      <c r="J109" s="812"/>
      <c r="K109" s="813"/>
    </row>
    <row r="110" spans="1:11" x14ac:dyDescent="0.2">
      <c r="A110" s="811"/>
      <c r="B110" s="812"/>
      <c r="C110" s="812"/>
      <c r="D110" s="812"/>
      <c r="E110" s="812"/>
      <c r="F110" s="812"/>
      <c r="G110" s="812"/>
      <c r="H110" s="812"/>
      <c r="I110" s="812"/>
      <c r="J110" s="812"/>
      <c r="K110" s="813"/>
    </row>
    <row r="111" spans="1:11" x14ac:dyDescent="0.2">
      <c r="A111" s="811"/>
      <c r="B111" s="812"/>
      <c r="C111" s="812"/>
      <c r="D111" s="812"/>
      <c r="E111" s="812"/>
      <c r="F111" s="812"/>
      <c r="G111" s="812"/>
      <c r="H111" s="812"/>
      <c r="I111" s="812"/>
      <c r="J111" s="812"/>
      <c r="K111" s="813"/>
    </row>
    <row r="112" spans="1:11" x14ac:dyDescent="0.2">
      <c r="A112" s="811"/>
      <c r="B112" s="812"/>
      <c r="C112" s="812"/>
      <c r="D112" s="812"/>
      <c r="E112" s="812"/>
      <c r="F112" s="812"/>
      <c r="G112" s="812"/>
      <c r="H112" s="812"/>
      <c r="I112" s="812"/>
      <c r="J112" s="812"/>
      <c r="K112" s="813"/>
    </row>
    <row r="113" spans="1:11" x14ac:dyDescent="0.2">
      <c r="A113" s="811"/>
      <c r="B113" s="812"/>
      <c r="C113" s="812"/>
      <c r="D113" s="812"/>
      <c r="E113" s="812"/>
      <c r="F113" s="812"/>
      <c r="G113" s="812"/>
      <c r="H113" s="812"/>
      <c r="I113" s="812"/>
      <c r="J113" s="812"/>
      <c r="K113" s="813"/>
    </row>
    <row r="114" spans="1:11" x14ac:dyDescent="0.2">
      <c r="A114" s="811"/>
      <c r="B114" s="812"/>
      <c r="C114" s="812"/>
      <c r="D114" s="812"/>
      <c r="E114" s="812"/>
      <c r="F114" s="812"/>
      <c r="G114" s="812"/>
      <c r="H114" s="812"/>
      <c r="I114" s="812"/>
      <c r="J114" s="812"/>
      <c r="K114" s="813"/>
    </row>
    <row r="115" spans="1:11" x14ac:dyDescent="0.2">
      <c r="A115" s="811"/>
      <c r="B115" s="812"/>
      <c r="C115" s="812"/>
      <c r="D115" s="812"/>
      <c r="E115" s="812"/>
      <c r="F115" s="812"/>
      <c r="G115" s="812"/>
      <c r="H115" s="812"/>
      <c r="I115" s="812"/>
      <c r="J115" s="812"/>
      <c r="K115" s="813"/>
    </row>
    <row r="116" spans="1:11" x14ac:dyDescent="0.2">
      <c r="A116" s="814"/>
      <c r="B116" s="815"/>
      <c r="C116" s="815"/>
      <c r="D116" s="815"/>
      <c r="E116" s="815"/>
      <c r="F116" s="815"/>
      <c r="G116" s="815"/>
      <c r="H116" s="815"/>
      <c r="I116" s="815"/>
      <c r="J116" s="815"/>
      <c r="K116" s="816"/>
    </row>
  </sheetData>
  <mergeCells count="2">
    <mergeCell ref="A86:K92"/>
    <mergeCell ref="A93:K116"/>
  </mergeCells>
  <printOptions horizontalCentered="1" verticalCentered="1"/>
  <pageMargins left="0.25" right="0.25" top="0.25" bottom="0.25" header="0.3" footer="0.3"/>
  <pageSetup scale="93" orientation="portrait" r:id="rId1"/>
  <drawing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4">
        <x14:dataValidation type="list" allowBlank="1" showInputMessage="1" showErrorMessage="1" xr:uid="{7A0FD3EC-0C02-4DA9-A59F-8E5DE23FD64F}">
          <x14:formula1>
            <xm:f>selection!$S$17:$S$75</xm:f>
          </x14:formula1>
          <xm:sqref>E65:E69</xm:sqref>
        </x14:dataValidation>
        <x14:dataValidation type="list" allowBlank="1" showInputMessage="1" showErrorMessage="1" xr:uid="{5A1C3DA5-F34E-4EF8-BBD2-E8826322FCAE}">
          <x14:formula1>
            <xm:f>selection!$AW$17:$AW$38</xm:f>
          </x14:formula1>
          <xm:sqref>A65:A69 A76:A80</xm:sqref>
        </x14:dataValidation>
        <x14:dataValidation type="list" allowBlank="1" showInputMessage="1" showErrorMessage="1" xr:uid="{54558D73-D92E-438D-A331-76ACC10C9DEA}">
          <x14:formula1>
            <xm:f>selection!$AZ$17:$AZ$23</xm:f>
          </x14:formula1>
          <xm:sqref>I65:I69</xm:sqref>
        </x14:dataValidation>
        <x14:dataValidation type="list" allowBlank="1" showInputMessage="1" showErrorMessage="1" xr:uid="{358884A7-E970-49DF-80E3-F65FFA0D84E5}">
          <x14:formula1>
            <xm:f>selection!$Y$17:$Y$18</xm:f>
          </x14:formula1>
          <xm:sqref>I15:I16 I18:I21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F26-0C18-467F-847F-A857CCF6314E}">
  <sheetPr codeName="Sheet23"/>
  <dimension ref="A1:K60"/>
  <sheetViews>
    <sheetView workbookViewId="0">
      <selection activeCell="B5" sqref="B5"/>
    </sheetView>
  </sheetViews>
  <sheetFormatPr defaultColWidth="9.1796875" defaultRowHeight="10" x14ac:dyDescent="0.2"/>
  <cols>
    <col min="1" max="1" width="13.54296875" style="77" customWidth="1"/>
    <col min="2" max="2" width="20.7265625" style="77" customWidth="1"/>
    <col min="3" max="3" width="1.1796875" style="77" customWidth="1"/>
    <col min="4" max="4" width="10" style="77" customWidth="1"/>
    <col min="5" max="5" width="10.54296875" style="77" customWidth="1"/>
    <col min="6" max="8" width="10.7265625" style="77" customWidth="1"/>
    <col min="9" max="9" width="10" style="77" customWidth="1"/>
    <col min="10" max="10" width="7.7265625" style="77" customWidth="1"/>
    <col min="11" max="11" width="11.1796875" style="77" customWidth="1"/>
    <col min="12" max="16384" width="9.1796875" style="77"/>
  </cols>
  <sheetData>
    <row r="1" spans="1:11" x14ac:dyDescent="0.2">
      <c r="A1" s="77" t="s">
        <v>3472</v>
      </c>
      <c r="K1" s="150" t="str">
        <f>ombapproval</f>
        <v>OMB Approval No. 3245-0063</v>
      </c>
    </row>
    <row r="2" spans="1:11" x14ac:dyDescent="0.2">
      <c r="D2" s="150" t="s">
        <v>1987</v>
      </c>
      <c r="E2" s="153">
        <f>Form468Date</f>
        <v>0</v>
      </c>
      <c r="K2" s="150" t="str">
        <f>expirationdate</f>
        <v>Expiration Date MM/DD/YYYY</v>
      </c>
    </row>
    <row r="4" spans="1:11" x14ac:dyDescent="0.2">
      <c r="A4" s="121" t="str">
        <f>"Name of License:  "&amp;sbicname</f>
        <v xml:space="preserve">Name of License:  </v>
      </c>
      <c r="B4" s="122">
        <f>sbicname</f>
        <v>0</v>
      </c>
      <c r="C4" s="140"/>
      <c r="D4" s="140"/>
      <c r="E4" s="140"/>
      <c r="F4" s="140"/>
      <c r="G4" s="140"/>
      <c r="H4" s="140"/>
      <c r="I4" s="140"/>
      <c r="J4" s="140"/>
      <c r="K4" s="123" t="str">
        <f>"License no.:  "&amp;TEXT(licenseno,"00\/00\-0000")</f>
        <v>License no.:  00/00-0000</v>
      </c>
    </row>
    <row r="5" spans="1:11" x14ac:dyDescent="0.2">
      <c r="A5" s="77" t="s">
        <v>2280</v>
      </c>
    </row>
    <row r="7" spans="1:11" x14ac:dyDescent="0.2">
      <c r="A7" s="198" t="s">
        <v>2281</v>
      </c>
      <c r="B7" s="198"/>
      <c r="H7" s="150"/>
      <c r="I7" s="150"/>
      <c r="J7" s="150" t="s">
        <v>2282</v>
      </c>
      <c r="K7" s="483">
        <f>cycash+cyidle</f>
        <v>0</v>
      </c>
    </row>
    <row r="8" spans="1:11" x14ac:dyDescent="0.2">
      <c r="G8" s="150"/>
      <c r="H8" s="150"/>
    </row>
    <row r="9" spans="1:11" x14ac:dyDescent="0.2">
      <c r="E9" s="105" t="s">
        <v>2283</v>
      </c>
      <c r="G9" s="150"/>
      <c r="H9" s="150"/>
      <c r="K9" s="105" t="s">
        <v>2284</v>
      </c>
    </row>
    <row r="10" spans="1:11" x14ac:dyDescent="0.2">
      <c r="D10" s="150" t="s">
        <v>2285</v>
      </c>
      <c r="E10" s="483">
        <f>ExecSum!I24</f>
        <v>0</v>
      </c>
      <c r="G10" s="150"/>
      <c r="H10" s="150"/>
      <c r="I10" s="150"/>
      <c r="J10" s="150"/>
      <c r="K10" s="150"/>
    </row>
    <row r="11" spans="1:11" x14ac:dyDescent="0.2">
      <c r="D11" s="150" t="s">
        <v>2286</v>
      </c>
      <c r="E11" s="483">
        <f>ExecSum!I25</f>
        <v>0</v>
      </c>
      <c r="H11" s="150"/>
      <c r="I11" s="150"/>
      <c r="J11" s="150" t="s">
        <v>2287</v>
      </c>
      <c r="K11" s="483">
        <f>ExecSum!K25</f>
        <v>0</v>
      </c>
    </row>
    <row r="12" spans="1:11" x14ac:dyDescent="0.2">
      <c r="D12" s="150" t="s">
        <v>2288</v>
      </c>
      <c r="E12" s="110"/>
      <c r="G12" s="150"/>
      <c r="H12" s="150"/>
      <c r="I12" s="150"/>
      <c r="J12" s="150" t="s">
        <v>2289</v>
      </c>
      <c r="K12" s="483">
        <f>ExecSum!K25</f>
        <v>0</v>
      </c>
    </row>
    <row r="13" spans="1:11" x14ac:dyDescent="0.2">
      <c r="D13" s="150" t="s">
        <v>2290</v>
      </c>
      <c r="E13" s="110"/>
      <c r="G13" s="150"/>
      <c r="H13" s="150"/>
      <c r="I13" s="150"/>
      <c r="J13" s="150"/>
      <c r="K13" s="150"/>
    </row>
    <row r="14" spans="1:11" x14ac:dyDescent="0.2">
      <c r="D14" s="150" t="s">
        <v>2291</v>
      </c>
      <c r="E14" s="483">
        <f>levcap</f>
        <v>0</v>
      </c>
      <c r="G14" s="150"/>
      <c r="H14" s="150"/>
      <c r="I14" s="150"/>
      <c r="J14" s="150" t="s">
        <v>2292</v>
      </c>
      <c r="K14" s="483">
        <f>cysbabal</f>
        <v>0</v>
      </c>
    </row>
    <row r="15" spans="1:11" x14ac:dyDescent="0.2">
      <c r="D15" s="150" t="s">
        <v>2293</v>
      </c>
      <c r="E15" s="483">
        <f>PI_UnfundCommit</f>
        <v>0</v>
      </c>
      <c r="G15" s="150"/>
      <c r="H15" s="150"/>
      <c r="I15" s="150"/>
      <c r="J15" s="150" t="s">
        <v>2294</v>
      </c>
      <c r="K15" s="483">
        <f>ExecSum!K26</f>
        <v>0</v>
      </c>
    </row>
    <row r="16" spans="1:11" x14ac:dyDescent="0.2">
      <c r="D16" s="150" t="s">
        <v>2295</v>
      </c>
      <c r="E16" s="483">
        <f>regcap</f>
        <v>0</v>
      </c>
    </row>
    <row r="18" spans="1:11" ht="6" customHeight="1" x14ac:dyDescent="0.2"/>
    <row r="19" spans="1:11" x14ac:dyDescent="0.2">
      <c r="A19" s="198" t="s">
        <v>2296</v>
      </c>
      <c r="D19" s="79"/>
      <c r="K19" s="79"/>
    </row>
    <row r="20" spans="1:11" x14ac:dyDescent="0.2">
      <c r="D20" s="79"/>
      <c r="E20" s="552">
        <f>E2+1</f>
        <v>1</v>
      </c>
      <c r="F20" s="553"/>
      <c r="G20" s="553"/>
      <c r="H20" s="554" t="s">
        <v>2297</v>
      </c>
      <c r="I20" s="553" t="s">
        <v>2298</v>
      </c>
      <c r="J20" s="555"/>
      <c r="K20" s="556"/>
    </row>
    <row r="21" spans="1:11" x14ac:dyDescent="0.2">
      <c r="A21" s="77" t="s">
        <v>2299</v>
      </c>
      <c r="D21" s="79"/>
      <c r="E21" s="557">
        <f>DATE(YEAR(E20),12,31)</f>
        <v>366</v>
      </c>
      <c r="F21" s="558">
        <f>YEAR(E21)+1</f>
        <v>1901</v>
      </c>
      <c r="G21" s="558">
        <f>F21+1</f>
        <v>1902</v>
      </c>
      <c r="H21" s="559">
        <f>G21</f>
        <v>1902</v>
      </c>
      <c r="I21" s="558" t="s">
        <v>1941</v>
      </c>
      <c r="J21" s="818" t="s">
        <v>85</v>
      </c>
      <c r="K21" s="819"/>
    </row>
    <row r="22" spans="1:11" x14ac:dyDescent="0.2">
      <c r="A22" s="77" t="s">
        <v>2300</v>
      </c>
    </row>
    <row r="23" spans="1:11" x14ac:dyDescent="0.2">
      <c r="A23" s="100" t="s">
        <v>2301</v>
      </c>
      <c r="E23" s="514"/>
      <c r="F23" s="514"/>
      <c r="G23" s="514"/>
      <c r="H23" s="515"/>
      <c r="I23" s="516">
        <f>SUM(D23:H23)</f>
        <v>0</v>
      </c>
      <c r="J23" s="820"/>
      <c r="K23" s="817"/>
    </row>
    <row r="24" spans="1:11" x14ac:dyDescent="0.2">
      <c r="A24" s="100" t="s">
        <v>2302</v>
      </c>
      <c r="E24" s="514"/>
      <c r="F24" s="514"/>
      <c r="G24" s="514"/>
      <c r="H24" s="515"/>
      <c r="I24" s="517">
        <f>SUM(D24:H24)</f>
        <v>0</v>
      </c>
      <c r="J24" s="820"/>
      <c r="K24" s="817"/>
    </row>
    <row r="25" spans="1:11" x14ac:dyDescent="0.2">
      <c r="A25" s="100" t="s">
        <v>2303</v>
      </c>
      <c r="E25" s="518"/>
      <c r="F25" s="518"/>
      <c r="G25" s="518"/>
      <c r="H25" s="519"/>
      <c r="I25" s="517">
        <f>SUM(D25:H25)</f>
        <v>0</v>
      </c>
      <c r="J25" s="820"/>
      <c r="K25" s="817"/>
    </row>
    <row r="26" spans="1:11" x14ac:dyDescent="0.2">
      <c r="A26" s="520" t="s">
        <v>2304</v>
      </c>
      <c r="E26" s="560">
        <f>+WDSupA!I8</f>
        <v>0</v>
      </c>
      <c r="F26" s="560">
        <f>+WDSupA!J8</f>
        <v>0</v>
      </c>
      <c r="G26" s="560">
        <f>+WDSupA!K8</f>
        <v>0</v>
      </c>
      <c r="H26" s="560">
        <f>+WDSupA!L8</f>
        <v>0</v>
      </c>
      <c r="I26" s="534">
        <f>SUM(D26:H26)</f>
        <v>0</v>
      </c>
      <c r="J26" s="521" t="s">
        <v>2305</v>
      </c>
      <c r="K26" s="522"/>
    </row>
    <row r="27" spans="1:11" x14ac:dyDescent="0.2">
      <c r="A27" s="100" t="s">
        <v>2306</v>
      </c>
      <c r="E27" s="514"/>
      <c r="F27" s="514"/>
      <c r="G27" s="514"/>
      <c r="H27" s="515"/>
      <c r="I27" s="517"/>
      <c r="J27" s="820"/>
      <c r="K27" s="817"/>
    </row>
    <row r="28" spans="1:11" x14ac:dyDescent="0.2">
      <c r="D28" s="150" t="s">
        <v>2307</v>
      </c>
      <c r="E28" s="560">
        <f>SUM(E23:E27)</f>
        <v>0</v>
      </c>
      <c r="F28" s="560">
        <f>SUM(F23:F27)</f>
        <v>0</v>
      </c>
      <c r="G28" s="560">
        <f>SUM(G23:G27)</f>
        <v>0</v>
      </c>
      <c r="H28" s="560">
        <f>SUM(H23:H27)</f>
        <v>0</v>
      </c>
      <c r="I28" s="534">
        <f>SUM(I23:I27)</f>
        <v>0</v>
      </c>
      <c r="J28" s="523"/>
      <c r="K28" s="523"/>
    </row>
    <row r="29" spans="1:11" x14ac:dyDescent="0.2">
      <c r="A29" s="77" t="s">
        <v>2308</v>
      </c>
      <c r="E29" s="471"/>
      <c r="F29" s="471"/>
      <c r="G29" s="471"/>
      <c r="H29" s="471"/>
      <c r="I29" s="471"/>
    </row>
    <row r="30" spans="1:11" x14ac:dyDescent="0.2">
      <c r="A30" s="100" t="s">
        <v>2309</v>
      </c>
      <c r="E30" s="471"/>
      <c r="F30" s="471"/>
      <c r="G30" s="471"/>
      <c r="H30" s="471"/>
      <c r="I30" s="471"/>
      <c r="J30" s="821"/>
      <c r="K30" s="821"/>
    </row>
    <row r="31" spans="1:11" x14ac:dyDescent="0.2">
      <c r="A31" s="93" t="s">
        <v>2310</v>
      </c>
      <c r="E31" s="514"/>
      <c r="F31" s="514"/>
      <c r="G31" s="514"/>
      <c r="H31" s="515"/>
      <c r="I31" s="516">
        <f>SUM(D31:H31)</f>
        <v>0</v>
      </c>
      <c r="J31" s="817"/>
      <c r="K31" s="817"/>
    </row>
    <row r="32" spans="1:11" x14ac:dyDescent="0.2">
      <c r="A32" s="93" t="s">
        <v>2311</v>
      </c>
      <c r="E32" s="514"/>
      <c r="F32" s="514"/>
      <c r="G32" s="514"/>
      <c r="H32" s="515"/>
      <c r="I32" s="517">
        <f>SUM(D32:H32)</f>
        <v>0</v>
      </c>
      <c r="J32" s="817"/>
      <c r="K32" s="817"/>
    </row>
    <row r="33" spans="1:11" x14ac:dyDescent="0.2">
      <c r="A33" s="93" t="s">
        <v>2312</v>
      </c>
      <c r="E33" s="524"/>
      <c r="F33" s="524"/>
      <c r="G33" s="524"/>
      <c r="H33" s="525"/>
      <c r="I33" s="517">
        <f>SUM(D33:H33)</f>
        <v>0</v>
      </c>
      <c r="J33" s="817"/>
      <c r="K33" s="817"/>
    </row>
    <row r="34" spans="1:11" x14ac:dyDescent="0.2">
      <c r="A34" s="93" t="s">
        <v>2313</v>
      </c>
      <c r="E34" s="560">
        <f>SUM(E31:E33)</f>
        <v>0</v>
      </c>
      <c r="F34" s="560">
        <f t="shared" ref="F34:I34" si="0">SUM(F31:F33)</f>
        <v>0</v>
      </c>
      <c r="G34" s="560">
        <f t="shared" si="0"/>
        <v>0</v>
      </c>
      <c r="H34" s="560">
        <f t="shared" si="0"/>
        <v>0</v>
      </c>
      <c r="I34" s="534">
        <f t="shared" si="0"/>
        <v>0</v>
      </c>
    </row>
    <row r="35" spans="1:11" x14ac:dyDescent="0.2">
      <c r="A35" s="520" t="s">
        <v>2314</v>
      </c>
      <c r="E35" s="560">
        <f>+WDSupB!G11</f>
        <v>0</v>
      </c>
      <c r="F35" s="560">
        <f>+WDSupB!H11</f>
        <v>0</v>
      </c>
      <c r="G35" s="560">
        <f>+WDSupB!I11</f>
        <v>0</v>
      </c>
      <c r="H35" s="560">
        <f>+WDSupB!J11</f>
        <v>0</v>
      </c>
      <c r="I35" s="534">
        <f>SUM(D35:H35)</f>
        <v>0</v>
      </c>
      <c r="J35" s="521" t="s">
        <v>2315</v>
      </c>
      <c r="K35" s="521"/>
    </row>
    <row r="36" spans="1:11" ht="21.75" customHeight="1" x14ac:dyDescent="0.2">
      <c r="A36" s="100" t="s">
        <v>2316</v>
      </c>
      <c r="E36" s="471"/>
      <c r="F36" s="471"/>
      <c r="G36" s="471"/>
      <c r="H36" s="471"/>
      <c r="I36" s="471"/>
    </row>
    <row r="37" spans="1:11" x14ac:dyDescent="0.2">
      <c r="A37" s="93" t="s">
        <v>2317</v>
      </c>
      <c r="E37" s="526"/>
      <c r="F37" s="526"/>
      <c r="G37" s="526"/>
      <c r="H37" s="514"/>
      <c r="I37" s="527">
        <f>SUM(D37:H37)</f>
        <v>0</v>
      </c>
      <c r="J37" s="817"/>
      <c r="K37" s="817"/>
    </row>
    <row r="38" spans="1:11" ht="11.5" x14ac:dyDescent="0.35">
      <c r="A38" s="93" t="s">
        <v>2318</v>
      </c>
      <c r="E38" s="526"/>
      <c r="F38" s="526"/>
      <c r="G38" s="526"/>
      <c r="H38" s="526"/>
      <c r="I38" s="528">
        <f>SUM(D38:H38)</f>
        <v>0</v>
      </c>
      <c r="J38" s="817"/>
      <c r="K38" s="817"/>
    </row>
    <row r="39" spans="1:11" ht="16.5" customHeight="1" x14ac:dyDescent="0.2">
      <c r="A39" s="93" t="s">
        <v>2319</v>
      </c>
      <c r="E39" s="529">
        <f>SUM(E37:E38)</f>
        <v>0</v>
      </c>
      <c r="F39" s="530">
        <f>SUM(F37:F38)</f>
        <v>0</v>
      </c>
      <c r="G39" s="530">
        <f>SUM(G37:G38)</f>
        <v>0</v>
      </c>
      <c r="H39" s="531">
        <f>SUM(H37:H38)</f>
        <v>0</v>
      </c>
      <c r="I39" s="532">
        <f>SUM(D39:H39)</f>
        <v>0</v>
      </c>
      <c r="J39" s="817"/>
      <c r="K39" s="817"/>
    </row>
    <row r="40" spans="1:11" x14ac:dyDescent="0.2">
      <c r="A40" s="100" t="s">
        <v>2320</v>
      </c>
      <c r="E40" s="526"/>
      <c r="F40" s="526"/>
      <c r="G40" s="526"/>
      <c r="H40" s="514"/>
      <c r="I40" s="533">
        <f>SUM(D40:H40)</f>
        <v>0</v>
      </c>
      <c r="J40" s="817"/>
      <c r="K40" s="817"/>
    </row>
    <row r="41" spans="1:11" x14ac:dyDescent="0.2">
      <c r="A41" s="100" t="s">
        <v>2321</v>
      </c>
      <c r="E41" s="514"/>
      <c r="F41" s="514"/>
      <c r="G41" s="514"/>
      <c r="H41" s="515"/>
      <c r="I41" s="534"/>
      <c r="J41" s="817"/>
      <c r="K41" s="817"/>
    </row>
    <row r="42" spans="1:11" x14ac:dyDescent="0.2">
      <c r="D42" s="150" t="s">
        <v>2322</v>
      </c>
      <c r="E42" s="560">
        <f>SUM(E34,E35,E39,E40,E41)</f>
        <v>0</v>
      </c>
      <c r="F42" s="560">
        <f t="shared" ref="F42:I42" si="1">SUM(F34,F35,F39,F40,F41)</f>
        <v>0</v>
      </c>
      <c r="G42" s="560">
        <f t="shared" si="1"/>
        <v>0</v>
      </c>
      <c r="H42" s="560">
        <f t="shared" si="1"/>
        <v>0</v>
      </c>
      <c r="I42" s="534">
        <f t="shared" si="1"/>
        <v>0</v>
      </c>
      <c r="J42" s="822"/>
      <c r="K42" s="822"/>
    </row>
    <row r="43" spans="1:11" x14ac:dyDescent="0.2">
      <c r="A43" s="77" t="s">
        <v>2323</v>
      </c>
      <c r="E43" s="560">
        <f>E28-E42</f>
        <v>0</v>
      </c>
      <c r="F43" s="560">
        <f>F28-F42</f>
        <v>0</v>
      </c>
      <c r="G43" s="560">
        <f>G28-G42</f>
        <v>0</v>
      </c>
      <c r="H43" s="560">
        <f>H28-H42</f>
        <v>0</v>
      </c>
      <c r="I43" s="534">
        <f>I28-I42</f>
        <v>0</v>
      </c>
    </row>
    <row r="44" spans="1:11" ht="3" customHeight="1" x14ac:dyDescent="0.2"/>
    <row r="45" spans="1:11" x14ac:dyDescent="0.2">
      <c r="A45" s="535" t="s">
        <v>2324</v>
      </c>
      <c r="B45" s="536"/>
      <c r="C45" s="536"/>
      <c r="D45" s="537">
        <f>E2</f>
        <v>0</v>
      </c>
      <c r="E45" s="538"/>
      <c r="F45" s="538"/>
      <c r="G45" s="538"/>
      <c r="H45" s="539"/>
    </row>
    <row r="46" spans="1:11" x14ac:dyDescent="0.2">
      <c r="A46" s="540" t="s">
        <v>2295</v>
      </c>
      <c r="B46" s="522"/>
      <c r="C46" s="522"/>
      <c r="D46" s="533">
        <f>E16</f>
        <v>0</v>
      </c>
      <c r="E46" s="541">
        <f>D46-E38</f>
        <v>0</v>
      </c>
      <c r="F46" s="542">
        <f>E46-F38</f>
        <v>0</v>
      </c>
      <c r="G46" s="542">
        <f>F46-G38</f>
        <v>0</v>
      </c>
      <c r="H46" s="543">
        <f>G46-H38</f>
        <v>0</v>
      </c>
    </row>
    <row r="47" spans="1:11" x14ac:dyDescent="0.2">
      <c r="A47" s="540" t="s">
        <v>2325</v>
      </c>
      <c r="B47" s="522"/>
      <c r="C47" s="522"/>
      <c r="D47" s="533">
        <f>E14</f>
        <v>0</v>
      </c>
      <c r="E47" s="544">
        <f>D47+E23-E38</f>
        <v>0</v>
      </c>
      <c r="F47" s="545">
        <f>E47+F23-F38</f>
        <v>0</v>
      </c>
      <c r="G47" s="545">
        <f>F47+G23-G38</f>
        <v>0</v>
      </c>
      <c r="H47" s="546">
        <f>G47+H23-H38</f>
        <v>0</v>
      </c>
    </row>
    <row r="48" spans="1:11" x14ac:dyDescent="0.2">
      <c r="A48" s="540" t="s">
        <v>2292</v>
      </c>
      <c r="B48" s="522"/>
      <c r="C48" s="522"/>
      <c r="D48" s="533">
        <f>K14</f>
        <v>0</v>
      </c>
      <c r="E48" s="544">
        <f>D48+E24-E40</f>
        <v>0</v>
      </c>
      <c r="F48" s="545">
        <f>E48+F24-F40</f>
        <v>0</v>
      </c>
      <c r="G48" s="545">
        <f>F48+G24-G40</f>
        <v>0</v>
      </c>
      <c r="H48" s="546">
        <f>G48+H24-H40</f>
        <v>0</v>
      </c>
    </row>
    <row r="49" spans="1:8" x14ac:dyDescent="0.2">
      <c r="A49" s="540" t="s">
        <v>2326</v>
      </c>
      <c r="B49" s="522"/>
      <c r="C49" s="522"/>
      <c r="D49" s="533">
        <f>K7</f>
        <v>0</v>
      </c>
      <c r="E49" s="544">
        <f>D49+E43</f>
        <v>0</v>
      </c>
      <c r="F49" s="545">
        <f>E49+F43</f>
        <v>0</v>
      </c>
      <c r="G49" s="545">
        <f>F49+G43</f>
        <v>0</v>
      </c>
      <c r="H49" s="546">
        <f>G49+H43</f>
        <v>0</v>
      </c>
    </row>
    <row r="50" spans="1:8" x14ac:dyDescent="0.2">
      <c r="A50" s="540" t="s">
        <v>2327</v>
      </c>
      <c r="B50" s="522"/>
      <c r="C50" s="522"/>
      <c r="D50" s="533">
        <f>E15</f>
        <v>0</v>
      </c>
      <c r="E50" s="544">
        <f t="shared" ref="E50:H51" si="2">D50-E23</f>
        <v>0</v>
      </c>
      <c r="F50" s="545">
        <f t="shared" si="2"/>
        <v>0</v>
      </c>
      <c r="G50" s="545">
        <f t="shared" si="2"/>
        <v>0</v>
      </c>
      <c r="H50" s="546">
        <f t="shared" si="2"/>
        <v>0</v>
      </c>
    </row>
    <row r="51" spans="1:8" x14ac:dyDescent="0.2">
      <c r="A51" s="547" t="s">
        <v>2328</v>
      </c>
      <c r="B51" s="548"/>
      <c r="C51" s="548"/>
      <c r="D51" s="533">
        <f>K15</f>
        <v>0</v>
      </c>
      <c r="E51" s="549">
        <f t="shared" si="2"/>
        <v>0</v>
      </c>
      <c r="F51" s="550">
        <f t="shared" si="2"/>
        <v>0</v>
      </c>
      <c r="G51" s="550">
        <f t="shared" si="2"/>
        <v>0</v>
      </c>
      <c r="H51" s="551">
        <f t="shared" si="2"/>
        <v>0</v>
      </c>
    </row>
    <row r="52" spans="1:8" hidden="1" x14ac:dyDescent="0.2">
      <c r="A52" s="77" t="s">
        <v>2329</v>
      </c>
      <c r="D52" s="77" t="e">
        <f>D48/D47</f>
        <v>#DIV/0!</v>
      </c>
      <c r="E52" s="77" t="e">
        <f>E48/E47</f>
        <v>#DIV/0!</v>
      </c>
      <c r="F52" s="77" t="e">
        <f>F48/F47</f>
        <v>#DIV/0!</v>
      </c>
      <c r="G52" s="77" t="e">
        <f>G48/G47</f>
        <v>#DIV/0!</v>
      </c>
      <c r="H52" s="77" t="e">
        <f>H48/H47</f>
        <v>#DIV/0!</v>
      </c>
    </row>
    <row r="53" spans="1:8" ht="7.5" hidden="1" customHeight="1" x14ac:dyDescent="0.2"/>
    <row r="54" spans="1:8" hidden="1" x14ac:dyDescent="0.2">
      <c r="A54" s="77" t="s">
        <v>2330</v>
      </c>
    </row>
    <row r="55" spans="1:8" hidden="1" x14ac:dyDescent="0.2">
      <c r="B55" s="77" t="s">
        <v>2331</v>
      </c>
      <c r="D55" s="77">
        <f>E12+E13</f>
        <v>0</v>
      </c>
      <c r="E55" s="77">
        <f>D55+E39</f>
        <v>0</v>
      </c>
      <c r="F55" s="77">
        <f>E55+F39</f>
        <v>0</v>
      </c>
      <c r="G55" s="77">
        <f>F55+G39</f>
        <v>0</v>
      </c>
      <c r="H55" s="77">
        <f>G55+H39</f>
        <v>0</v>
      </c>
    </row>
    <row r="56" spans="1:8" hidden="1" x14ac:dyDescent="0.2">
      <c r="B56" s="77" t="s">
        <v>2332</v>
      </c>
      <c r="D56" s="77" t="e">
        <f>D55/$E$11</f>
        <v>#DIV/0!</v>
      </c>
      <c r="E56" s="77" t="e">
        <f>E55/($E$11+SUM($E23:E23))</f>
        <v>#DIV/0!</v>
      </c>
      <c r="F56" s="77" t="e">
        <f>F55/($E$11+SUM($E23:F23))</f>
        <v>#DIV/0!</v>
      </c>
      <c r="G56" s="77" t="e">
        <f>G55/($E$11+SUM($E23:G23))</f>
        <v>#DIV/0!</v>
      </c>
      <c r="H56" s="77" t="e">
        <f>H55/($E$11+SUM($E23:H23))</f>
        <v>#DIV/0!</v>
      </c>
    </row>
    <row r="57" spans="1:8" hidden="1" x14ac:dyDescent="0.2">
      <c r="B57" s="77" t="s">
        <v>2333</v>
      </c>
      <c r="D57" s="77" t="e">
        <f>D55/$E$10</f>
        <v>#DIV/0!</v>
      </c>
      <c r="E57" s="77" t="e">
        <f>E55/$E$10</f>
        <v>#DIV/0!</v>
      </c>
      <c r="F57" s="77" t="e">
        <f>F55/$E$10</f>
        <v>#DIV/0!</v>
      </c>
      <c r="G57" s="77" t="e">
        <f>G55/$E$10</f>
        <v>#DIV/0!</v>
      </c>
      <c r="H57" s="77" t="e">
        <f>H55/$E$10</f>
        <v>#DIV/0!</v>
      </c>
    </row>
    <row r="58" spans="1:8" ht="5.25" hidden="1" customHeight="1" x14ac:dyDescent="0.2"/>
    <row r="59" spans="1:8" hidden="1" x14ac:dyDescent="0.2">
      <c r="B59" s="77" t="s">
        <v>2334</v>
      </c>
      <c r="D59" s="77">
        <f>K13+K12</f>
        <v>0</v>
      </c>
      <c r="E59" s="77">
        <f>D59+E40</f>
        <v>0</v>
      </c>
      <c r="F59" s="77">
        <f>E59+F40</f>
        <v>0</v>
      </c>
      <c r="G59" s="77">
        <f>F59+G40</f>
        <v>0</v>
      </c>
      <c r="H59" s="77">
        <f>G59+H40</f>
        <v>0</v>
      </c>
    </row>
    <row r="60" spans="1:8" hidden="1" x14ac:dyDescent="0.2">
      <c r="B60" s="77" t="s">
        <v>2335</v>
      </c>
      <c r="D60" s="77" t="e">
        <f>D59/K11</f>
        <v>#DIV/0!</v>
      </c>
      <c r="E60" s="77" t="e">
        <f>E59/($K$11+SUM($E24:E24))</f>
        <v>#DIV/0!</v>
      </c>
      <c r="F60" s="77" t="e">
        <f>F59/($K$11+SUM($E24:F24))</f>
        <v>#DIV/0!</v>
      </c>
      <c r="G60" s="77" t="e">
        <f>G59/($K$11+SUM($E24:G24))</f>
        <v>#DIV/0!</v>
      </c>
      <c r="H60" s="77" t="e">
        <f>H59/($K$11+SUM($E24:H24))</f>
        <v>#DIV/0!</v>
      </c>
    </row>
  </sheetData>
  <mergeCells count="15">
    <mergeCell ref="J42:K42"/>
    <mergeCell ref="J32:K32"/>
    <mergeCell ref="J33:K33"/>
    <mergeCell ref="J37:K37"/>
    <mergeCell ref="J38:K38"/>
    <mergeCell ref="J39:K39"/>
    <mergeCell ref="J40:K40"/>
    <mergeCell ref="J41:K41"/>
    <mergeCell ref="J31:K31"/>
    <mergeCell ref="J21:K21"/>
    <mergeCell ref="J23:K23"/>
    <mergeCell ref="J24:K24"/>
    <mergeCell ref="J25:K25"/>
    <mergeCell ref="J30:K30"/>
    <mergeCell ref="J27:K27"/>
  </mergeCells>
  <hyperlinks>
    <hyperlink ref="A26" location="WDSupA!A1" display="Loan &amp; Investment Income/Proceeds (Sched A)" xr:uid="{B6D1423F-B625-4D07-800F-D9F6BEEE3EA2}"/>
    <hyperlink ref="A35" location="WDSupB!A1" display="Investments (Follow-Ons) (Sched B)" xr:uid="{EABE9121-46DF-4046-BBD8-EE32DC9C979F}"/>
  </hyperlinks>
  <pageMargins left="0.62" right="0.25" top="0.35" bottom="0.31" header="0.3" footer="0.3"/>
  <pageSetup scale="9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A8F13-ED4C-41D5-A08C-8ED99595A134}">
  <sheetPr codeName="Sheet31">
    <pageSetUpPr fitToPage="1"/>
  </sheetPr>
  <dimension ref="A1:M41"/>
  <sheetViews>
    <sheetView workbookViewId="0"/>
  </sheetViews>
  <sheetFormatPr defaultColWidth="9.1796875" defaultRowHeight="10" x14ac:dyDescent="0.2"/>
  <cols>
    <col min="1" max="1" width="16.7265625" style="77" customWidth="1"/>
    <col min="2" max="2" width="4.26953125" style="77" customWidth="1"/>
    <col min="3" max="3" width="9.26953125" style="77" customWidth="1"/>
    <col min="4" max="4" width="10" style="77" customWidth="1"/>
    <col min="5" max="5" width="11.26953125" style="77" customWidth="1"/>
    <col min="6" max="7" width="8.81640625" style="77" customWidth="1"/>
    <col min="8" max="8" width="11.1796875" style="77" bestFit="1" customWidth="1"/>
    <col min="9" max="9" width="13.26953125" style="77" customWidth="1"/>
    <col min="10" max="11" width="8.81640625" style="77" customWidth="1"/>
    <col min="12" max="12" width="11.453125" style="77" customWidth="1"/>
    <col min="13" max="13" width="29" style="77" customWidth="1"/>
    <col min="14" max="16384" width="9.1796875" style="77"/>
  </cols>
  <sheetData>
    <row r="1" spans="1:13" ht="13.15" customHeight="1" x14ac:dyDescent="0.2">
      <c r="A1" s="77" t="s">
        <v>3472</v>
      </c>
      <c r="M1" s="145" t="str">
        <f>ombapproval</f>
        <v>OMB Approval No. 3245-0063</v>
      </c>
    </row>
    <row r="2" spans="1:13" ht="13.15" customHeight="1" x14ac:dyDescent="0.2">
      <c r="A2" s="77" t="s">
        <v>2336</v>
      </c>
      <c r="G2" s="150" t="s">
        <v>1987</v>
      </c>
      <c r="H2" s="153">
        <f>Form468Date</f>
        <v>0</v>
      </c>
      <c r="M2" s="145" t="str">
        <f>expirationdate</f>
        <v>Expiration Date MM/DD/YYYY</v>
      </c>
    </row>
    <row r="3" spans="1:13" ht="13.15" customHeight="1" x14ac:dyDescent="0.2">
      <c r="M3" s="150"/>
    </row>
    <row r="4" spans="1:13" x14ac:dyDescent="0.2">
      <c r="A4" s="121" t="str">
        <f>"Name of License:  "&amp;sbicname</f>
        <v xml:space="preserve">Name of License:  </v>
      </c>
      <c r="B4" s="122">
        <f>WDSup!B4</f>
        <v>0</v>
      </c>
      <c r="C4" s="140"/>
      <c r="D4" s="140"/>
      <c r="E4" s="140"/>
      <c r="F4" s="140"/>
      <c r="G4" s="140"/>
      <c r="H4" s="140"/>
      <c r="I4" s="140"/>
      <c r="J4" s="140"/>
      <c r="K4" s="480"/>
      <c r="L4" s="140"/>
      <c r="M4" s="123" t="str">
        <f>"License no.:  "&amp;TEXT(licenseno,"00\/00\-0000")</f>
        <v>License no.:  00/00-0000</v>
      </c>
    </row>
    <row r="5" spans="1:13" ht="5.25" customHeight="1" x14ac:dyDescent="0.2"/>
    <row r="8" spans="1:13" x14ac:dyDescent="0.2">
      <c r="A8" s="77" t="s">
        <v>2337</v>
      </c>
      <c r="C8" s="560">
        <f>SUM(Table1[Cost of Invest.])</f>
        <v>0</v>
      </c>
      <c r="D8" s="560">
        <f>SUM(Table1[468 SBA Reported Value])</f>
        <v>0</v>
      </c>
      <c r="E8" s="560">
        <f>SUM(Table1[Ant. Exit Type])</f>
        <v>0</v>
      </c>
      <c r="F8" s="560">
        <f>SUM(Table1[Minimum])</f>
        <v>0</v>
      </c>
      <c r="G8" s="560">
        <f>SUM(Table1[Maximum])</f>
        <v>0</v>
      </c>
      <c r="H8" s="560">
        <f>SUM(Table1[Likely])</f>
        <v>0</v>
      </c>
      <c r="I8" s="560">
        <f>SUM(Table1[Thru end of Current Year])</f>
        <v>0</v>
      </c>
      <c r="J8" s="560">
        <f>SUM(Table1[Yr1])</f>
        <v>0</v>
      </c>
      <c r="K8" s="560">
        <f>SUM(Table1[Yr2])</f>
        <v>0</v>
      </c>
      <c r="L8" s="534">
        <f>SUM(Table1[PostYr2])</f>
        <v>0</v>
      </c>
    </row>
    <row r="10" spans="1:13" ht="11.25" customHeight="1" x14ac:dyDescent="0.2">
      <c r="A10" s="829" t="s">
        <v>2029</v>
      </c>
      <c r="B10" s="831" t="s">
        <v>2338</v>
      </c>
      <c r="C10" s="829" t="s">
        <v>2339</v>
      </c>
      <c r="D10" s="829" t="s">
        <v>2340</v>
      </c>
      <c r="E10" s="829" t="s">
        <v>2341</v>
      </c>
      <c r="F10" s="823" t="s">
        <v>2342</v>
      </c>
      <c r="G10" s="824"/>
      <c r="H10" s="825"/>
      <c r="I10" s="826" t="s">
        <v>2343</v>
      </c>
      <c r="J10" s="827"/>
      <c r="K10" s="827"/>
      <c r="L10" s="828"/>
    </row>
    <row r="11" spans="1:13" ht="20" x14ac:dyDescent="0.2">
      <c r="A11" s="830"/>
      <c r="B11" s="832"/>
      <c r="C11" s="830"/>
      <c r="D11" s="830"/>
      <c r="E11" s="830"/>
      <c r="F11" s="579" t="s">
        <v>2344</v>
      </c>
      <c r="G11" s="579" t="s">
        <v>2345</v>
      </c>
      <c r="H11" s="579" t="s">
        <v>2346</v>
      </c>
      <c r="I11" s="580" t="str">
        <f>TEXT(WDSup!E20,"mm/dd/yyyy")&amp;" to "&amp;TEXT(WDSup!E21,"mm/dd/yyyy")</f>
        <v>01/01/1900 to 12/31/1900</v>
      </c>
      <c r="J11" s="581">
        <f>WDSup!F21</f>
        <v>1901</v>
      </c>
      <c r="K11" s="581">
        <f>WDSup!G21</f>
        <v>1902</v>
      </c>
      <c r="L11" s="581" t="str">
        <f>"Post "&amp;WDSup!H21</f>
        <v>Post 1902</v>
      </c>
      <c r="M11" s="582" t="s">
        <v>85</v>
      </c>
    </row>
    <row r="12" spans="1:13" ht="14.25" hidden="1" customHeight="1" x14ac:dyDescent="0.2">
      <c r="A12" s="561" t="s">
        <v>2029</v>
      </c>
      <c r="B12" s="562" t="s">
        <v>2338</v>
      </c>
      <c r="C12" s="563" t="s">
        <v>2339</v>
      </c>
      <c r="D12" s="563" t="s">
        <v>2347</v>
      </c>
      <c r="E12" s="563" t="s">
        <v>2348</v>
      </c>
      <c r="F12" s="564" t="s">
        <v>2344</v>
      </c>
      <c r="G12" s="564" t="s">
        <v>2345</v>
      </c>
      <c r="H12" s="564" t="s">
        <v>2346</v>
      </c>
      <c r="I12" s="565" t="s">
        <v>2349</v>
      </c>
      <c r="J12" s="566" t="s">
        <v>2350</v>
      </c>
      <c r="K12" s="566" t="s">
        <v>2351</v>
      </c>
      <c r="L12" s="566" t="s">
        <v>2352</v>
      </c>
      <c r="M12" s="567" t="s">
        <v>85</v>
      </c>
    </row>
    <row r="13" spans="1:13" s="352" customFormat="1" x14ac:dyDescent="0.35">
      <c r="A13" s="568" t="s">
        <v>243</v>
      </c>
      <c r="B13" s="569" t="str">
        <f>IF(Table1[[#This Row],[Portfolio Company Name]]=" ","",IFERROR(YEAR(VLOOKUP(Table1[[#This Row],[Portfolio Company Name]],s11cumperf[],3,FALSE)),""))</f>
        <v/>
      </c>
      <c r="C13" s="570">
        <f>SUMIF(s1inv[Portfolio Company Name],Table1[[#This Row],[Portfolio Company Name]],s1inv[Cost at End of Period])</f>
        <v>0</v>
      </c>
      <c r="D13" s="570">
        <f>SUMIF(s1inv[Portfolio Company Name],Table1[[#This Row],[Portfolio Company Name]],s1inv[SBA Reported Value (B)])</f>
        <v>0</v>
      </c>
      <c r="E13" s="571"/>
      <c r="F13" s="572"/>
      <c r="G13" s="572"/>
      <c r="H13" s="572"/>
      <c r="I13" s="572"/>
      <c r="J13" s="572"/>
      <c r="K13" s="572"/>
      <c r="L13" s="573">
        <f t="shared" ref="L13:L41" si="0">H13-I13-J13-K13</f>
        <v>0</v>
      </c>
      <c r="M13" s="574"/>
    </row>
    <row r="14" spans="1:13" s="352" customFormat="1" x14ac:dyDescent="0.35">
      <c r="A14" s="568" t="s">
        <v>243</v>
      </c>
      <c r="B14" s="569" t="str">
        <f>IF(Table1[[#This Row],[Portfolio Company Name]]=" ","",IFERROR(YEAR(VLOOKUP(Table1[[#This Row],[Portfolio Company Name]],s11cumperf[],3,FALSE)),""))</f>
        <v/>
      </c>
      <c r="C14" s="570">
        <f>SUMIF(s1inv[Portfolio Company Name],Table1[[#This Row],[Portfolio Company Name]],s1inv[Cost at End of Period])</f>
        <v>0</v>
      </c>
      <c r="D14" s="570">
        <f>SUMIF(s1inv[Portfolio Company Name],Table1[[#This Row],[Portfolio Company Name]],s1inv[SBA Reported Value (B)])</f>
        <v>0</v>
      </c>
      <c r="E14" s="571"/>
      <c r="F14" s="572"/>
      <c r="G14" s="572"/>
      <c r="H14" s="572"/>
      <c r="I14" s="572"/>
      <c r="J14" s="572"/>
      <c r="K14" s="572"/>
      <c r="L14" s="573">
        <f t="shared" si="0"/>
        <v>0</v>
      </c>
      <c r="M14" s="574"/>
    </row>
    <row r="15" spans="1:13" s="352" customFormat="1" x14ac:dyDescent="0.35">
      <c r="A15" s="568" t="s">
        <v>243</v>
      </c>
      <c r="B15" s="569" t="str">
        <f>IF(Table1[[#This Row],[Portfolio Company Name]]=" ","",IFERROR(YEAR(VLOOKUP(Table1[[#This Row],[Portfolio Company Name]],s11cumperf[],3,FALSE)),""))</f>
        <v/>
      </c>
      <c r="C15" s="570">
        <f>SUMIF(s1inv[Portfolio Company Name],Table1[[#This Row],[Portfolio Company Name]],s1inv[Cost at End of Period])</f>
        <v>0</v>
      </c>
      <c r="D15" s="570">
        <f>SUMIF(s1inv[Portfolio Company Name],Table1[[#This Row],[Portfolio Company Name]],s1inv[SBA Reported Value (B)])</f>
        <v>0</v>
      </c>
      <c r="E15" s="571"/>
      <c r="F15" s="572"/>
      <c r="G15" s="572"/>
      <c r="H15" s="572"/>
      <c r="I15" s="572"/>
      <c r="J15" s="572"/>
      <c r="K15" s="572"/>
      <c r="L15" s="573">
        <f t="shared" si="0"/>
        <v>0</v>
      </c>
      <c r="M15" s="574"/>
    </row>
    <row r="16" spans="1:13" s="352" customFormat="1" x14ac:dyDescent="0.35">
      <c r="A16" s="568" t="s">
        <v>243</v>
      </c>
      <c r="B16" s="569" t="str">
        <f>IF(Table1[[#This Row],[Portfolio Company Name]]=" ","",IFERROR(YEAR(VLOOKUP(Table1[[#This Row],[Portfolio Company Name]],s11cumperf[],3,FALSE)),""))</f>
        <v/>
      </c>
      <c r="C16" s="570">
        <f>SUMIF(s1inv[Portfolio Company Name],Table1[[#This Row],[Portfolio Company Name]],s1inv[Cost at End of Period])</f>
        <v>0</v>
      </c>
      <c r="D16" s="570">
        <f>SUMIF(s1inv[Portfolio Company Name],Table1[[#This Row],[Portfolio Company Name]],s1inv[SBA Reported Value (B)])</f>
        <v>0</v>
      </c>
      <c r="E16" s="571"/>
      <c r="F16" s="572"/>
      <c r="G16" s="572"/>
      <c r="H16" s="572"/>
      <c r="I16" s="572"/>
      <c r="J16" s="572"/>
      <c r="K16" s="572"/>
      <c r="L16" s="573">
        <f t="shared" si="0"/>
        <v>0</v>
      </c>
      <c r="M16" s="574"/>
    </row>
    <row r="17" spans="1:13" s="352" customFormat="1" x14ac:dyDescent="0.35">
      <c r="A17" s="568" t="s">
        <v>243</v>
      </c>
      <c r="B17" s="569" t="str">
        <f>IF(Table1[[#This Row],[Portfolio Company Name]]=" ","",IFERROR(YEAR(VLOOKUP(Table1[[#This Row],[Portfolio Company Name]],s11cumperf[],3,FALSE)),""))</f>
        <v/>
      </c>
      <c r="C17" s="570">
        <f>SUMIF(s1inv[Portfolio Company Name],Table1[[#This Row],[Portfolio Company Name]],s1inv[Cost at End of Period])</f>
        <v>0</v>
      </c>
      <c r="D17" s="570">
        <f>SUMIF(s1inv[Portfolio Company Name],Table1[[#This Row],[Portfolio Company Name]],s1inv[SBA Reported Value (B)])</f>
        <v>0</v>
      </c>
      <c r="E17" s="571"/>
      <c r="F17" s="572"/>
      <c r="G17" s="572"/>
      <c r="H17" s="572"/>
      <c r="I17" s="572"/>
      <c r="J17" s="572"/>
      <c r="K17" s="572"/>
      <c r="L17" s="573">
        <f t="shared" si="0"/>
        <v>0</v>
      </c>
      <c r="M17" s="574"/>
    </row>
    <row r="18" spans="1:13" s="352" customFormat="1" x14ac:dyDescent="0.35">
      <c r="A18" s="568" t="s">
        <v>243</v>
      </c>
      <c r="B18" s="569" t="str">
        <f>IF(Table1[[#This Row],[Portfolio Company Name]]=" ","",IFERROR(YEAR(VLOOKUP(Table1[[#This Row],[Portfolio Company Name]],s11cumperf[],3,FALSE)),""))</f>
        <v/>
      </c>
      <c r="C18" s="570">
        <f>SUMIF(s1inv[Portfolio Company Name],Table1[[#This Row],[Portfolio Company Name]],s1inv[Cost at End of Period])</f>
        <v>0</v>
      </c>
      <c r="D18" s="570">
        <f>SUMIF(s1inv[Portfolio Company Name],Table1[[#This Row],[Portfolio Company Name]],s1inv[SBA Reported Value (B)])</f>
        <v>0</v>
      </c>
      <c r="E18" s="571"/>
      <c r="F18" s="572"/>
      <c r="G18" s="572"/>
      <c r="H18" s="572"/>
      <c r="I18" s="572"/>
      <c r="J18" s="572"/>
      <c r="K18" s="572"/>
      <c r="L18" s="573">
        <f t="shared" si="0"/>
        <v>0</v>
      </c>
      <c r="M18" s="574"/>
    </row>
    <row r="19" spans="1:13" s="352" customFormat="1" x14ac:dyDescent="0.35">
      <c r="A19" s="568" t="s">
        <v>243</v>
      </c>
      <c r="B19" s="569" t="str">
        <f>IF(Table1[[#This Row],[Portfolio Company Name]]=" ","",IFERROR(YEAR(VLOOKUP(Table1[[#This Row],[Portfolio Company Name]],s11cumperf[],3,FALSE)),""))</f>
        <v/>
      </c>
      <c r="C19" s="570">
        <f>SUMIF(s1inv[Portfolio Company Name],Table1[[#This Row],[Portfolio Company Name]],s1inv[Cost at End of Period])</f>
        <v>0</v>
      </c>
      <c r="D19" s="570">
        <f>SUMIF(s1inv[Portfolio Company Name],Table1[[#This Row],[Portfolio Company Name]],s1inv[SBA Reported Value (B)])</f>
        <v>0</v>
      </c>
      <c r="E19" s="571"/>
      <c r="F19" s="572"/>
      <c r="G19" s="572"/>
      <c r="H19" s="572"/>
      <c r="I19" s="572"/>
      <c r="J19" s="572"/>
      <c r="K19" s="572"/>
      <c r="L19" s="573">
        <f t="shared" si="0"/>
        <v>0</v>
      </c>
      <c r="M19" s="574"/>
    </row>
    <row r="20" spans="1:13" s="352" customFormat="1" x14ac:dyDescent="0.35">
      <c r="A20" s="568" t="s">
        <v>243</v>
      </c>
      <c r="B20" s="569" t="str">
        <f>IF(Table1[[#This Row],[Portfolio Company Name]]=" ","",IFERROR(YEAR(VLOOKUP(Table1[[#This Row],[Portfolio Company Name]],s11cumperf[],3,FALSE)),""))</f>
        <v/>
      </c>
      <c r="C20" s="570">
        <f>SUMIF(s1inv[Portfolio Company Name],Table1[[#This Row],[Portfolio Company Name]],s1inv[Cost at End of Period])</f>
        <v>0</v>
      </c>
      <c r="D20" s="570">
        <f>SUMIF(s1inv[Portfolio Company Name],Table1[[#This Row],[Portfolio Company Name]],s1inv[SBA Reported Value (B)])</f>
        <v>0</v>
      </c>
      <c r="E20" s="571"/>
      <c r="F20" s="572"/>
      <c r="G20" s="572"/>
      <c r="H20" s="572"/>
      <c r="I20" s="572"/>
      <c r="J20" s="572"/>
      <c r="K20" s="572"/>
      <c r="L20" s="573">
        <f t="shared" si="0"/>
        <v>0</v>
      </c>
      <c r="M20" s="574"/>
    </row>
    <row r="21" spans="1:13" s="352" customFormat="1" x14ac:dyDescent="0.35">
      <c r="A21" s="568" t="s">
        <v>243</v>
      </c>
      <c r="B21" s="569" t="str">
        <f>IF(Table1[[#This Row],[Portfolio Company Name]]=" ","",IFERROR(YEAR(VLOOKUP(Table1[[#This Row],[Portfolio Company Name]],s11cumperf[],3,FALSE)),""))</f>
        <v/>
      </c>
      <c r="C21" s="570">
        <f>SUMIF(s1inv[Portfolio Company Name],Table1[[#This Row],[Portfolio Company Name]],s1inv[Cost at End of Period])</f>
        <v>0</v>
      </c>
      <c r="D21" s="570">
        <f>SUMIF(s1inv[Portfolio Company Name],Table1[[#This Row],[Portfolio Company Name]],s1inv[SBA Reported Value (B)])</f>
        <v>0</v>
      </c>
      <c r="E21" s="571"/>
      <c r="F21" s="572"/>
      <c r="G21" s="572"/>
      <c r="H21" s="572"/>
      <c r="I21" s="572"/>
      <c r="J21" s="572"/>
      <c r="K21" s="572"/>
      <c r="L21" s="573">
        <f t="shared" si="0"/>
        <v>0</v>
      </c>
      <c r="M21" s="574"/>
    </row>
    <row r="22" spans="1:13" s="352" customFormat="1" x14ac:dyDescent="0.35">
      <c r="A22" s="568" t="s">
        <v>243</v>
      </c>
      <c r="B22" s="569" t="str">
        <f>IF(Table1[[#This Row],[Portfolio Company Name]]=" ","",IFERROR(YEAR(VLOOKUP(Table1[[#This Row],[Portfolio Company Name]],s11cumperf[],3,FALSE)),""))</f>
        <v/>
      </c>
      <c r="C22" s="570">
        <f>SUMIF(s1inv[Portfolio Company Name],Table1[[#This Row],[Portfolio Company Name]],s1inv[Cost at End of Period])</f>
        <v>0</v>
      </c>
      <c r="D22" s="570">
        <f>SUMIF(s1inv[Portfolio Company Name],Table1[[#This Row],[Portfolio Company Name]],s1inv[SBA Reported Value (B)])</f>
        <v>0</v>
      </c>
      <c r="E22" s="571"/>
      <c r="F22" s="572"/>
      <c r="G22" s="572"/>
      <c r="H22" s="572"/>
      <c r="I22" s="572"/>
      <c r="J22" s="572"/>
      <c r="K22" s="572"/>
      <c r="L22" s="573">
        <f t="shared" si="0"/>
        <v>0</v>
      </c>
      <c r="M22" s="574"/>
    </row>
    <row r="23" spans="1:13" s="352" customFormat="1" x14ac:dyDescent="0.35">
      <c r="A23" s="568" t="s">
        <v>243</v>
      </c>
      <c r="B23" s="569" t="str">
        <f>IF(Table1[[#This Row],[Portfolio Company Name]]=" ","",IFERROR(YEAR(VLOOKUP(Table1[[#This Row],[Portfolio Company Name]],s11cumperf[],3,FALSE)),""))</f>
        <v/>
      </c>
      <c r="C23" s="570">
        <f>SUMIF(s1inv[Portfolio Company Name],Table1[[#This Row],[Portfolio Company Name]],s1inv[Cost at End of Period])</f>
        <v>0</v>
      </c>
      <c r="D23" s="570">
        <f>SUMIF(s1inv[Portfolio Company Name],Table1[[#This Row],[Portfolio Company Name]],s1inv[SBA Reported Value (B)])</f>
        <v>0</v>
      </c>
      <c r="E23" s="571"/>
      <c r="F23" s="572"/>
      <c r="G23" s="572"/>
      <c r="H23" s="572"/>
      <c r="I23" s="572"/>
      <c r="J23" s="572"/>
      <c r="K23" s="572"/>
      <c r="L23" s="573">
        <f t="shared" si="0"/>
        <v>0</v>
      </c>
      <c r="M23" s="574"/>
    </row>
    <row r="24" spans="1:13" s="352" customFormat="1" x14ac:dyDescent="0.35">
      <c r="A24" s="568" t="s">
        <v>243</v>
      </c>
      <c r="B24" s="569" t="str">
        <f>IF(Table1[[#This Row],[Portfolio Company Name]]=" ","",IFERROR(YEAR(VLOOKUP(Table1[[#This Row],[Portfolio Company Name]],s11cumperf[],3,FALSE)),""))</f>
        <v/>
      </c>
      <c r="C24" s="570">
        <f>SUMIF(s1inv[Portfolio Company Name],Table1[[#This Row],[Portfolio Company Name]],s1inv[Cost at End of Period])</f>
        <v>0</v>
      </c>
      <c r="D24" s="570">
        <f>SUMIF(s1inv[Portfolio Company Name],Table1[[#This Row],[Portfolio Company Name]],s1inv[SBA Reported Value (B)])</f>
        <v>0</v>
      </c>
      <c r="E24" s="571"/>
      <c r="F24" s="572"/>
      <c r="G24" s="572"/>
      <c r="H24" s="572"/>
      <c r="I24" s="572"/>
      <c r="J24" s="572"/>
      <c r="K24" s="572"/>
      <c r="L24" s="573">
        <f t="shared" si="0"/>
        <v>0</v>
      </c>
      <c r="M24" s="574"/>
    </row>
    <row r="25" spans="1:13" s="352" customFormat="1" x14ac:dyDescent="0.35">
      <c r="A25" s="568" t="s">
        <v>243</v>
      </c>
      <c r="B25" s="569" t="str">
        <f>IF(Table1[[#This Row],[Portfolio Company Name]]=" ","",IFERROR(YEAR(VLOOKUP(Table1[[#This Row],[Portfolio Company Name]],s11cumperf[],3,FALSE)),""))</f>
        <v/>
      </c>
      <c r="C25" s="570">
        <f>SUMIF(s1inv[Portfolio Company Name],Table1[[#This Row],[Portfolio Company Name]],s1inv[Cost at End of Period])</f>
        <v>0</v>
      </c>
      <c r="D25" s="570">
        <f>SUMIF(s1inv[Portfolio Company Name],Table1[[#This Row],[Portfolio Company Name]],s1inv[SBA Reported Value (B)])</f>
        <v>0</v>
      </c>
      <c r="E25" s="575"/>
      <c r="F25" s="572"/>
      <c r="G25" s="572"/>
      <c r="H25" s="572"/>
      <c r="I25" s="572"/>
      <c r="J25" s="572"/>
      <c r="K25" s="572"/>
      <c r="L25" s="573">
        <f t="shared" ref="L25:L40" si="1">H25-I25-J25-K25</f>
        <v>0</v>
      </c>
      <c r="M25" s="574"/>
    </row>
    <row r="26" spans="1:13" s="352" customFormat="1" x14ac:dyDescent="0.35">
      <c r="A26" s="568" t="s">
        <v>243</v>
      </c>
      <c r="B26" s="569" t="str">
        <f>IF(Table1[[#This Row],[Portfolio Company Name]]=" ","",IFERROR(YEAR(VLOOKUP(Table1[[#This Row],[Portfolio Company Name]],s11cumperf[],3,FALSE)),""))</f>
        <v/>
      </c>
      <c r="C26" s="570">
        <f>SUMIF(s1inv[Portfolio Company Name],Table1[[#This Row],[Portfolio Company Name]],s1inv[Cost at End of Period])</f>
        <v>0</v>
      </c>
      <c r="D26" s="570">
        <f>SUMIF(s1inv[Portfolio Company Name],Table1[[#This Row],[Portfolio Company Name]],s1inv[SBA Reported Value (B)])</f>
        <v>0</v>
      </c>
      <c r="E26" s="575"/>
      <c r="F26" s="572"/>
      <c r="G26" s="572"/>
      <c r="H26" s="572"/>
      <c r="I26" s="572"/>
      <c r="J26" s="572"/>
      <c r="K26" s="572"/>
      <c r="L26" s="573">
        <f t="shared" si="1"/>
        <v>0</v>
      </c>
      <c r="M26" s="574"/>
    </row>
    <row r="27" spans="1:13" s="352" customFormat="1" x14ac:dyDescent="0.35">
      <c r="A27" s="568" t="s">
        <v>243</v>
      </c>
      <c r="B27" s="569" t="str">
        <f>IF(Table1[[#This Row],[Portfolio Company Name]]=" ","",IFERROR(YEAR(VLOOKUP(Table1[[#This Row],[Portfolio Company Name]],s11cumperf[],3,FALSE)),""))</f>
        <v/>
      </c>
      <c r="C27" s="570">
        <f>SUMIF(s1inv[Portfolio Company Name],Table1[[#This Row],[Portfolio Company Name]],s1inv[Cost at End of Period])</f>
        <v>0</v>
      </c>
      <c r="D27" s="570">
        <f>SUMIF(s1inv[Portfolio Company Name],Table1[[#This Row],[Portfolio Company Name]],s1inv[SBA Reported Value (B)])</f>
        <v>0</v>
      </c>
      <c r="E27" s="575"/>
      <c r="F27" s="572"/>
      <c r="G27" s="572"/>
      <c r="H27" s="572"/>
      <c r="I27" s="572"/>
      <c r="J27" s="572"/>
      <c r="K27" s="572"/>
      <c r="L27" s="573">
        <f t="shared" si="1"/>
        <v>0</v>
      </c>
      <c r="M27" s="574"/>
    </row>
    <row r="28" spans="1:13" s="352" customFormat="1" x14ac:dyDescent="0.35">
      <c r="A28" s="568" t="s">
        <v>243</v>
      </c>
      <c r="B28" s="569" t="str">
        <f>IF(Table1[[#This Row],[Portfolio Company Name]]=" ","",IFERROR(YEAR(VLOOKUP(Table1[[#This Row],[Portfolio Company Name]],s11cumperf[],3,FALSE)),""))</f>
        <v/>
      </c>
      <c r="C28" s="570">
        <f>SUMIF(s1inv[Portfolio Company Name],Table1[[#This Row],[Portfolio Company Name]],s1inv[Cost at End of Period])</f>
        <v>0</v>
      </c>
      <c r="D28" s="570">
        <f>SUMIF(s1inv[Portfolio Company Name],Table1[[#This Row],[Portfolio Company Name]],s1inv[SBA Reported Value (B)])</f>
        <v>0</v>
      </c>
      <c r="E28" s="575"/>
      <c r="F28" s="572"/>
      <c r="G28" s="572"/>
      <c r="H28" s="572"/>
      <c r="I28" s="572"/>
      <c r="J28" s="572"/>
      <c r="K28" s="572"/>
      <c r="L28" s="573">
        <f t="shared" si="1"/>
        <v>0</v>
      </c>
      <c r="M28" s="574"/>
    </row>
    <row r="29" spans="1:13" s="352" customFormat="1" x14ac:dyDescent="0.35">
      <c r="A29" s="568" t="s">
        <v>243</v>
      </c>
      <c r="B29" s="569" t="str">
        <f>IF(Table1[[#This Row],[Portfolio Company Name]]=" ","",IFERROR(YEAR(VLOOKUP(Table1[[#This Row],[Portfolio Company Name]],s11cumperf[],3,FALSE)),""))</f>
        <v/>
      </c>
      <c r="C29" s="570">
        <f>SUMIF(s1inv[Portfolio Company Name],Table1[[#This Row],[Portfolio Company Name]],s1inv[Cost at End of Period])</f>
        <v>0</v>
      </c>
      <c r="D29" s="570">
        <f>SUMIF(s1inv[Portfolio Company Name],Table1[[#This Row],[Portfolio Company Name]],s1inv[SBA Reported Value (B)])</f>
        <v>0</v>
      </c>
      <c r="E29" s="575"/>
      <c r="F29" s="572"/>
      <c r="G29" s="572"/>
      <c r="H29" s="572"/>
      <c r="I29" s="572"/>
      <c r="J29" s="572"/>
      <c r="K29" s="572"/>
      <c r="L29" s="573">
        <f t="shared" si="1"/>
        <v>0</v>
      </c>
      <c r="M29" s="574"/>
    </row>
    <row r="30" spans="1:13" s="352" customFormat="1" x14ac:dyDescent="0.35">
      <c r="A30" s="568" t="s">
        <v>243</v>
      </c>
      <c r="B30" s="569" t="str">
        <f>IF(Table1[[#This Row],[Portfolio Company Name]]=" ","",IFERROR(YEAR(VLOOKUP(Table1[[#This Row],[Portfolio Company Name]],s11cumperf[],3,FALSE)),""))</f>
        <v/>
      </c>
      <c r="C30" s="570">
        <f>SUMIF(s1inv[Portfolio Company Name],Table1[[#This Row],[Portfolio Company Name]],s1inv[Cost at End of Period])</f>
        <v>0</v>
      </c>
      <c r="D30" s="570">
        <f>SUMIF(s1inv[Portfolio Company Name],Table1[[#This Row],[Portfolio Company Name]],s1inv[SBA Reported Value (B)])</f>
        <v>0</v>
      </c>
      <c r="E30" s="575"/>
      <c r="F30" s="572"/>
      <c r="G30" s="572"/>
      <c r="H30" s="572"/>
      <c r="I30" s="572"/>
      <c r="J30" s="572"/>
      <c r="K30" s="572"/>
      <c r="L30" s="573">
        <f t="shared" ref="L30:L39" si="2">H30-I30-J30-K30</f>
        <v>0</v>
      </c>
      <c r="M30" s="574"/>
    </row>
    <row r="31" spans="1:13" s="352" customFormat="1" x14ac:dyDescent="0.35">
      <c r="A31" s="568" t="s">
        <v>243</v>
      </c>
      <c r="B31" s="569" t="str">
        <f>IF(Table1[[#This Row],[Portfolio Company Name]]=" ","",IFERROR(YEAR(VLOOKUP(Table1[[#This Row],[Portfolio Company Name]],s11cumperf[],3,FALSE)),""))</f>
        <v/>
      </c>
      <c r="C31" s="570">
        <f>SUMIF(s1inv[Portfolio Company Name],Table1[[#This Row],[Portfolio Company Name]],s1inv[Cost at End of Period])</f>
        <v>0</v>
      </c>
      <c r="D31" s="570">
        <f>SUMIF(s1inv[Portfolio Company Name],Table1[[#This Row],[Portfolio Company Name]],s1inv[SBA Reported Value (B)])</f>
        <v>0</v>
      </c>
      <c r="E31" s="575"/>
      <c r="F31" s="572"/>
      <c r="G31" s="572"/>
      <c r="H31" s="572"/>
      <c r="I31" s="572"/>
      <c r="J31" s="572"/>
      <c r="K31" s="572"/>
      <c r="L31" s="573">
        <f t="shared" si="2"/>
        <v>0</v>
      </c>
      <c r="M31" s="574"/>
    </row>
    <row r="32" spans="1:13" s="352" customFormat="1" x14ac:dyDescent="0.35">
      <c r="A32" s="568" t="s">
        <v>243</v>
      </c>
      <c r="B32" s="569" t="str">
        <f>IF(Table1[[#This Row],[Portfolio Company Name]]=" ","",IFERROR(YEAR(VLOOKUP(Table1[[#This Row],[Portfolio Company Name]],s11cumperf[],3,FALSE)),""))</f>
        <v/>
      </c>
      <c r="C32" s="570">
        <f>SUMIF(s1inv[Portfolio Company Name],Table1[[#This Row],[Portfolio Company Name]],s1inv[Cost at End of Period])</f>
        <v>0</v>
      </c>
      <c r="D32" s="570">
        <f>SUMIF(s1inv[Portfolio Company Name],Table1[[#This Row],[Portfolio Company Name]],s1inv[SBA Reported Value (B)])</f>
        <v>0</v>
      </c>
      <c r="E32" s="575"/>
      <c r="F32" s="572"/>
      <c r="G32" s="572"/>
      <c r="H32" s="572"/>
      <c r="I32" s="572"/>
      <c r="J32" s="572"/>
      <c r="K32" s="572"/>
      <c r="L32" s="573">
        <f t="shared" si="2"/>
        <v>0</v>
      </c>
      <c r="M32" s="574"/>
    </row>
    <row r="33" spans="1:13" s="352" customFormat="1" x14ac:dyDescent="0.35">
      <c r="A33" s="568" t="s">
        <v>243</v>
      </c>
      <c r="B33" s="569" t="str">
        <f>IF(Table1[[#This Row],[Portfolio Company Name]]=" ","",IFERROR(YEAR(VLOOKUP(Table1[[#This Row],[Portfolio Company Name]],s11cumperf[],3,FALSE)),""))</f>
        <v/>
      </c>
      <c r="C33" s="570">
        <f>SUMIF(s1inv[Portfolio Company Name],Table1[[#This Row],[Portfolio Company Name]],s1inv[Cost at End of Period])</f>
        <v>0</v>
      </c>
      <c r="D33" s="570">
        <f>SUMIF(s1inv[Portfolio Company Name],Table1[[#This Row],[Portfolio Company Name]],s1inv[SBA Reported Value (B)])</f>
        <v>0</v>
      </c>
      <c r="E33" s="575"/>
      <c r="F33" s="572"/>
      <c r="G33" s="572"/>
      <c r="H33" s="572"/>
      <c r="I33" s="572"/>
      <c r="J33" s="572"/>
      <c r="K33" s="572"/>
      <c r="L33" s="573">
        <f t="shared" si="2"/>
        <v>0</v>
      </c>
      <c r="M33" s="574"/>
    </row>
    <row r="34" spans="1:13" s="352" customFormat="1" x14ac:dyDescent="0.35">
      <c r="A34" s="568" t="s">
        <v>243</v>
      </c>
      <c r="B34" s="569" t="str">
        <f>IF(Table1[[#This Row],[Portfolio Company Name]]=" ","",IFERROR(YEAR(VLOOKUP(Table1[[#This Row],[Portfolio Company Name]],s11cumperf[],3,FALSE)),""))</f>
        <v/>
      </c>
      <c r="C34" s="570">
        <f>SUMIF(s1inv[Portfolio Company Name],Table1[[#This Row],[Portfolio Company Name]],s1inv[Cost at End of Period])</f>
        <v>0</v>
      </c>
      <c r="D34" s="570">
        <f>SUMIF(s1inv[Portfolio Company Name],Table1[[#This Row],[Portfolio Company Name]],s1inv[SBA Reported Value (B)])</f>
        <v>0</v>
      </c>
      <c r="E34" s="575"/>
      <c r="F34" s="572"/>
      <c r="G34" s="572"/>
      <c r="H34" s="572"/>
      <c r="I34" s="572"/>
      <c r="J34" s="572"/>
      <c r="K34" s="572"/>
      <c r="L34" s="573">
        <f t="shared" si="2"/>
        <v>0</v>
      </c>
      <c r="M34" s="574"/>
    </row>
    <row r="35" spans="1:13" s="352" customFormat="1" x14ac:dyDescent="0.35">
      <c r="A35" s="568" t="s">
        <v>243</v>
      </c>
      <c r="B35" s="569" t="str">
        <f>IF(Table1[[#This Row],[Portfolio Company Name]]=" ","",IFERROR(YEAR(VLOOKUP(Table1[[#This Row],[Portfolio Company Name]],s11cumperf[],3,FALSE)),""))</f>
        <v/>
      </c>
      <c r="C35" s="570">
        <f>SUMIF(s1inv[Portfolio Company Name],Table1[[#This Row],[Portfolio Company Name]],s1inv[Cost at End of Period])</f>
        <v>0</v>
      </c>
      <c r="D35" s="570">
        <f>SUMIF(s1inv[Portfolio Company Name],Table1[[#This Row],[Portfolio Company Name]],s1inv[SBA Reported Value (B)])</f>
        <v>0</v>
      </c>
      <c r="E35" s="575"/>
      <c r="F35" s="572"/>
      <c r="G35" s="572"/>
      <c r="H35" s="572"/>
      <c r="I35" s="572"/>
      <c r="J35" s="572"/>
      <c r="K35" s="572"/>
      <c r="L35" s="573">
        <f t="shared" si="2"/>
        <v>0</v>
      </c>
      <c r="M35" s="574"/>
    </row>
    <row r="36" spans="1:13" s="352" customFormat="1" x14ac:dyDescent="0.35">
      <c r="A36" s="568" t="s">
        <v>243</v>
      </c>
      <c r="B36" s="569" t="str">
        <f>IF(Table1[[#This Row],[Portfolio Company Name]]=" ","",IFERROR(YEAR(VLOOKUP(Table1[[#This Row],[Portfolio Company Name]],s11cumperf[],3,FALSE)),""))</f>
        <v/>
      </c>
      <c r="C36" s="570">
        <f>SUMIF(s1inv[Portfolio Company Name],Table1[[#This Row],[Portfolio Company Name]],s1inv[Cost at End of Period])</f>
        <v>0</v>
      </c>
      <c r="D36" s="570">
        <f>SUMIF(s1inv[Portfolio Company Name],Table1[[#This Row],[Portfolio Company Name]],s1inv[SBA Reported Value (B)])</f>
        <v>0</v>
      </c>
      <c r="E36" s="575"/>
      <c r="F36" s="572"/>
      <c r="G36" s="572"/>
      <c r="H36" s="572"/>
      <c r="I36" s="572"/>
      <c r="J36" s="572"/>
      <c r="K36" s="572"/>
      <c r="L36" s="573">
        <f t="shared" si="2"/>
        <v>0</v>
      </c>
      <c r="M36" s="574"/>
    </row>
    <row r="37" spans="1:13" s="352" customFormat="1" x14ac:dyDescent="0.35">
      <c r="A37" s="568" t="s">
        <v>243</v>
      </c>
      <c r="B37" s="569" t="str">
        <f>IF(Table1[[#This Row],[Portfolio Company Name]]=" ","",IFERROR(YEAR(VLOOKUP(Table1[[#This Row],[Portfolio Company Name]],s11cumperf[],3,FALSE)),""))</f>
        <v/>
      </c>
      <c r="C37" s="570">
        <f>SUMIF(s1inv[Portfolio Company Name],Table1[[#This Row],[Portfolio Company Name]],s1inv[Cost at End of Period])</f>
        <v>0</v>
      </c>
      <c r="D37" s="570">
        <f>SUMIF(s1inv[Portfolio Company Name],Table1[[#This Row],[Portfolio Company Name]],s1inv[SBA Reported Value (B)])</f>
        <v>0</v>
      </c>
      <c r="E37" s="575"/>
      <c r="F37" s="572"/>
      <c r="G37" s="572"/>
      <c r="H37" s="572"/>
      <c r="I37" s="572"/>
      <c r="J37" s="572"/>
      <c r="K37" s="572"/>
      <c r="L37" s="573">
        <f t="shared" si="2"/>
        <v>0</v>
      </c>
      <c r="M37" s="574"/>
    </row>
    <row r="38" spans="1:13" s="352" customFormat="1" x14ac:dyDescent="0.35">
      <c r="A38" s="568" t="s">
        <v>243</v>
      </c>
      <c r="B38" s="569" t="str">
        <f>IF(Table1[[#This Row],[Portfolio Company Name]]=" ","",IFERROR(YEAR(VLOOKUP(Table1[[#This Row],[Portfolio Company Name]],s11cumperf[],3,FALSE)),""))</f>
        <v/>
      </c>
      <c r="C38" s="570">
        <f>SUMIF(s1inv[Portfolio Company Name],Table1[[#This Row],[Portfolio Company Name]],s1inv[Cost at End of Period])</f>
        <v>0</v>
      </c>
      <c r="D38" s="570">
        <f>SUMIF(s1inv[Portfolio Company Name],Table1[[#This Row],[Portfolio Company Name]],s1inv[SBA Reported Value (B)])</f>
        <v>0</v>
      </c>
      <c r="E38" s="575"/>
      <c r="F38" s="572"/>
      <c r="G38" s="572"/>
      <c r="H38" s="572"/>
      <c r="I38" s="572"/>
      <c r="J38" s="572"/>
      <c r="K38" s="572"/>
      <c r="L38" s="573">
        <f t="shared" si="2"/>
        <v>0</v>
      </c>
      <c r="M38" s="574"/>
    </row>
    <row r="39" spans="1:13" s="352" customFormat="1" x14ac:dyDescent="0.35">
      <c r="A39" s="568" t="s">
        <v>243</v>
      </c>
      <c r="B39" s="569" t="str">
        <f>IF(Table1[[#This Row],[Portfolio Company Name]]=" ","",IFERROR(YEAR(VLOOKUP(Table1[[#This Row],[Portfolio Company Name]],s11cumperf[],3,FALSE)),""))</f>
        <v/>
      </c>
      <c r="C39" s="570">
        <f>SUMIF(s1inv[Portfolio Company Name],Table1[[#This Row],[Portfolio Company Name]],s1inv[Cost at End of Period])</f>
        <v>0</v>
      </c>
      <c r="D39" s="570">
        <f>SUMIF(s1inv[Portfolio Company Name],Table1[[#This Row],[Portfolio Company Name]],s1inv[SBA Reported Value (B)])</f>
        <v>0</v>
      </c>
      <c r="E39" s="575"/>
      <c r="F39" s="572"/>
      <c r="G39" s="572"/>
      <c r="H39" s="572"/>
      <c r="I39" s="572"/>
      <c r="J39" s="572"/>
      <c r="K39" s="572"/>
      <c r="L39" s="573">
        <f t="shared" si="2"/>
        <v>0</v>
      </c>
      <c r="M39" s="574"/>
    </row>
    <row r="40" spans="1:13" s="352" customFormat="1" x14ac:dyDescent="0.35">
      <c r="A40" s="568" t="s">
        <v>243</v>
      </c>
      <c r="B40" s="569" t="str">
        <f>IF(Table1[[#This Row],[Portfolio Company Name]]=" ","",IFERROR(YEAR(VLOOKUP(Table1[[#This Row],[Portfolio Company Name]],s11cumperf[],3,FALSE)),""))</f>
        <v/>
      </c>
      <c r="C40" s="570">
        <f>SUMIF(s1inv[Portfolio Company Name],Table1[[#This Row],[Portfolio Company Name]],s1inv[Cost at End of Period])</f>
        <v>0</v>
      </c>
      <c r="D40" s="570">
        <f>SUMIF(s1inv[Portfolio Company Name],Table1[[#This Row],[Portfolio Company Name]],s1inv[SBA Reported Value (B)])</f>
        <v>0</v>
      </c>
      <c r="E40" s="575"/>
      <c r="F40" s="572"/>
      <c r="G40" s="572"/>
      <c r="H40" s="572"/>
      <c r="I40" s="572"/>
      <c r="J40" s="572"/>
      <c r="K40" s="572"/>
      <c r="L40" s="573">
        <f t="shared" si="1"/>
        <v>0</v>
      </c>
      <c r="M40" s="574"/>
    </row>
    <row r="41" spans="1:13" s="352" customFormat="1" x14ac:dyDescent="0.35">
      <c r="A41" s="568" t="s">
        <v>243</v>
      </c>
      <c r="B41" s="569" t="str">
        <f>IF(Table1[[#This Row],[Portfolio Company Name]]=" ","",IFERROR(YEAR(VLOOKUP(Table1[[#This Row],[Portfolio Company Name]],s11cumperf[],3,FALSE)),""))</f>
        <v/>
      </c>
      <c r="C41" s="570">
        <f>SUMIF(s1inv[Portfolio Company Name],Table1[[#This Row],[Portfolio Company Name]],s1inv[Cost at End of Period])</f>
        <v>0</v>
      </c>
      <c r="D41" s="570">
        <f>SUMIF(s1inv[Portfolio Company Name],Table1[[#This Row],[Portfolio Company Name]],s1inv[SBA Reported Value (B)])</f>
        <v>0</v>
      </c>
      <c r="E41" s="576"/>
      <c r="F41" s="572"/>
      <c r="G41" s="572"/>
      <c r="H41" s="572"/>
      <c r="I41" s="572"/>
      <c r="J41" s="572"/>
      <c r="K41" s="572"/>
      <c r="L41" s="573">
        <f t="shared" si="0"/>
        <v>0</v>
      </c>
      <c r="M41" s="577"/>
    </row>
  </sheetData>
  <mergeCells count="7">
    <mergeCell ref="F10:H10"/>
    <mergeCell ref="I10:L10"/>
    <mergeCell ref="A10:A11"/>
    <mergeCell ref="B10:B11"/>
    <mergeCell ref="C10:C11"/>
    <mergeCell ref="D10:D11"/>
    <mergeCell ref="E10:E11"/>
  </mergeCells>
  <pageMargins left="0.28000000000000003" right="0.23" top="0.5" bottom="0.25" header="0.5" footer="0.24"/>
  <pageSetup scale="95" orientation="landscape" r:id="rId1"/>
  <headerFooter alignWithMargins="0"/>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129394B5-1DBF-4E3C-AF52-42DCD3E12AA9}">
          <x14:formula1>
            <xm:f>selection!$BU$17:$BU$22</xm:f>
          </x14:formula1>
          <xm:sqref>E13:E41</xm:sqref>
        </x14:dataValidation>
        <x14:dataValidation type="list" errorStyle="information" allowBlank="1" showInputMessage="1" showErrorMessage="1" error="Not found in schedule 1" xr:uid="{F3BA429C-2DD6-423A-9C5C-0B4CED735BAE}">
          <x14:formula1>
            <xm:f>S11cumperf!$A$18:$A$100</xm:f>
          </x14:formula1>
          <xm:sqref>A13:A41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F0AB2-94FB-4684-91A4-8169C96E1982}">
  <sheetPr codeName="Sheet32"/>
  <dimension ref="A1:N50"/>
  <sheetViews>
    <sheetView workbookViewId="0"/>
  </sheetViews>
  <sheetFormatPr defaultColWidth="9.1796875" defaultRowHeight="10" x14ac:dyDescent="0.2"/>
  <cols>
    <col min="1" max="1" width="2.453125" style="522" customWidth="1"/>
    <col min="2" max="2" width="21.1796875" style="522" customWidth="1"/>
    <col min="3" max="3" width="12.1796875" style="522" customWidth="1"/>
    <col min="4" max="4" width="9.26953125" style="522" customWidth="1"/>
    <col min="5" max="5" width="9.453125" style="522" customWidth="1"/>
    <col min="6" max="6" width="11.26953125" style="522" customWidth="1"/>
    <col min="7" max="7" width="9.81640625" style="522" bestFit="1" customWidth="1"/>
    <col min="8" max="10" width="8.453125" style="522" customWidth="1"/>
    <col min="11" max="11" width="21" style="522" customWidth="1"/>
    <col min="12" max="12" width="14.453125" style="522" customWidth="1"/>
    <col min="13" max="13" width="10" style="522" bestFit="1" customWidth="1"/>
    <col min="14" max="14" width="10" style="522" customWidth="1"/>
    <col min="15" max="15" width="16.453125" style="522" customWidth="1"/>
    <col min="16" max="16384" width="9.1796875" style="522"/>
  </cols>
  <sheetData>
    <row r="1" spans="1:14" s="77" customFormat="1" ht="13.15" customHeight="1" x14ac:dyDescent="0.2">
      <c r="A1" s="77" t="s">
        <v>3472</v>
      </c>
      <c r="K1" s="150" t="str">
        <f>ombapproval</f>
        <v>OMB Approval No. 3245-0063</v>
      </c>
    </row>
    <row r="2" spans="1:14" s="77" customFormat="1" ht="13.15" customHeight="1" x14ac:dyDescent="0.2">
      <c r="A2" s="77" t="s">
        <v>2353</v>
      </c>
      <c r="E2" s="150" t="s">
        <v>1987</v>
      </c>
      <c r="F2" s="153">
        <f>Form468Date</f>
        <v>0</v>
      </c>
      <c r="K2" s="150" t="str">
        <f>expirationdate</f>
        <v>Expiration Date MM/DD/YYYY</v>
      </c>
    </row>
    <row r="3" spans="1:14" s="77" customFormat="1" ht="13.15" customHeight="1" x14ac:dyDescent="0.2">
      <c r="K3" s="150"/>
    </row>
    <row r="4" spans="1:14" s="77" customFormat="1" x14ac:dyDescent="0.2">
      <c r="A4" s="121" t="str">
        <f>"Name of License:  "&amp;sbicname</f>
        <v xml:space="preserve">Name of License:  </v>
      </c>
      <c r="B4" s="122"/>
      <c r="C4" s="140">
        <f>WDSupA!B4</f>
        <v>0</v>
      </c>
      <c r="D4" s="140"/>
      <c r="E4" s="140"/>
      <c r="F4" s="140"/>
      <c r="G4" s="140"/>
      <c r="H4" s="140"/>
      <c r="I4" s="140"/>
      <c r="J4" s="140"/>
      <c r="K4" s="123" t="str">
        <f>"License no.:  "&amp;TEXT(licenseno,"00\/00\-0000")</f>
        <v>License no.:  00/00-0000</v>
      </c>
    </row>
    <row r="6" spans="1:14" x14ac:dyDescent="0.2">
      <c r="F6" s="583" t="s">
        <v>2026</v>
      </c>
      <c r="G6" s="584">
        <f>SUM(Table35[Yr0])</f>
        <v>0</v>
      </c>
      <c r="H6" s="584">
        <f>SUM(Table35[Yr1])</f>
        <v>0</v>
      </c>
      <c r="I6" s="584">
        <f>SUM(Table35[Yr2])</f>
        <v>0</v>
      </c>
      <c r="J6" s="584">
        <f>SUM(Table35[Yr3])</f>
        <v>0</v>
      </c>
    </row>
    <row r="7" spans="1:14" x14ac:dyDescent="0.2">
      <c r="A7" s="522" t="s">
        <v>2354</v>
      </c>
      <c r="B7" s="585"/>
      <c r="G7" s="586"/>
      <c r="H7" s="586"/>
      <c r="I7" s="586"/>
      <c r="J7" s="586"/>
      <c r="K7" s="523"/>
      <c r="L7" s="523"/>
      <c r="M7" s="523"/>
      <c r="N7" s="523"/>
    </row>
    <row r="8" spans="1:14" x14ac:dyDescent="0.2">
      <c r="G8" s="833" t="s">
        <v>2355</v>
      </c>
      <c r="H8" s="834"/>
      <c r="I8" s="834"/>
      <c r="J8" s="835"/>
      <c r="K8" s="523"/>
    </row>
    <row r="9" spans="1:14" ht="50" x14ac:dyDescent="0.2">
      <c r="A9" s="587"/>
      <c r="B9" s="597" t="s">
        <v>2356</v>
      </c>
      <c r="C9" s="597" t="s">
        <v>2031</v>
      </c>
      <c r="D9" s="597" t="s">
        <v>2357</v>
      </c>
      <c r="E9" s="597" t="s">
        <v>2358</v>
      </c>
      <c r="F9" s="597" t="s">
        <v>2359</v>
      </c>
      <c r="G9" s="597" t="str">
        <f>TEXT(WDSup!E20,"mm/dd/yyyy")&amp;" to "&amp;TEXT(WDSup!E21,"mm/dd/yyyy")</f>
        <v>01/01/1900 to 12/31/1900</v>
      </c>
      <c r="H9" s="597">
        <f>WDSup!F21</f>
        <v>1901</v>
      </c>
      <c r="I9" s="597">
        <f>WDSup!G21</f>
        <v>1902</v>
      </c>
      <c r="J9" s="597" t="str">
        <f>"Post "&amp;WDSup!H21</f>
        <v>Post 1902</v>
      </c>
      <c r="K9" s="597" t="s">
        <v>85</v>
      </c>
    </row>
    <row r="10" spans="1:14" ht="12" hidden="1" customHeight="1" x14ac:dyDescent="0.2">
      <c r="A10" s="587"/>
      <c r="B10" s="561" t="s">
        <v>2356</v>
      </c>
      <c r="C10" s="566" t="s">
        <v>2031</v>
      </c>
      <c r="D10" s="566" t="s">
        <v>2357</v>
      </c>
      <c r="E10" s="566" t="s">
        <v>2358</v>
      </c>
      <c r="F10" s="566" t="s">
        <v>2359</v>
      </c>
      <c r="G10" s="566" t="s">
        <v>2360</v>
      </c>
      <c r="H10" s="566" t="s">
        <v>2350</v>
      </c>
      <c r="I10" s="566" t="s">
        <v>2351</v>
      </c>
      <c r="J10" s="566" t="s">
        <v>2361</v>
      </c>
      <c r="K10" s="563" t="s">
        <v>85</v>
      </c>
    </row>
    <row r="11" spans="1:14" s="588" customFormat="1" x14ac:dyDescent="0.35">
      <c r="B11" s="568" t="s">
        <v>243</v>
      </c>
      <c r="C11" s="589"/>
      <c r="D11" s="572"/>
      <c r="E11" s="572"/>
      <c r="F11" s="572"/>
      <c r="G11" s="572"/>
      <c r="H11" s="572"/>
      <c r="I11" s="572"/>
      <c r="J11" s="590">
        <f t="shared" ref="J11:J50" si="0">F11-G11-H11-I11</f>
        <v>0</v>
      </c>
      <c r="K11" s="591"/>
    </row>
    <row r="12" spans="1:14" s="588" customFormat="1" x14ac:dyDescent="0.35">
      <c r="B12" s="568" t="s">
        <v>243</v>
      </c>
      <c r="C12" s="589"/>
      <c r="D12" s="572"/>
      <c r="E12" s="572"/>
      <c r="F12" s="572"/>
      <c r="G12" s="572"/>
      <c r="H12" s="572"/>
      <c r="I12" s="572"/>
      <c r="J12" s="590">
        <f t="shared" si="0"/>
        <v>0</v>
      </c>
      <c r="K12" s="591"/>
    </row>
    <row r="13" spans="1:14" s="588" customFormat="1" x14ac:dyDescent="0.35">
      <c r="B13" s="568" t="s">
        <v>243</v>
      </c>
      <c r="C13" s="589"/>
      <c r="D13" s="572"/>
      <c r="E13" s="572"/>
      <c r="F13" s="572"/>
      <c r="G13" s="572"/>
      <c r="H13" s="572"/>
      <c r="I13" s="572"/>
      <c r="J13" s="590">
        <f t="shared" si="0"/>
        <v>0</v>
      </c>
      <c r="K13" s="591"/>
    </row>
    <row r="14" spans="1:14" s="588" customFormat="1" x14ac:dyDescent="0.35">
      <c r="B14" s="568" t="s">
        <v>243</v>
      </c>
      <c r="C14" s="589"/>
      <c r="D14" s="572"/>
      <c r="E14" s="572"/>
      <c r="F14" s="572"/>
      <c r="G14" s="572"/>
      <c r="H14" s="572"/>
      <c r="I14" s="572"/>
      <c r="J14" s="590">
        <f t="shared" si="0"/>
        <v>0</v>
      </c>
      <c r="K14" s="591"/>
    </row>
    <row r="15" spans="1:14" s="588" customFormat="1" x14ac:dyDescent="0.35">
      <c r="B15" s="568" t="s">
        <v>243</v>
      </c>
      <c r="C15" s="589"/>
      <c r="D15" s="572"/>
      <c r="E15" s="572"/>
      <c r="F15" s="572"/>
      <c r="G15" s="572"/>
      <c r="H15" s="572"/>
      <c r="I15" s="572"/>
      <c r="J15" s="590">
        <f t="shared" ref="J15:J19" si="1">F15-G15-H15-I15</f>
        <v>0</v>
      </c>
      <c r="K15" s="591"/>
    </row>
    <row r="16" spans="1:14" s="588" customFormat="1" x14ac:dyDescent="0.35">
      <c r="B16" s="568" t="s">
        <v>243</v>
      </c>
      <c r="C16" s="589"/>
      <c r="D16" s="572"/>
      <c r="E16" s="572"/>
      <c r="F16" s="572"/>
      <c r="G16" s="572"/>
      <c r="H16" s="572"/>
      <c r="I16" s="572"/>
      <c r="J16" s="590">
        <f t="shared" si="1"/>
        <v>0</v>
      </c>
      <c r="K16" s="591"/>
    </row>
    <row r="17" spans="2:11" s="588" customFormat="1" x14ac:dyDescent="0.35">
      <c r="B17" s="568" t="s">
        <v>243</v>
      </c>
      <c r="C17" s="589"/>
      <c r="D17" s="572"/>
      <c r="E17" s="572"/>
      <c r="F17" s="572"/>
      <c r="G17" s="572"/>
      <c r="H17" s="572"/>
      <c r="I17" s="572"/>
      <c r="J17" s="590">
        <f t="shared" si="1"/>
        <v>0</v>
      </c>
      <c r="K17" s="591"/>
    </row>
    <row r="18" spans="2:11" s="588" customFormat="1" x14ac:dyDescent="0.35">
      <c r="B18" s="568" t="s">
        <v>243</v>
      </c>
      <c r="C18" s="589"/>
      <c r="D18" s="572"/>
      <c r="E18" s="572"/>
      <c r="F18" s="572"/>
      <c r="G18" s="572"/>
      <c r="H18" s="572"/>
      <c r="I18" s="572"/>
      <c r="J18" s="590">
        <f t="shared" si="1"/>
        <v>0</v>
      </c>
      <c r="K18" s="591"/>
    </row>
    <row r="19" spans="2:11" s="588" customFormat="1" x14ac:dyDescent="0.35">
      <c r="B19" s="568" t="s">
        <v>243</v>
      </c>
      <c r="C19" s="589"/>
      <c r="D19" s="572"/>
      <c r="E19" s="572"/>
      <c r="F19" s="572"/>
      <c r="G19" s="572"/>
      <c r="H19" s="572"/>
      <c r="I19" s="572"/>
      <c r="J19" s="590">
        <f t="shared" si="1"/>
        <v>0</v>
      </c>
      <c r="K19" s="591"/>
    </row>
    <row r="20" spans="2:11" s="588" customFormat="1" x14ac:dyDescent="0.35">
      <c r="B20" s="568" t="s">
        <v>243</v>
      </c>
      <c r="C20" s="589"/>
      <c r="D20" s="572"/>
      <c r="E20" s="572"/>
      <c r="F20" s="572"/>
      <c r="G20" s="572"/>
      <c r="H20" s="572"/>
      <c r="I20" s="572"/>
      <c r="J20" s="590">
        <f t="shared" si="0"/>
        <v>0</v>
      </c>
      <c r="K20" s="591"/>
    </row>
    <row r="21" spans="2:11" s="588" customFormat="1" x14ac:dyDescent="0.35">
      <c r="B21" s="568" t="s">
        <v>243</v>
      </c>
      <c r="C21" s="589"/>
      <c r="D21" s="572"/>
      <c r="E21" s="572"/>
      <c r="F21" s="572"/>
      <c r="G21" s="572"/>
      <c r="H21" s="572"/>
      <c r="I21" s="572"/>
      <c r="J21" s="590">
        <f t="shared" si="0"/>
        <v>0</v>
      </c>
      <c r="K21" s="591"/>
    </row>
    <row r="22" spans="2:11" s="588" customFormat="1" x14ac:dyDescent="0.35">
      <c r="B22" s="568" t="s">
        <v>243</v>
      </c>
      <c r="C22" s="589"/>
      <c r="D22" s="572"/>
      <c r="E22" s="572"/>
      <c r="F22" s="572"/>
      <c r="G22" s="572"/>
      <c r="H22" s="572"/>
      <c r="I22" s="572"/>
      <c r="J22" s="590">
        <f t="shared" si="0"/>
        <v>0</v>
      </c>
      <c r="K22" s="591"/>
    </row>
    <row r="23" spans="2:11" s="588" customFormat="1" x14ac:dyDescent="0.35">
      <c r="B23" s="568" t="s">
        <v>243</v>
      </c>
      <c r="C23" s="589"/>
      <c r="D23" s="572"/>
      <c r="E23" s="572"/>
      <c r="F23" s="572"/>
      <c r="G23" s="572"/>
      <c r="H23" s="572"/>
      <c r="I23" s="572"/>
      <c r="J23" s="590">
        <f t="shared" si="0"/>
        <v>0</v>
      </c>
      <c r="K23" s="591"/>
    </row>
    <row r="24" spans="2:11" s="588" customFormat="1" x14ac:dyDescent="0.35">
      <c r="B24" s="568" t="s">
        <v>243</v>
      </c>
      <c r="C24" s="589"/>
      <c r="D24" s="572"/>
      <c r="E24" s="572"/>
      <c r="F24" s="572"/>
      <c r="G24" s="572"/>
      <c r="H24" s="572"/>
      <c r="I24" s="572"/>
      <c r="J24" s="590">
        <f t="shared" si="0"/>
        <v>0</v>
      </c>
      <c r="K24" s="591"/>
    </row>
    <row r="25" spans="2:11" s="588" customFormat="1" ht="12.75" customHeight="1" x14ac:dyDescent="0.35">
      <c r="B25" s="568" t="s">
        <v>243</v>
      </c>
      <c r="C25" s="589"/>
      <c r="D25" s="572"/>
      <c r="E25" s="572"/>
      <c r="F25" s="572"/>
      <c r="G25" s="572"/>
      <c r="H25" s="572"/>
      <c r="I25" s="572"/>
      <c r="J25" s="590">
        <f t="shared" si="0"/>
        <v>0</v>
      </c>
      <c r="K25" s="592"/>
    </row>
    <row r="26" spans="2:11" x14ac:dyDescent="0.2">
      <c r="B26" s="593" t="s">
        <v>243</v>
      </c>
      <c r="C26" s="594"/>
      <c r="D26" s="594"/>
      <c r="E26" s="595"/>
      <c r="F26" s="595"/>
      <c r="G26" s="596"/>
      <c r="H26" s="596"/>
      <c r="I26" s="596"/>
      <c r="J26" s="590">
        <f t="shared" si="0"/>
        <v>0</v>
      </c>
      <c r="K26" s="592"/>
    </row>
    <row r="27" spans="2:11" x14ac:dyDescent="0.2">
      <c r="B27" s="593" t="s">
        <v>243</v>
      </c>
      <c r="C27" s="594"/>
      <c r="D27" s="594"/>
      <c r="E27" s="595"/>
      <c r="F27" s="595"/>
      <c r="G27" s="596"/>
      <c r="H27" s="596"/>
      <c r="I27" s="596"/>
      <c r="J27" s="590">
        <f t="shared" si="0"/>
        <v>0</v>
      </c>
      <c r="K27" s="592"/>
    </row>
    <row r="28" spans="2:11" x14ac:dyDescent="0.2">
      <c r="B28" s="593" t="s">
        <v>243</v>
      </c>
      <c r="C28" s="594"/>
      <c r="D28" s="594"/>
      <c r="E28" s="595"/>
      <c r="F28" s="595"/>
      <c r="G28" s="596"/>
      <c r="H28" s="596"/>
      <c r="I28" s="596"/>
      <c r="J28" s="590">
        <f t="shared" si="0"/>
        <v>0</v>
      </c>
      <c r="K28" s="592"/>
    </row>
    <row r="29" spans="2:11" x14ac:dyDescent="0.2">
      <c r="B29" s="593" t="s">
        <v>243</v>
      </c>
      <c r="C29" s="594"/>
      <c r="D29" s="594"/>
      <c r="E29" s="595"/>
      <c r="F29" s="595"/>
      <c r="G29" s="596"/>
      <c r="H29" s="596"/>
      <c r="I29" s="596"/>
      <c r="J29" s="590">
        <f t="shared" si="0"/>
        <v>0</v>
      </c>
      <c r="K29" s="592"/>
    </row>
    <row r="30" spans="2:11" x14ac:dyDescent="0.2">
      <c r="B30" s="593" t="s">
        <v>243</v>
      </c>
      <c r="C30" s="594"/>
      <c r="D30" s="594"/>
      <c r="E30" s="595"/>
      <c r="F30" s="595"/>
      <c r="G30" s="596"/>
      <c r="H30" s="596"/>
      <c r="I30" s="596"/>
      <c r="J30" s="590">
        <f t="shared" si="0"/>
        <v>0</v>
      </c>
      <c r="K30" s="592"/>
    </row>
    <row r="31" spans="2:11" x14ac:dyDescent="0.2">
      <c r="B31" s="593" t="s">
        <v>243</v>
      </c>
      <c r="C31" s="594"/>
      <c r="D31" s="594"/>
      <c r="E31" s="595"/>
      <c r="F31" s="595"/>
      <c r="G31" s="596"/>
      <c r="H31" s="596"/>
      <c r="I31" s="596"/>
      <c r="J31" s="590">
        <f t="shared" si="0"/>
        <v>0</v>
      </c>
      <c r="K31" s="592"/>
    </row>
    <row r="32" spans="2:11" x14ac:dyDescent="0.2">
      <c r="B32" s="593" t="s">
        <v>243</v>
      </c>
      <c r="C32" s="594"/>
      <c r="D32" s="594"/>
      <c r="E32" s="595"/>
      <c r="F32" s="595"/>
      <c r="G32" s="596"/>
      <c r="H32" s="596"/>
      <c r="I32" s="596"/>
      <c r="J32" s="590">
        <f t="shared" si="0"/>
        <v>0</v>
      </c>
      <c r="K32" s="592"/>
    </row>
    <row r="33" spans="2:11" x14ac:dyDescent="0.2">
      <c r="B33" s="593" t="s">
        <v>243</v>
      </c>
      <c r="C33" s="594"/>
      <c r="D33" s="594"/>
      <c r="E33" s="595"/>
      <c r="F33" s="595"/>
      <c r="G33" s="596"/>
      <c r="H33" s="596"/>
      <c r="I33" s="596"/>
      <c r="J33" s="590">
        <f t="shared" si="0"/>
        <v>0</v>
      </c>
      <c r="K33" s="592"/>
    </row>
    <row r="34" spans="2:11" x14ac:dyDescent="0.2">
      <c r="B34" s="593" t="s">
        <v>243</v>
      </c>
      <c r="C34" s="594"/>
      <c r="D34" s="594"/>
      <c r="E34" s="595"/>
      <c r="F34" s="595"/>
      <c r="G34" s="596"/>
      <c r="H34" s="596"/>
      <c r="I34" s="596"/>
      <c r="J34" s="590">
        <f t="shared" si="0"/>
        <v>0</v>
      </c>
      <c r="K34" s="592"/>
    </row>
    <row r="35" spans="2:11" x14ac:dyDescent="0.2">
      <c r="B35" s="593" t="s">
        <v>243</v>
      </c>
      <c r="C35" s="594"/>
      <c r="D35" s="594"/>
      <c r="E35" s="595"/>
      <c r="F35" s="595"/>
      <c r="G35" s="596"/>
      <c r="H35" s="596"/>
      <c r="I35" s="596"/>
      <c r="J35" s="590">
        <f t="shared" si="0"/>
        <v>0</v>
      </c>
      <c r="K35" s="592"/>
    </row>
    <row r="36" spans="2:11" x14ac:dyDescent="0.2">
      <c r="B36" s="593" t="s">
        <v>243</v>
      </c>
      <c r="C36" s="594"/>
      <c r="D36" s="594"/>
      <c r="E36" s="595"/>
      <c r="F36" s="595"/>
      <c r="G36" s="596"/>
      <c r="H36" s="596"/>
      <c r="I36" s="596"/>
      <c r="J36" s="590">
        <f t="shared" si="0"/>
        <v>0</v>
      </c>
      <c r="K36" s="592"/>
    </row>
    <row r="37" spans="2:11" x14ac:dyDescent="0.2">
      <c r="B37" s="593" t="s">
        <v>243</v>
      </c>
      <c r="C37" s="594"/>
      <c r="D37" s="594"/>
      <c r="E37" s="595"/>
      <c r="F37" s="595"/>
      <c r="G37" s="596"/>
      <c r="H37" s="596"/>
      <c r="I37" s="596"/>
      <c r="J37" s="590">
        <f t="shared" si="0"/>
        <v>0</v>
      </c>
      <c r="K37" s="592"/>
    </row>
    <row r="38" spans="2:11" x14ac:dyDescent="0.2">
      <c r="B38" s="593" t="s">
        <v>243</v>
      </c>
      <c r="C38" s="594"/>
      <c r="D38" s="594"/>
      <c r="E38" s="595"/>
      <c r="F38" s="595"/>
      <c r="G38" s="596"/>
      <c r="H38" s="596"/>
      <c r="I38" s="596"/>
      <c r="J38" s="590">
        <f t="shared" si="0"/>
        <v>0</v>
      </c>
      <c r="K38" s="592"/>
    </row>
    <row r="39" spans="2:11" x14ac:dyDescent="0.2">
      <c r="B39" s="593" t="s">
        <v>243</v>
      </c>
      <c r="C39" s="594"/>
      <c r="D39" s="594"/>
      <c r="E39" s="595"/>
      <c r="F39" s="595"/>
      <c r="G39" s="596"/>
      <c r="H39" s="596"/>
      <c r="I39" s="596"/>
      <c r="J39" s="590">
        <f t="shared" si="0"/>
        <v>0</v>
      </c>
      <c r="K39" s="592"/>
    </row>
    <row r="40" spans="2:11" x14ac:dyDescent="0.2">
      <c r="B40" s="593" t="s">
        <v>243</v>
      </c>
      <c r="C40" s="594"/>
      <c r="D40" s="594"/>
      <c r="E40" s="595"/>
      <c r="F40" s="595"/>
      <c r="G40" s="596"/>
      <c r="H40" s="596"/>
      <c r="I40" s="596"/>
      <c r="J40" s="590">
        <f t="shared" si="0"/>
        <v>0</v>
      </c>
      <c r="K40" s="592"/>
    </row>
    <row r="41" spans="2:11" x14ac:dyDescent="0.2">
      <c r="B41" s="593" t="s">
        <v>243</v>
      </c>
      <c r="C41" s="594"/>
      <c r="D41" s="594"/>
      <c r="E41" s="595"/>
      <c r="F41" s="595"/>
      <c r="G41" s="596"/>
      <c r="H41" s="596"/>
      <c r="I41" s="596"/>
      <c r="J41" s="590">
        <f t="shared" si="0"/>
        <v>0</v>
      </c>
      <c r="K41" s="592"/>
    </row>
    <row r="42" spans="2:11" x14ac:dyDescent="0.2">
      <c r="B42" s="593" t="s">
        <v>243</v>
      </c>
      <c r="C42" s="594"/>
      <c r="D42" s="594"/>
      <c r="E42" s="595"/>
      <c r="F42" s="595"/>
      <c r="G42" s="596"/>
      <c r="H42" s="596"/>
      <c r="I42" s="596"/>
      <c r="J42" s="590">
        <f t="shared" si="0"/>
        <v>0</v>
      </c>
      <c r="K42" s="592"/>
    </row>
    <row r="43" spans="2:11" x14ac:dyDescent="0.2">
      <c r="B43" s="593" t="s">
        <v>243</v>
      </c>
      <c r="C43" s="594"/>
      <c r="D43" s="594"/>
      <c r="E43" s="595"/>
      <c r="F43" s="595"/>
      <c r="G43" s="596"/>
      <c r="H43" s="596"/>
      <c r="I43" s="596"/>
      <c r="J43" s="590">
        <f t="shared" si="0"/>
        <v>0</v>
      </c>
      <c r="K43" s="592"/>
    </row>
    <row r="44" spans="2:11" x14ac:dyDescent="0.2">
      <c r="B44" s="593" t="s">
        <v>243</v>
      </c>
      <c r="C44" s="594"/>
      <c r="D44" s="594"/>
      <c r="E44" s="595"/>
      <c r="F44" s="595"/>
      <c r="G44" s="596"/>
      <c r="H44" s="596"/>
      <c r="I44" s="596"/>
      <c r="J44" s="590">
        <f t="shared" si="0"/>
        <v>0</v>
      </c>
      <c r="K44" s="592"/>
    </row>
    <row r="45" spans="2:11" x14ac:dyDescent="0.2">
      <c r="B45" s="593" t="s">
        <v>243</v>
      </c>
      <c r="C45" s="594"/>
      <c r="D45" s="594"/>
      <c r="E45" s="595"/>
      <c r="F45" s="595"/>
      <c r="G45" s="596"/>
      <c r="H45" s="596"/>
      <c r="I45" s="596"/>
      <c r="J45" s="590">
        <f t="shared" si="0"/>
        <v>0</v>
      </c>
      <c r="K45" s="592"/>
    </row>
    <row r="46" spans="2:11" x14ac:dyDescent="0.2">
      <c r="B46" s="593" t="s">
        <v>243</v>
      </c>
      <c r="C46" s="594"/>
      <c r="D46" s="594"/>
      <c r="E46" s="595"/>
      <c r="F46" s="595"/>
      <c r="G46" s="596"/>
      <c r="H46" s="596"/>
      <c r="I46" s="596"/>
      <c r="J46" s="590">
        <f t="shared" si="0"/>
        <v>0</v>
      </c>
      <c r="K46" s="592"/>
    </row>
    <row r="47" spans="2:11" x14ac:dyDescent="0.2">
      <c r="B47" s="593" t="s">
        <v>243</v>
      </c>
      <c r="C47" s="594"/>
      <c r="D47" s="594"/>
      <c r="E47" s="595"/>
      <c r="F47" s="595"/>
      <c r="G47" s="596"/>
      <c r="H47" s="596"/>
      <c r="I47" s="596"/>
      <c r="J47" s="590">
        <f t="shared" si="0"/>
        <v>0</v>
      </c>
      <c r="K47" s="592"/>
    </row>
    <row r="48" spans="2:11" x14ac:dyDescent="0.2">
      <c r="B48" s="593" t="s">
        <v>243</v>
      </c>
      <c r="C48" s="594"/>
      <c r="D48" s="594"/>
      <c r="E48" s="595"/>
      <c r="F48" s="595"/>
      <c r="G48" s="596"/>
      <c r="H48" s="596"/>
      <c r="I48" s="596"/>
      <c r="J48" s="590">
        <f t="shared" si="0"/>
        <v>0</v>
      </c>
      <c r="K48" s="592"/>
    </row>
    <row r="49" spans="2:11" x14ac:dyDescent="0.2">
      <c r="B49" s="593" t="s">
        <v>243</v>
      </c>
      <c r="C49" s="594"/>
      <c r="D49" s="594"/>
      <c r="E49" s="595"/>
      <c r="F49" s="595"/>
      <c r="G49" s="596"/>
      <c r="H49" s="596"/>
      <c r="I49" s="596"/>
      <c r="J49" s="590">
        <f t="shared" si="0"/>
        <v>0</v>
      </c>
      <c r="K49" s="592"/>
    </row>
    <row r="50" spans="2:11" x14ac:dyDescent="0.2">
      <c r="B50" s="593" t="s">
        <v>243</v>
      </c>
      <c r="C50" s="594"/>
      <c r="D50" s="594"/>
      <c r="E50" s="595"/>
      <c r="F50" s="595"/>
      <c r="G50" s="596"/>
      <c r="H50" s="596"/>
      <c r="I50" s="596"/>
      <c r="J50" s="590">
        <f t="shared" si="0"/>
        <v>0</v>
      </c>
      <c r="K50" s="592"/>
    </row>
  </sheetData>
  <mergeCells count="1">
    <mergeCell ref="G8:J8"/>
  </mergeCells>
  <phoneticPr fontId="2" type="noConversion"/>
  <pageMargins left="0.53" right="0.55000000000000004" top="0.5" bottom="0.5" header="0.5" footer="0.5"/>
  <pageSetup orientation="landscape" r:id="rId1"/>
  <headerFooter alignWithMargins="0"/>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7783F7A6-7E84-4CA1-AFC4-5274AB81ADA8}">
          <x14:formula1>
            <xm:f>selection!$BC$17:$BC$24</xm:f>
          </x14:formula1>
          <xm:sqref>C11:C50</xm:sqref>
        </x14:dataValidation>
        <x14:dataValidation type="list" errorStyle="information" allowBlank="1" showInputMessage="1" showErrorMessage="1" error="Not found in schedule 1" xr:uid="{36AC220E-416C-4130-9CCE-BA96A97D7538}">
          <x14:formula1>
            <xm:f>S11cumperf!$A$18:$A$100</xm:f>
          </x14:formula1>
          <xm:sqref>B11:B50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F1552-C451-48E7-8D4E-D87CB41F145E}">
  <sheetPr codeName="Sheet30">
    <tabColor rgb="FFFFFF00"/>
    <outlinePr summaryBelow="0"/>
  </sheetPr>
  <dimension ref="A1:M77"/>
  <sheetViews>
    <sheetView workbookViewId="0">
      <selection activeCell="E11" sqref="E11"/>
    </sheetView>
  </sheetViews>
  <sheetFormatPr defaultColWidth="12.54296875" defaultRowHeight="10" outlineLevelRow="1" x14ac:dyDescent="0.2"/>
  <cols>
    <col min="1" max="1" width="15.453125" style="77" customWidth="1"/>
    <col min="2" max="2" width="9.54296875" style="77" customWidth="1"/>
    <col min="3" max="3" width="44.453125" style="77" customWidth="1"/>
    <col min="4" max="4" width="14.453125" style="77" customWidth="1"/>
    <col min="5" max="5" width="14.1796875" style="77" customWidth="1"/>
    <col min="6" max="6" width="17.453125" style="77" customWidth="1"/>
    <col min="7" max="7" width="16.54296875" style="77" bestFit="1" customWidth="1"/>
    <col min="8" max="8" width="16.7265625" style="77" customWidth="1"/>
    <col min="9" max="10" width="10" style="77" bestFit="1" customWidth="1"/>
    <col min="11" max="12" width="6.453125" style="77" bestFit="1" customWidth="1"/>
    <col min="13" max="13" width="5.81640625" style="77" bestFit="1" customWidth="1"/>
    <col min="14" max="14" width="0" style="77" hidden="1" customWidth="1"/>
    <col min="15" max="15" width="12" style="77" bestFit="1" customWidth="1"/>
    <col min="16" max="255" width="12.54296875" style="77"/>
    <col min="256" max="256" width="4.81640625" style="77" customWidth="1"/>
    <col min="257" max="257" width="19" style="77" customWidth="1"/>
    <col min="258" max="258" width="15.1796875" style="77" customWidth="1"/>
    <col min="259" max="259" width="13.1796875" style="77" customWidth="1"/>
    <col min="260" max="260" width="13.81640625" style="77" customWidth="1"/>
    <col min="261" max="261" width="11.26953125" style="77" customWidth="1"/>
    <col min="262" max="262" width="17.453125" style="77" customWidth="1"/>
    <col min="263" max="263" width="2.7265625" style="77" customWidth="1"/>
    <col min="264" max="264" width="1.54296875" style="77" customWidth="1"/>
    <col min="265" max="268" width="0" style="77" hidden="1" customWidth="1"/>
    <col min="269" max="511" width="12.54296875" style="77"/>
    <col min="512" max="512" width="4.81640625" style="77" customWidth="1"/>
    <col min="513" max="513" width="19" style="77" customWidth="1"/>
    <col min="514" max="514" width="15.1796875" style="77" customWidth="1"/>
    <col min="515" max="515" width="13.1796875" style="77" customWidth="1"/>
    <col min="516" max="516" width="13.81640625" style="77" customWidth="1"/>
    <col min="517" max="517" width="11.26953125" style="77" customWidth="1"/>
    <col min="518" max="518" width="17.453125" style="77" customWidth="1"/>
    <col min="519" max="519" width="2.7265625" style="77" customWidth="1"/>
    <col min="520" max="520" width="1.54296875" style="77" customWidth="1"/>
    <col min="521" max="524" width="0" style="77" hidden="1" customWidth="1"/>
    <col min="525" max="767" width="12.54296875" style="77"/>
    <col min="768" max="768" width="4.81640625" style="77" customWidth="1"/>
    <col min="769" max="769" width="19" style="77" customWidth="1"/>
    <col min="770" max="770" width="15.1796875" style="77" customWidth="1"/>
    <col min="771" max="771" width="13.1796875" style="77" customWidth="1"/>
    <col min="772" max="772" width="13.81640625" style="77" customWidth="1"/>
    <col min="773" max="773" width="11.26953125" style="77" customWidth="1"/>
    <col min="774" max="774" width="17.453125" style="77" customWidth="1"/>
    <col min="775" max="775" width="2.7265625" style="77" customWidth="1"/>
    <col min="776" max="776" width="1.54296875" style="77" customWidth="1"/>
    <col min="777" max="780" width="0" style="77" hidden="1" customWidth="1"/>
    <col min="781" max="1023" width="12.54296875" style="77"/>
    <col min="1024" max="1024" width="4.81640625" style="77" customWidth="1"/>
    <col min="1025" max="1025" width="19" style="77" customWidth="1"/>
    <col min="1026" max="1026" width="15.1796875" style="77" customWidth="1"/>
    <col min="1027" max="1027" width="13.1796875" style="77" customWidth="1"/>
    <col min="1028" max="1028" width="13.81640625" style="77" customWidth="1"/>
    <col min="1029" max="1029" width="11.26953125" style="77" customWidth="1"/>
    <col min="1030" max="1030" width="17.453125" style="77" customWidth="1"/>
    <col min="1031" max="1031" width="2.7265625" style="77" customWidth="1"/>
    <col min="1032" max="1032" width="1.54296875" style="77" customWidth="1"/>
    <col min="1033" max="1036" width="0" style="77" hidden="1" customWidth="1"/>
    <col min="1037" max="1279" width="12.54296875" style="77"/>
    <col min="1280" max="1280" width="4.81640625" style="77" customWidth="1"/>
    <col min="1281" max="1281" width="19" style="77" customWidth="1"/>
    <col min="1282" max="1282" width="15.1796875" style="77" customWidth="1"/>
    <col min="1283" max="1283" width="13.1796875" style="77" customWidth="1"/>
    <col min="1284" max="1284" width="13.81640625" style="77" customWidth="1"/>
    <col min="1285" max="1285" width="11.26953125" style="77" customWidth="1"/>
    <col min="1286" max="1286" width="17.453125" style="77" customWidth="1"/>
    <col min="1287" max="1287" width="2.7265625" style="77" customWidth="1"/>
    <col min="1288" max="1288" width="1.54296875" style="77" customWidth="1"/>
    <col min="1289" max="1292" width="0" style="77" hidden="1" customWidth="1"/>
    <col min="1293" max="1535" width="12.54296875" style="77"/>
    <col min="1536" max="1536" width="4.81640625" style="77" customWidth="1"/>
    <col min="1537" max="1537" width="19" style="77" customWidth="1"/>
    <col min="1538" max="1538" width="15.1796875" style="77" customWidth="1"/>
    <col min="1539" max="1539" width="13.1796875" style="77" customWidth="1"/>
    <col min="1540" max="1540" width="13.81640625" style="77" customWidth="1"/>
    <col min="1541" max="1541" width="11.26953125" style="77" customWidth="1"/>
    <col min="1542" max="1542" width="17.453125" style="77" customWidth="1"/>
    <col min="1543" max="1543" width="2.7265625" style="77" customWidth="1"/>
    <col min="1544" max="1544" width="1.54296875" style="77" customWidth="1"/>
    <col min="1545" max="1548" width="0" style="77" hidden="1" customWidth="1"/>
    <col min="1549" max="1791" width="12.54296875" style="77"/>
    <col min="1792" max="1792" width="4.81640625" style="77" customWidth="1"/>
    <col min="1793" max="1793" width="19" style="77" customWidth="1"/>
    <col min="1794" max="1794" width="15.1796875" style="77" customWidth="1"/>
    <col min="1795" max="1795" width="13.1796875" style="77" customWidth="1"/>
    <col min="1796" max="1796" width="13.81640625" style="77" customWidth="1"/>
    <col min="1797" max="1797" width="11.26953125" style="77" customWidth="1"/>
    <col min="1798" max="1798" width="17.453125" style="77" customWidth="1"/>
    <col min="1799" max="1799" width="2.7265625" style="77" customWidth="1"/>
    <col min="1800" max="1800" width="1.54296875" style="77" customWidth="1"/>
    <col min="1801" max="1804" width="0" style="77" hidden="1" customWidth="1"/>
    <col min="1805" max="2047" width="12.54296875" style="77"/>
    <col min="2048" max="2048" width="4.81640625" style="77" customWidth="1"/>
    <col min="2049" max="2049" width="19" style="77" customWidth="1"/>
    <col min="2050" max="2050" width="15.1796875" style="77" customWidth="1"/>
    <col min="2051" max="2051" width="13.1796875" style="77" customWidth="1"/>
    <col min="2052" max="2052" width="13.81640625" style="77" customWidth="1"/>
    <col min="2053" max="2053" width="11.26953125" style="77" customWidth="1"/>
    <col min="2054" max="2054" width="17.453125" style="77" customWidth="1"/>
    <col min="2055" max="2055" width="2.7265625" style="77" customWidth="1"/>
    <col min="2056" max="2056" width="1.54296875" style="77" customWidth="1"/>
    <col min="2057" max="2060" width="0" style="77" hidden="1" customWidth="1"/>
    <col min="2061" max="2303" width="12.54296875" style="77"/>
    <col min="2304" max="2304" width="4.81640625" style="77" customWidth="1"/>
    <col min="2305" max="2305" width="19" style="77" customWidth="1"/>
    <col min="2306" max="2306" width="15.1796875" style="77" customWidth="1"/>
    <col min="2307" max="2307" width="13.1796875" style="77" customWidth="1"/>
    <col min="2308" max="2308" width="13.81640625" style="77" customWidth="1"/>
    <col min="2309" max="2309" width="11.26953125" style="77" customWidth="1"/>
    <col min="2310" max="2310" width="17.453125" style="77" customWidth="1"/>
    <col min="2311" max="2311" width="2.7265625" style="77" customWidth="1"/>
    <col min="2312" max="2312" width="1.54296875" style="77" customWidth="1"/>
    <col min="2313" max="2316" width="0" style="77" hidden="1" customWidth="1"/>
    <col min="2317" max="2559" width="12.54296875" style="77"/>
    <col min="2560" max="2560" width="4.81640625" style="77" customWidth="1"/>
    <col min="2561" max="2561" width="19" style="77" customWidth="1"/>
    <col min="2562" max="2562" width="15.1796875" style="77" customWidth="1"/>
    <col min="2563" max="2563" width="13.1796875" style="77" customWidth="1"/>
    <col min="2564" max="2564" width="13.81640625" style="77" customWidth="1"/>
    <col min="2565" max="2565" width="11.26953125" style="77" customWidth="1"/>
    <col min="2566" max="2566" width="17.453125" style="77" customWidth="1"/>
    <col min="2567" max="2567" width="2.7265625" style="77" customWidth="1"/>
    <col min="2568" max="2568" width="1.54296875" style="77" customWidth="1"/>
    <col min="2569" max="2572" width="0" style="77" hidden="1" customWidth="1"/>
    <col min="2573" max="2815" width="12.54296875" style="77"/>
    <col min="2816" max="2816" width="4.81640625" style="77" customWidth="1"/>
    <col min="2817" max="2817" width="19" style="77" customWidth="1"/>
    <col min="2818" max="2818" width="15.1796875" style="77" customWidth="1"/>
    <col min="2819" max="2819" width="13.1796875" style="77" customWidth="1"/>
    <col min="2820" max="2820" width="13.81640625" style="77" customWidth="1"/>
    <col min="2821" max="2821" width="11.26953125" style="77" customWidth="1"/>
    <col min="2822" max="2822" width="17.453125" style="77" customWidth="1"/>
    <col min="2823" max="2823" width="2.7265625" style="77" customWidth="1"/>
    <col min="2824" max="2824" width="1.54296875" style="77" customWidth="1"/>
    <col min="2825" max="2828" width="0" style="77" hidden="1" customWidth="1"/>
    <col min="2829" max="3071" width="12.54296875" style="77"/>
    <col min="3072" max="3072" width="4.81640625" style="77" customWidth="1"/>
    <col min="3073" max="3073" width="19" style="77" customWidth="1"/>
    <col min="3074" max="3074" width="15.1796875" style="77" customWidth="1"/>
    <col min="3075" max="3075" width="13.1796875" style="77" customWidth="1"/>
    <col min="3076" max="3076" width="13.81640625" style="77" customWidth="1"/>
    <col min="3077" max="3077" width="11.26953125" style="77" customWidth="1"/>
    <col min="3078" max="3078" width="17.453125" style="77" customWidth="1"/>
    <col min="3079" max="3079" width="2.7265625" style="77" customWidth="1"/>
    <col min="3080" max="3080" width="1.54296875" style="77" customWidth="1"/>
    <col min="3081" max="3084" width="0" style="77" hidden="1" customWidth="1"/>
    <col min="3085" max="3327" width="12.54296875" style="77"/>
    <col min="3328" max="3328" width="4.81640625" style="77" customWidth="1"/>
    <col min="3329" max="3329" width="19" style="77" customWidth="1"/>
    <col min="3330" max="3330" width="15.1796875" style="77" customWidth="1"/>
    <col min="3331" max="3331" width="13.1796875" style="77" customWidth="1"/>
    <col min="3332" max="3332" width="13.81640625" style="77" customWidth="1"/>
    <col min="3333" max="3333" width="11.26953125" style="77" customWidth="1"/>
    <col min="3334" max="3334" width="17.453125" style="77" customWidth="1"/>
    <col min="3335" max="3335" width="2.7265625" style="77" customWidth="1"/>
    <col min="3336" max="3336" width="1.54296875" style="77" customWidth="1"/>
    <col min="3337" max="3340" width="0" style="77" hidden="1" customWidth="1"/>
    <col min="3341" max="3583" width="12.54296875" style="77"/>
    <col min="3584" max="3584" width="4.81640625" style="77" customWidth="1"/>
    <col min="3585" max="3585" width="19" style="77" customWidth="1"/>
    <col min="3586" max="3586" width="15.1796875" style="77" customWidth="1"/>
    <col min="3587" max="3587" width="13.1796875" style="77" customWidth="1"/>
    <col min="3588" max="3588" width="13.81640625" style="77" customWidth="1"/>
    <col min="3589" max="3589" width="11.26953125" style="77" customWidth="1"/>
    <col min="3590" max="3590" width="17.453125" style="77" customWidth="1"/>
    <col min="3591" max="3591" width="2.7265625" style="77" customWidth="1"/>
    <col min="3592" max="3592" width="1.54296875" style="77" customWidth="1"/>
    <col min="3593" max="3596" width="0" style="77" hidden="1" customWidth="1"/>
    <col min="3597" max="3839" width="12.54296875" style="77"/>
    <col min="3840" max="3840" width="4.81640625" style="77" customWidth="1"/>
    <col min="3841" max="3841" width="19" style="77" customWidth="1"/>
    <col min="3842" max="3842" width="15.1796875" style="77" customWidth="1"/>
    <col min="3843" max="3843" width="13.1796875" style="77" customWidth="1"/>
    <col min="3844" max="3844" width="13.81640625" style="77" customWidth="1"/>
    <col min="3845" max="3845" width="11.26953125" style="77" customWidth="1"/>
    <col min="3846" max="3846" width="17.453125" style="77" customWidth="1"/>
    <col min="3847" max="3847" width="2.7265625" style="77" customWidth="1"/>
    <col min="3848" max="3848" width="1.54296875" style="77" customWidth="1"/>
    <col min="3849" max="3852" width="0" style="77" hidden="1" customWidth="1"/>
    <col min="3853" max="4095" width="12.54296875" style="77"/>
    <col min="4096" max="4096" width="4.81640625" style="77" customWidth="1"/>
    <col min="4097" max="4097" width="19" style="77" customWidth="1"/>
    <col min="4098" max="4098" width="15.1796875" style="77" customWidth="1"/>
    <col min="4099" max="4099" width="13.1796875" style="77" customWidth="1"/>
    <col min="4100" max="4100" width="13.81640625" style="77" customWidth="1"/>
    <col min="4101" max="4101" width="11.26953125" style="77" customWidth="1"/>
    <col min="4102" max="4102" width="17.453125" style="77" customWidth="1"/>
    <col min="4103" max="4103" width="2.7265625" style="77" customWidth="1"/>
    <col min="4104" max="4104" width="1.54296875" style="77" customWidth="1"/>
    <col min="4105" max="4108" width="0" style="77" hidden="1" customWidth="1"/>
    <col min="4109" max="4351" width="12.54296875" style="77"/>
    <col min="4352" max="4352" width="4.81640625" style="77" customWidth="1"/>
    <col min="4353" max="4353" width="19" style="77" customWidth="1"/>
    <col min="4354" max="4354" width="15.1796875" style="77" customWidth="1"/>
    <col min="4355" max="4355" width="13.1796875" style="77" customWidth="1"/>
    <col min="4356" max="4356" width="13.81640625" style="77" customWidth="1"/>
    <col min="4357" max="4357" width="11.26953125" style="77" customWidth="1"/>
    <col min="4358" max="4358" width="17.453125" style="77" customWidth="1"/>
    <col min="4359" max="4359" width="2.7265625" style="77" customWidth="1"/>
    <col min="4360" max="4360" width="1.54296875" style="77" customWidth="1"/>
    <col min="4361" max="4364" width="0" style="77" hidden="1" customWidth="1"/>
    <col min="4365" max="4607" width="12.54296875" style="77"/>
    <col min="4608" max="4608" width="4.81640625" style="77" customWidth="1"/>
    <col min="4609" max="4609" width="19" style="77" customWidth="1"/>
    <col min="4610" max="4610" width="15.1796875" style="77" customWidth="1"/>
    <col min="4611" max="4611" width="13.1796875" style="77" customWidth="1"/>
    <col min="4612" max="4612" width="13.81640625" style="77" customWidth="1"/>
    <col min="4613" max="4613" width="11.26953125" style="77" customWidth="1"/>
    <col min="4614" max="4614" width="17.453125" style="77" customWidth="1"/>
    <col min="4615" max="4615" width="2.7265625" style="77" customWidth="1"/>
    <col min="4616" max="4616" width="1.54296875" style="77" customWidth="1"/>
    <col min="4617" max="4620" width="0" style="77" hidden="1" customWidth="1"/>
    <col min="4621" max="4863" width="12.54296875" style="77"/>
    <col min="4864" max="4864" width="4.81640625" style="77" customWidth="1"/>
    <col min="4865" max="4865" width="19" style="77" customWidth="1"/>
    <col min="4866" max="4866" width="15.1796875" style="77" customWidth="1"/>
    <col min="4867" max="4867" width="13.1796875" style="77" customWidth="1"/>
    <col min="4868" max="4868" width="13.81640625" style="77" customWidth="1"/>
    <col min="4869" max="4869" width="11.26953125" style="77" customWidth="1"/>
    <col min="4870" max="4870" width="17.453125" style="77" customWidth="1"/>
    <col min="4871" max="4871" width="2.7265625" style="77" customWidth="1"/>
    <col min="4872" max="4872" width="1.54296875" style="77" customWidth="1"/>
    <col min="4873" max="4876" width="0" style="77" hidden="1" customWidth="1"/>
    <col min="4877" max="5119" width="12.54296875" style="77"/>
    <col min="5120" max="5120" width="4.81640625" style="77" customWidth="1"/>
    <col min="5121" max="5121" width="19" style="77" customWidth="1"/>
    <col min="5122" max="5122" width="15.1796875" style="77" customWidth="1"/>
    <col min="5123" max="5123" width="13.1796875" style="77" customWidth="1"/>
    <col min="5124" max="5124" width="13.81640625" style="77" customWidth="1"/>
    <col min="5125" max="5125" width="11.26953125" style="77" customWidth="1"/>
    <col min="5126" max="5126" width="17.453125" style="77" customWidth="1"/>
    <col min="5127" max="5127" width="2.7265625" style="77" customWidth="1"/>
    <col min="5128" max="5128" width="1.54296875" style="77" customWidth="1"/>
    <col min="5129" max="5132" width="0" style="77" hidden="1" customWidth="1"/>
    <col min="5133" max="5375" width="12.54296875" style="77"/>
    <col min="5376" max="5376" width="4.81640625" style="77" customWidth="1"/>
    <col min="5377" max="5377" width="19" style="77" customWidth="1"/>
    <col min="5378" max="5378" width="15.1796875" style="77" customWidth="1"/>
    <col min="5379" max="5379" width="13.1796875" style="77" customWidth="1"/>
    <col min="5380" max="5380" width="13.81640625" style="77" customWidth="1"/>
    <col min="5381" max="5381" width="11.26953125" style="77" customWidth="1"/>
    <col min="5382" max="5382" width="17.453125" style="77" customWidth="1"/>
    <col min="5383" max="5383" width="2.7265625" style="77" customWidth="1"/>
    <col min="5384" max="5384" width="1.54296875" style="77" customWidth="1"/>
    <col min="5385" max="5388" width="0" style="77" hidden="1" customWidth="1"/>
    <col min="5389" max="5631" width="12.54296875" style="77"/>
    <col min="5632" max="5632" width="4.81640625" style="77" customWidth="1"/>
    <col min="5633" max="5633" width="19" style="77" customWidth="1"/>
    <col min="5634" max="5634" width="15.1796875" style="77" customWidth="1"/>
    <col min="5635" max="5635" width="13.1796875" style="77" customWidth="1"/>
    <col min="5636" max="5636" width="13.81640625" style="77" customWidth="1"/>
    <col min="5637" max="5637" width="11.26953125" style="77" customWidth="1"/>
    <col min="5638" max="5638" width="17.453125" style="77" customWidth="1"/>
    <col min="5639" max="5639" width="2.7265625" style="77" customWidth="1"/>
    <col min="5640" max="5640" width="1.54296875" style="77" customWidth="1"/>
    <col min="5641" max="5644" width="0" style="77" hidden="1" customWidth="1"/>
    <col min="5645" max="5887" width="12.54296875" style="77"/>
    <col min="5888" max="5888" width="4.81640625" style="77" customWidth="1"/>
    <col min="5889" max="5889" width="19" style="77" customWidth="1"/>
    <col min="5890" max="5890" width="15.1796875" style="77" customWidth="1"/>
    <col min="5891" max="5891" width="13.1796875" style="77" customWidth="1"/>
    <col min="5892" max="5892" width="13.81640625" style="77" customWidth="1"/>
    <col min="5893" max="5893" width="11.26953125" style="77" customWidth="1"/>
    <col min="5894" max="5894" width="17.453125" style="77" customWidth="1"/>
    <col min="5895" max="5895" width="2.7265625" style="77" customWidth="1"/>
    <col min="5896" max="5896" width="1.54296875" style="77" customWidth="1"/>
    <col min="5897" max="5900" width="0" style="77" hidden="1" customWidth="1"/>
    <col min="5901" max="6143" width="12.54296875" style="77"/>
    <col min="6144" max="6144" width="4.81640625" style="77" customWidth="1"/>
    <col min="6145" max="6145" width="19" style="77" customWidth="1"/>
    <col min="6146" max="6146" width="15.1796875" style="77" customWidth="1"/>
    <col min="6147" max="6147" width="13.1796875" style="77" customWidth="1"/>
    <col min="6148" max="6148" width="13.81640625" style="77" customWidth="1"/>
    <col min="6149" max="6149" width="11.26953125" style="77" customWidth="1"/>
    <col min="6150" max="6150" width="17.453125" style="77" customWidth="1"/>
    <col min="6151" max="6151" width="2.7265625" style="77" customWidth="1"/>
    <col min="6152" max="6152" width="1.54296875" style="77" customWidth="1"/>
    <col min="6153" max="6156" width="0" style="77" hidden="1" customWidth="1"/>
    <col min="6157" max="6399" width="12.54296875" style="77"/>
    <col min="6400" max="6400" width="4.81640625" style="77" customWidth="1"/>
    <col min="6401" max="6401" width="19" style="77" customWidth="1"/>
    <col min="6402" max="6402" width="15.1796875" style="77" customWidth="1"/>
    <col min="6403" max="6403" width="13.1796875" style="77" customWidth="1"/>
    <col min="6404" max="6404" width="13.81640625" style="77" customWidth="1"/>
    <col min="6405" max="6405" width="11.26953125" style="77" customWidth="1"/>
    <col min="6406" max="6406" width="17.453125" style="77" customWidth="1"/>
    <col min="6407" max="6407" width="2.7265625" style="77" customWidth="1"/>
    <col min="6408" max="6408" width="1.54296875" style="77" customWidth="1"/>
    <col min="6409" max="6412" width="0" style="77" hidden="1" customWidth="1"/>
    <col min="6413" max="6655" width="12.54296875" style="77"/>
    <col min="6656" max="6656" width="4.81640625" style="77" customWidth="1"/>
    <col min="6657" max="6657" width="19" style="77" customWidth="1"/>
    <col min="6658" max="6658" width="15.1796875" style="77" customWidth="1"/>
    <col min="6659" max="6659" width="13.1796875" style="77" customWidth="1"/>
    <col min="6660" max="6660" width="13.81640625" style="77" customWidth="1"/>
    <col min="6661" max="6661" width="11.26953125" style="77" customWidth="1"/>
    <col min="6662" max="6662" width="17.453125" style="77" customWidth="1"/>
    <col min="6663" max="6663" width="2.7265625" style="77" customWidth="1"/>
    <col min="6664" max="6664" width="1.54296875" style="77" customWidth="1"/>
    <col min="6665" max="6668" width="0" style="77" hidden="1" customWidth="1"/>
    <col min="6669" max="6911" width="12.54296875" style="77"/>
    <col min="6912" max="6912" width="4.81640625" style="77" customWidth="1"/>
    <col min="6913" max="6913" width="19" style="77" customWidth="1"/>
    <col min="6914" max="6914" width="15.1796875" style="77" customWidth="1"/>
    <col min="6915" max="6915" width="13.1796875" style="77" customWidth="1"/>
    <col min="6916" max="6916" width="13.81640625" style="77" customWidth="1"/>
    <col min="6917" max="6917" width="11.26953125" style="77" customWidth="1"/>
    <col min="6918" max="6918" width="17.453125" style="77" customWidth="1"/>
    <col min="6919" max="6919" width="2.7265625" style="77" customWidth="1"/>
    <col min="6920" max="6920" width="1.54296875" style="77" customWidth="1"/>
    <col min="6921" max="6924" width="0" style="77" hidden="1" customWidth="1"/>
    <col min="6925" max="7167" width="12.54296875" style="77"/>
    <col min="7168" max="7168" width="4.81640625" style="77" customWidth="1"/>
    <col min="7169" max="7169" width="19" style="77" customWidth="1"/>
    <col min="7170" max="7170" width="15.1796875" style="77" customWidth="1"/>
    <col min="7171" max="7171" width="13.1796875" style="77" customWidth="1"/>
    <col min="7172" max="7172" width="13.81640625" style="77" customWidth="1"/>
    <col min="7173" max="7173" width="11.26953125" style="77" customWidth="1"/>
    <col min="7174" max="7174" width="17.453125" style="77" customWidth="1"/>
    <col min="7175" max="7175" width="2.7265625" style="77" customWidth="1"/>
    <col min="7176" max="7176" width="1.54296875" style="77" customWidth="1"/>
    <col min="7177" max="7180" width="0" style="77" hidden="1" customWidth="1"/>
    <col min="7181" max="7423" width="12.54296875" style="77"/>
    <col min="7424" max="7424" width="4.81640625" style="77" customWidth="1"/>
    <col min="7425" max="7425" width="19" style="77" customWidth="1"/>
    <col min="7426" max="7426" width="15.1796875" style="77" customWidth="1"/>
    <col min="7427" max="7427" width="13.1796875" style="77" customWidth="1"/>
    <col min="7428" max="7428" width="13.81640625" style="77" customWidth="1"/>
    <col min="7429" max="7429" width="11.26953125" style="77" customWidth="1"/>
    <col min="7430" max="7430" width="17.453125" style="77" customWidth="1"/>
    <col min="7431" max="7431" width="2.7265625" style="77" customWidth="1"/>
    <col min="7432" max="7432" width="1.54296875" style="77" customWidth="1"/>
    <col min="7433" max="7436" width="0" style="77" hidden="1" customWidth="1"/>
    <col min="7437" max="7679" width="12.54296875" style="77"/>
    <col min="7680" max="7680" width="4.81640625" style="77" customWidth="1"/>
    <col min="7681" max="7681" width="19" style="77" customWidth="1"/>
    <col min="7682" max="7682" width="15.1796875" style="77" customWidth="1"/>
    <col min="7683" max="7683" width="13.1796875" style="77" customWidth="1"/>
    <col min="7684" max="7684" width="13.81640625" style="77" customWidth="1"/>
    <col min="7685" max="7685" width="11.26953125" style="77" customWidth="1"/>
    <col min="7686" max="7686" width="17.453125" style="77" customWidth="1"/>
    <col min="7687" max="7687" width="2.7265625" style="77" customWidth="1"/>
    <col min="7688" max="7688" width="1.54296875" style="77" customWidth="1"/>
    <col min="7689" max="7692" width="0" style="77" hidden="1" customWidth="1"/>
    <col min="7693" max="7935" width="12.54296875" style="77"/>
    <col min="7936" max="7936" width="4.81640625" style="77" customWidth="1"/>
    <col min="7937" max="7937" width="19" style="77" customWidth="1"/>
    <col min="7938" max="7938" width="15.1796875" style="77" customWidth="1"/>
    <col min="7939" max="7939" width="13.1796875" style="77" customWidth="1"/>
    <col min="7940" max="7940" width="13.81640625" style="77" customWidth="1"/>
    <col min="7941" max="7941" width="11.26953125" style="77" customWidth="1"/>
    <col min="7942" max="7942" width="17.453125" style="77" customWidth="1"/>
    <col min="7943" max="7943" width="2.7265625" style="77" customWidth="1"/>
    <col min="7944" max="7944" width="1.54296875" style="77" customWidth="1"/>
    <col min="7945" max="7948" width="0" style="77" hidden="1" customWidth="1"/>
    <col min="7949" max="8191" width="12.54296875" style="77"/>
    <col min="8192" max="8192" width="4.81640625" style="77" customWidth="1"/>
    <col min="8193" max="8193" width="19" style="77" customWidth="1"/>
    <col min="8194" max="8194" width="15.1796875" style="77" customWidth="1"/>
    <col min="8195" max="8195" width="13.1796875" style="77" customWidth="1"/>
    <col min="8196" max="8196" width="13.81640625" style="77" customWidth="1"/>
    <col min="8197" max="8197" width="11.26953125" style="77" customWidth="1"/>
    <col min="8198" max="8198" width="17.453125" style="77" customWidth="1"/>
    <col min="8199" max="8199" width="2.7265625" style="77" customWidth="1"/>
    <col min="8200" max="8200" width="1.54296875" style="77" customWidth="1"/>
    <col min="8201" max="8204" width="0" style="77" hidden="1" customWidth="1"/>
    <col min="8205" max="8447" width="12.54296875" style="77"/>
    <col min="8448" max="8448" width="4.81640625" style="77" customWidth="1"/>
    <col min="8449" max="8449" width="19" style="77" customWidth="1"/>
    <col min="8450" max="8450" width="15.1796875" style="77" customWidth="1"/>
    <col min="8451" max="8451" width="13.1796875" style="77" customWidth="1"/>
    <col min="8452" max="8452" width="13.81640625" style="77" customWidth="1"/>
    <col min="8453" max="8453" width="11.26953125" style="77" customWidth="1"/>
    <col min="8454" max="8454" width="17.453125" style="77" customWidth="1"/>
    <col min="8455" max="8455" width="2.7265625" style="77" customWidth="1"/>
    <col min="8456" max="8456" width="1.54296875" style="77" customWidth="1"/>
    <col min="8457" max="8460" width="0" style="77" hidden="1" customWidth="1"/>
    <col min="8461" max="8703" width="12.54296875" style="77"/>
    <col min="8704" max="8704" width="4.81640625" style="77" customWidth="1"/>
    <col min="8705" max="8705" width="19" style="77" customWidth="1"/>
    <col min="8706" max="8706" width="15.1796875" style="77" customWidth="1"/>
    <col min="8707" max="8707" width="13.1796875" style="77" customWidth="1"/>
    <col min="8708" max="8708" width="13.81640625" style="77" customWidth="1"/>
    <col min="8709" max="8709" width="11.26953125" style="77" customWidth="1"/>
    <col min="8710" max="8710" width="17.453125" style="77" customWidth="1"/>
    <col min="8711" max="8711" width="2.7265625" style="77" customWidth="1"/>
    <col min="8712" max="8712" width="1.54296875" style="77" customWidth="1"/>
    <col min="8713" max="8716" width="0" style="77" hidden="1" customWidth="1"/>
    <col min="8717" max="8959" width="12.54296875" style="77"/>
    <col min="8960" max="8960" width="4.81640625" style="77" customWidth="1"/>
    <col min="8961" max="8961" width="19" style="77" customWidth="1"/>
    <col min="8962" max="8962" width="15.1796875" style="77" customWidth="1"/>
    <col min="8963" max="8963" width="13.1796875" style="77" customWidth="1"/>
    <col min="8964" max="8964" width="13.81640625" style="77" customWidth="1"/>
    <col min="8965" max="8965" width="11.26953125" style="77" customWidth="1"/>
    <col min="8966" max="8966" width="17.453125" style="77" customWidth="1"/>
    <col min="8967" max="8967" width="2.7265625" style="77" customWidth="1"/>
    <col min="8968" max="8968" width="1.54296875" style="77" customWidth="1"/>
    <col min="8969" max="8972" width="0" style="77" hidden="1" customWidth="1"/>
    <col min="8973" max="9215" width="12.54296875" style="77"/>
    <col min="9216" max="9216" width="4.81640625" style="77" customWidth="1"/>
    <col min="9217" max="9217" width="19" style="77" customWidth="1"/>
    <col min="9218" max="9218" width="15.1796875" style="77" customWidth="1"/>
    <col min="9219" max="9219" width="13.1796875" style="77" customWidth="1"/>
    <col min="9220" max="9220" width="13.81640625" style="77" customWidth="1"/>
    <col min="9221" max="9221" width="11.26953125" style="77" customWidth="1"/>
    <col min="9222" max="9222" width="17.453125" style="77" customWidth="1"/>
    <col min="9223" max="9223" width="2.7265625" style="77" customWidth="1"/>
    <col min="9224" max="9224" width="1.54296875" style="77" customWidth="1"/>
    <col min="9225" max="9228" width="0" style="77" hidden="1" customWidth="1"/>
    <col min="9229" max="9471" width="12.54296875" style="77"/>
    <col min="9472" max="9472" width="4.81640625" style="77" customWidth="1"/>
    <col min="9473" max="9473" width="19" style="77" customWidth="1"/>
    <col min="9474" max="9474" width="15.1796875" style="77" customWidth="1"/>
    <col min="9475" max="9475" width="13.1796875" style="77" customWidth="1"/>
    <col min="9476" max="9476" width="13.81640625" style="77" customWidth="1"/>
    <col min="9477" max="9477" width="11.26953125" style="77" customWidth="1"/>
    <col min="9478" max="9478" width="17.453125" style="77" customWidth="1"/>
    <col min="9479" max="9479" width="2.7265625" style="77" customWidth="1"/>
    <col min="9480" max="9480" width="1.54296875" style="77" customWidth="1"/>
    <col min="9481" max="9484" width="0" style="77" hidden="1" customWidth="1"/>
    <col min="9485" max="9727" width="12.54296875" style="77"/>
    <col min="9728" max="9728" width="4.81640625" style="77" customWidth="1"/>
    <col min="9729" max="9729" width="19" style="77" customWidth="1"/>
    <col min="9730" max="9730" width="15.1796875" style="77" customWidth="1"/>
    <col min="9731" max="9731" width="13.1796875" style="77" customWidth="1"/>
    <col min="9732" max="9732" width="13.81640625" style="77" customWidth="1"/>
    <col min="9733" max="9733" width="11.26953125" style="77" customWidth="1"/>
    <col min="9734" max="9734" width="17.453125" style="77" customWidth="1"/>
    <col min="9735" max="9735" width="2.7265625" style="77" customWidth="1"/>
    <col min="9736" max="9736" width="1.54296875" style="77" customWidth="1"/>
    <col min="9737" max="9740" width="0" style="77" hidden="1" customWidth="1"/>
    <col min="9741" max="9983" width="12.54296875" style="77"/>
    <col min="9984" max="9984" width="4.81640625" style="77" customWidth="1"/>
    <col min="9985" max="9985" width="19" style="77" customWidth="1"/>
    <col min="9986" max="9986" width="15.1796875" style="77" customWidth="1"/>
    <col min="9987" max="9987" width="13.1796875" style="77" customWidth="1"/>
    <col min="9988" max="9988" width="13.81640625" style="77" customWidth="1"/>
    <col min="9989" max="9989" width="11.26953125" style="77" customWidth="1"/>
    <col min="9990" max="9990" width="17.453125" style="77" customWidth="1"/>
    <col min="9991" max="9991" width="2.7265625" style="77" customWidth="1"/>
    <col min="9992" max="9992" width="1.54296875" style="77" customWidth="1"/>
    <col min="9993" max="9996" width="0" style="77" hidden="1" customWidth="1"/>
    <col min="9997" max="10239" width="12.54296875" style="77"/>
    <col min="10240" max="10240" width="4.81640625" style="77" customWidth="1"/>
    <col min="10241" max="10241" width="19" style="77" customWidth="1"/>
    <col min="10242" max="10242" width="15.1796875" style="77" customWidth="1"/>
    <col min="10243" max="10243" width="13.1796875" style="77" customWidth="1"/>
    <col min="10244" max="10244" width="13.81640625" style="77" customWidth="1"/>
    <col min="10245" max="10245" width="11.26953125" style="77" customWidth="1"/>
    <col min="10246" max="10246" width="17.453125" style="77" customWidth="1"/>
    <col min="10247" max="10247" width="2.7265625" style="77" customWidth="1"/>
    <col min="10248" max="10248" width="1.54296875" style="77" customWidth="1"/>
    <col min="10249" max="10252" width="0" style="77" hidden="1" customWidth="1"/>
    <col min="10253" max="10495" width="12.54296875" style="77"/>
    <col min="10496" max="10496" width="4.81640625" style="77" customWidth="1"/>
    <col min="10497" max="10497" width="19" style="77" customWidth="1"/>
    <col min="10498" max="10498" width="15.1796875" style="77" customWidth="1"/>
    <col min="10499" max="10499" width="13.1796875" style="77" customWidth="1"/>
    <col min="10500" max="10500" width="13.81640625" style="77" customWidth="1"/>
    <col min="10501" max="10501" width="11.26953125" style="77" customWidth="1"/>
    <col min="10502" max="10502" width="17.453125" style="77" customWidth="1"/>
    <col min="10503" max="10503" width="2.7265625" style="77" customWidth="1"/>
    <col min="10504" max="10504" width="1.54296875" style="77" customWidth="1"/>
    <col min="10505" max="10508" width="0" style="77" hidden="1" customWidth="1"/>
    <col min="10509" max="10751" width="12.54296875" style="77"/>
    <col min="10752" max="10752" width="4.81640625" style="77" customWidth="1"/>
    <col min="10753" max="10753" width="19" style="77" customWidth="1"/>
    <col min="10754" max="10754" width="15.1796875" style="77" customWidth="1"/>
    <col min="10755" max="10755" width="13.1796875" style="77" customWidth="1"/>
    <col min="10756" max="10756" width="13.81640625" style="77" customWidth="1"/>
    <col min="10757" max="10757" width="11.26953125" style="77" customWidth="1"/>
    <col min="10758" max="10758" width="17.453125" style="77" customWidth="1"/>
    <col min="10759" max="10759" width="2.7265625" style="77" customWidth="1"/>
    <col min="10760" max="10760" width="1.54296875" style="77" customWidth="1"/>
    <col min="10761" max="10764" width="0" style="77" hidden="1" customWidth="1"/>
    <col min="10765" max="11007" width="12.54296875" style="77"/>
    <col min="11008" max="11008" width="4.81640625" style="77" customWidth="1"/>
    <col min="11009" max="11009" width="19" style="77" customWidth="1"/>
    <col min="11010" max="11010" width="15.1796875" style="77" customWidth="1"/>
    <col min="11011" max="11011" width="13.1796875" style="77" customWidth="1"/>
    <col min="11012" max="11012" width="13.81640625" style="77" customWidth="1"/>
    <col min="11013" max="11013" width="11.26953125" style="77" customWidth="1"/>
    <col min="11014" max="11014" width="17.453125" style="77" customWidth="1"/>
    <col min="11015" max="11015" width="2.7265625" style="77" customWidth="1"/>
    <col min="11016" max="11016" width="1.54296875" style="77" customWidth="1"/>
    <col min="11017" max="11020" width="0" style="77" hidden="1" customWidth="1"/>
    <col min="11021" max="11263" width="12.54296875" style="77"/>
    <col min="11264" max="11264" width="4.81640625" style="77" customWidth="1"/>
    <col min="11265" max="11265" width="19" style="77" customWidth="1"/>
    <col min="11266" max="11266" width="15.1796875" style="77" customWidth="1"/>
    <col min="11267" max="11267" width="13.1796875" style="77" customWidth="1"/>
    <col min="11268" max="11268" width="13.81640625" style="77" customWidth="1"/>
    <col min="11269" max="11269" width="11.26953125" style="77" customWidth="1"/>
    <col min="11270" max="11270" width="17.453125" style="77" customWidth="1"/>
    <col min="11271" max="11271" width="2.7265625" style="77" customWidth="1"/>
    <col min="11272" max="11272" width="1.54296875" style="77" customWidth="1"/>
    <col min="11273" max="11276" width="0" style="77" hidden="1" customWidth="1"/>
    <col min="11277" max="11519" width="12.54296875" style="77"/>
    <col min="11520" max="11520" width="4.81640625" style="77" customWidth="1"/>
    <col min="11521" max="11521" width="19" style="77" customWidth="1"/>
    <col min="11522" max="11522" width="15.1796875" style="77" customWidth="1"/>
    <col min="11523" max="11523" width="13.1796875" style="77" customWidth="1"/>
    <col min="11524" max="11524" width="13.81640625" style="77" customWidth="1"/>
    <col min="11525" max="11525" width="11.26953125" style="77" customWidth="1"/>
    <col min="11526" max="11526" width="17.453125" style="77" customWidth="1"/>
    <col min="11527" max="11527" width="2.7265625" style="77" customWidth="1"/>
    <col min="11528" max="11528" width="1.54296875" style="77" customWidth="1"/>
    <col min="11529" max="11532" width="0" style="77" hidden="1" customWidth="1"/>
    <col min="11533" max="11775" width="12.54296875" style="77"/>
    <col min="11776" max="11776" width="4.81640625" style="77" customWidth="1"/>
    <col min="11777" max="11777" width="19" style="77" customWidth="1"/>
    <col min="11778" max="11778" width="15.1796875" style="77" customWidth="1"/>
    <col min="11779" max="11779" width="13.1796875" style="77" customWidth="1"/>
    <col min="11780" max="11780" width="13.81640625" style="77" customWidth="1"/>
    <col min="11781" max="11781" width="11.26953125" style="77" customWidth="1"/>
    <col min="11782" max="11782" width="17.453125" style="77" customWidth="1"/>
    <col min="11783" max="11783" width="2.7265625" style="77" customWidth="1"/>
    <col min="11784" max="11784" width="1.54296875" style="77" customWidth="1"/>
    <col min="11785" max="11788" width="0" style="77" hidden="1" customWidth="1"/>
    <col min="11789" max="12031" width="12.54296875" style="77"/>
    <col min="12032" max="12032" width="4.81640625" style="77" customWidth="1"/>
    <col min="12033" max="12033" width="19" style="77" customWidth="1"/>
    <col min="12034" max="12034" width="15.1796875" style="77" customWidth="1"/>
    <col min="12035" max="12035" width="13.1796875" style="77" customWidth="1"/>
    <col min="12036" max="12036" width="13.81640625" style="77" customWidth="1"/>
    <col min="12037" max="12037" width="11.26953125" style="77" customWidth="1"/>
    <col min="12038" max="12038" width="17.453125" style="77" customWidth="1"/>
    <col min="12039" max="12039" width="2.7265625" style="77" customWidth="1"/>
    <col min="12040" max="12040" width="1.54296875" style="77" customWidth="1"/>
    <col min="12041" max="12044" width="0" style="77" hidden="1" customWidth="1"/>
    <col min="12045" max="12287" width="12.54296875" style="77"/>
    <col min="12288" max="12288" width="4.81640625" style="77" customWidth="1"/>
    <col min="12289" max="12289" width="19" style="77" customWidth="1"/>
    <col min="12290" max="12290" width="15.1796875" style="77" customWidth="1"/>
    <col min="12291" max="12291" width="13.1796875" style="77" customWidth="1"/>
    <col min="12292" max="12292" width="13.81640625" style="77" customWidth="1"/>
    <col min="12293" max="12293" width="11.26953125" style="77" customWidth="1"/>
    <col min="12294" max="12294" width="17.453125" style="77" customWidth="1"/>
    <col min="12295" max="12295" width="2.7265625" style="77" customWidth="1"/>
    <col min="12296" max="12296" width="1.54296875" style="77" customWidth="1"/>
    <col min="12297" max="12300" width="0" style="77" hidden="1" customWidth="1"/>
    <col min="12301" max="12543" width="12.54296875" style="77"/>
    <col min="12544" max="12544" width="4.81640625" style="77" customWidth="1"/>
    <col min="12545" max="12545" width="19" style="77" customWidth="1"/>
    <col min="12546" max="12546" width="15.1796875" style="77" customWidth="1"/>
    <col min="12547" max="12547" width="13.1796875" style="77" customWidth="1"/>
    <col min="12548" max="12548" width="13.81640625" style="77" customWidth="1"/>
    <col min="12549" max="12549" width="11.26953125" style="77" customWidth="1"/>
    <col min="12550" max="12550" width="17.453125" style="77" customWidth="1"/>
    <col min="12551" max="12551" width="2.7265625" style="77" customWidth="1"/>
    <col min="12552" max="12552" width="1.54296875" style="77" customWidth="1"/>
    <col min="12553" max="12556" width="0" style="77" hidden="1" customWidth="1"/>
    <col min="12557" max="12799" width="12.54296875" style="77"/>
    <col min="12800" max="12800" width="4.81640625" style="77" customWidth="1"/>
    <col min="12801" max="12801" width="19" style="77" customWidth="1"/>
    <col min="12802" max="12802" width="15.1796875" style="77" customWidth="1"/>
    <col min="12803" max="12803" width="13.1796875" style="77" customWidth="1"/>
    <col min="12804" max="12804" width="13.81640625" style="77" customWidth="1"/>
    <col min="12805" max="12805" width="11.26953125" style="77" customWidth="1"/>
    <col min="12806" max="12806" width="17.453125" style="77" customWidth="1"/>
    <col min="12807" max="12807" width="2.7265625" style="77" customWidth="1"/>
    <col min="12808" max="12808" width="1.54296875" style="77" customWidth="1"/>
    <col min="12809" max="12812" width="0" style="77" hidden="1" customWidth="1"/>
    <col min="12813" max="13055" width="12.54296875" style="77"/>
    <col min="13056" max="13056" width="4.81640625" style="77" customWidth="1"/>
    <col min="13057" max="13057" width="19" style="77" customWidth="1"/>
    <col min="13058" max="13058" width="15.1796875" style="77" customWidth="1"/>
    <col min="13059" max="13059" width="13.1796875" style="77" customWidth="1"/>
    <col min="13060" max="13060" width="13.81640625" style="77" customWidth="1"/>
    <col min="13061" max="13061" width="11.26953125" style="77" customWidth="1"/>
    <col min="13062" max="13062" width="17.453125" style="77" customWidth="1"/>
    <col min="13063" max="13063" width="2.7265625" style="77" customWidth="1"/>
    <col min="13064" max="13064" width="1.54296875" style="77" customWidth="1"/>
    <col min="13065" max="13068" width="0" style="77" hidden="1" customWidth="1"/>
    <col min="13069" max="13311" width="12.54296875" style="77"/>
    <col min="13312" max="13312" width="4.81640625" style="77" customWidth="1"/>
    <col min="13313" max="13313" width="19" style="77" customWidth="1"/>
    <col min="13314" max="13314" width="15.1796875" style="77" customWidth="1"/>
    <col min="13315" max="13315" width="13.1796875" style="77" customWidth="1"/>
    <col min="13316" max="13316" width="13.81640625" style="77" customWidth="1"/>
    <col min="13317" max="13317" width="11.26953125" style="77" customWidth="1"/>
    <col min="13318" max="13318" width="17.453125" style="77" customWidth="1"/>
    <col min="13319" max="13319" width="2.7265625" style="77" customWidth="1"/>
    <col min="13320" max="13320" width="1.54296875" style="77" customWidth="1"/>
    <col min="13321" max="13324" width="0" style="77" hidden="1" customWidth="1"/>
    <col min="13325" max="13567" width="12.54296875" style="77"/>
    <col min="13568" max="13568" width="4.81640625" style="77" customWidth="1"/>
    <col min="13569" max="13569" width="19" style="77" customWidth="1"/>
    <col min="13570" max="13570" width="15.1796875" style="77" customWidth="1"/>
    <col min="13571" max="13571" width="13.1796875" style="77" customWidth="1"/>
    <col min="13572" max="13572" width="13.81640625" style="77" customWidth="1"/>
    <col min="13573" max="13573" width="11.26953125" style="77" customWidth="1"/>
    <col min="13574" max="13574" width="17.453125" style="77" customWidth="1"/>
    <col min="13575" max="13575" width="2.7265625" style="77" customWidth="1"/>
    <col min="13576" max="13576" width="1.54296875" style="77" customWidth="1"/>
    <col min="13577" max="13580" width="0" style="77" hidden="1" customWidth="1"/>
    <col min="13581" max="13823" width="12.54296875" style="77"/>
    <col min="13824" max="13824" width="4.81640625" style="77" customWidth="1"/>
    <col min="13825" max="13825" width="19" style="77" customWidth="1"/>
    <col min="13826" max="13826" width="15.1796875" style="77" customWidth="1"/>
    <col min="13827" max="13827" width="13.1796875" style="77" customWidth="1"/>
    <col min="13828" max="13828" width="13.81640625" style="77" customWidth="1"/>
    <col min="13829" max="13829" width="11.26953125" style="77" customWidth="1"/>
    <col min="13830" max="13830" width="17.453125" style="77" customWidth="1"/>
    <col min="13831" max="13831" width="2.7265625" style="77" customWidth="1"/>
    <col min="13832" max="13832" width="1.54296875" style="77" customWidth="1"/>
    <col min="13833" max="13836" width="0" style="77" hidden="1" customWidth="1"/>
    <col min="13837" max="14079" width="12.54296875" style="77"/>
    <col min="14080" max="14080" width="4.81640625" style="77" customWidth="1"/>
    <col min="14081" max="14081" width="19" style="77" customWidth="1"/>
    <col min="14082" max="14082" width="15.1796875" style="77" customWidth="1"/>
    <col min="14083" max="14083" width="13.1796875" style="77" customWidth="1"/>
    <col min="14084" max="14084" width="13.81640625" style="77" customWidth="1"/>
    <col min="14085" max="14085" width="11.26953125" style="77" customWidth="1"/>
    <col min="14086" max="14086" width="17.453125" style="77" customWidth="1"/>
    <col min="14087" max="14087" width="2.7265625" style="77" customWidth="1"/>
    <col min="14088" max="14088" width="1.54296875" style="77" customWidth="1"/>
    <col min="14089" max="14092" width="0" style="77" hidden="1" customWidth="1"/>
    <col min="14093" max="14335" width="12.54296875" style="77"/>
    <col min="14336" max="14336" width="4.81640625" style="77" customWidth="1"/>
    <col min="14337" max="14337" width="19" style="77" customWidth="1"/>
    <col min="14338" max="14338" width="15.1796875" style="77" customWidth="1"/>
    <col min="14339" max="14339" width="13.1796875" style="77" customWidth="1"/>
    <col min="14340" max="14340" width="13.81640625" style="77" customWidth="1"/>
    <col min="14341" max="14341" width="11.26953125" style="77" customWidth="1"/>
    <col min="14342" max="14342" width="17.453125" style="77" customWidth="1"/>
    <col min="14343" max="14343" width="2.7265625" style="77" customWidth="1"/>
    <col min="14344" max="14344" width="1.54296875" style="77" customWidth="1"/>
    <col min="14345" max="14348" width="0" style="77" hidden="1" customWidth="1"/>
    <col min="14349" max="14591" width="12.54296875" style="77"/>
    <col min="14592" max="14592" width="4.81640625" style="77" customWidth="1"/>
    <col min="14593" max="14593" width="19" style="77" customWidth="1"/>
    <col min="14594" max="14594" width="15.1796875" style="77" customWidth="1"/>
    <col min="14595" max="14595" width="13.1796875" style="77" customWidth="1"/>
    <col min="14596" max="14596" width="13.81640625" style="77" customWidth="1"/>
    <col min="14597" max="14597" width="11.26953125" style="77" customWidth="1"/>
    <col min="14598" max="14598" width="17.453125" style="77" customWidth="1"/>
    <col min="14599" max="14599" width="2.7265625" style="77" customWidth="1"/>
    <col min="14600" max="14600" width="1.54296875" style="77" customWidth="1"/>
    <col min="14601" max="14604" width="0" style="77" hidden="1" customWidth="1"/>
    <col min="14605" max="14847" width="12.54296875" style="77"/>
    <col min="14848" max="14848" width="4.81640625" style="77" customWidth="1"/>
    <col min="14849" max="14849" width="19" style="77" customWidth="1"/>
    <col min="14850" max="14850" width="15.1796875" style="77" customWidth="1"/>
    <col min="14851" max="14851" width="13.1796875" style="77" customWidth="1"/>
    <col min="14852" max="14852" width="13.81640625" style="77" customWidth="1"/>
    <col min="14853" max="14853" width="11.26953125" style="77" customWidth="1"/>
    <col min="14854" max="14854" width="17.453125" style="77" customWidth="1"/>
    <col min="14855" max="14855" width="2.7265625" style="77" customWidth="1"/>
    <col min="14856" max="14856" width="1.54296875" style="77" customWidth="1"/>
    <col min="14857" max="14860" width="0" style="77" hidden="1" customWidth="1"/>
    <col min="14861" max="15103" width="12.54296875" style="77"/>
    <col min="15104" max="15104" width="4.81640625" style="77" customWidth="1"/>
    <col min="15105" max="15105" width="19" style="77" customWidth="1"/>
    <col min="15106" max="15106" width="15.1796875" style="77" customWidth="1"/>
    <col min="15107" max="15107" width="13.1796875" style="77" customWidth="1"/>
    <col min="15108" max="15108" width="13.81640625" style="77" customWidth="1"/>
    <col min="15109" max="15109" width="11.26953125" style="77" customWidth="1"/>
    <col min="15110" max="15110" width="17.453125" style="77" customWidth="1"/>
    <col min="15111" max="15111" width="2.7265625" style="77" customWidth="1"/>
    <col min="15112" max="15112" width="1.54296875" style="77" customWidth="1"/>
    <col min="15113" max="15116" width="0" style="77" hidden="1" customWidth="1"/>
    <col min="15117" max="15359" width="12.54296875" style="77"/>
    <col min="15360" max="15360" width="4.81640625" style="77" customWidth="1"/>
    <col min="15361" max="15361" width="19" style="77" customWidth="1"/>
    <col min="15362" max="15362" width="15.1796875" style="77" customWidth="1"/>
    <col min="15363" max="15363" width="13.1796875" style="77" customWidth="1"/>
    <col min="15364" max="15364" width="13.81640625" style="77" customWidth="1"/>
    <col min="15365" max="15365" width="11.26953125" style="77" customWidth="1"/>
    <col min="15366" max="15366" width="17.453125" style="77" customWidth="1"/>
    <col min="15367" max="15367" width="2.7265625" style="77" customWidth="1"/>
    <col min="15368" max="15368" width="1.54296875" style="77" customWidth="1"/>
    <col min="15369" max="15372" width="0" style="77" hidden="1" customWidth="1"/>
    <col min="15373" max="15615" width="12.54296875" style="77"/>
    <col min="15616" max="15616" width="4.81640625" style="77" customWidth="1"/>
    <col min="15617" max="15617" width="19" style="77" customWidth="1"/>
    <col min="15618" max="15618" width="15.1796875" style="77" customWidth="1"/>
    <col min="15619" max="15619" width="13.1796875" style="77" customWidth="1"/>
    <col min="15620" max="15620" width="13.81640625" style="77" customWidth="1"/>
    <col min="15621" max="15621" width="11.26953125" style="77" customWidth="1"/>
    <col min="15622" max="15622" width="17.453125" style="77" customWidth="1"/>
    <col min="15623" max="15623" width="2.7265625" style="77" customWidth="1"/>
    <col min="15624" max="15624" width="1.54296875" style="77" customWidth="1"/>
    <col min="15625" max="15628" width="0" style="77" hidden="1" customWidth="1"/>
    <col min="15629" max="15871" width="12.54296875" style="77"/>
    <col min="15872" max="15872" width="4.81640625" style="77" customWidth="1"/>
    <col min="15873" max="15873" width="19" style="77" customWidth="1"/>
    <col min="15874" max="15874" width="15.1796875" style="77" customWidth="1"/>
    <col min="15875" max="15875" width="13.1796875" style="77" customWidth="1"/>
    <col min="15876" max="15876" width="13.81640625" style="77" customWidth="1"/>
    <col min="15877" max="15877" width="11.26953125" style="77" customWidth="1"/>
    <col min="15878" max="15878" width="17.453125" style="77" customWidth="1"/>
    <col min="15879" max="15879" width="2.7265625" style="77" customWidth="1"/>
    <col min="15880" max="15880" width="1.54296875" style="77" customWidth="1"/>
    <col min="15881" max="15884" width="0" style="77" hidden="1" customWidth="1"/>
    <col min="15885" max="16127" width="12.54296875" style="77"/>
    <col min="16128" max="16128" width="4.81640625" style="77" customWidth="1"/>
    <col min="16129" max="16129" width="19" style="77" customWidth="1"/>
    <col min="16130" max="16130" width="15.1796875" style="77" customWidth="1"/>
    <col min="16131" max="16131" width="13.1796875" style="77" customWidth="1"/>
    <col min="16132" max="16132" width="13.81640625" style="77" customWidth="1"/>
    <col min="16133" max="16133" width="11.26953125" style="77" customWidth="1"/>
    <col min="16134" max="16134" width="17.453125" style="77" customWidth="1"/>
    <col min="16135" max="16135" width="2.7265625" style="77" customWidth="1"/>
    <col min="16136" max="16136" width="1.54296875" style="77" customWidth="1"/>
    <col min="16137" max="16140" width="0" style="77" hidden="1" customWidth="1"/>
    <col min="16141" max="16384" width="12.54296875" style="77"/>
  </cols>
  <sheetData>
    <row r="1" spans="1:7" x14ac:dyDescent="0.2">
      <c r="A1" s="73"/>
      <c r="B1" s="74"/>
      <c r="C1" s="244"/>
      <c r="D1" s="303" t="s">
        <v>2362</v>
      </c>
      <c r="E1" s="350"/>
      <c r="F1" s="350"/>
      <c r="G1" s="76" t="str">
        <f>'1-Cover'!$G$1</f>
        <v>OMB Approval No. 3245-0063</v>
      </c>
    </row>
    <row r="2" spans="1:7" x14ac:dyDescent="0.2">
      <c r="A2" s="328"/>
      <c r="C2" s="242"/>
      <c r="D2" s="329" t="str">
        <f>"Based on Form 468 entries for period ended: "&amp;TEXT(Form468Date,"MM/DD/YYYY")</f>
        <v>Based on Form 468 entries for period ended: 01/00/1900</v>
      </c>
      <c r="E2" s="242"/>
      <c r="F2" s="242"/>
      <c r="G2" s="80" t="str">
        <f>'1-Cover'!$G$2</f>
        <v>Expiration Date MM/DD/YYYY</v>
      </c>
    </row>
    <row r="3" spans="1:7" x14ac:dyDescent="0.2">
      <c r="A3" s="330"/>
      <c r="B3" s="82"/>
      <c r="C3" s="331"/>
      <c r="E3" s="380"/>
      <c r="F3" s="331"/>
      <c r="G3" s="331"/>
    </row>
    <row r="4" spans="1:7" x14ac:dyDescent="0.2">
      <c r="A4" s="121" t="str">
        <f>"Name of License:  "&amp;sbicname</f>
        <v xml:space="preserve">Name of License:  </v>
      </c>
      <c r="B4" s="122">
        <f>WDSupB!C4</f>
        <v>0</v>
      </c>
      <c r="C4" s="140"/>
      <c r="D4" s="140"/>
      <c r="E4" s="140"/>
      <c r="F4" s="140"/>
      <c r="G4" s="123" t="str">
        <f>"License no.:  "&amp;TEXT(licenseno,"00\/00\-0000")</f>
        <v>License no.:  00/00-0000</v>
      </c>
    </row>
    <row r="5" spans="1:7" ht="26.5" customHeight="1" thickBot="1" x14ac:dyDescent="0.25">
      <c r="A5" s="598" t="s">
        <v>2363</v>
      </c>
    </row>
    <row r="6" spans="1:7" ht="10.5" thickBot="1" x14ac:dyDescent="0.25">
      <c r="A6" s="486" t="s">
        <v>2364</v>
      </c>
      <c r="G6" s="599" t="str">
        <f>"LCR = "&amp;TEXT(G18,"0.00")</f>
        <v xml:space="preserve">LCR = </v>
      </c>
    </row>
    <row r="7" spans="1:7" outlineLevel="1" x14ac:dyDescent="0.2">
      <c r="A7" s="486"/>
    </row>
    <row r="8" spans="1:7" outlineLevel="1" x14ac:dyDescent="0.2">
      <c r="A8" s="486"/>
      <c r="B8" s="77" t="s">
        <v>2365</v>
      </c>
      <c r="G8" s="600">
        <f>cysbabal</f>
        <v>0</v>
      </c>
    </row>
    <row r="9" spans="1:7" outlineLevel="1" x14ac:dyDescent="0.2">
      <c r="A9" s="486"/>
      <c r="B9" s="77" t="s">
        <v>2366</v>
      </c>
    </row>
    <row r="10" spans="1:7" outlineLevel="1" x14ac:dyDescent="0.2">
      <c r="A10" s="486"/>
    </row>
    <row r="11" spans="1:7" outlineLevel="1" x14ac:dyDescent="0.2">
      <c r="A11" s="486"/>
      <c r="B11" s="601" t="s">
        <v>2367</v>
      </c>
      <c r="C11" s="145" t="s">
        <v>2368</v>
      </c>
      <c r="G11" s="600">
        <f>cytotalassets</f>
        <v>0</v>
      </c>
    </row>
    <row r="12" spans="1:7" outlineLevel="1" x14ac:dyDescent="0.2">
      <c r="A12" s="486"/>
      <c r="B12" s="601" t="s">
        <v>2369</v>
      </c>
      <c r="C12" s="77" t="s">
        <v>2370</v>
      </c>
      <c r="G12" s="600">
        <f>cyotherassets</f>
        <v>0</v>
      </c>
    </row>
    <row r="13" spans="1:7" ht="11.5" outlineLevel="1" x14ac:dyDescent="0.35">
      <c r="B13" s="602" t="s">
        <v>2369</v>
      </c>
      <c r="C13" s="603" t="s">
        <v>2371</v>
      </c>
      <c r="D13" s="603"/>
      <c r="E13" s="603"/>
      <c r="F13" s="603"/>
      <c r="G13" s="604">
        <f>cytotalliab</f>
        <v>0</v>
      </c>
    </row>
    <row r="14" spans="1:7" outlineLevel="1" x14ac:dyDescent="0.2">
      <c r="B14" s="601"/>
      <c r="C14" s="77" t="s">
        <v>2372</v>
      </c>
      <c r="G14" s="600">
        <f>G11-G12-G13</f>
        <v>0</v>
      </c>
    </row>
    <row r="15" spans="1:7" outlineLevel="1" x14ac:dyDescent="0.2">
      <c r="B15" s="601" t="s">
        <v>2367</v>
      </c>
      <c r="C15" s="77" t="s">
        <v>2373</v>
      </c>
      <c r="G15" s="600">
        <f>cysbabal</f>
        <v>0</v>
      </c>
    </row>
    <row r="16" spans="1:7" outlineLevel="1" x14ac:dyDescent="0.2">
      <c r="B16" s="601" t="s">
        <v>2367</v>
      </c>
      <c r="C16" s="605" t="s">
        <v>2374</v>
      </c>
      <c r="D16" s="605"/>
      <c r="E16" s="605"/>
      <c r="F16" s="605"/>
      <c r="G16" s="606">
        <f>PI_UnfundCommit</f>
        <v>0</v>
      </c>
    </row>
    <row r="17" spans="1:7" ht="10.5" outlineLevel="1" thickBot="1" x14ac:dyDescent="0.25">
      <c r="B17" s="607"/>
      <c r="C17" s="77" t="s">
        <v>2375</v>
      </c>
      <c r="G17" s="600">
        <f>NetAssetValue+G15+G16</f>
        <v>0</v>
      </c>
    </row>
    <row r="18" spans="1:7" ht="10.5" outlineLevel="1" thickBot="1" x14ac:dyDescent="0.25">
      <c r="B18" s="608" t="s">
        <v>2376</v>
      </c>
      <c r="G18" s="609" t="str">
        <f>IFERROR(ROUND(G17/G8,2),"")</f>
        <v/>
      </c>
    </row>
    <row r="19" spans="1:7" outlineLevel="1" x14ac:dyDescent="0.2">
      <c r="B19" s="607"/>
    </row>
    <row r="20" spans="1:7" ht="10.5" thickBot="1" x14ac:dyDescent="0.25">
      <c r="B20" s="607"/>
    </row>
    <row r="21" spans="1:7" ht="10.5" collapsed="1" thickBot="1" x14ac:dyDescent="0.25">
      <c r="A21" s="486" t="s">
        <v>2377</v>
      </c>
      <c r="B21" s="607"/>
      <c r="D21" s="836" t="str">
        <f>"CIP =  "&amp;TEXT(G59,"0.0%")&amp;"  Max CIP:  "&amp;TEXT(G77,"0.0%") &amp;"  |  "&amp;IF(G59&gt;G77,"CAPITAL IMPAIRMENT PERCENTAGE EXCEEDS MAXIMUM","Within permissible maximum CIP")</f>
        <v>CIP =  0.0%  Max CIP:  0.0%  |  Within permissible maximum CIP</v>
      </c>
      <c r="E21" s="837"/>
      <c r="F21" s="837"/>
      <c r="G21" s="838"/>
    </row>
    <row r="22" spans="1:7" hidden="1" outlineLevel="1" x14ac:dyDescent="0.2">
      <c r="B22" s="607"/>
    </row>
    <row r="23" spans="1:7" hidden="1" outlineLevel="1" x14ac:dyDescent="0.2">
      <c r="B23" s="77" t="s">
        <v>2378</v>
      </c>
      <c r="C23" s="77" t="s">
        <v>2379</v>
      </c>
    </row>
    <row r="24" spans="1:7" hidden="1" outlineLevel="1" x14ac:dyDescent="0.2">
      <c r="B24" s="77">
        <v>1</v>
      </c>
      <c r="C24" s="77" t="s">
        <v>2380</v>
      </c>
      <c r="G24" s="600">
        <f>cy_UNRE</f>
        <v>0</v>
      </c>
    </row>
    <row r="25" spans="1:7" hidden="1" outlineLevel="1" x14ac:dyDescent="0.2">
      <c r="B25" s="77">
        <f>B24+1</f>
        <v>2</v>
      </c>
      <c r="C25" s="77" t="s">
        <v>2381</v>
      </c>
      <c r="G25" s="600">
        <f>s3NC_includibleNC</f>
        <v>0</v>
      </c>
    </row>
    <row r="26" spans="1:7" hidden="1" outlineLevel="1" x14ac:dyDescent="0.2">
      <c r="B26" s="77">
        <f>B25+1</f>
        <v>3</v>
      </c>
      <c r="C26" s="77" t="s">
        <v>2382</v>
      </c>
      <c r="G26" s="600">
        <f>G24+G25</f>
        <v>0</v>
      </c>
    </row>
    <row r="27" spans="1:7" hidden="1" outlineLevel="1" x14ac:dyDescent="0.2">
      <c r="B27" s="77">
        <f>B26+1</f>
        <v>4</v>
      </c>
      <c r="C27" s="77" t="s">
        <v>2383</v>
      </c>
      <c r="G27" s="600">
        <f>cy_unrealgainloss</f>
        <v>0</v>
      </c>
    </row>
    <row r="28" spans="1:7" ht="6.75" hidden="1" customHeight="1" outlineLevel="1" x14ac:dyDescent="0.2"/>
    <row r="29" spans="1:7" hidden="1" outlineLevel="1" x14ac:dyDescent="0.2">
      <c r="C29" s="610" t="str">
        <f>IF(AND(G26&gt;=0,G27&gt;=0),"STOP -- Capital Impairment % = 0.  No further calculations are required.",IF(G27&gt;0,"Continue with Section B to assess impact of unrealized gains on CIP.","No unrealized gains; continue with Section C."))</f>
        <v>STOP -- Capital Impairment % = 0.  No further calculations are required.</v>
      </c>
    </row>
    <row r="30" spans="1:7" hidden="1" outlineLevel="1" x14ac:dyDescent="0.2"/>
    <row r="31" spans="1:7" hidden="1" outlineLevel="1" x14ac:dyDescent="0.2">
      <c r="B31" s="77" t="s">
        <v>2384</v>
      </c>
      <c r="C31" s="77" t="s">
        <v>2385</v>
      </c>
    </row>
    <row r="32" spans="1:7" hidden="1" outlineLevel="1" x14ac:dyDescent="0.2"/>
    <row r="33" spans="2:7" hidden="1" outlineLevel="1" x14ac:dyDescent="0.2">
      <c r="C33" s="77" t="s">
        <v>2386</v>
      </c>
    </row>
    <row r="34" spans="2:7" hidden="1" outlineLevel="1" x14ac:dyDescent="0.2">
      <c r="B34" s="77">
        <f>B27+1</f>
        <v>5</v>
      </c>
      <c r="C34" s="77" t="s">
        <v>2387</v>
      </c>
      <c r="G34" s="600">
        <f>S1_Class1Total</f>
        <v>0</v>
      </c>
    </row>
    <row r="35" spans="2:7" ht="14.5" hidden="1" customHeight="1" outlineLevel="1" x14ac:dyDescent="0.2">
      <c r="B35" s="77">
        <f>B34+1</f>
        <v>6</v>
      </c>
      <c r="C35" s="839" t="s">
        <v>2388</v>
      </c>
      <c r="D35" s="839"/>
      <c r="E35" s="839"/>
      <c r="G35" s="600">
        <f>S1_Class2Total</f>
        <v>0</v>
      </c>
    </row>
    <row r="36" spans="2:7" hidden="1" outlineLevel="1" x14ac:dyDescent="0.2">
      <c r="C36" s="839"/>
      <c r="D36" s="839"/>
      <c r="E36" s="839"/>
    </row>
    <row r="37" spans="2:7" hidden="1" outlineLevel="1" x14ac:dyDescent="0.2">
      <c r="B37" s="242">
        <f>B35+1</f>
        <v>7</v>
      </c>
      <c r="C37" s="703" t="s">
        <v>2389</v>
      </c>
      <c r="D37" s="703"/>
      <c r="G37" s="600">
        <v>1500000</v>
      </c>
    </row>
    <row r="38" spans="2:7" hidden="1" outlineLevel="1" x14ac:dyDescent="0.2">
      <c r="C38" s="703"/>
      <c r="D38" s="703"/>
    </row>
    <row r="39" spans="2:7" hidden="1" outlineLevel="1" x14ac:dyDescent="0.2">
      <c r="B39" s="77">
        <f>B37+1</f>
        <v>8</v>
      </c>
      <c r="C39" s="77" t="s">
        <v>2390</v>
      </c>
      <c r="G39" s="600">
        <f>-ABS(s1_unrealdep)</f>
        <v>0</v>
      </c>
    </row>
    <row r="40" spans="2:7" ht="6" hidden="1" customHeight="1" outlineLevel="1" x14ac:dyDescent="0.2"/>
    <row r="41" spans="2:7" hidden="1" outlineLevel="1" x14ac:dyDescent="0.2">
      <c r="B41" s="77">
        <f>B39+1</f>
        <v>9</v>
      </c>
      <c r="C41" s="77" t="s">
        <v>2391</v>
      </c>
      <c r="E41" s="600">
        <f>IF(ABS(G39)-G37-G35&lt;=0,G34,MAXA(G34-(ABS(G39)-G37-G35),0))</f>
        <v>0</v>
      </c>
      <c r="F41" s="79" t="s">
        <v>2392</v>
      </c>
      <c r="G41" s="600">
        <f>E41*0.8</f>
        <v>0</v>
      </c>
    </row>
    <row r="42" spans="2:7" hidden="1" outlineLevel="1" x14ac:dyDescent="0.2">
      <c r="B42" s="77">
        <f>B41+1</f>
        <v>10</v>
      </c>
      <c r="C42" s="77" t="s">
        <v>2393</v>
      </c>
      <c r="E42" s="600">
        <f>IF(ABS(G39)-G37&lt;=0,G35,MAXA(G35-(ABS(G39)-G37),0))</f>
        <v>0</v>
      </c>
      <c r="F42" s="79" t="s">
        <v>2394</v>
      </c>
      <c r="G42" s="600">
        <f>E42*0.5</f>
        <v>0</v>
      </c>
    </row>
    <row r="43" spans="2:7" hidden="1" outlineLevel="1" x14ac:dyDescent="0.2">
      <c r="B43" s="77">
        <f>B42+1</f>
        <v>11</v>
      </c>
      <c r="C43" s="77" t="s">
        <v>2395</v>
      </c>
      <c r="G43" s="600">
        <f>SUM(G41:G42)</f>
        <v>0</v>
      </c>
    </row>
    <row r="44" spans="2:7" ht="7.15" hidden="1" customHeight="1" outlineLevel="1" x14ac:dyDescent="0.2"/>
    <row r="45" spans="2:7" hidden="1" outlineLevel="1" x14ac:dyDescent="0.2">
      <c r="B45" s="77">
        <f>B43+1</f>
        <v>12</v>
      </c>
      <c r="C45" s="77" t="s">
        <v>2396</v>
      </c>
      <c r="G45" s="472"/>
    </row>
    <row r="46" spans="2:7" ht="14.5" hidden="1" customHeight="1" outlineLevel="1" x14ac:dyDescent="0.2">
      <c r="B46" s="77">
        <f>B45+1</f>
        <v>13</v>
      </c>
      <c r="C46" s="703" t="s">
        <v>2397</v>
      </c>
      <c r="D46" s="703"/>
      <c r="E46" s="703"/>
      <c r="G46" s="472"/>
    </row>
    <row r="47" spans="2:7" hidden="1" outlineLevel="1" x14ac:dyDescent="0.2">
      <c r="C47" s="703"/>
      <c r="D47" s="703"/>
      <c r="E47" s="703"/>
    </row>
    <row r="48" spans="2:7" hidden="1" outlineLevel="1" x14ac:dyDescent="0.2">
      <c r="C48" s="611" t="s">
        <v>2398</v>
      </c>
    </row>
    <row r="49" spans="2:7" hidden="1" outlineLevel="1" x14ac:dyDescent="0.2">
      <c r="B49" s="77">
        <f>B46+1</f>
        <v>14</v>
      </c>
      <c r="C49" s="77" t="s">
        <v>2399</v>
      </c>
      <c r="G49" s="600">
        <f>G43-ABS(G45)-ABS(G46)</f>
        <v>0</v>
      </c>
    </row>
    <row r="50" spans="2:7" hidden="1" outlineLevel="1" x14ac:dyDescent="0.2"/>
    <row r="51" spans="2:7" hidden="1" outlineLevel="1" x14ac:dyDescent="0.2">
      <c r="B51" s="77" t="s">
        <v>2400</v>
      </c>
      <c r="C51" s="77" t="s">
        <v>2401</v>
      </c>
    </row>
    <row r="52" spans="2:7" hidden="1" outlineLevel="1" x14ac:dyDescent="0.2"/>
    <row r="53" spans="2:7" hidden="1" outlineLevel="1" x14ac:dyDescent="0.2">
      <c r="B53" s="77">
        <f>B49+1</f>
        <v>15</v>
      </c>
      <c r="C53" s="77" t="s">
        <v>2402</v>
      </c>
      <c r="G53" s="600">
        <f>G26</f>
        <v>0</v>
      </c>
    </row>
    <row r="54" spans="2:7" hidden="1" outlineLevel="1" x14ac:dyDescent="0.2">
      <c r="B54" s="77">
        <f>B53+1</f>
        <v>16</v>
      </c>
      <c r="C54" s="77" t="s">
        <v>2403</v>
      </c>
      <c r="G54" s="600">
        <f>IF(G27&lt;0,G27,G49)</f>
        <v>0</v>
      </c>
    </row>
    <row r="55" spans="2:7" hidden="1" outlineLevel="1" x14ac:dyDescent="0.2">
      <c r="B55" s="77">
        <f>B54+1</f>
        <v>17</v>
      </c>
      <c r="C55" s="77" t="s">
        <v>2404</v>
      </c>
      <c r="G55" s="600">
        <f>G53+G54</f>
        <v>0</v>
      </c>
    </row>
    <row r="56" spans="2:7" hidden="1" outlineLevel="1" x14ac:dyDescent="0.2"/>
    <row r="57" spans="2:7" hidden="1" outlineLevel="1" x14ac:dyDescent="0.2">
      <c r="B57" s="77">
        <f>B55+1</f>
        <v>18</v>
      </c>
      <c r="C57" s="77" t="s">
        <v>2405</v>
      </c>
      <c r="G57" s="600">
        <f>regcap</f>
        <v>0</v>
      </c>
    </row>
    <row r="58" spans="2:7" hidden="1" outlineLevel="1" x14ac:dyDescent="0.2"/>
    <row r="59" spans="2:7" hidden="1" outlineLevel="1" x14ac:dyDescent="0.2">
      <c r="B59" s="77">
        <f>B57+1</f>
        <v>19</v>
      </c>
      <c r="C59" s="77" t="s">
        <v>2406</v>
      </c>
      <c r="G59" s="612">
        <f>IF(G57=0,0,IF(G55&lt;0,ABS(G55/G57),0))</f>
        <v>0</v>
      </c>
    </row>
    <row r="60" spans="2:7" hidden="1" outlineLevel="1" x14ac:dyDescent="0.2"/>
    <row r="61" spans="2:7" hidden="1" outlineLevel="1" x14ac:dyDescent="0.2"/>
    <row r="62" spans="2:7" hidden="1" outlineLevel="1" x14ac:dyDescent="0.2">
      <c r="B62" s="77" t="s">
        <v>2407</v>
      </c>
      <c r="C62" s="77" t="s">
        <v>2408</v>
      </c>
    </row>
    <row r="63" spans="2:7" hidden="1" outlineLevel="1" x14ac:dyDescent="0.2"/>
    <row r="64" spans="2:7" hidden="1" outlineLevel="1" x14ac:dyDescent="0.2">
      <c r="B64" s="77">
        <f>B59+1</f>
        <v>20</v>
      </c>
      <c r="C64" s="77" t="s">
        <v>2409</v>
      </c>
    </row>
    <row r="65" spans="2:13" hidden="1" outlineLevel="1" x14ac:dyDescent="0.2">
      <c r="C65" s="77" t="s">
        <v>2410</v>
      </c>
      <c r="G65" s="613" t="s">
        <v>2411</v>
      </c>
    </row>
    <row r="66" spans="2:13" hidden="1" outlineLevel="1" x14ac:dyDescent="0.2"/>
    <row r="67" spans="2:13" hidden="1" outlineLevel="1" x14ac:dyDescent="0.2">
      <c r="C67" s="77" t="s">
        <v>2412</v>
      </c>
    </row>
    <row r="68" spans="2:13" hidden="1" outlineLevel="1" x14ac:dyDescent="0.2">
      <c r="B68" s="77">
        <f>B64+1</f>
        <v>21</v>
      </c>
      <c r="C68" s="77" t="s">
        <v>2413</v>
      </c>
      <c r="G68" s="600">
        <f>cysbabal</f>
        <v>0</v>
      </c>
    </row>
    <row r="69" spans="2:13" hidden="1" outlineLevel="1" x14ac:dyDescent="0.2">
      <c r="B69" s="77">
        <f>B68+1</f>
        <v>22</v>
      </c>
      <c r="C69" s="77" t="s">
        <v>2414</v>
      </c>
      <c r="G69" s="600">
        <f>levcap</f>
        <v>0</v>
      </c>
      <c r="K69" s="77" t="s">
        <v>2415</v>
      </c>
      <c r="L69" s="77" t="s">
        <v>2416</v>
      </c>
      <c r="M69" s="77" t="s">
        <v>2417</v>
      </c>
    </row>
    <row r="70" spans="2:13" hidden="1" outlineLevel="1" x14ac:dyDescent="0.2">
      <c r="B70" s="77">
        <f>B69+1</f>
        <v>23</v>
      </c>
      <c r="C70" s="77" t="s">
        <v>2418</v>
      </c>
      <c r="G70" s="505">
        <f>IF(G69=0,0,G68/G69)</f>
        <v>0</v>
      </c>
      <c r="J70" s="77">
        <v>0</v>
      </c>
      <c r="K70" s="77">
        <v>0.7</v>
      </c>
      <c r="L70" s="77">
        <v>0.55000000000000004</v>
      </c>
      <c r="M70" s="77">
        <v>0.45</v>
      </c>
    </row>
    <row r="71" spans="2:13" hidden="1" outlineLevel="1" x14ac:dyDescent="0.2">
      <c r="J71" s="77">
        <v>1.0000001000000001</v>
      </c>
      <c r="K71" s="77">
        <v>0.6</v>
      </c>
      <c r="L71" s="77">
        <v>0.5</v>
      </c>
      <c r="M71" s="77">
        <v>0.4</v>
      </c>
    </row>
    <row r="72" spans="2:13" hidden="1" outlineLevel="1" x14ac:dyDescent="0.2">
      <c r="B72" s="77">
        <f>B70+1</f>
        <v>24</v>
      </c>
      <c r="C72" s="77" t="s">
        <v>2419</v>
      </c>
      <c r="G72" s="85">
        <f>S1Inv!R18</f>
        <v>0</v>
      </c>
      <c r="J72" s="77">
        <v>2.0000000999999998</v>
      </c>
      <c r="K72" s="77">
        <v>0.5</v>
      </c>
      <c r="L72" s="77">
        <v>0.4</v>
      </c>
      <c r="M72" s="77">
        <v>0.35</v>
      </c>
    </row>
    <row r="73" spans="2:13" hidden="1" outlineLevel="1" x14ac:dyDescent="0.2">
      <c r="B73" s="77">
        <f>B72+1</f>
        <v>25</v>
      </c>
      <c r="C73" s="77" t="s">
        <v>2420</v>
      </c>
      <c r="G73" s="85">
        <f>S1Inv!R8</f>
        <v>0</v>
      </c>
    </row>
    <row r="74" spans="2:13" hidden="1" outlineLevel="1" x14ac:dyDescent="0.2"/>
    <row r="75" spans="2:13" hidden="1" outlineLevel="1" x14ac:dyDescent="0.2">
      <c r="B75" s="77">
        <f>B73+1</f>
        <v>26</v>
      </c>
      <c r="C75" s="77" t="s">
        <v>2421</v>
      </c>
      <c r="G75" s="505">
        <f>IF(G72=0,0,G73/G72)</f>
        <v>0</v>
      </c>
    </row>
    <row r="76" spans="2:13" hidden="1" outlineLevel="1" x14ac:dyDescent="0.2"/>
    <row r="77" spans="2:13" hidden="1" outlineLevel="1" x14ac:dyDescent="0.2">
      <c r="B77" s="77">
        <v>28</v>
      </c>
      <c r="C77" s="77" t="s">
        <v>2422</v>
      </c>
      <c r="G77" s="505">
        <f>IF(G65="",0,IF(G65="d",0.75,IF(G70=0,0,VLOOKUP(G70,J69:M72,IF(G75&gt;=0.67,1,IF(G75&gt;=0.4,2,3))+1))))</f>
        <v>0</v>
      </c>
    </row>
  </sheetData>
  <mergeCells count="4">
    <mergeCell ref="C37:D38"/>
    <mergeCell ref="D21:G21"/>
    <mergeCell ref="C46:E47"/>
    <mergeCell ref="C35:E36"/>
  </mergeCells>
  <conditionalFormatting sqref="C29">
    <cfRule type="expression" dxfId="48" priority="1">
      <formula>OR($G$26&lt;0,$G$27&lt;0)</formula>
    </cfRule>
    <cfRule type="expression" dxfId="47" priority="2">
      <formula>AND($G$26&gt;=0,$G$27&gt;=0)</formula>
    </cfRule>
  </conditionalFormatting>
  <pageMargins left="0.75" right="0.75" top="1" bottom="1" header="0.5" footer="0.5"/>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12BFC-9C69-4D3A-8BB6-D83C6C6E67EE}">
  <sheetPr>
    <tabColor rgb="FFFFFF00"/>
  </sheetPr>
  <dimension ref="B3:C1018"/>
  <sheetViews>
    <sheetView workbookViewId="0"/>
  </sheetViews>
  <sheetFormatPr defaultColWidth="8.7265625" defaultRowHeight="10" x14ac:dyDescent="0.2"/>
  <cols>
    <col min="1" max="1" width="8.7265625" style="77"/>
    <col min="2" max="2" width="9" style="77" customWidth="1"/>
    <col min="3" max="16384" width="8.7265625" style="77"/>
  </cols>
  <sheetData>
    <row r="3" spans="2:3" x14ac:dyDescent="0.2">
      <c r="B3" s="154" t="s">
        <v>2423</v>
      </c>
    </row>
    <row r="4" spans="2:3" x14ac:dyDescent="0.2">
      <c r="B4" s="614" t="s">
        <v>139</v>
      </c>
      <c r="C4" s="77" t="s">
        <v>2424</v>
      </c>
    </row>
    <row r="6" spans="2:3" x14ac:dyDescent="0.2">
      <c r="B6" s="614" t="s">
        <v>2425</v>
      </c>
    </row>
    <row r="7" spans="2:3" x14ac:dyDescent="0.2">
      <c r="B7" s="145" t="s">
        <v>2426</v>
      </c>
    </row>
    <row r="8" spans="2:3" x14ac:dyDescent="0.2">
      <c r="B8" s="145" t="s">
        <v>2427</v>
      </c>
    </row>
    <row r="9" spans="2:3" x14ac:dyDescent="0.2">
      <c r="B9" s="145" t="s">
        <v>2428</v>
      </c>
    </row>
    <row r="10" spans="2:3" x14ac:dyDescent="0.2">
      <c r="B10" s="145" t="s">
        <v>2429</v>
      </c>
    </row>
    <row r="11" spans="2:3" x14ac:dyDescent="0.2">
      <c r="B11" s="145" t="s">
        <v>2430</v>
      </c>
    </row>
    <row r="12" spans="2:3" x14ac:dyDescent="0.2">
      <c r="B12" s="145" t="s">
        <v>2431</v>
      </c>
    </row>
    <row r="13" spans="2:3" x14ac:dyDescent="0.2">
      <c r="B13" s="145" t="s">
        <v>2432</v>
      </c>
    </row>
    <row r="14" spans="2:3" x14ac:dyDescent="0.2">
      <c r="B14" s="145" t="s">
        <v>2433</v>
      </c>
    </row>
    <row r="15" spans="2:3" x14ac:dyDescent="0.2">
      <c r="B15" s="145" t="s">
        <v>2434</v>
      </c>
    </row>
    <row r="16" spans="2:3" x14ac:dyDescent="0.2">
      <c r="B16" s="145" t="s">
        <v>2435</v>
      </c>
    </row>
    <row r="17" spans="2:2" x14ac:dyDescent="0.2">
      <c r="B17" s="145" t="s">
        <v>2436</v>
      </c>
    </row>
    <row r="18" spans="2:2" x14ac:dyDescent="0.2">
      <c r="B18" s="145" t="s">
        <v>2437</v>
      </c>
    </row>
    <row r="19" spans="2:2" x14ac:dyDescent="0.2">
      <c r="B19" s="145" t="s">
        <v>2438</v>
      </c>
    </row>
    <row r="20" spans="2:2" x14ac:dyDescent="0.2">
      <c r="B20" s="145" t="s">
        <v>2439</v>
      </c>
    </row>
    <row r="21" spans="2:2" x14ac:dyDescent="0.2">
      <c r="B21" s="145" t="s">
        <v>2440</v>
      </c>
    </row>
    <row r="22" spans="2:2" x14ac:dyDescent="0.2">
      <c r="B22" s="145" t="s">
        <v>2441</v>
      </c>
    </row>
    <row r="23" spans="2:2" x14ac:dyDescent="0.2">
      <c r="B23" s="145" t="s">
        <v>2442</v>
      </c>
    </row>
    <row r="24" spans="2:2" x14ac:dyDescent="0.2">
      <c r="B24" s="145" t="s">
        <v>2443</v>
      </c>
    </row>
    <row r="25" spans="2:2" x14ac:dyDescent="0.2">
      <c r="B25" s="145" t="s">
        <v>2444</v>
      </c>
    </row>
    <row r="26" spans="2:2" x14ac:dyDescent="0.2">
      <c r="B26" s="145" t="s">
        <v>2445</v>
      </c>
    </row>
    <row r="27" spans="2:2" x14ac:dyDescent="0.2">
      <c r="B27" s="145" t="s">
        <v>2446</v>
      </c>
    </row>
    <row r="28" spans="2:2" x14ac:dyDescent="0.2">
      <c r="B28" s="145" t="s">
        <v>2447</v>
      </c>
    </row>
    <row r="29" spans="2:2" x14ac:dyDescent="0.2">
      <c r="B29" s="145" t="s">
        <v>2448</v>
      </c>
    </row>
    <row r="30" spans="2:2" x14ac:dyDescent="0.2">
      <c r="B30" s="145" t="s">
        <v>2449</v>
      </c>
    </row>
    <row r="31" spans="2:2" x14ac:dyDescent="0.2">
      <c r="B31" s="145" t="s">
        <v>2450</v>
      </c>
    </row>
    <row r="32" spans="2:2" x14ac:dyDescent="0.2">
      <c r="B32" s="145" t="s">
        <v>2451</v>
      </c>
    </row>
    <row r="33" spans="2:2" x14ac:dyDescent="0.2">
      <c r="B33" s="145" t="s">
        <v>2452</v>
      </c>
    </row>
    <row r="34" spans="2:2" x14ac:dyDescent="0.2">
      <c r="B34" s="145" t="s">
        <v>2453</v>
      </c>
    </row>
    <row r="35" spans="2:2" x14ac:dyDescent="0.2">
      <c r="B35" s="145" t="s">
        <v>2454</v>
      </c>
    </row>
    <row r="36" spans="2:2" x14ac:dyDescent="0.2">
      <c r="B36" s="145" t="s">
        <v>2455</v>
      </c>
    </row>
    <row r="37" spans="2:2" x14ac:dyDescent="0.2">
      <c r="B37" s="145" t="s">
        <v>2456</v>
      </c>
    </row>
    <row r="38" spans="2:2" x14ac:dyDescent="0.2">
      <c r="B38" s="145" t="s">
        <v>2457</v>
      </c>
    </row>
    <row r="39" spans="2:2" x14ac:dyDescent="0.2">
      <c r="B39" s="145" t="s">
        <v>2458</v>
      </c>
    </row>
    <row r="40" spans="2:2" x14ac:dyDescent="0.2">
      <c r="B40" s="145" t="s">
        <v>2459</v>
      </c>
    </row>
    <row r="41" spans="2:2" x14ac:dyDescent="0.2">
      <c r="B41" s="145" t="s">
        <v>2460</v>
      </c>
    </row>
    <row r="42" spans="2:2" x14ac:dyDescent="0.2">
      <c r="B42" s="145" t="s">
        <v>2461</v>
      </c>
    </row>
    <row r="43" spans="2:2" x14ac:dyDescent="0.2">
      <c r="B43" s="145" t="s">
        <v>2462</v>
      </c>
    </row>
    <row r="44" spans="2:2" x14ac:dyDescent="0.2">
      <c r="B44" s="145" t="s">
        <v>2463</v>
      </c>
    </row>
    <row r="45" spans="2:2" x14ac:dyDescent="0.2">
      <c r="B45" s="145" t="s">
        <v>2464</v>
      </c>
    </row>
    <row r="46" spans="2:2" x14ac:dyDescent="0.2">
      <c r="B46" s="145" t="s">
        <v>2465</v>
      </c>
    </row>
    <row r="47" spans="2:2" x14ac:dyDescent="0.2">
      <c r="B47" s="145" t="s">
        <v>2466</v>
      </c>
    </row>
    <row r="48" spans="2:2" x14ac:dyDescent="0.2">
      <c r="B48" s="145" t="s">
        <v>2467</v>
      </c>
    </row>
    <row r="49" spans="2:2" x14ac:dyDescent="0.2">
      <c r="B49" s="145" t="s">
        <v>2468</v>
      </c>
    </row>
    <row r="50" spans="2:2" x14ac:dyDescent="0.2">
      <c r="B50" s="145" t="s">
        <v>2469</v>
      </c>
    </row>
    <row r="51" spans="2:2" x14ac:dyDescent="0.2">
      <c r="B51" s="145" t="s">
        <v>2470</v>
      </c>
    </row>
    <row r="52" spans="2:2" x14ac:dyDescent="0.2">
      <c r="B52" s="145" t="s">
        <v>2471</v>
      </c>
    </row>
    <row r="53" spans="2:2" x14ac:dyDescent="0.2">
      <c r="B53" s="145" t="s">
        <v>2472</v>
      </c>
    </row>
    <row r="54" spans="2:2" x14ac:dyDescent="0.2">
      <c r="B54" s="145" t="s">
        <v>2473</v>
      </c>
    </row>
    <row r="55" spans="2:2" x14ac:dyDescent="0.2">
      <c r="B55" s="145" t="s">
        <v>2474</v>
      </c>
    </row>
    <row r="56" spans="2:2" x14ac:dyDescent="0.2">
      <c r="B56" s="145" t="s">
        <v>2475</v>
      </c>
    </row>
    <row r="57" spans="2:2" x14ac:dyDescent="0.2">
      <c r="B57" s="145" t="s">
        <v>2476</v>
      </c>
    </row>
    <row r="58" spans="2:2" x14ac:dyDescent="0.2">
      <c r="B58" s="145" t="s">
        <v>2477</v>
      </c>
    </row>
    <row r="59" spans="2:2" x14ac:dyDescent="0.2">
      <c r="B59" s="145" t="s">
        <v>2478</v>
      </c>
    </row>
    <row r="60" spans="2:2" x14ac:dyDescent="0.2">
      <c r="B60" s="145" t="s">
        <v>2479</v>
      </c>
    </row>
    <row r="61" spans="2:2" x14ac:dyDescent="0.2">
      <c r="B61" s="145" t="s">
        <v>2480</v>
      </c>
    </row>
    <row r="62" spans="2:2" x14ac:dyDescent="0.2">
      <c r="B62" s="145" t="s">
        <v>2481</v>
      </c>
    </row>
    <row r="63" spans="2:2" x14ac:dyDescent="0.2">
      <c r="B63" s="145" t="s">
        <v>2482</v>
      </c>
    </row>
    <row r="64" spans="2:2" x14ac:dyDescent="0.2">
      <c r="B64" s="145" t="s">
        <v>2483</v>
      </c>
    </row>
    <row r="65" spans="2:2" x14ac:dyDescent="0.2">
      <c r="B65" s="145" t="s">
        <v>2484</v>
      </c>
    </row>
    <row r="66" spans="2:2" x14ac:dyDescent="0.2">
      <c r="B66" s="145" t="s">
        <v>2485</v>
      </c>
    </row>
    <row r="67" spans="2:2" x14ac:dyDescent="0.2">
      <c r="B67" s="145" t="s">
        <v>2486</v>
      </c>
    </row>
    <row r="68" spans="2:2" x14ac:dyDescent="0.2">
      <c r="B68" s="145" t="s">
        <v>2487</v>
      </c>
    </row>
    <row r="69" spans="2:2" x14ac:dyDescent="0.2">
      <c r="B69" s="145" t="s">
        <v>2488</v>
      </c>
    </row>
    <row r="70" spans="2:2" x14ac:dyDescent="0.2">
      <c r="B70" s="145" t="s">
        <v>2489</v>
      </c>
    </row>
    <row r="71" spans="2:2" x14ac:dyDescent="0.2">
      <c r="B71" s="145" t="s">
        <v>2490</v>
      </c>
    </row>
    <row r="72" spans="2:2" x14ac:dyDescent="0.2">
      <c r="B72" s="145" t="s">
        <v>2491</v>
      </c>
    </row>
    <row r="73" spans="2:2" x14ac:dyDescent="0.2">
      <c r="B73" s="145" t="s">
        <v>2492</v>
      </c>
    </row>
    <row r="74" spans="2:2" x14ac:dyDescent="0.2">
      <c r="B74" s="145" t="s">
        <v>2493</v>
      </c>
    </row>
    <row r="75" spans="2:2" x14ac:dyDescent="0.2">
      <c r="B75" s="145" t="s">
        <v>2494</v>
      </c>
    </row>
    <row r="76" spans="2:2" x14ac:dyDescent="0.2">
      <c r="B76" s="145" t="s">
        <v>2495</v>
      </c>
    </row>
    <row r="77" spans="2:2" x14ac:dyDescent="0.2">
      <c r="B77" s="145" t="s">
        <v>2496</v>
      </c>
    </row>
    <row r="78" spans="2:2" x14ac:dyDescent="0.2">
      <c r="B78" s="145" t="s">
        <v>2497</v>
      </c>
    </row>
    <row r="79" spans="2:2" x14ac:dyDescent="0.2">
      <c r="B79" s="145" t="s">
        <v>2498</v>
      </c>
    </row>
    <row r="80" spans="2:2" x14ac:dyDescent="0.2">
      <c r="B80" s="145" t="s">
        <v>2499</v>
      </c>
    </row>
    <row r="81" spans="2:2" x14ac:dyDescent="0.2">
      <c r="B81" s="145" t="s">
        <v>2500</v>
      </c>
    </row>
    <row r="82" spans="2:2" x14ac:dyDescent="0.2">
      <c r="B82" s="145" t="s">
        <v>2501</v>
      </c>
    </row>
    <row r="83" spans="2:2" x14ac:dyDescent="0.2">
      <c r="B83" s="145" t="s">
        <v>2502</v>
      </c>
    </row>
    <row r="84" spans="2:2" x14ac:dyDescent="0.2">
      <c r="B84" s="145" t="s">
        <v>2503</v>
      </c>
    </row>
    <row r="85" spans="2:2" x14ac:dyDescent="0.2">
      <c r="B85" s="145" t="s">
        <v>2504</v>
      </c>
    </row>
    <row r="86" spans="2:2" x14ac:dyDescent="0.2">
      <c r="B86" s="145" t="s">
        <v>2505</v>
      </c>
    </row>
    <row r="87" spans="2:2" x14ac:dyDescent="0.2">
      <c r="B87" s="145" t="s">
        <v>2506</v>
      </c>
    </row>
    <row r="88" spans="2:2" x14ac:dyDescent="0.2">
      <c r="B88" s="145" t="s">
        <v>2507</v>
      </c>
    </row>
    <row r="89" spans="2:2" x14ac:dyDescent="0.2">
      <c r="B89" s="145" t="s">
        <v>2508</v>
      </c>
    </row>
    <row r="90" spans="2:2" x14ac:dyDescent="0.2">
      <c r="B90" s="145" t="s">
        <v>2509</v>
      </c>
    </row>
    <row r="91" spans="2:2" x14ac:dyDescent="0.2">
      <c r="B91" s="145" t="s">
        <v>2510</v>
      </c>
    </row>
    <row r="92" spans="2:2" x14ac:dyDescent="0.2">
      <c r="B92" s="145" t="s">
        <v>2511</v>
      </c>
    </row>
    <row r="93" spans="2:2" x14ac:dyDescent="0.2">
      <c r="B93" s="145" t="s">
        <v>2512</v>
      </c>
    </row>
    <row r="94" spans="2:2" x14ac:dyDescent="0.2">
      <c r="B94" s="145" t="s">
        <v>2513</v>
      </c>
    </row>
    <row r="95" spans="2:2" x14ac:dyDescent="0.2">
      <c r="B95" s="145" t="s">
        <v>2514</v>
      </c>
    </row>
    <row r="96" spans="2:2" x14ac:dyDescent="0.2">
      <c r="B96" s="145" t="s">
        <v>2515</v>
      </c>
    </row>
    <row r="97" spans="2:2" x14ac:dyDescent="0.2">
      <c r="B97" s="145" t="s">
        <v>2516</v>
      </c>
    </row>
    <row r="98" spans="2:2" x14ac:dyDescent="0.2">
      <c r="B98" s="145" t="s">
        <v>2517</v>
      </c>
    </row>
    <row r="99" spans="2:2" x14ac:dyDescent="0.2">
      <c r="B99" s="145" t="s">
        <v>2518</v>
      </c>
    </row>
    <row r="100" spans="2:2" x14ac:dyDescent="0.2">
      <c r="B100" s="145" t="s">
        <v>2519</v>
      </c>
    </row>
    <row r="101" spans="2:2" x14ac:dyDescent="0.2">
      <c r="B101" s="145" t="s">
        <v>2520</v>
      </c>
    </row>
    <row r="102" spans="2:2" x14ac:dyDescent="0.2">
      <c r="B102" s="145" t="s">
        <v>2521</v>
      </c>
    </row>
    <row r="103" spans="2:2" x14ac:dyDescent="0.2">
      <c r="B103" s="145" t="s">
        <v>2522</v>
      </c>
    </row>
    <row r="104" spans="2:2" x14ac:dyDescent="0.2">
      <c r="B104" s="145" t="s">
        <v>2523</v>
      </c>
    </row>
    <row r="105" spans="2:2" x14ac:dyDescent="0.2">
      <c r="B105" s="145" t="s">
        <v>2524</v>
      </c>
    </row>
    <row r="106" spans="2:2" x14ac:dyDescent="0.2">
      <c r="B106" s="145" t="s">
        <v>2525</v>
      </c>
    </row>
    <row r="107" spans="2:2" x14ac:dyDescent="0.2">
      <c r="B107" s="145" t="s">
        <v>2526</v>
      </c>
    </row>
    <row r="108" spans="2:2" x14ac:dyDescent="0.2">
      <c r="B108" s="145" t="s">
        <v>2527</v>
      </c>
    </row>
    <row r="109" spans="2:2" x14ac:dyDescent="0.2">
      <c r="B109" s="145" t="s">
        <v>2528</v>
      </c>
    </row>
    <row r="110" spans="2:2" x14ac:dyDescent="0.2">
      <c r="B110" s="145" t="s">
        <v>2529</v>
      </c>
    </row>
    <row r="111" spans="2:2" x14ac:dyDescent="0.2">
      <c r="B111" s="145" t="s">
        <v>2530</v>
      </c>
    </row>
    <row r="112" spans="2:2" x14ac:dyDescent="0.2">
      <c r="B112" s="145" t="s">
        <v>2531</v>
      </c>
    </row>
    <row r="113" spans="2:2" x14ac:dyDescent="0.2">
      <c r="B113" s="145" t="s">
        <v>2532</v>
      </c>
    </row>
    <row r="114" spans="2:2" x14ac:dyDescent="0.2">
      <c r="B114" s="145" t="s">
        <v>2533</v>
      </c>
    </row>
    <row r="115" spans="2:2" x14ac:dyDescent="0.2">
      <c r="B115" s="145" t="s">
        <v>2534</v>
      </c>
    </row>
    <row r="116" spans="2:2" x14ac:dyDescent="0.2">
      <c r="B116" s="145" t="s">
        <v>2535</v>
      </c>
    </row>
    <row r="117" spans="2:2" x14ac:dyDescent="0.2">
      <c r="B117" s="145" t="s">
        <v>2536</v>
      </c>
    </row>
    <row r="118" spans="2:2" x14ac:dyDescent="0.2">
      <c r="B118" s="145" t="s">
        <v>2537</v>
      </c>
    </row>
    <row r="119" spans="2:2" x14ac:dyDescent="0.2">
      <c r="B119" s="145" t="s">
        <v>2538</v>
      </c>
    </row>
    <row r="120" spans="2:2" x14ac:dyDescent="0.2">
      <c r="B120" s="145" t="s">
        <v>2539</v>
      </c>
    </row>
    <row r="121" spans="2:2" x14ac:dyDescent="0.2">
      <c r="B121" s="145" t="s">
        <v>2540</v>
      </c>
    </row>
    <row r="122" spans="2:2" x14ac:dyDescent="0.2">
      <c r="B122" s="145" t="s">
        <v>2541</v>
      </c>
    </row>
    <row r="123" spans="2:2" x14ac:dyDescent="0.2">
      <c r="B123" s="145" t="s">
        <v>2542</v>
      </c>
    </row>
    <row r="124" spans="2:2" x14ac:dyDescent="0.2">
      <c r="B124" s="145" t="s">
        <v>2543</v>
      </c>
    </row>
    <row r="125" spans="2:2" x14ac:dyDescent="0.2">
      <c r="B125" s="145" t="s">
        <v>2544</v>
      </c>
    </row>
    <row r="126" spans="2:2" x14ac:dyDescent="0.2">
      <c r="B126" s="145" t="s">
        <v>2545</v>
      </c>
    </row>
    <row r="127" spans="2:2" x14ac:dyDescent="0.2">
      <c r="B127" s="145" t="s">
        <v>2546</v>
      </c>
    </row>
    <row r="128" spans="2:2" x14ac:dyDescent="0.2">
      <c r="B128" s="145" t="s">
        <v>2547</v>
      </c>
    </row>
    <row r="129" spans="2:2" x14ac:dyDescent="0.2">
      <c r="B129" s="145" t="s">
        <v>2548</v>
      </c>
    </row>
    <row r="130" spans="2:2" x14ac:dyDescent="0.2">
      <c r="B130" s="145" t="s">
        <v>2549</v>
      </c>
    </row>
    <row r="131" spans="2:2" x14ac:dyDescent="0.2">
      <c r="B131" s="145" t="s">
        <v>2550</v>
      </c>
    </row>
    <row r="132" spans="2:2" x14ac:dyDescent="0.2">
      <c r="B132" s="145" t="s">
        <v>2551</v>
      </c>
    </row>
    <row r="133" spans="2:2" x14ac:dyDescent="0.2">
      <c r="B133" s="145" t="s">
        <v>2552</v>
      </c>
    </row>
    <row r="134" spans="2:2" x14ac:dyDescent="0.2">
      <c r="B134" s="145" t="s">
        <v>2553</v>
      </c>
    </row>
    <row r="135" spans="2:2" x14ac:dyDescent="0.2">
      <c r="B135" s="145" t="s">
        <v>2554</v>
      </c>
    </row>
    <row r="136" spans="2:2" x14ac:dyDescent="0.2">
      <c r="B136" s="145" t="s">
        <v>2555</v>
      </c>
    </row>
    <row r="137" spans="2:2" x14ac:dyDescent="0.2">
      <c r="B137" s="145" t="s">
        <v>2556</v>
      </c>
    </row>
    <row r="138" spans="2:2" x14ac:dyDescent="0.2">
      <c r="B138" s="145" t="s">
        <v>2557</v>
      </c>
    </row>
    <row r="139" spans="2:2" x14ac:dyDescent="0.2">
      <c r="B139" s="145" t="s">
        <v>2558</v>
      </c>
    </row>
    <row r="140" spans="2:2" x14ac:dyDescent="0.2">
      <c r="B140" s="145" t="s">
        <v>2559</v>
      </c>
    </row>
    <row r="141" spans="2:2" x14ac:dyDescent="0.2">
      <c r="B141" s="145" t="s">
        <v>2560</v>
      </c>
    </row>
    <row r="142" spans="2:2" x14ac:dyDescent="0.2">
      <c r="B142" s="145" t="s">
        <v>2561</v>
      </c>
    </row>
    <row r="143" spans="2:2" x14ac:dyDescent="0.2">
      <c r="B143" s="145" t="s">
        <v>2562</v>
      </c>
    </row>
    <row r="144" spans="2:2" x14ac:dyDescent="0.2">
      <c r="B144" s="145" t="s">
        <v>2563</v>
      </c>
    </row>
    <row r="145" spans="2:2" x14ac:dyDescent="0.2">
      <c r="B145" s="145" t="s">
        <v>2564</v>
      </c>
    </row>
    <row r="146" spans="2:2" x14ac:dyDescent="0.2">
      <c r="B146" s="145" t="s">
        <v>2565</v>
      </c>
    </row>
    <row r="147" spans="2:2" x14ac:dyDescent="0.2">
      <c r="B147" s="145" t="s">
        <v>2566</v>
      </c>
    </row>
    <row r="148" spans="2:2" x14ac:dyDescent="0.2">
      <c r="B148" s="145" t="s">
        <v>2567</v>
      </c>
    </row>
    <row r="149" spans="2:2" x14ac:dyDescent="0.2">
      <c r="B149" s="145" t="s">
        <v>2568</v>
      </c>
    </row>
    <row r="150" spans="2:2" x14ac:dyDescent="0.2">
      <c r="B150" s="145" t="s">
        <v>2569</v>
      </c>
    </row>
    <row r="151" spans="2:2" x14ac:dyDescent="0.2">
      <c r="B151" s="145" t="s">
        <v>2570</v>
      </c>
    </row>
    <row r="152" spans="2:2" x14ac:dyDescent="0.2">
      <c r="B152" s="145" t="s">
        <v>2571</v>
      </c>
    </row>
    <row r="153" spans="2:2" x14ac:dyDescent="0.2">
      <c r="B153" s="145" t="s">
        <v>2572</v>
      </c>
    </row>
    <row r="154" spans="2:2" x14ac:dyDescent="0.2">
      <c r="B154" s="145" t="s">
        <v>2573</v>
      </c>
    </row>
    <row r="155" spans="2:2" x14ac:dyDescent="0.2">
      <c r="B155" s="145" t="s">
        <v>2574</v>
      </c>
    </row>
    <row r="156" spans="2:2" x14ac:dyDescent="0.2">
      <c r="B156" s="145" t="s">
        <v>2575</v>
      </c>
    </row>
    <row r="157" spans="2:2" x14ac:dyDescent="0.2">
      <c r="B157" s="145" t="s">
        <v>2576</v>
      </c>
    </row>
    <row r="158" spans="2:2" x14ac:dyDescent="0.2">
      <c r="B158" s="145" t="s">
        <v>2577</v>
      </c>
    </row>
    <row r="159" spans="2:2" x14ac:dyDescent="0.2">
      <c r="B159" s="145" t="s">
        <v>2578</v>
      </c>
    </row>
    <row r="160" spans="2:2" x14ac:dyDescent="0.2">
      <c r="B160" s="145" t="s">
        <v>2579</v>
      </c>
    </row>
    <row r="161" spans="2:2" x14ac:dyDescent="0.2">
      <c r="B161" s="145" t="s">
        <v>2580</v>
      </c>
    </row>
    <row r="162" spans="2:2" x14ac:dyDescent="0.2">
      <c r="B162" s="145" t="s">
        <v>2581</v>
      </c>
    </row>
    <row r="163" spans="2:2" x14ac:dyDescent="0.2">
      <c r="B163" s="145" t="s">
        <v>2582</v>
      </c>
    </row>
    <row r="164" spans="2:2" x14ac:dyDescent="0.2">
      <c r="B164" s="145" t="s">
        <v>2583</v>
      </c>
    </row>
    <row r="165" spans="2:2" x14ac:dyDescent="0.2">
      <c r="B165" s="145" t="s">
        <v>2584</v>
      </c>
    </row>
    <row r="166" spans="2:2" x14ac:dyDescent="0.2">
      <c r="B166" s="145" t="s">
        <v>2585</v>
      </c>
    </row>
    <row r="167" spans="2:2" x14ac:dyDescent="0.2">
      <c r="B167" s="145" t="s">
        <v>2586</v>
      </c>
    </row>
    <row r="168" spans="2:2" x14ac:dyDescent="0.2">
      <c r="B168" s="145" t="s">
        <v>2587</v>
      </c>
    </row>
    <row r="169" spans="2:2" x14ac:dyDescent="0.2">
      <c r="B169" s="145" t="s">
        <v>2588</v>
      </c>
    </row>
    <row r="170" spans="2:2" x14ac:dyDescent="0.2">
      <c r="B170" s="145" t="s">
        <v>2589</v>
      </c>
    </row>
    <row r="171" spans="2:2" x14ac:dyDescent="0.2">
      <c r="B171" s="145" t="s">
        <v>2590</v>
      </c>
    </row>
    <row r="172" spans="2:2" x14ac:dyDescent="0.2">
      <c r="B172" s="145" t="s">
        <v>2591</v>
      </c>
    </row>
    <row r="173" spans="2:2" x14ac:dyDescent="0.2">
      <c r="B173" s="145" t="s">
        <v>2592</v>
      </c>
    </row>
    <row r="174" spans="2:2" x14ac:dyDescent="0.2">
      <c r="B174" s="145" t="s">
        <v>2593</v>
      </c>
    </row>
    <row r="175" spans="2:2" x14ac:dyDescent="0.2">
      <c r="B175" s="145" t="s">
        <v>2594</v>
      </c>
    </row>
    <row r="176" spans="2:2" x14ac:dyDescent="0.2">
      <c r="B176" s="145" t="s">
        <v>2595</v>
      </c>
    </row>
    <row r="177" spans="2:2" x14ac:dyDescent="0.2">
      <c r="B177" s="145" t="s">
        <v>2596</v>
      </c>
    </row>
    <row r="178" spans="2:2" x14ac:dyDescent="0.2">
      <c r="B178" s="145" t="s">
        <v>2597</v>
      </c>
    </row>
    <row r="179" spans="2:2" x14ac:dyDescent="0.2">
      <c r="B179" s="145" t="s">
        <v>2598</v>
      </c>
    </row>
    <row r="180" spans="2:2" x14ac:dyDescent="0.2">
      <c r="B180" s="145" t="s">
        <v>2599</v>
      </c>
    </row>
    <row r="181" spans="2:2" x14ac:dyDescent="0.2">
      <c r="B181" s="145" t="s">
        <v>2600</v>
      </c>
    </row>
    <row r="182" spans="2:2" x14ac:dyDescent="0.2">
      <c r="B182" s="145" t="s">
        <v>2601</v>
      </c>
    </row>
    <row r="183" spans="2:2" x14ac:dyDescent="0.2">
      <c r="B183" s="145" t="s">
        <v>2602</v>
      </c>
    </row>
    <row r="184" spans="2:2" x14ac:dyDescent="0.2">
      <c r="B184" s="145" t="s">
        <v>2603</v>
      </c>
    </row>
    <row r="185" spans="2:2" x14ac:dyDescent="0.2">
      <c r="B185" s="145" t="s">
        <v>2604</v>
      </c>
    </row>
    <row r="186" spans="2:2" x14ac:dyDescent="0.2">
      <c r="B186" s="145" t="s">
        <v>2605</v>
      </c>
    </row>
    <row r="187" spans="2:2" x14ac:dyDescent="0.2">
      <c r="B187" s="145" t="s">
        <v>2606</v>
      </c>
    </row>
    <row r="188" spans="2:2" x14ac:dyDescent="0.2">
      <c r="B188" s="145" t="s">
        <v>2607</v>
      </c>
    </row>
    <row r="189" spans="2:2" x14ac:dyDescent="0.2">
      <c r="B189" s="145" t="s">
        <v>2608</v>
      </c>
    </row>
    <row r="190" spans="2:2" x14ac:dyDescent="0.2">
      <c r="B190" s="145" t="s">
        <v>2609</v>
      </c>
    </row>
    <row r="191" spans="2:2" x14ac:dyDescent="0.2">
      <c r="B191" s="145" t="s">
        <v>2610</v>
      </c>
    </row>
    <row r="192" spans="2:2" x14ac:dyDescent="0.2">
      <c r="B192" s="145" t="s">
        <v>2611</v>
      </c>
    </row>
    <row r="193" spans="2:2" x14ac:dyDescent="0.2">
      <c r="B193" s="145" t="s">
        <v>2612</v>
      </c>
    </row>
    <row r="194" spans="2:2" x14ac:dyDescent="0.2">
      <c r="B194" s="145" t="s">
        <v>2613</v>
      </c>
    </row>
    <row r="195" spans="2:2" x14ac:dyDescent="0.2">
      <c r="B195" s="145" t="s">
        <v>2614</v>
      </c>
    </row>
    <row r="196" spans="2:2" x14ac:dyDescent="0.2">
      <c r="B196" s="145" t="s">
        <v>2615</v>
      </c>
    </row>
    <row r="197" spans="2:2" x14ac:dyDescent="0.2">
      <c r="B197" s="145" t="s">
        <v>2616</v>
      </c>
    </row>
    <row r="198" spans="2:2" x14ac:dyDescent="0.2">
      <c r="B198" s="145" t="s">
        <v>2617</v>
      </c>
    </row>
    <row r="199" spans="2:2" x14ac:dyDescent="0.2">
      <c r="B199" s="145" t="s">
        <v>2618</v>
      </c>
    </row>
    <row r="200" spans="2:2" x14ac:dyDescent="0.2">
      <c r="B200" s="145" t="s">
        <v>2619</v>
      </c>
    </row>
    <row r="201" spans="2:2" x14ac:dyDescent="0.2">
      <c r="B201" s="145" t="s">
        <v>2620</v>
      </c>
    </row>
    <row r="202" spans="2:2" x14ac:dyDescent="0.2">
      <c r="B202" s="145" t="s">
        <v>2621</v>
      </c>
    </row>
    <row r="203" spans="2:2" x14ac:dyDescent="0.2">
      <c r="B203" s="145" t="s">
        <v>2622</v>
      </c>
    </row>
    <row r="204" spans="2:2" x14ac:dyDescent="0.2">
      <c r="B204" s="145" t="s">
        <v>2623</v>
      </c>
    </row>
    <row r="205" spans="2:2" x14ac:dyDescent="0.2">
      <c r="B205" s="145" t="s">
        <v>2624</v>
      </c>
    </row>
    <row r="206" spans="2:2" x14ac:dyDescent="0.2">
      <c r="B206" s="145" t="s">
        <v>2625</v>
      </c>
    </row>
    <row r="207" spans="2:2" x14ac:dyDescent="0.2">
      <c r="B207" s="145" t="s">
        <v>2626</v>
      </c>
    </row>
    <row r="208" spans="2:2" x14ac:dyDescent="0.2">
      <c r="B208" s="145" t="s">
        <v>2627</v>
      </c>
    </row>
    <row r="209" spans="2:2" x14ac:dyDescent="0.2">
      <c r="B209" s="145" t="s">
        <v>2628</v>
      </c>
    </row>
    <row r="210" spans="2:2" x14ac:dyDescent="0.2">
      <c r="B210" s="145" t="s">
        <v>2629</v>
      </c>
    </row>
    <row r="211" spans="2:2" x14ac:dyDescent="0.2">
      <c r="B211" s="145" t="s">
        <v>2630</v>
      </c>
    </row>
    <row r="212" spans="2:2" x14ac:dyDescent="0.2">
      <c r="B212" s="145" t="s">
        <v>2631</v>
      </c>
    </row>
    <row r="213" spans="2:2" x14ac:dyDescent="0.2">
      <c r="B213" s="145" t="s">
        <v>2632</v>
      </c>
    </row>
    <row r="214" spans="2:2" x14ac:dyDescent="0.2">
      <c r="B214" s="145" t="s">
        <v>2633</v>
      </c>
    </row>
    <row r="215" spans="2:2" x14ac:dyDescent="0.2">
      <c r="B215" s="145" t="s">
        <v>2634</v>
      </c>
    </row>
    <row r="216" spans="2:2" x14ac:dyDescent="0.2">
      <c r="B216" s="145" t="s">
        <v>2635</v>
      </c>
    </row>
    <row r="217" spans="2:2" x14ac:dyDescent="0.2">
      <c r="B217" s="145" t="s">
        <v>2636</v>
      </c>
    </row>
    <row r="218" spans="2:2" x14ac:dyDescent="0.2">
      <c r="B218" s="145" t="s">
        <v>2637</v>
      </c>
    </row>
    <row r="219" spans="2:2" x14ac:dyDescent="0.2">
      <c r="B219" s="145" t="s">
        <v>2638</v>
      </c>
    </row>
    <row r="220" spans="2:2" x14ac:dyDescent="0.2">
      <c r="B220" s="145" t="s">
        <v>2639</v>
      </c>
    </row>
    <row r="221" spans="2:2" x14ac:dyDescent="0.2">
      <c r="B221" s="145" t="s">
        <v>2640</v>
      </c>
    </row>
    <row r="222" spans="2:2" x14ac:dyDescent="0.2">
      <c r="B222" s="145" t="s">
        <v>2641</v>
      </c>
    </row>
    <row r="223" spans="2:2" x14ac:dyDescent="0.2">
      <c r="B223" s="145" t="s">
        <v>2642</v>
      </c>
    </row>
    <row r="224" spans="2:2" x14ac:dyDescent="0.2">
      <c r="B224" s="145" t="s">
        <v>2643</v>
      </c>
    </row>
    <row r="225" spans="2:2" x14ac:dyDescent="0.2">
      <c r="B225" s="145" t="s">
        <v>2644</v>
      </c>
    </row>
    <row r="226" spans="2:2" x14ac:dyDescent="0.2">
      <c r="B226" s="145" t="s">
        <v>2645</v>
      </c>
    </row>
    <row r="227" spans="2:2" x14ac:dyDescent="0.2">
      <c r="B227" s="145" t="s">
        <v>2646</v>
      </c>
    </row>
    <row r="228" spans="2:2" x14ac:dyDescent="0.2">
      <c r="B228" s="145" t="s">
        <v>2647</v>
      </c>
    </row>
    <row r="229" spans="2:2" x14ac:dyDescent="0.2">
      <c r="B229" s="145" t="s">
        <v>2648</v>
      </c>
    </row>
    <row r="230" spans="2:2" x14ac:dyDescent="0.2">
      <c r="B230" s="145" t="s">
        <v>2649</v>
      </c>
    </row>
    <row r="231" spans="2:2" x14ac:dyDescent="0.2">
      <c r="B231" s="145" t="s">
        <v>2650</v>
      </c>
    </row>
    <row r="232" spans="2:2" x14ac:dyDescent="0.2">
      <c r="B232" s="145" t="s">
        <v>2651</v>
      </c>
    </row>
    <row r="233" spans="2:2" x14ac:dyDescent="0.2">
      <c r="B233" s="145" t="s">
        <v>2652</v>
      </c>
    </row>
    <row r="234" spans="2:2" x14ac:dyDescent="0.2">
      <c r="B234" s="145" t="s">
        <v>2653</v>
      </c>
    </row>
    <row r="235" spans="2:2" x14ac:dyDescent="0.2">
      <c r="B235" s="145" t="s">
        <v>2654</v>
      </c>
    </row>
    <row r="236" spans="2:2" x14ac:dyDescent="0.2">
      <c r="B236" s="145" t="s">
        <v>2655</v>
      </c>
    </row>
    <row r="237" spans="2:2" x14ac:dyDescent="0.2">
      <c r="B237" s="145" t="s">
        <v>2656</v>
      </c>
    </row>
    <row r="238" spans="2:2" x14ac:dyDescent="0.2">
      <c r="B238" s="145" t="s">
        <v>2657</v>
      </c>
    </row>
    <row r="239" spans="2:2" x14ac:dyDescent="0.2">
      <c r="B239" s="145" t="s">
        <v>2658</v>
      </c>
    </row>
    <row r="240" spans="2:2" x14ac:dyDescent="0.2">
      <c r="B240" s="145" t="s">
        <v>2659</v>
      </c>
    </row>
    <row r="241" spans="2:2" x14ac:dyDescent="0.2">
      <c r="B241" s="145" t="s">
        <v>2660</v>
      </c>
    </row>
    <row r="242" spans="2:2" x14ac:dyDescent="0.2">
      <c r="B242" s="145" t="s">
        <v>2661</v>
      </c>
    </row>
    <row r="243" spans="2:2" x14ac:dyDescent="0.2">
      <c r="B243" s="145" t="s">
        <v>2662</v>
      </c>
    </row>
    <row r="244" spans="2:2" x14ac:dyDescent="0.2">
      <c r="B244" s="145" t="s">
        <v>2663</v>
      </c>
    </row>
    <row r="245" spans="2:2" x14ac:dyDescent="0.2">
      <c r="B245" s="145" t="s">
        <v>2664</v>
      </c>
    </row>
    <row r="246" spans="2:2" x14ac:dyDescent="0.2">
      <c r="B246" s="145" t="s">
        <v>2665</v>
      </c>
    </row>
    <row r="247" spans="2:2" x14ac:dyDescent="0.2">
      <c r="B247" s="145" t="s">
        <v>2666</v>
      </c>
    </row>
    <row r="248" spans="2:2" x14ac:dyDescent="0.2">
      <c r="B248" s="145" t="s">
        <v>2667</v>
      </c>
    </row>
    <row r="249" spans="2:2" x14ac:dyDescent="0.2">
      <c r="B249" s="145" t="s">
        <v>2668</v>
      </c>
    </row>
    <row r="250" spans="2:2" x14ac:dyDescent="0.2">
      <c r="B250" s="145" t="s">
        <v>2669</v>
      </c>
    </row>
    <row r="251" spans="2:2" x14ac:dyDescent="0.2">
      <c r="B251" s="145" t="s">
        <v>2670</v>
      </c>
    </row>
    <row r="252" spans="2:2" x14ac:dyDescent="0.2">
      <c r="B252" s="145" t="s">
        <v>2671</v>
      </c>
    </row>
    <row r="253" spans="2:2" x14ac:dyDescent="0.2">
      <c r="B253" s="145" t="s">
        <v>2672</v>
      </c>
    </row>
    <row r="254" spans="2:2" x14ac:dyDescent="0.2">
      <c r="B254" s="145" t="s">
        <v>2673</v>
      </c>
    </row>
    <row r="255" spans="2:2" x14ac:dyDescent="0.2">
      <c r="B255" s="145" t="s">
        <v>2674</v>
      </c>
    </row>
    <row r="256" spans="2:2" x14ac:dyDescent="0.2">
      <c r="B256" s="145" t="s">
        <v>2675</v>
      </c>
    </row>
    <row r="257" spans="2:2" x14ac:dyDescent="0.2">
      <c r="B257" s="145" t="s">
        <v>2676</v>
      </c>
    </row>
    <row r="258" spans="2:2" x14ac:dyDescent="0.2">
      <c r="B258" s="145" t="s">
        <v>2677</v>
      </c>
    </row>
    <row r="259" spans="2:2" x14ac:dyDescent="0.2">
      <c r="B259" s="145" t="s">
        <v>2678</v>
      </c>
    </row>
    <row r="260" spans="2:2" x14ac:dyDescent="0.2">
      <c r="B260" s="145" t="s">
        <v>2679</v>
      </c>
    </row>
    <row r="261" spans="2:2" x14ac:dyDescent="0.2">
      <c r="B261" s="145" t="s">
        <v>2680</v>
      </c>
    </row>
    <row r="262" spans="2:2" x14ac:dyDescent="0.2">
      <c r="B262" s="145" t="s">
        <v>2681</v>
      </c>
    </row>
    <row r="263" spans="2:2" x14ac:dyDescent="0.2">
      <c r="B263" s="145" t="s">
        <v>2682</v>
      </c>
    </row>
    <row r="264" spans="2:2" x14ac:dyDescent="0.2">
      <c r="B264" s="145" t="s">
        <v>2683</v>
      </c>
    </row>
    <row r="265" spans="2:2" x14ac:dyDescent="0.2">
      <c r="B265" s="145" t="s">
        <v>2684</v>
      </c>
    </row>
    <row r="266" spans="2:2" x14ac:dyDescent="0.2">
      <c r="B266" s="145" t="s">
        <v>2685</v>
      </c>
    </row>
    <row r="267" spans="2:2" x14ac:dyDescent="0.2">
      <c r="B267" s="145" t="s">
        <v>2686</v>
      </c>
    </row>
    <row r="268" spans="2:2" x14ac:dyDescent="0.2">
      <c r="B268" s="145" t="s">
        <v>2687</v>
      </c>
    </row>
    <row r="269" spans="2:2" x14ac:dyDescent="0.2">
      <c r="B269" s="145" t="s">
        <v>2688</v>
      </c>
    </row>
    <row r="270" spans="2:2" x14ac:dyDescent="0.2">
      <c r="B270" s="145" t="s">
        <v>2689</v>
      </c>
    </row>
    <row r="271" spans="2:2" x14ac:dyDescent="0.2">
      <c r="B271" s="145" t="s">
        <v>2690</v>
      </c>
    </row>
    <row r="272" spans="2:2" x14ac:dyDescent="0.2">
      <c r="B272" s="145" t="s">
        <v>2691</v>
      </c>
    </row>
    <row r="273" spans="2:2" x14ac:dyDescent="0.2">
      <c r="B273" s="145" t="s">
        <v>2692</v>
      </c>
    </row>
    <row r="274" spans="2:2" x14ac:dyDescent="0.2">
      <c r="B274" s="145" t="s">
        <v>2693</v>
      </c>
    </row>
    <row r="275" spans="2:2" x14ac:dyDescent="0.2">
      <c r="B275" s="145" t="s">
        <v>2694</v>
      </c>
    </row>
    <row r="276" spans="2:2" x14ac:dyDescent="0.2">
      <c r="B276" s="145" t="s">
        <v>2695</v>
      </c>
    </row>
    <row r="277" spans="2:2" x14ac:dyDescent="0.2">
      <c r="B277" s="145" t="s">
        <v>2696</v>
      </c>
    </row>
    <row r="278" spans="2:2" x14ac:dyDescent="0.2">
      <c r="B278" s="145" t="s">
        <v>2697</v>
      </c>
    </row>
    <row r="279" spans="2:2" x14ac:dyDescent="0.2">
      <c r="B279" s="145" t="s">
        <v>2698</v>
      </c>
    </row>
    <row r="280" spans="2:2" x14ac:dyDescent="0.2">
      <c r="B280" s="145" t="s">
        <v>2699</v>
      </c>
    </row>
    <row r="281" spans="2:2" x14ac:dyDescent="0.2">
      <c r="B281" s="145" t="s">
        <v>2700</v>
      </c>
    </row>
    <row r="282" spans="2:2" x14ac:dyDescent="0.2">
      <c r="B282" s="145" t="s">
        <v>2701</v>
      </c>
    </row>
    <row r="283" spans="2:2" x14ac:dyDescent="0.2">
      <c r="B283" s="145" t="s">
        <v>2702</v>
      </c>
    </row>
    <row r="284" spans="2:2" x14ac:dyDescent="0.2">
      <c r="B284" s="145" t="s">
        <v>2703</v>
      </c>
    </row>
    <row r="285" spans="2:2" x14ac:dyDescent="0.2">
      <c r="B285" s="145" t="s">
        <v>2704</v>
      </c>
    </row>
    <row r="286" spans="2:2" x14ac:dyDescent="0.2">
      <c r="B286" s="145" t="s">
        <v>2705</v>
      </c>
    </row>
    <row r="287" spans="2:2" x14ac:dyDescent="0.2">
      <c r="B287" s="145" t="s">
        <v>2706</v>
      </c>
    </row>
    <row r="288" spans="2:2" x14ac:dyDescent="0.2">
      <c r="B288" s="145" t="s">
        <v>2707</v>
      </c>
    </row>
    <row r="289" spans="2:2" x14ac:dyDescent="0.2">
      <c r="B289" s="145" t="s">
        <v>2708</v>
      </c>
    </row>
    <row r="290" spans="2:2" x14ac:dyDescent="0.2">
      <c r="B290" s="145" t="s">
        <v>2709</v>
      </c>
    </row>
    <row r="291" spans="2:2" x14ac:dyDescent="0.2">
      <c r="B291" s="145" t="s">
        <v>2710</v>
      </c>
    </row>
    <row r="292" spans="2:2" x14ac:dyDescent="0.2">
      <c r="B292" s="145" t="s">
        <v>2711</v>
      </c>
    </row>
    <row r="293" spans="2:2" x14ac:dyDescent="0.2">
      <c r="B293" s="145" t="s">
        <v>2712</v>
      </c>
    </row>
    <row r="294" spans="2:2" x14ac:dyDescent="0.2">
      <c r="B294" s="145" t="s">
        <v>2713</v>
      </c>
    </row>
    <row r="295" spans="2:2" x14ac:dyDescent="0.2">
      <c r="B295" s="145" t="s">
        <v>2714</v>
      </c>
    </row>
    <row r="296" spans="2:2" x14ac:dyDescent="0.2">
      <c r="B296" s="145" t="s">
        <v>2715</v>
      </c>
    </row>
    <row r="297" spans="2:2" x14ac:dyDescent="0.2">
      <c r="B297" s="145" t="s">
        <v>2716</v>
      </c>
    </row>
    <row r="298" spans="2:2" x14ac:dyDescent="0.2">
      <c r="B298" s="145" t="s">
        <v>2717</v>
      </c>
    </row>
    <row r="299" spans="2:2" x14ac:dyDescent="0.2">
      <c r="B299" s="145" t="s">
        <v>2718</v>
      </c>
    </row>
    <row r="300" spans="2:2" x14ac:dyDescent="0.2">
      <c r="B300" s="145" t="s">
        <v>2719</v>
      </c>
    </row>
    <row r="301" spans="2:2" x14ac:dyDescent="0.2">
      <c r="B301" s="145" t="s">
        <v>2720</v>
      </c>
    </row>
    <row r="302" spans="2:2" x14ac:dyDescent="0.2">
      <c r="B302" s="145" t="s">
        <v>2721</v>
      </c>
    </row>
    <row r="303" spans="2:2" x14ac:dyDescent="0.2">
      <c r="B303" s="145" t="s">
        <v>2722</v>
      </c>
    </row>
    <row r="304" spans="2:2" x14ac:dyDescent="0.2">
      <c r="B304" s="145" t="s">
        <v>2723</v>
      </c>
    </row>
    <row r="305" spans="2:2" x14ac:dyDescent="0.2">
      <c r="B305" s="145" t="s">
        <v>2724</v>
      </c>
    </row>
    <row r="306" spans="2:2" x14ac:dyDescent="0.2">
      <c r="B306" s="145" t="s">
        <v>2725</v>
      </c>
    </row>
    <row r="307" spans="2:2" x14ac:dyDescent="0.2">
      <c r="B307" s="145" t="s">
        <v>2726</v>
      </c>
    </row>
    <row r="308" spans="2:2" x14ac:dyDescent="0.2">
      <c r="B308" s="145" t="s">
        <v>2727</v>
      </c>
    </row>
    <row r="309" spans="2:2" x14ac:dyDescent="0.2">
      <c r="B309" s="145" t="s">
        <v>2728</v>
      </c>
    </row>
    <row r="310" spans="2:2" x14ac:dyDescent="0.2">
      <c r="B310" s="145" t="s">
        <v>2729</v>
      </c>
    </row>
    <row r="311" spans="2:2" x14ac:dyDescent="0.2">
      <c r="B311" s="145" t="s">
        <v>2730</v>
      </c>
    </row>
    <row r="312" spans="2:2" x14ac:dyDescent="0.2">
      <c r="B312" s="145" t="s">
        <v>2731</v>
      </c>
    </row>
    <row r="313" spans="2:2" x14ac:dyDescent="0.2">
      <c r="B313" s="145" t="s">
        <v>2732</v>
      </c>
    </row>
    <row r="314" spans="2:2" x14ac:dyDescent="0.2">
      <c r="B314" s="145" t="s">
        <v>2733</v>
      </c>
    </row>
    <row r="315" spans="2:2" x14ac:dyDescent="0.2">
      <c r="B315" s="145" t="s">
        <v>2734</v>
      </c>
    </row>
    <row r="316" spans="2:2" x14ac:dyDescent="0.2">
      <c r="B316" s="145" t="s">
        <v>2735</v>
      </c>
    </row>
    <row r="317" spans="2:2" x14ac:dyDescent="0.2">
      <c r="B317" s="145" t="s">
        <v>2736</v>
      </c>
    </row>
    <row r="318" spans="2:2" x14ac:dyDescent="0.2">
      <c r="B318" s="145" t="s">
        <v>2737</v>
      </c>
    </row>
    <row r="319" spans="2:2" x14ac:dyDescent="0.2">
      <c r="B319" s="145" t="s">
        <v>2738</v>
      </c>
    </row>
    <row r="320" spans="2:2" x14ac:dyDescent="0.2">
      <c r="B320" s="145" t="s">
        <v>2739</v>
      </c>
    </row>
    <row r="321" spans="2:2" x14ac:dyDescent="0.2">
      <c r="B321" s="145" t="s">
        <v>2740</v>
      </c>
    </row>
    <row r="322" spans="2:2" x14ac:dyDescent="0.2">
      <c r="B322" s="145" t="s">
        <v>2741</v>
      </c>
    </row>
    <row r="323" spans="2:2" x14ac:dyDescent="0.2">
      <c r="B323" s="145" t="s">
        <v>2742</v>
      </c>
    </row>
    <row r="324" spans="2:2" x14ac:dyDescent="0.2">
      <c r="B324" s="145" t="s">
        <v>2743</v>
      </c>
    </row>
    <row r="325" spans="2:2" x14ac:dyDescent="0.2">
      <c r="B325" s="145" t="s">
        <v>2744</v>
      </c>
    </row>
    <row r="326" spans="2:2" x14ac:dyDescent="0.2">
      <c r="B326" s="145" t="s">
        <v>2745</v>
      </c>
    </row>
    <row r="327" spans="2:2" x14ac:dyDescent="0.2">
      <c r="B327" s="145" t="s">
        <v>2746</v>
      </c>
    </row>
    <row r="328" spans="2:2" x14ac:dyDescent="0.2">
      <c r="B328" s="145" t="s">
        <v>2747</v>
      </c>
    </row>
    <row r="329" spans="2:2" x14ac:dyDescent="0.2">
      <c r="B329" s="145" t="s">
        <v>2748</v>
      </c>
    </row>
    <row r="330" spans="2:2" x14ac:dyDescent="0.2">
      <c r="B330" s="145" t="s">
        <v>2749</v>
      </c>
    </row>
    <row r="331" spans="2:2" x14ac:dyDescent="0.2">
      <c r="B331" s="145" t="s">
        <v>2750</v>
      </c>
    </row>
    <row r="332" spans="2:2" x14ac:dyDescent="0.2">
      <c r="B332" s="145" t="s">
        <v>2751</v>
      </c>
    </row>
    <row r="333" spans="2:2" x14ac:dyDescent="0.2">
      <c r="B333" s="145" t="s">
        <v>2752</v>
      </c>
    </row>
    <row r="334" spans="2:2" x14ac:dyDescent="0.2">
      <c r="B334" s="145" t="s">
        <v>2753</v>
      </c>
    </row>
    <row r="335" spans="2:2" x14ac:dyDescent="0.2">
      <c r="B335" s="145" t="s">
        <v>2754</v>
      </c>
    </row>
    <row r="336" spans="2:2" x14ac:dyDescent="0.2">
      <c r="B336" s="145" t="s">
        <v>2755</v>
      </c>
    </row>
    <row r="337" spans="2:2" x14ac:dyDescent="0.2">
      <c r="B337" s="145" t="s">
        <v>2756</v>
      </c>
    </row>
    <row r="338" spans="2:2" x14ac:dyDescent="0.2">
      <c r="B338" s="145" t="s">
        <v>2757</v>
      </c>
    </row>
    <row r="339" spans="2:2" x14ac:dyDescent="0.2">
      <c r="B339" s="145" t="s">
        <v>2758</v>
      </c>
    </row>
    <row r="340" spans="2:2" x14ac:dyDescent="0.2">
      <c r="B340" s="145" t="s">
        <v>2759</v>
      </c>
    </row>
    <row r="341" spans="2:2" x14ac:dyDescent="0.2">
      <c r="B341" s="145" t="s">
        <v>2760</v>
      </c>
    </row>
    <row r="342" spans="2:2" x14ac:dyDescent="0.2">
      <c r="B342" s="145" t="s">
        <v>2761</v>
      </c>
    </row>
    <row r="343" spans="2:2" x14ac:dyDescent="0.2">
      <c r="B343" s="145" t="s">
        <v>2762</v>
      </c>
    </row>
    <row r="344" spans="2:2" x14ac:dyDescent="0.2">
      <c r="B344" s="145" t="s">
        <v>2763</v>
      </c>
    </row>
    <row r="345" spans="2:2" x14ac:dyDescent="0.2">
      <c r="B345" s="145" t="s">
        <v>2764</v>
      </c>
    </row>
    <row r="346" spans="2:2" x14ac:dyDescent="0.2">
      <c r="B346" s="145" t="s">
        <v>2765</v>
      </c>
    </row>
    <row r="347" spans="2:2" x14ac:dyDescent="0.2">
      <c r="B347" s="145" t="s">
        <v>2766</v>
      </c>
    </row>
    <row r="348" spans="2:2" x14ac:dyDescent="0.2">
      <c r="B348" s="145" t="s">
        <v>2767</v>
      </c>
    </row>
    <row r="349" spans="2:2" x14ac:dyDescent="0.2">
      <c r="B349" s="145" t="s">
        <v>2768</v>
      </c>
    </row>
    <row r="350" spans="2:2" x14ac:dyDescent="0.2">
      <c r="B350" s="145" t="s">
        <v>2769</v>
      </c>
    </row>
    <row r="351" spans="2:2" x14ac:dyDescent="0.2">
      <c r="B351" s="145" t="s">
        <v>2770</v>
      </c>
    </row>
    <row r="352" spans="2:2" x14ac:dyDescent="0.2">
      <c r="B352" s="145" t="s">
        <v>2771</v>
      </c>
    </row>
    <row r="353" spans="2:2" x14ac:dyDescent="0.2">
      <c r="B353" s="145" t="s">
        <v>2772</v>
      </c>
    </row>
    <row r="354" spans="2:2" x14ac:dyDescent="0.2">
      <c r="B354" s="145" t="s">
        <v>2773</v>
      </c>
    </row>
    <row r="355" spans="2:2" x14ac:dyDescent="0.2">
      <c r="B355" s="145" t="s">
        <v>2774</v>
      </c>
    </row>
    <row r="356" spans="2:2" x14ac:dyDescent="0.2">
      <c r="B356" s="145" t="s">
        <v>2775</v>
      </c>
    </row>
    <row r="357" spans="2:2" x14ac:dyDescent="0.2">
      <c r="B357" s="145" t="s">
        <v>2776</v>
      </c>
    </row>
    <row r="358" spans="2:2" x14ac:dyDescent="0.2">
      <c r="B358" s="145" t="s">
        <v>2777</v>
      </c>
    </row>
    <row r="359" spans="2:2" x14ac:dyDescent="0.2">
      <c r="B359" s="145" t="s">
        <v>2778</v>
      </c>
    </row>
    <row r="360" spans="2:2" x14ac:dyDescent="0.2">
      <c r="B360" s="145" t="s">
        <v>2779</v>
      </c>
    </row>
    <row r="361" spans="2:2" x14ac:dyDescent="0.2">
      <c r="B361" s="145" t="s">
        <v>2780</v>
      </c>
    </row>
    <row r="362" spans="2:2" x14ac:dyDescent="0.2">
      <c r="B362" s="145" t="s">
        <v>2781</v>
      </c>
    </row>
    <row r="363" spans="2:2" x14ac:dyDescent="0.2">
      <c r="B363" s="145" t="s">
        <v>2782</v>
      </c>
    </row>
    <row r="364" spans="2:2" x14ac:dyDescent="0.2">
      <c r="B364" s="145" t="s">
        <v>2783</v>
      </c>
    </row>
    <row r="365" spans="2:2" x14ac:dyDescent="0.2">
      <c r="B365" s="145" t="s">
        <v>2784</v>
      </c>
    </row>
    <row r="366" spans="2:2" x14ac:dyDescent="0.2">
      <c r="B366" s="145" t="s">
        <v>2785</v>
      </c>
    </row>
    <row r="367" spans="2:2" x14ac:dyDescent="0.2">
      <c r="B367" s="145" t="s">
        <v>2786</v>
      </c>
    </row>
    <row r="368" spans="2:2" x14ac:dyDescent="0.2">
      <c r="B368" s="145" t="s">
        <v>2787</v>
      </c>
    </row>
    <row r="369" spans="2:2" x14ac:dyDescent="0.2">
      <c r="B369" s="145" t="s">
        <v>2788</v>
      </c>
    </row>
    <row r="370" spans="2:2" x14ac:dyDescent="0.2">
      <c r="B370" s="145" t="s">
        <v>2789</v>
      </c>
    </row>
    <row r="371" spans="2:2" x14ac:dyDescent="0.2">
      <c r="B371" s="145" t="s">
        <v>2790</v>
      </c>
    </row>
    <row r="372" spans="2:2" x14ac:dyDescent="0.2">
      <c r="B372" s="145" t="s">
        <v>2791</v>
      </c>
    </row>
    <row r="373" spans="2:2" x14ac:dyDescent="0.2">
      <c r="B373" s="145" t="s">
        <v>2792</v>
      </c>
    </row>
    <row r="374" spans="2:2" x14ac:dyDescent="0.2">
      <c r="B374" s="145" t="s">
        <v>2793</v>
      </c>
    </row>
    <row r="375" spans="2:2" x14ac:dyDescent="0.2">
      <c r="B375" s="145" t="s">
        <v>2794</v>
      </c>
    </row>
    <row r="376" spans="2:2" x14ac:dyDescent="0.2">
      <c r="B376" s="145" t="s">
        <v>2795</v>
      </c>
    </row>
    <row r="377" spans="2:2" x14ac:dyDescent="0.2">
      <c r="B377" s="145" t="s">
        <v>2796</v>
      </c>
    </row>
    <row r="378" spans="2:2" x14ac:dyDescent="0.2">
      <c r="B378" s="145" t="s">
        <v>2797</v>
      </c>
    </row>
    <row r="379" spans="2:2" x14ac:dyDescent="0.2">
      <c r="B379" s="145" t="s">
        <v>2798</v>
      </c>
    </row>
    <row r="380" spans="2:2" x14ac:dyDescent="0.2">
      <c r="B380" s="145" t="s">
        <v>2799</v>
      </c>
    </row>
    <row r="381" spans="2:2" x14ac:dyDescent="0.2">
      <c r="B381" s="145" t="s">
        <v>2800</v>
      </c>
    </row>
    <row r="382" spans="2:2" x14ac:dyDescent="0.2">
      <c r="B382" s="145" t="s">
        <v>2801</v>
      </c>
    </row>
    <row r="383" spans="2:2" x14ac:dyDescent="0.2">
      <c r="B383" s="145" t="s">
        <v>2802</v>
      </c>
    </row>
    <row r="384" spans="2:2" x14ac:dyDescent="0.2">
      <c r="B384" s="145" t="s">
        <v>2803</v>
      </c>
    </row>
    <row r="385" spans="2:2" x14ac:dyDescent="0.2">
      <c r="B385" s="145" t="s">
        <v>2804</v>
      </c>
    </row>
    <row r="386" spans="2:2" x14ac:dyDescent="0.2">
      <c r="B386" s="145" t="s">
        <v>2805</v>
      </c>
    </row>
    <row r="387" spans="2:2" x14ac:dyDescent="0.2">
      <c r="B387" s="145" t="s">
        <v>2806</v>
      </c>
    </row>
    <row r="388" spans="2:2" x14ac:dyDescent="0.2">
      <c r="B388" s="145" t="s">
        <v>2807</v>
      </c>
    </row>
    <row r="389" spans="2:2" x14ac:dyDescent="0.2">
      <c r="B389" s="145" t="s">
        <v>2808</v>
      </c>
    </row>
    <row r="390" spans="2:2" x14ac:dyDescent="0.2">
      <c r="B390" s="145" t="s">
        <v>2809</v>
      </c>
    </row>
    <row r="391" spans="2:2" x14ac:dyDescent="0.2">
      <c r="B391" s="145" t="s">
        <v>2810</v>
      </c>
    </row>
    <row r="392" spans="2:2" x14ac:dyDescent="0.2">
      <c r="B392" s="145" t="s">
        <v>2811</v>
      </c>
    </row>
    <row r="393" spans="2:2" x14ac:dyDescent="0.2">
      <c r="B393" s="145" t="s">
        <v>2812</v>
      </c>
    </row>
    <row r="394" spans="2:2" x14ac:dyDescent="0.2">
      <c r="B394" s="145" t="s">
        <v>2813</v>
      </c>
    </row>
    <row r="395" spans="2:2" x14ac:dyDescent="0.2">
      <c r="B395" s="145" t="s">
        <v>2814</v>
      </c>
    </row>
    <row r="396" spans="2:2" x14ac:dyDescent="0.2">
      <c r="B396" s="145" t="s">
        <v>2815</v>
      </c>
    </row>
    <row r="397" spans="2:2" x14ac:dyDescent="0.2">
      <c r="B397" s="145" t="s">
        <v>2816</v>
      </c>
    </row>
    <row r="398" spans="2:2" x14ac:dyDescent="0.2">
      <c r="B398" s="145" t="s">
        <v>2817</v>
      </c>
    </row>
    <row r="399" spans="2:2" x14ac:dyDescent="0.2">
      <c r="B399" s="145" t="s">
        <v>2818</v>
      </c>
    </row>
    <row r="400" spans="2:2" x14ac:dyDescent="0.2">
      <c r="B400" s="145" t="s">
        <v>2819</v>
      </c>
    </row>
    <row r="401" spans="2:2" x14ac:dyDescent="0.2">
      <c r="B401" s="145" t="s">
        <v>2820</v>
      </c>
    </row>
    <row r="402" spans="2:2" x14ac:dyDescent="0.2">
      <c r="B402" s="145" t="s">
        <v>2821</v>
      </c>
    </row>
    <row r="403" spans="2:2" x14ac:dyDescent="0.2">
      <c r="B403" s="145" t="s">
        <v>2822</v>
      </c>
    </row>
    <row r="404" spans="2:2" x14ac:dyDescent="0.2">
      <c r="B404" s="145" t="s">
        <v>2823</v>
      </c>
    </row>
    <row r="405" spans="2:2" x14ac:dyDescent="0.2">
      <c r="B405" s="145" t="s">
        <v>2824</v>
      </c>
    </row>
    <row r="406" spans="2:2" x14ac:dyDescent="0.2">
      <c r="B406" s="145" t="s">
        <v>2825</v>
      </c>
    </row>
    <row r="407" spans="2:2" x14ac:dyDescent="0.2">
      <c r="B407" s="145" t="s">
        <v>2826</v>
      </c>
    </row>
    <row r="408" spans="2:2" x14ac:dyDescent="0.2">
      <c r="B408" s="145" t="s">
        <v>2827</v>
      </c>
    </row>
    <row r="409" spans="2:2" x14ac:dyDescent="0.2">
      <c r="B409" s="145" t="s">
        <v>2828</v>
      </c>
    </row>
    <row r="410" spans="2:2" x14ac:dyDescent="0.2">
      <c r="B410" s="145" t="s">
        <v>2829</v>
      </c>
    </row>
    <row r="411" spans="2:2" x14ac:dyDescent="0.2">
      <c r="B411" s="145" t="s">
        <v>2830</v>
      </c>
    </row>
    <row r="412" spans="2:2" x14ac:dyDescent="0.2">
      <c r="B412" s="145" t="s">
        <v>2831</v>
      </c>
    </row>
    <row r="413" spans="2:2" x14ac:dyDescent="0.2">
      <c r="B413" s="145" t="s">
        <v>2832</v>
      </c>
    </row>
    <row r="414" spans="2:2" x14ac:dyDescent="0.2">
      <c r="B414" s="145" t="s">
        <v>2833</v>
      </c>
    </row>
    <row r="415" spans="2:2" x14ac:dyDescent="0.2">
      <c r="B415" s="145" t="s">
        <v>2834</v>
      </c>
    </row>
    <row r="416" spans="2:2" x14ac:dyDescent="0.2">
      <c r="B416" s="145" t="s">
        <v>2835</v>
      </c>
    </row>
    <row r="417" spans="2:2" x14ac:dyDescent="0.2">
      <c r="B417" s="145" t="s">
        <v>2836</v>
      </c>
    </row>
    <row r="418" spans="2:2" x14ac:dyDescent="0.2">
      <c r="B418" s="145" t="s">
        <v>2837</v>
      </c>
    </row>
    <row r="419" spans="2:2" x14ac:dyDescent="0.2">
      <c r="B419" s="145" t="s">
        <v>2838</v>
      </c>
    </row>
    <row r="420" spans="2:2" x14ac:dyDescent="0.2">
      <c r="B420" s="145" t="s">
        <v>2839</v>
      </c>
    </row>
    <row r="421" spans="2:2" x14ac:dyDescent="0.2">
      <c r="B421" s="145" t="s">
        <v>2840</v>
      </c>
    </row>
    <row r="422" spans="2:2" x14ac:dyDescent="0.2">
      <c r="B422" s="145" t="s">
        <v>2841</v>
      </c>
    </row>
    <row r="423" spans="2:2" x14ac:dyDescent="0.2">
      <c r="B423" s="145" t="s">
        <v>2842</v>
      </c>
    </row>
    <row r="424" spans="2:2" x14ac:dyDescent="0.2">
      <c r="B424" s="145" t="s">
        <v>2843</v>
      </c>
    </row>
    <row r="425" spans="2:2" x14ac:dyDescent="0.2">
      <c r="B425" s="145" t="s">
        <v>2844</v>
      </c>
    </row>
    <row r="426" spans="2:2" x14ac:dyDescent="0.2">
      <c r="B426" s="145" t="s">
        <v>2845</v>
      </c>
    </row>
    <row r="427" spans="2:2" x14ac:dyDescent="0.2">
      <c r="B427" s="145" t="s">
        <v>2846</v>
      </c>
    </row>
    <row r="428" spans="2:2" x14ac:dyDescent="0.2">
      <c r="B428" s="145" t="s">
        <v>2847</v>
      </c>
    </row>
    <row r="429" spans="2:2" x14ac:dyDescent="0.2">
      <c r="B429" s="145" t="s">
        <v>2848</v>
      </c>
    </row>
    <row r="430" spans="2:2" x14ac:dyDescent="0.2">
      <c r="B430" s="145" t="s">
        <v>2849</v>
      </c>
    </row>
    <row r="431" spans="2:2" x14ac:dyDescent="0.2">
      <c r="B431" s="145" t="s">
        <v>2850</v>
      </c>
    </row>
    <row r="432" spans="2:2" x14ac:dyDescent="0.2">
      <c r="B432" s="145" t="s">
        <v>2851</v>
      </c>
    </row>
    <row r="433" spans="2:2" x14ac:dyDescent="0.2">
      <c r="B433" s="145" t="s">
        <v>2852</v>
      </c>
    </row>
    <row r="434" spans="2:2" x14ac:dyDescent="0.2">
      <c r="B434" s="145" t="s">
        <v>2853</v>
      </c>
    </row>
    <row r="435" spans="2:2" x14ac:dyDescent="0.2">
      <c r="B435" s="145" t="s">
        <v>2854</v>
      </c>
    </row>
    <row r="436" spans="2:2" x14ac:dyDescent="0.2">
      <c r="B436" s="145" t="s">
        <v>2855</v>
      </c>
    </row>
    <row r="437" spans="2:2" x14ac:dyDescent="0.2">
      <c r="B437" s="145" t="s">
        <v>2856</v>
      </c>
    </row>
    <row r="438" spans="2:2" x14ac:dyDescent="0.2">
      <c r="B438" s="145" t="s">
        <v>2857</v>
      </c>
    </row>
    <row r="439" spans="2:2" x14ac:dyDescent="0.2">
      <c r="B439" s="145" t="s">
        <v>2858</v>
      </c>
    </row>
    <row r="440" spans="2:2" x14ac:dyDescent="0.2">
      <c r="B440" s="145" t="s">
        <v>2859</v>
      </c>
    </row>
    <row r="441" spans="2:2" x14ac:dyDescent="0.2">
      <c r="B441" s="145" t="s">
        <v>2860</v>
      </c>
    </row>
    <row r="442" spans="2:2" x14ac:dyDescent="0.2">
      <c r="B442" s="145" t="s">
        <v>2861</v>
      </c>
    </row>
    <row r="443" spans="2:2" x14ac:dyDescent="0.2">
      <c r="B443" s="145" t="s">
        <v>2862</v>
      </c>
    </row>
    <row r="444" spans="2:2" x14ac:dyDescent="0.2">
      <c r="B444" s="145" t="s">
        <v>2863</v>
      </c>
    </row>
    <row r="445" spans="2:2" x14ac:dyDescent="0.2">
      <c r="B445" s="145" t="s">
        <v>2864</v>
      </c>
    </row>
    <row r="446" spans="2:2" x14ac:dyDescent="0.2">
      <c r="B446" s="145" t="s">
        <v>2865</v>
      </c>
    </row>
    <row r="447" spans="2:2" x14ac:dyDescent="0.2">
      <c r="B447" s="145" t="s">
        <v>2866</v>
      </c>
    </row>
    <row r="448" spans="2:2" x14ac:dyDescent="0.2">
      <c r="B448" s="145" t="s">
        <v>2867</v>
      </c>
    </row>
    <row r="449" spans="2:2" x14ac:dyDescent="0.2">
      <c r="B449" s="145" t="s">
        <v>2868</v>
      </c>
    </row>
    <row r="450" spans="2:2" x14ac:dyDescent="0.2">
      <c r="B450" s="145" t="s">
        <v>2869</v>
      </c>
    </row>
    <row r="451" spans="2:2" x14ac:dyDescent="0.2">
      <c r="B451" s="145" t="s">
        <v>2870</v>
      </c>
    </row>
    <row r="452" spans="2:2" x14ac:dyDescent="0.2">
      <c r="B452" s="145" t="s">
        <v>2871</v>
      </c>
    </row>
    <row r="453" spans="2:2" x14ac:dyDescent="0.2">
      <c r="B453" s="145" t="s">
        <v>2872</v>
      </c>
    </row>
    <row r="454" spans="2:2" x14ac:dyDescent="0.2">
      <c r="B454" s="145" t="s">
        <v>2873</v>
      </c>
    </row>
    <row r="455" spans="2:2" x14ac:dyDescent="0.2">
      <c r="B455" s="145" t="s">
        <v>2874</v>
      </c>
    </row>
    <row r="456" spans="2:2" x14ac:dyDescent="0.2">
      <c r="B456" s="145" t="s">
        <v>2875</v>
      </c>
    </row>
    <row r="457" spans="2:2" x14ac:dyDescent="0.2">
      <c r="B457" s="145" t="s">
        <v>2876</v>
      </c>
    </row>
    <row r="458" spans="2:2" x14ac:dyDescent="0.2">
      <c r="B458" s="145" t="s">
        <v>2877</v>
      </c>
    </row>
    <row r="459" spans="2:2" x14ac:dyDescent="0.2">
      <c r="B459" s="145" t="s">
        <v>2878</v>
      </c>
    </row>
    <row r="460" spans="2:2" x14ac:dyDescent="0.2">
      <c r="B460" s="145" t="s">
        <v>2879</v>
      </c>
    </row>
    <row r="461" spans="2:2" x14ac:dyDescent="0.2">
      <c r="B461" s="145" t="s">
        <v>2880</v>
      </c>
    </row>
    <row r="462" spans="2:2" x14ac:dyDescent="0.2">
      <c r="B462" s="145" t="s">
        <v>2881</v>
      </c>
    </row>
    <row r="463" spans="2:2" x14ac:dyDescent="0.2">
      <c r="B463" s="145" t="s">
        <v>2882</v>
      </c>
    </row>
    <row r="464" spans="2:2" x14ac:dyDescent="0.2">
      <c r="B464" s="145" t="s">
        <v>2883</v>
      </c>
    </row>
    <row r="465" spans="2:2" x14ac:dyDescent="0.2">
      <c r="B465" s="145" t="s">
        <v>2884</v>
      </c>
    </row>
    <row r="466" spans="2:2" x14ac:dyDescent="0.2">
      <c r="B466" s="145" t="s">
        <v>2885</v>
      </c>
    </row>
    <row r="467" spans="2:2" x14ac:dyDescent="0.2">
      <c r="B467" s="145" t="s">
        <v>2886</v>
      </c>
    </row>
    <row r="468" spans="2:2" x14ac:dyDescent="0.2">
      <c r="B468" s="145" t="s">
        <v>2887</v>
      </c>
    </row>
    <row r="469" spans="2:2" x14ac:dyDescent="0.2">
      <c r="B469" s="145" t="s">
        <v>2888</v>
      </c>
    </row>
    <row r="470" spans="2:2" x14ac:dyDescent="0.2">
      <c r="B470" s="145" t="s">
        <v>2889</v>
      </c>
    </row>
    <row r="471" spans="2:2" x14ac:dyDescent="0.2">
      <c r="B471" s="145" t="s">
        <v>2890</v>
      </c>
    </row>
    <row r="472" spans="2:2" x14ac:dyDescent="0.2">
      <c r="B472" s="145" t="s">
        <v>2891</v>
      </c>
    </row>
    <row r="473" spans="2:2" x14ac:dyDescent="0.2">
      <c r="B473" s="145" t="s">
        <v>2892</v>
      </c>
    </row>
    <row r="474" spans="2:2" x14ac:dyDescent="0.2">
      <c r="B474" s="145" t="s">
        <v>2893</v>
      </c>
    </row>
    <row r="475" spans="2:2" x14ac:dyDescent="0.2">
      <c r="B475" s="145" t="s">
        <v>2894</v>
      </c>
    </row>
    <row r="476" spans="2:2" x14ac:dyDescent="0.2">
      <c r="B476" s="145" t="s">
        <v>2895</v>
      </c>
    </row>
    <row r="477" spans="2:2" x14ac:dyDescent="0.2">
      <c r="B477" s="145" t="s">
        <v>2896</v>
      </c>
    </row>
    <row r="478" spans="2:2" x14ac:dyDescent="0.2">
      <c r="B478" s="145" t="s">
        <v>2897</v>
      </c>
    </row>
    <row r="479" spans="2:2" x14ac:dyDescent="0.2">
      <c r="B479" s="145" t="s">
        <v>2898</v>
      </c>
    </row>
    <row r="480" spans="2:2" x14ac:dyDescent="0.2">
      <c r="B480" s="145" t="s">
        <v>2899</v>
      </c>
    </row>
    <row r="481" spans="2:2" x14ac:dyDescent="0.2">
      <c r="B481" s="145" t="s">
        <v>2900</v>
      </c>
    </row>
    <row r="482" spans="2:2" x14ac:dyDescent="0.2">
      <c r="B482" s="145" t="s">
        <v>2901</v>
      </c>
    </row>
    <row r="483" spans="2:2" x14ac:dyDescent="0.2">
      <c r="B483" s="145" t="s">
        <v>2902</v>
      </c>
    </row>
    <row r="484" spans="2:2" x14ac:dyDescent="0.2">
      <c r="B484" s="145" t="s">
        <v>2903</v>
      </c>
    </row>
    <row r="485" spans="2:2" x14ac:dyDescent="0.2">
      <c r="B485" s="145" t="s">
        <v>2904</v>
      </c>
    </row>
    <row r="486" spans="2:2" x14ac:dyDescent="0.2">
      <c r="B486" s="145" t="s">
        <v>2905</v>
      </c>
    </row>
    <row r="487" spans="2:2" x14ac:dyDescent="0.2">
      <c r="B487" s="145" t="s">
        <v>2906</v>
      </c>
    </row>
    <row r="488" spans="2:2" x14ac:dyDescent="0.2">
      <c r="B488" s="145" t="s">
        <v>2907</v>
      </c>
    </row>
    <row r="489" spans="2:2" x14ac:dyDescent="0.2">
      <c r="B489" s="145" t="s">
        <v>2908</v>
      </c>
    </row>
    <row r="490" spans="2:2" x14ac:dyDescent="0.2">
      <c r="B490" s="145" t="s">
        <v>2909</v>
      </c>
    </row>
    <row r="491" spans="2:2" x14ac:dyDescent="0.2">
      <c r="B491" s="145" t="s">
        <v>2910</v>
      </c>
    </row>
    <row r="492" spans="2:2" x14ac:dyDescent="0.2">
      <c r="B492" s="145" t="s">
        <v>2911</v>
      </c>
    </row>
    <row r="493" spans="2:2" x14ac:dyDescent="0.2">
      <c r="B493" s="145" t="s">
        <v>2912</v>
      </c>
    </row>
    <row r="494" spans="2:2" x14ac:dyDescent="0.2">
      <c r="B494" s="145" t="s">
        <v>2913</v>
      </c>
    </row>
    <row r="495" spans="2:2" x14ac:dyDescent="0.2">
      <c r="B495" s="145" t="s">
        <v>2914</v>
      </c>
    </row>
    <row r="496" spans="2:2" x14ac:dyDescent="0.2">
      <c r="B496" s="145" t="s">
        <v>2915</v>
      </c>
    </row>
    <row r="497" spans="2:2" x14ac:dyDescent="0.2">
      <c r="B497" s="145" t="s">
        <v>2916</v>
      </c>
    </row>
    <row r="498" spans="2:2" x14ac:dyDescent="0.2">
      <c r="B498" s="145" t="s">
        <v>2917</v>
      </c>
    </row>
    <row r="499" spans="2:2" x14ac:dyDescent="0.2">
      <c r="B499" s="145" t="s">
        <v>2918</v>
      </c>
    </row>
    <row r="500" spans="2:2" x14ac:dyDescent="0.2">
      <c r="B500" s="145" t="s">
        <v>2919</v>
      </c>
    </row>
    <row r="501" spans="2:2" x14ac:dyDescent="0.2">
      <c r="B501" s="145" t="s">
        <v>2920</v>
      </c>
    </row>
    <row r="502" spans="2:2" x14ac:dyDescent="0.2">
      <c r="B502" s="145" t="s">
        <v>2921</v>
      </c>
    </row>
    <row r="503" spans="2:2" x14ac:dyDescent="0.2">
      <c r="B503" s="145" t="s">
        <v>2922</v>
      </c>
    </row>
    <row r="504" spans="2:2" x14ac:dyDescent="0.2">
      <c r="B504" s="145" t="s">
        <v>2923</v>
      </c>
    </row>
    <row r="505" spans="2:2" x14ac:dyDescent="0.2">
      <c r="B505" s="145" t="s">
        <v>2924</v>
      </c>
    </row>
    <row r="506" spans="2:2" x14ac:dyDescent="0.2">
      <c r="B506" s="145" t="s">
        <v>2925</v>
      </c>
    </row>
    <row r="507" spans="2:2" x14ac:dyDescent="0.2">
      <c r="B507" s="145" t="s">
        <v>2926</v>
      </c>
    </row>
    <row r="508" spans="2:2" x14ac:dyDescent="0.2">
      <c r="B508" s="145" t="s">
        <v>2927</v>
      </c>
    </row>
    <row r="509" spans="2:2" x14ac:dyDescent="0.2">
      <c r="B509" s="145" t="s">
        <v>2928</v>
      </c>
    </row>
    <row r="510" spans="2:2" x14ac:dyDescent="0.2">
      <c r="B510" s="145" t="s">
        <v>2929</v>
      </c>
    </row>
    <row r="511" spans="2:2" x14ac:dyDescent="0.2">
      <c r="B511" s="145" t="s">
        <v>2930</v>
      </c>
    </row>
    <row r="512" spans="2:2" x14ac:dyDescent="0.2">
      <c r="B512" s="145" t="s">
        <v>2931</v>
      </c>
    </row>
    <row r="513" spans="2:2" x14ac:dyDescent="0.2">
      <c r="B513" s="145" t="s">
        <v>2932</v>
      </c>
    </row>
    <row r="514" spans="2:2" x14ac:dyDescent="0.2">
      <c r="B514" s="145" t="s">
        <v>2933</v>
      </c>
    </row>
    <row r="515" spans="2:2" x14ac:dyDescent="0.2">
      <c r="B515" s="145" t="s">
        <v>2934</v>
      </c>
    </row>
    <row r="516" spans="2:2" x14ac:dyDescent="0.2">
      <c r="B516" s="145" t="s">
        <v>2935</v>
      </c>
    </row>
    <row r="517" spans="2:2" x14ac:dyDescent="0.2">
      <c r="B517" s="145" t="s">
        <v>2936</v>
      </c>
    </row>
    <row r="518" spans="2:2" x14ac:dyDescent="0.2">
      <c r="B518" s="145" t="s">
        <v>2937</v>
      </c>
    </row>
    <row r="519" spans="2:2" x14ac:dyDescent="0.2">
      <c r="B519" s="145" t="s">
        <v>2938</v>
      </c>
    </row>
    <row r="520" spans="2:2" x14ac:dyDescent="0.2">
      <c r="B520" s="145" t="s">
        <v>2939</v>
      </c>
    </row>
    <row r="521" spans="2:2" x14ac:dyDescent="0.2">
      <c r="B521" s="145" t="s">
        <v>2940</v>
      </c>
    </row>
    <row r="522" spans="2:2" x14ac:dyDescent="0.2">
      <c r="B522" s="145" t="s">
        <v>2941</v>
      </c>
    </row>
    <row r="523" spans="2:2" x14ac:dyDescent="0.2">
      <c r="B523" s="145" t="s">
        <v>2942</v>
      </c>
    </row>
    <row r="524" spans="2:2" x14ac:dyDescent="0.2">
      <c r="B524" s="145" t="s">
        <v>2943</v>
      </c>
    </row>
    <row r="525" spans="2:2" x14ac:dyDescent="0.2">
      <c r="B525" s="145" t="s">
        <v>2944</v>
      </c>
    </row>
    <row r="526" spans="2:2" x14ac:dyDescent="0.2">
      <c r="B526" s="145" t="s">
        <v>2945</v>
      </c>
    </row>
    <row r="527" spans="2:2" x14ac:dyDescent="0.2">
      <c r="B527" s="145" t="s">
        <v>2946</v>
      </c>
    </row>
    <row r="528" spans="2:2" x14ac:dyDescent="0.2">
      <c r="B528" s="145" t="s">
        <v>2947</v>
      </c>
    </row>
    <row r="529" spans="2:2" x14ac:dyDescent="0.2">
      <c r="B529" s="145" t="s">
        <v>2948</v>
      </c>
    </row>
    <row r="530" spans="2:2" x14ac:dyDescent="0.2">
      <c r="B530" s="145" t="s">
        <v>2949</v>
      </c>
    </row>
    <row r="531" spans="2:2" x14ac:dyDescent="0.2">
      <c r="B531" s="145" t="s">
        <v>2950</v>
      </c>
    </row>
    <row r="532" spans="2:2" x14ac:dyDescent="0.2">
      <c r="B532" s="145" t="s">
        <v>2951</v>
      </c>
    </row>
    <row r="533" spans="2:2" x14ac:dyDescent="0.2">
      <c r="B533" s="145" t="s">
        <v>2952</v>
      </c>
    </row>
    <row r="534" spans="2:2" x14ac:dyDescent="0.2">
      <c r="B534" s="145" t="s">
        <v>2953</v>
      </c>
    </row>
    <row r="535" spans="2:2" x14ac:dyDescent="0.2">
      <c r="B535" s="145" t="s">
        <v>2954</v>
      </c>
    </row>
    <row r="536" spans="2:2" x14ac:dyDescent="0.2">
      <c r="B536" s="145" t="s">
        <v>2955</v>
      </c>
    </row>
    <row r="537" spans="2:2" x14ac:dyDescent="0.2">
      <c r="B537" s="145" t="s">
        <v>2956</v>
      </c>
    </row>
    <row r="538" spans="2:2" x14ac:dyDescent="0.2">
      <c r="B538" s="145" t="s">
        <v>2957</v>
      </c>
    </row>
    <row r="539" spans="2:2" x14ac:dyDescent="0.2">
      <c r="B539" s="145" t="s">
        <v>2958</v>
      </c>
    </row>
    <row r="540" spans="2:2" x14ac:dyDescent="0.2">
      <c r="B540" s="145" t="s">
        <v>2959</v>
      </c>
    </row>
    <row r="541" spans="2:2" x14ac:dyDescent="0.2">
      <c r="B541" s="145" t="s">
        <v>2960</v>
      </c>
    </row>
    <row r="542" spans="2:2" x14ac:dyDescent="0.2">
      <c r="B542" s="145" t="s">
        <v>2961</v>
      </c>
    </row>
    <row r="543" spans="2:2" x14ac:dyDescent="0.2">
      <c r="B543" s="145" t="s">
        <v>2962</v>
      </c>
    </row>
    <row r="544" spans="2:2" x14ac:dyDescent="0.2">
      <c r="B544" s="145" t="s">
        <v>2963</v>
      </c>
    </row>
    <row r="545" spans="2:2" x14ac:dyDescent="0.2">
      <c r="B545" s="145" t="s">
        <v>2964</v>
      </c>
    </row>
    <row r="546" spans="2:2" x14ac:dyDescent="0.2">
      <c r="B546" s="145" t="s">
        <v>2965</v>
      </c>
    </row>
    <row r="547" spans="2:2" x14ac:dyDescent="0.2">
      <c r="B547" s="145" t="s">
        <v>2966</v>
      </c>
    </row>
    <row r="548" spans="2:2" x14ac:dyDescent="0.2">
      <c r="B548" s="145" t="s">
        <v>2967</v>
      </c>
    </row>
    <row r="549" spans="2:2" x14ac:dyDescent="0.2">
      <c r="B549" s="145" t="s">
        <v>2968</v>
      </c>
    </row>
    <row r="550" spans="2:2" x14ac:dyDescent="0.2">
      <c r="B550" s="145" t="s">
        <v>2969</v>
      </c>
    </row>
    <row r="551" spans="2:2" x14ac:dyDescent="0.2">
      <c r="B551" s="145" t="s">
        <v>2970</v>
      </c>
    </row>
    <row r="552" spans="2:2" x14ac:dyDescent="0.2">
      <c r="B552" s="145" t="s">
        <v>2971</v>
      </c>
    </row>
    <row r="553" spans="2:2" x14ac:dyDescent="0.2">
      <c r="B553" s="145" t="s">
        <v>2972</v>
      </c>
    </row>
    <row r="554" spans="2:2" x14ac:dyDescent="0.2">
      <c r="B554" s="145" t="s">
        <v>2973</v>
      </c>
    </row>
    <row r="555" spans="2:2" x14ac:dyDescent="0.2">
      <c r="B555" s="145" t="s">
        <v>2974</v>
      </c>
    </row>
    <row r="556" spans="2:2" x14ac:dyDescent="0.2">
      <c r="B556" s="145" t="s">
        <v>2975</v>
      </c>
    </row>
    <row r="557" spans="2:2" x14ac:dyDescent="0.2">
      <c r="B557" s="145" t="s">
        <v>2976</v>
      </c>
    </row>
    <row r="558" spans="2:2" x14ac:dyDescent="0.2">
      <c r="B558" s="145" t="s">
        <v>2977</v>
      </c>
    </row>
    <row r="559" spans="2:2" x14ac:dyDescent="0.2">
      <c r="B559" s="145" t="s">
        <v>2978</v>
      </c>
    </row>
    <row r="560" spans="2:2" x14ac:dyDescent="0.2">
      <c r="B560" s="145" t="s">
        <v>2979</v>
      </c>
    </row>
    <row r="561" spans="2:2" x14ac:dyDescent="0.2">
      <c r="B561" s="145" t="s">
        <v>2980</v>
      </c>
    </row>
    <row r="562" spans="2:2" x14ac:dyDescent="0.2">
      <c r="B562" s="145" t="s">
        <v>2981</v>
      </c>
    </row>
    <row r="563" spans="2:2" x14ac:dyDescent="0.2">
      <c r="B563" s="145" t="s">
        <v>2982</v>
      </c>
    </row>
    <row r="564" spans="2:2" x14ac:dyDescent="0.2">
      <c r="B564" s="145" t="s">
        <v>2983</v>
      </c>
    </row>
    <row r="565" spans="2:2" x14ac:dyDescent="0.2">
      <c r="B565" s="145" t="s">
        <v>2984</v>
      </c>
    </row>
    <row r="566" spans="2:2" x14ac:dyDescent="0.2">
      <c r="B566" s="145" t="s">
        <v>2985</v>
      </c>
    </row>
    <row r="567" spans="2:2" x14ac:dyDescent="0.2">
      <c r="B567" s="145" t="s">
        <v>2986</v>
      </c>
    </row>
    <row r="568" spans="2:2" x14ac:dyDescent="0.2">
      <c r="B568" s="145" t="s">
        <v>2987</v>
      </c>
    </row>
    <row r="569" spans="2:2" x14ac:dyDescent="0.2">
      <c r="B569" s="145" t="s">
        <v>2988</v>
      </c>
    </row>
    <row r="570" spans="2:2" x14ac:dyDescent="0.2">
      <c r="B570" s="145" t="s">
        <v>2989</v>
      </c>
    </row>
    <row r="571" spans="2:2" x14ac:dyDescent="0.2">
      <c r="B571" s="145" t="s">
        <v>2990</v>
      </c>
    </row>
    <row r="572" spans="2:2" x14ac:dyDescent="0.2">
      <c r="B572" s="145" t="s">
        <v>2991</v>
      </c>
    </row>
    <row r="573" spans="2:2" x14ac:dyDescent="0.2">
      <c r="B573" s="145" t="s">
        <v>2992</v>
      </c>
    </row>
    <row r="574" spans="2:2" x14ac:dyDescent="0.2">
      <c r="B574" s="145" t="s">
        <v>2993</v>
      </c>
    </row>
    <row r="575" spans="2:2" x14ac:dyDescent="0.2">
      <c r="B575" s="145" t="s">
        <v>2994</v>
      </c>
    </row>
    <row r="576" spans="2:2" x14ac:dyDescent="0.2">
      <c r="B576" s="145" t="s">
        <v>2995</v>
      </c>
    </row>
    <row r="577" spans="2:2" x14ac:dyDescent="0.2">
      <c r="B577" s="145" t="s">
        <v>2996</v>
      </c>
    </row>
    <row r="578" spans="2:2" x14ac:dyDescent="0.2">
      <c r="B578" s="145" t="s">
        <v>2997</v>
      </c>
    </row>
    <row r="579" spans="2:2" x14ac:dyDescent="0.2">
      <c r="B579" s="145" t="s">
        <v>2998</v>
      </c>
    </row>
    <row r="580" spans="2:2" x14ac:dyDescent="0.2">
      <c r="B580" s="145" t="s">
        <v>2999</v>
      </c>
    </row>
    <row r="581" spans="2:2" x14ac:dyDescent="0.2">
      <c r="B581" s="145" t="s">
        <v>3000</v>
      </c>
    </row>
    <row r="582" spans="2:2" x14ac:dyDescent="0.2">
      <c r="B582" s="145" t="s">
        <v>3001</v>
      </c>
    </row>
    <row r="583" spans="2:2" x14ac:dyDescent="0.2">
      <c r="B583" s="145" t="s">
        <v>3002</v>
      </c>
    </row>
    <row r="584" spans="2:2" x14ac:dyDescent="0.2">
      <c r="B584" s="145" t="s">
        <v>3003</v>
      </c>
    </row>
    <row r="585" spans="2:2" x14ac:dyDescent="0.2">
      <c r="B585" s="145" t="s">
        <v>3004</v>
      </c>
    </row>
    <row r="586" spans="2:2" x14ac:dyDescent="0.2">
      <c r="B586" s="145" t="s">
        <v>3005</v>
      </c>
    </row>
    <row r="587" spans="2:2" x14ac:dyDescent="0.2">
      <c r="B587" s="145" t="s">
        <v>3006</v>
      </c>
    </row>
    <row r="588" spans="2:2" x14ac:dyDescent="0.2">
      <c r="B588" s="145" t="s">
        <v>3007</v>
      </c>
    </row>
    <row r="589" spans="2:2" x14ac:dyDescent="0.2">
      <c r="B589" s="145" t="s">
        <v>3008</v>
      </c>
    </row>
    <row r="590" spans="2:2" x14ac:dyDescent="0.2">
      <c r="B590" s="145" t="s">
        <v>3009</v>
      </c>
    </row>
    <row r="591" spans="2:2" x14ac:dyDescent="0.2">
      <c r="B591" s="145" t="s">
        <v>3010</v>
      </c>
    </row>
    <row r="592" spans="2:2" x14ac:dyDescent="0.2">
      <c r="B592" s="145" t="s">
        <v>3011</v>
      </c>
    </row>
    <row r="593" spans="2:2" x14ac:dyDescent="0.2">
      <c r="B593" s="145" t="s">
        <v>3012</v>
      </c>
    </row>
    <row r="594" spans="2:2" x14ac:dyDescent="0.2">
      <c r="B594" s="145" t="s">
        <v>3013</v>
      </c>
    </row>
    <row r="595" spans="2:2" x14ac:dyDescent="0.2">
      <c r="B595" s="145" t="s">
        <v>3014</v>
      </c>
    </row>
    <row r="596" spans="2:2" x14ac:dyDescent="0.2">
      <c r="B596" s="145" t="s">
        <v>3015</v>
      </c>
    </row>
    <row r="597" spans="2:2" x14ac:dyDescent="0.2">
      <c r="B597" s="145" t="s">
        <v>3016</v>
      </c>
    </row>
    <row r="598" spans="2:2" x14ac:dyDescent="0.2">
      <c r="B598" s="145" t="s">
        <v>3017</v>
      </c>
    </row>
    <row r="599" spans="2:2" x14ac:dyDescent="0.2">
      <c r="B599" s="145" t="s">
        <v>3018</v>
      </c>
    </row>
    <row r="600" spans="2:2" x14ac:dyDescent="0.2">
      <c r="B600" s="145" t="s">
        <v>3019</v>
      </c>
    </row>
    <row r="601" spans="2:2" x14ac:dyDescent="0.2">
      <c r="B601" s="145" t="s">
        <v>3020</v>
      </c>
    </row>
    <row r="602" spans="2:2" x14ac:dyDescent="0.2">
      <c r="B602" s="145" t="s">
        <v>3021</v>
      </c>
    </row>
    <row r="603" spans="2:2" x14ac:dyDescent="0.2">
      <c r="B603" s="145" t="s">
        <v>3022</v>
      </c>
    </row>
    <row r="604" spans="2:2" x14ac:dyDescent="0.2">
      <c r="B604" s="145" t="s">
        <v>3023</v>
      </c>
    </row>
    <row r="605" spans="2:2" x14ac:dyDescent="0.2">
      <c r="B605" s="145" t="s">
        <v>3024</v>
      </c>
    </row>
    <row r="606" spans="2:2" x14ac:dyDescent="0.2">
      <c r="B606" s="145" t="s">
        <v>3025</v>
      </c>
    </row>
    <row r="607" spans="2:2" x14ac:dyDescent="0.2">
      <c r="B607" s="145" t="s">
        <v>3026</v>
      </c>
    </row>
    <row r="608" spans="2:2" x14ac:dyDescent="0.2">
      <c r="B608" s="145" t="s">
        <v>3027</v>
      </c>
    </row>
    <row r="609" spans="2:2" x14ac:dyDescent="0.2">
      <c r="B609" s="145" t="s">
        <v>3028</v>
      </c>
    </row>
    <row r="610" spans="2:2" x14ac:dyDescent="0.2">
      <c r="B610" s="145" t="s">
        <v>3029</v>
      </c>
    </row>
    <row r="611" spans="2:2" x14ac:dyDescent="0.2">
      <c r="B611" s="145" t="s">
        <v>3030</v>
      </c>
    </row>
    <row r="612" spans="2:2" x14ac:dyDescent="0.2">
      <c r="B612" s="145" t="s">
        <v>3031</v>
      </c>
    </row>
    <row r="613" spans="2:2" x14ac:dyDescent="0.2">
      <c r="B613" s="145" t="s">
        <v>3032</v>
      </c>
    </row>
    <row r="614" spans="2:2" x14ac:dyDescent="0.2">
      <c r="B614" s="145" t="s">
        <v>3033</v>
      </c>
    </row>
    <row r="615" spans="2:2" x14ac:dyDescent="0.2">
      <c r="B615" s="145" t="s">
        <v>3034</v>
      </c>
    </row>
    <row r="616" spans="2:2" x14ac:dyDescent="0.2">
      <c r="B616" s="145" t="s">
        <v>3035</v>
      </c>
    </row>
    <row r="617" spans="2:2" x14ac:dyDescent="0.2">
      <c r="B617" s="145" t="s">
        <v>3036</v>
      </c>
    </row>
    <row r="618" spans="2:2" x14ac:dyDescent="0.2">
      <c r="B618" s="145" t="s">
        <v>3037</v>
      </c>
    </row>
    <row r="619" spans="2:2" x14ac:dyDescent="0.2">
      <c r="B619" s="145" t="s">
        <v>3038</v>
      </c>
    </row>
    <row r="620" spans="2:2" x14ac:dyDescent="0.2">
      <c r="B620" s="145" t="s">
        <v>3039</v>
      </c>
    </row>
    <row r="621" spans="2:2" x14ac:dyDescent="0.2">
      <c r="B621" s="145" t="s">
        <v>3040</v>
      </c>
    </row>
    <row r="622" spans="2:2" x14ac:dyDescent="0.2">
      <c r="B622" s="145" t="s">
        <v>3041</v>
      </c>
    </row>
    <row r="623" spans="2:2" x14ac:dyDescent="0.2">
      <c r="B623" s="145" t="s">
        <v>3042</v>
      </c>
    </row>
    <row r="624" spans="2:2" x14ac:dyDescent="0.2">
      <c r="B624" s="145" t="s">
        <v>3043</v>
      </c>
    </row>
    <row r="625" spans="2:2" x14ac:dyDescent="0.2">
      <c r="B625" s="145" t="s">
        <v>3044</v>
      </c>
    </row>
    <row r="626" spans="2:2" x14ac:dyDescent="0.2">
      <c r="B626" s="145" t="s">
        <v>3045</v>
      </c>
    </row>
    <row r="627" spans="2:2" x14ac:dyDescent="0.2">
      <c r="B627" s="145" t="s">
        <v>3046</v>
      </c>
    </row>
    <row r="628" spans="2:2" x14ac:dyDescent="0.2">
      <c r="B628" s="145" t="s">
        <v>3047</v>
      </c>
    </row>
    <row r="629" spans="2:2" x14ac:dyDescent="0.2">
      <c r="B629" s="145" t="s">
        <v>3048</v>
      </c>
    </row>
    <row r="630" spans="2:2" x14ac:dyDescent="0.2">
      <c r="B630" s="145" t="s">
        <v>3049</v>
      </c>
    </row>
    <row r="631" spans="2:2" x14ac:dyDescent="0.2">
      <c r="B631" s="145" t="s">
        <v>3050</v>
      </c>
    </row>
    <row r="632" spans="2:2" x14ac:dyDescent="0.2">
      <c r="B632" s="145" t="s">
        <v>3051</v>
      </c>
    </row>
    <row r="633" spans="2:2" x14ac:dyDescent="0.2">
      <c r="B633" s="145" t="s">
        <v>3052</v>
      </c>
    </row>
    <row r="634" spans="2:2" x14ac:dyDescent="0.2">
      <c r="B634" s="145" t="s">
        <v>3053</v>
      </c>
    </row>
    <row r="635" spans="2:2" x14ac:dyDescent="0.2">
      <c r="B635" s="145" t="s">
        <v>3054</v>
      </c>
    </row>
    <row r="636" spans="2:2" x14ac:dyDescent="0.2">
      <c r="B636" s="145" t="s">
        <v>3055</v>
      </c>
    </row>
    <row r="637" spans="2:2" x14ac:dyDescent="0.2">
      <c r="B637" s="145" t="s">
        <v>3056</v>
      </c>
    </row>
    <row r="638" spans="2:2" x14ac:dyDescent="0.2">
      <c r="B638" s="145" t="s">
        <v>3057</v>
      </c>
    </row>
    <row r="639" spans="2:2" x14ac:dyDescent="0.2">
      <c r="B639" s="145" t="s">
        <v>3058</v>
      </c>
    </row>
    <row r="640" spans="2:2" x14ac:dyDescent="0.2">
      <c r="B640" s="145" t="s">
        <v>3059</v>
      </c>
    </row>
    <row r="641" spans="2:2" x14ac:dyDescent="0.2">
      <c r="B641" s="145" t="s">
        <v>3060</v>
      </c>
    </row>
    <row r="642" spans="2:2" x14ac:dyDescent="0.2">
      <c r="B642" s="145" t="s">
        <v>3061</v>
      </c>
    </row>
    <row r="643" spans="2:2" x14ac:dyDescent="0.2">
      <c r="B643" s="145" t="s">
        <v>3062</v>
      </c>
    </row>
    <row r="644" spans="2:2" x14ac:dyDescent="0.2">
      <c r="B644" s="145" t="s">
        <v>3063</v>
      </c>
    </row>
    <row r="645" spans="2:2" x14ac:dyDescent="0.2">
      <c r="B645" s="145" t="s">
        <v>3064</v>
      </c>
    </row>
    <row r="646" spans="2:2" x14ac:dyDescent="0.2">
      <c r="B646" s="145" t="s">
        <v>3065</v>
      </c>
    </row>
    <row r="647" spans="2:2" x14ac:dyDescent="0.2">
      <c r="B647" s="145" t="s">
        <v>3066</v>
      </c>
    </row>
    <row r="648" spans="2:2" x14ac:dyDescent="0.2">
      <c r="B648" s="145" t="s">
        <v>3067</v>
      </c>
    </row>
    <row r="649" spans="2:2" x14ac:dyDescent="0.2">
      <c r="B649" s="145" t="s">
        <v>3068</v>
      </c>
    </row>
    <row r="650" spans="2:2" x14ac:dyDescent="0.2">
      <c r="B650" s="145" t="s">
        <v>3069</v>
      </c>
    </row>
    <row r="651" spans="2:2" x14ac:dyDescent="0.2">
      <c r="B651" s="145" t="s">
        <v>3070</v>
      </c>
    </row>
    <row r="652" spans="2:2" x14ac:dyDescent="0.2">
      <c r="B652" s="145" t="s">
        <v>3071</v>
      </c>
    </row>
    <row r="653" spans="2:2" x14ac:dyDescent="0.2">
      <c r="B653" s="145" t="s">
        <v>3072</v>
      </c>
    </row>
    <row r="654" spans="2:2" x14ac:dyDescent="0.2">
      <c r="B654" s="145" t="s">
        <v>3073</v>
      </c>
    </row>
    <row r="655" spans="2:2" x14ac:dyDescent="0.2">
      <c r="B655" s="145" t="s">
        <v>3074</v>
      </c>
    </row>
    <row r="656" spans="2:2" x14ac:dyDescent="0.2">
      <c r="B656" s="145" t="s">
        <v>3075</v>
      </c>
    </row>
    <row r="657" spans="2:2" x14ac:dyDescent="0.2">
      <c r="B657" s="145" t="s">
        <v>3076</v>
      </c>
    </row>
    <row r="658" spans="2:2" x14ac:dyDescent="0.2">
      <c r="B658" s="145" t="s">
        <v>3077</v>
      </c>
    </row>
    <row r="659" spans="2:2" x14ac:dyDescent="0.2">
      <c r="B659" s="145" t="s">
        <v>3078</v>
      </c>
    </row>
    <row r="660" spans="2:2" x14ac:dyDescent="0.2">
      <c r="B660" s="145" t="s">
        <v>3079</v>
      </c>
    </row>
    <row r="661" spans="2:2" x14ac:dyDescent="0.2">
      <c r="B661" s="145" t="s">
        <v>3080</v>
      </c>
    </row>
    <row r="662" spans="2:2" x14ac:dyDescent="0.2">
      <c r="B662" s="145" t="s">
        <v>3081</v>
      </c>
    </row>
    <row r="663" spans="2:2" x14ac:dyDescent="0.2">
      <c r="B663" s="145" t="s">
        <v>3082</v>
      </c>
    </row>
    <row r="664" spans="2:2" x14ac:dyDescent="0.2">
      <c r="B664" s="145" t="s">
        <v>3083</v>
      </c>
    </row>
    <row r="665" spans="2:2" x14ac:dyDescent="0.2">
      <c r="B665" s="145" t="s">
        <v>3084</v>
      </c>
    </row>
    <row r="666" spans="2:2" x14ac:dyDescent="0.2">
      <c r="B666" s="145" t="s">
        <v>3085</v>
      </c>
    </row>
    <row r="667" spans="2:2" x14ac:dyDescent="0.2">
      <c r="B667" s="145" t="s">
        <v>3086</v>
      </c>
    </row>
    <row r="668" spans="2:2" x14ac:dyDescent="0.2">
      <c r="B668" s="145" t="s">
        <v>3087</v>
      </c>
    </row>
    <row r="669" spans="2:2" x14ac:dyDescent="0.2">
      <c r="B669" s="145" t="s">
        <v>3088</v>
      </c>
    </row>
    <row r="670" spans="2:2" x14ac:dyDescent="0.2">
      <c r="B670" s="145" t="s">
        <v>3089</v>
      </c>
    </row>
    <row r="671" spans="2:2" x14ac:dyDescent="0.2">
      <c r="B671" s="145" t="s">
        <v>3090</v>
      </c>
    </row>
    <row r="672" spans="2:2" x14ac:dyDescent="0.2">
      <c r="B672" s="145" t="s">
        <v>3091</v>
      </c>
    </row>
    <row r="673" spans="2:2" x14ac:dyDescent="0.2">
      <c r="B673" s="145" t="s">
        <v>3092</v>
      </c>
    </row>
    <row r="674" spans="2:2" x14ac:dyDescent="0.2">
      <c r="B674" s="145" t="s">
        <v>3093</v>
      </c>
    </row>
    <row r="675" spans="2:2" x14ac:dyDescent="0.2">
      <c r="B675" s="145" t="s">
        <v>3094</v>
      </c>
    </row>
    <row r="676" spans="2:2" x14ac:dyDescent="0.2">
      <c r="B676" s="145" t="s">
        <v>3095</v>
      </c>
    </row>
    <row r="677" spans="2:2" x14ac:dyDescent="0.2">
      <c r="B677" s="145" t="s">
        <v>3096</v>
      </c>
    </row>
    <row r="678" spans="2:2" x14ac:dyDescent="0.2">
      <c r="B678" s="145" t="s">
        <v>3097</v>
      </c>
    </row>
    <row r="679" spans="2:2" x14ac:dyDescent="0.2">
      <c r="B679" s="145" t="s">
        <v>3098</v>
      </c>
    </row>
    <row r="680" spans="2:2" x14ac:dyDescent="0.2">
      <c r="B680" s="145" t="s">
        <v>3099</v>
      </c>
    </row>
    <row r="681" spans="2:2" x14ac:dyDescent="0.2">
      <c r="B681" s="145" t="s">
        <v>3100</v>
      </c>
    </row>
    <row r="682" spans="2:2" x14ac:dyDescent="0.2">
      <c r="B682" s="145" t="s">
        <v>3101</v>
      </c>
    </row>
    <row r="683" spans="2:2" x14ac:dyDescent="0.2">
      <c r="B683" s="145" t="s">
        <v>3102</v>
      </c>
    </row>
    <row r="684" spans="2:2" x14ac:dyDescent="0.2">
      <c r="B684" s="145" t="s">
        <v>3103</v>
      </c>
    </row>
    <row r="685" spans="2:2" x14ac:dyDescent="0.2">
      <c r="B685" s="145" t="s">
        <v>3104</v>
      </c>
    </row>
    <row r="686" spans="2:2" x14ac:dyDescent="0.2">
      <c r="B686" s="145" t="s">
        <v>3105</v>
      </c>
    </row>
    <row r="687" spans="2:2" x14ac:dyDescent="0.2">
      <c r="B687" s="145" t="s">
        <v>3106</v>
      </c>
    </row>
    <row r="688" spans="2:2" x14ac:dyDescent="0.2">
      <c r="B688" s="145" t="s">
        <v>3107</v>
      </c>
    </row>
    <row r="689" spans="2:2" x14ac:dyDescent="0.2">
      <c r="B689" s="145" t="s">
        <v>3108</v>
      </c>
    </row>
    <row r="690" spans="2:2" x14ac:dyDescent="0.2">
      <c r="B690" s="145" t="s">
        <v>3109</v>
      </c>
    </row>
    <row r="691" spans="2:2" x14ac:dyDescent="0.2">
      <c r="B691" s="145" t="s">
        <v>3110</v>
      </c>
    </row>
    <row r="692" spans="2:2" x14ac:dyDescent="0.2">
      <c r="B692" s="145" t="s">
        <v>3111</v>
      </c>
    </row>
    <row r="693" spans="2:2" x14ac:dyDescent="0.2">
      <c r="B693" s="145" t="s">
        <v>3112</v>
      </c>
    </row>
    <row r="694" spans="2:2" x14ac:dyDescent="0.2">
      <c r="B694" s="145" t="s">
        <v>3113</v>
      </c>
    </row>
    <row r="695" spans="2:2" x14ac:dyDescent="0.2">
      <c r="B695" s="145" t="s">
        <v>3114</v>
      </c>
    </row>
    <row r="696" spans="2:2" x14ac:dyDescent="0.2">
      <c r="B696" s="145" t="s">
        <v>3115</v>
      </c>
    </row>
    <row r="697" spans="2:2" x14ac:dyDescent="0.2">
      <c r="B697" s="145" t="s">
        <v>3116</v>
      </c>
    </row>
    <row r="698" spans="2:2" x14ac:dyDescent="0.2">
      <c r="B698" s="145" t="s">
        <v>3117</v>
      </c>
    </row>
    <row r="699" spans="2:2" x14ac:dyDescent="0.2">
      <c r="B699" s="145" t="s">
        <v>3118</v>
      </c>
    </row>
    <row r="700" spans="2:2" x14ac:dyDescent="0.2">
      <c r="B700" s="145" t="s">
        <v>3119</v>
      </c>
    </row>
    <row r="701" spans="2:2" x14ac:dyDescent="0.2">
      <c r="B701" s="145" t="s">
        <v>3120</v>
      </c>
    </row>
    <row r="702" spans="2:2" x14ac:dyDescent="0.2">
      <c r="B702" s="145" t="s">
        <v>3121</v>
      </c>
    </row>
    <row r="703" spans="2:2" x14ac:dyDescent="0.2">
      <c r="B703" s="145" t="s">
        <v>3122</v>
      </c>
    </row>
    <row r="704" spans="2:2" x14ac:dyDescent="0.2">
      <c r="B704" s="145" t="s">
        <v>3123</v>
      </c>
    </row>
    <row r="705" spans="2:2" x14ac:dyDescent="0.2">
      <c r="B705" s="145" t="s">
        <v>3124</v>
      </c>
    </row>
    <row r="706" spans="2:2" x14ac:dyDescent="0.2">
      <c r="B706" s="145" t="s">
        <v>3125</v>
      </c>
    </row>
    <row r="707" spans="2:2" x14ac:dyDescent="0.2">
      <c r="B707" s="145" t="s">
        <v>3126</v>
      </c>
    </row>
    <row r="708" spans="2:2" x14ac:dyDescent="0.2">
      <c r="B708" s="145" t="s">
        <v>3127</v>
      </c>
    </row>
    <row r="709" spans="2:2" x14ac:dyDescent="0.2">
      <c r="B709" s="145" t="s">
        <v>3128</v>
      </c>
    </row>
    <row r="710" spans="2:2" x14ac:dyDescent="0.2">
      <c r="B710" s="145" t="s">
        <v>3129</v>
      </c>
    </row>
    <row r="711" spans="2:2" x14ac:dyDescent="0.2">
      <c r="B711" s="145" t="s">
        <v>3130</v>
      </c>
    </row>
    <row r="712" spans="2:2" x14ac:dyDescent="0.2">
      <c r="B712" s="145" t="s">
        <v>3131</v>
      </c>
    </row>
    <row r="713" spans="2:2" x14ac:dyDescent="0.2">
      <c r="B713" s="145" t="s">
        <v>3132</v>
      </c>
    </row>
    <row r="714" spans="2:2" x14ac:dyDescent="0.2">
      <c r="B714" s="145" t="s">
        <v>3133</v>
      </c>
    </row>
    <row r="715" spans="2:2" x14ac:dyDescent="0.2">
      <c r="B715" s="145" t="s">
        <v>3134</v>
      </c>
    </row>
    <row r="716" spans="2:2" x14ac:dyDescent="0.2">
      <c r="B716" s="145" t="s">
        <v>3135</v>
      </c>
    </row>
    <row r="717" spans="2:2" x14ac:dyDescent="0.2">
      <c r="B717" s="145" t="s">
        <v>3136</v>
      </c>
    </row>
    <row r="718" spans="2:2" x14ac:dyDescent="0.2">
      <c r="B718" s="145" t="s">
        <v>3137</v>
      </c>
    </row>
    <row r="719" spans="2:2" x14ac:dyDescent="0.2">
      <c r="B719" s="145" t="s">
        <v>3138</v>
      </c>
    </row>
    <row r="720" spans="2:2" x14ac:dyDescent="0.2">
      <c r="B720" s="145" t="s">
        <v>3139</v>
      </c>
    </row>
    <row r="721" spans="2:2" x14ac:dyDescent="0.2">
      <c r="B721" s="145" t="s">
        <v>3140</v>
      </c>
    </row>
    <row r="722" spans="2:2" x14ac:dyDescent="0.2">
      <c r="B722" s="145" t="s">
        <v>3141</v>
      </c>
    </row>
    <row r="723" spans="2:2" x14ac:dyDescent="0.2">
      <c r="B723" s="145" t="s">
        <v>3142</v>
      </c>
    </row>
    <row r="724" spans="2:2" x14ac:dyDescent="0.2">
      <c r="B724" s="145" t="s">
        <v>3143</v>
      </c>
    </row>
    <row r="725" spans="2:2" x14ac:dyDescent="0.2">
      <c r="B725" s="145" t="s">
        <v>3144</v>
      </c>
    </row>
    <row r="726" spans="2:2" x14ac:dyDescent="0.2">
      <c r="B726" s="145" t="s">
        <v>3145</v>
      </c>
    </row>
    <row r="727" spans="2:2" x14ac:dyDescent="0.2">
      <c r="B727" s="145" t="s">
        <v>3146</v>
      </c>
    </row>
    <row r="728" spans="2:2" x14ac:dyDescent="0.2">
      <c r="B728" s="145" t="s">
        <v>3147</v>
      </c>
    </row>
    <row r="729" spans="2:2" x14ac:dyDescent="0.2">
      <c r="B729" s="145" t="s">
        <v>3148</v>
      </c>
    </row>
    <row r="730" spans="2:2" x14ac:dyDescent="0.2">
      <c r="B730" s="145" t="s">
        <v>3149</v>
      </c>
    </row>
    <row r="731" spans="2:2" x14ac:dyDescent="0.2">
      <c r="B731" s="145" t="s">
        <v>3150</v>
      </c>
    </row>
    <row r="732" spans="2:2" x14ac:dyDescent="0.2">
      <c r="B732" s="145" t="s">
        <v>3151</v>
      </c>
    </row>
    <row r="733" spans="2:2" x14ac:dyDescent="0.2">
      <c r="B733" s="145" t="s">
        <v>3152</v>
      </c>
    </row>
    <row r="734" spans="2:2" x14ac:dyDescent="0.2">
      <c r="B734" s="145" t="s">
        <v>3153</v>
      </c>
    </row>
    <row r="735" spans="2:2" x14ac:dyDescent="0.2">
      <c r="B735" s="145" t="s">
        <v>3154</v>
      </c>
    </row>
    <row r="736" spans="2:2" x14ac:dyDescent="0.2">
      <c r="B736" s="145" t="s">
        <v>3155</v>
      </c>
    </row>
    <row r="737" spans="2:2" x14ac:dyDescent="0.2">
      <c r="B737" s="145" t="s">
        <v>3156</v>
      </c>
    </row>
    <row r="738" spans="2:2" x14ac:dyDescent="0.2">
      <c r="B738" s="145" t="s">
        <v>3157</v>
      </c>
    </row>
    <row r="739" spans="2:2" x14ac:dyDescent="0.2">
      <c r="B739" s="145" t="s">
        <v>3158</v>
      </c>
    </row>
    <row r="740" spans="2:2" x14ac:dyDescent="0.2">
      <c r="B740" s="145" t="s">
        <v>3159</v>
      </c>
    </row>
    <row r="741" spans="2:2" x14ac:dyDescent="0.2">
      <c r="B741" s="145" t="s">
        <v>3160</v>
      </c>
    </row>
    <row r="742" spans="2:2" x14ac:dyDescent="0.2">
      <c r="B742" s="145" t="s">
        <v>3161</v>
      </c>
    </row>
    <row r="743" spans="2:2" x14ac:dyDescent="0.2">
      <c r="B743" s="145" t="s">
        <v>3162</v>
      </c>
    </row>
    <row r="744" spans="2:2" x14ac:dyDescent="0.2">
      <c r="B744" s="145" t="s">
        <v>3163</v>
      </c>
    </row>
    <row r="745" spans="2:2" x14ac:dyDescent="0.2">
      <c r="B745" s="145" t="s">
        <v>3164</v>
      </c>
    </row>
    <row r="746" spans="2:2" x14ac:dyDescent="0.2">
      <c r="B746" s="145" t="s">
        <v>3165</v>
      </c>
    </row>
    <row r="747" spans="2:2" x14ac:dyDescent="0.2">
      <c r="B747" s="145" t="s">
        <v>3166</v>
      </c>
    </row>
    <row r="748" spans="2:2" x14ac:dyDescent="0.2">
      <c r="B748" s="145" t="s">
        <v>3167</v>
      </c>
    </row>
    <row r="749" spans="2:2" x14ac:dyDescent="0.2">
      <c r="B749" s="145" t="s">
        <v>3168</v>
      </c>
    </row>
    <row r="750" spans="2:2" x14ac:dyDescent="0.2">
      <c r="B750" s="145" t="s">
        <v>3169</v>
      </c>
    </row>
    <row r="751" spans="2:2" x14ac:dyDescent="0.2">
      <c r="B751" s="145" t="s">
        <v>3170</v>
      </c>
    </row>
    <row r="752" spans="2:2" x14ac:dyDescent="0.2">
      <c r="B752" s="145" t="s">
        <v>3171</v>
      </c>
    </row>
    <row r="753" spans="2:2" x14ac:dyDescent="0.2">
      <c r="B753" s="145" t="s">
        <v>3172</v>
      </c>
    </row>
    <row r="754" spans="2:2" x14ac:dyDescent="0.2">
      <c r="B754" s="145" t="s">
        <v>3173</v>
      </c>
    </row>
    <row r="755" spans="2:2" x14ac:dyDescent="0.2">
      <c r="B755" s="145" t="s">
        <v>3174</v>
      </c>
    </row>
    <row r="756" spans="2:2" x14ac:dyDescent="0.2">
      <c r="B756" s="145" t="s">
        <v>3175</v>
      </c>
    </row>
    <row r="757" spans="2:2" x14ac:dyDescent="0.2">
      <c r="B757" s="145" t="s">
        <v>3176</v>
      </c>
    </row>
    <row r="758" spans="2:2" x14ac:dyDescent="0.2">
      <c r="B758" s="145" t="s">
        <v>3177</v>
      </c>
    </row>
    <row r="759" spans="2:2" x14ac:dyDescent="0.2">
      <c r="B759" s="145" t="s">
        <v>3178</v>
      </c>
    </row>
    <row r="760" spans="2:2" x14ac:dyDescent="0.2">
      <c r="B760" s="145" t="s">
        <v>3179</v>
      </c>
    </row>
    <row r="761" spans="2:2" x14ac:dyDescent="0.2">
      <c r="B761" s="145" t="s">
        <v>3180</v>
      </c>
    </row>
    <row r="762" spans="2:2" x14ac:dyDescent="0.2">
      <c r="B762" s="145" t="s">
        <v>3181</v>
      </c>
    </row>
    <row r="763" spans="2:2" x14ac:dyDescent="0.2">
      <c r="B763" s="145" t="s">
        <v>3182</v>
      </c>
    </row>
    <row r="764" spans="2:2" x14ac:dyDescent="0.2">
      <c r="B764" s="145" t="s">
        <v>3183</v>
      </c>
    </row>
    <row r="765" spans="2:2" x14ac:dyDescent="0.2">
      <c r="B765" s="145" t="s">
        <v>3184</v>
      </c>
    </row>
    <row r="766" spans="2:2" x14ac:dyDescent="0.2">
      <c r="B766" s="145" t="s">
        <v>3185</v>
      </c>
    </row>
    <row r="767" spans="2:2" x14ac:dyDescent="0.2">
      <c r="B767" s="145" t="s">
        <v>3186</v>
      </c>
    </row>
    <row r="768" spans="2:2" x14ac:dyDescent="0.2">
      <c r="B768" s="145" t="s">
        <v>3187</v>
      </c>
    </row>
    <row r="769" spans="2:2" x14ac:dyDescent="0.2">
      <c r="B769" s="145" t="s">
        <v>3188</v>
      </c>
    </row>
    <row r="770" spans="2:2" x14ac:dyDescent="0.2">
      <c r="B770" s="145" t="s">
        <v>3189</v>
      </c>
    </row>
    <row r="771" spans="2:2" x14ac:dyDescent="0.2">
      <c r="B771" s="145" t="s">
        <v>3190</v>
      </c>
    </row>
    <row r="772" spans="2:2" x14ac:dyDescent="0.2">
      <c r="B772" s="145" t="s">
        <v>3191</v>
      </c>
    </row>
    <row r="773" spans="2:2" x14ac:dyDescent="0.2">
      <c r="B773" s="145" t="s">
        <v>3192</v>
      </c>
    </row>
    <row r="774" spans="2:2" x14ac:dyDescent="0.2">
      <c r="B774" s="145" t="s">
        <v>3193</v>
      </c>
    </row>
    <row r="775" spans="2:2" x14ac:dyDescent="0.2">
      <c r="B775" s="145" t="s">
        <v>3194</v>
      </c>
    </row>
    <row r="776" spans="2:2" x14ac:dyDescent="0.2">
      <c r="B776" s="145" t="s">
        <v>3195</v>
      </c>
    </row>
    <row r="777" spans="2:2" x14ac:dyDescent="0.2">
      <c r="B777" s="145" t="s">
        <v>3196</v>
      </c>
    </row>
    <row r="778" spans="2:2" x14ac:dyDescent="0.2">
      <c r="B778" s="145" t="s">
        <v>3197</v>
      </c>
    </row>
    <row r="779" spans="2:2" x14ac:dyDescent="0.2">
      <c r="B779" s="145" t="s">
        <v>3198</v>
      </c>
    </row>
    <row r="780" spans="2:2" x14ac:dyDescent="0.2">
      <c r="B780" s="145" t="s">
        <v>3199</v>
      </c>
    </row>
    <row r="781" spans="2:2" x14ac:dyDescent="0.2">
      <c r="B781" s="145" t="s">
        <v>3200</v>
      </c>
    </row>
    <row r="782" spans="2:2" x14ac:dyDescent="0.2">
      <c r="B782" s="145" t="s">
        <v>3201</v>
      </c>
    </row>
    <row r="783" spans="2:2" x14ac:dyDescent="0.2">
      <c r="B783" s="145" t="s">
        <v>3202</v>
      </c>
    </row>
    <row r="784" spans="2:2" x14ac:dyDescent="0.2">
      <c r="B784" s="145" t="s">
        <v>3203</v>
      </c>
    </row>
    <row r="785" spans="2:2" x14ac:dyDescent="0.2">
      <c r="B785" s="145" t="s">
        <v>3204</v>
      </c>
    </row>
    <row r="786" spans="2:2" x14ac:dyDescent="0.2">
      <c r="B786" s="145" t="s">
        <v>3205</v>
      </c>
    </row>
    <row r="787" spans="2:2" x14ac:dyDescent="0.2">
      <c r="B787" s="145" t="s">
        <v>3206</v>
      </c>
    </row>
    <row r="788" spans="2:2" x14ac:dyDescent="0.2">
      <c r="B788" s="145" t="s">
        <v>3207</v>
      </c>
    </row>
    <row r="789" spans="2:2" x14ac:dyDescent="0.2">
      <c r="B789" s="145" t="s">
        <v>3208</v>
      </c>
    </row>
    <row r="790" spans="2:2" x14ac:dyDescent="0.2">
      <c r="B790" s="145" t="s">
        <v>3209</v>
      </c>
    </row>
    <row r="791" spans="2:2" x14ac:dyDescent="0.2">
      <c r="B791" s="145" t="s">
        <v>3210</v>
      </c>
    </row>
    <row r="792" spans="2:2" x14ac:dyDescent="0.2">
      <c r="B792" s="145" t="s">
        <v>3211</v>
      </c>
    </row>
    <row r="793" spans="2:2" x14ac:dyDescent="0.2">
      <c r="B793" s="145" t="s">
        <v>3212</v>
      </c>
    </row>
    <row r="794" spans="2:2" x14ac:dyDescent="0.2">
      <c r="B794" s="145" t="s">
        <v>3213</v>
      </c>
    </row>
    <row r="795" spans="2:2" x14ac:dyDescent="0.2">
      <c r="B795" s="145" t="s">
        <v>3214</v>
      </c>
    </row>
    <row r="796" spans="2:2" x14ac:dyDescent="0.2">
      <c r="B796" s="145" t="s">
        <v>3215</v>
      </c>
    </row>
    <row r="797" spans="2:2" x14ac:dyDescent="0.2">
      <c r="B797" s="145" t="s">
        <v>3216</v>
      </c>
    </row>
    <row r="798" spans="2:2" x14ac:dyDescent="0.2">
      <c r="B798" s="145" t="s">
        <v>3217</v>
      </c>
    </row>
    <row r="799" spans="2:2" x14ac:dyDescent="0.2">
      <c r="B799" s="145" t="s">
        <v>3218</v>
      </c>
    </row>
    <row r="800" spans="2:2" x14ac:dyDescent="0.2">
      <c r="B800" s="145" t="s">
        <v>3219</v>
      </c>
    </row>
    <row r="801" spans="2:2" x14ac:dyDescent="0.2">
      <c r="B801" s="145" t="s">
        <v>3220</v>
      </c>
    </row>
    <row r="802" spans="2:2" x14ac:dyDescent="0.2">
      <c r="B802" s="145" t="s">
        <v>3221</v>
      </c>
    </row>
    <row r="803" spans="2:2" x14ac:dyDescent="0.2">
      <c r="B803" s="145" t="s">
        <v>3222</v>
      </c>
    </row>
    <row r="804" spans="2:2" x14ac:dyDescent="0.2">
      <c r="B804" s="145" t="s">
        <v>3223</v>
      </c>
    </row>
    <row r="805" spans="2:2" x14ac:dyDescent="0.2">
      <c r="B805" s="145" t="s">
        <v>3224</v>
      </c>
    </row>
    <row r="806" spans="2:2" x14ac:dyDescent="0.2">
      <c r="B806" s="145" t="s">
        <v>3225</v>
      </c>
    </row>
    <row r="807" spans="2:2" x14ac:dyDescent="0.2">
      <c r="B807" s="145" t="s">
        <v>3226</v>
      </c>
    </row>
    <row r="808" spans="2:2" x14ac:dyDescent="0.2">
      <c r="B808" s="145" t="s">
        <v>3227</v>
      </c>
    </row>
    <row r="809" spans="2:2" x14ac:dyDescent="0.2">
      <c r="B809" s="145" t="s">
        <v>3228</v>
      </c>
    </row>
    <row r="810" spans="2:2" x14ac:dyDescent="0.2">
      <c r="B810" s="145" t="s">
        <v>3229</v>
      </c>
    </row>
    <row r="811" spans="2:2" x14ac:dyDescent="0.2">
      <c r="B811" s="145" t="s">
        <v>3230</v>
      </c>
    </row>
    <row r="812" spans="2:2" x14ac:dyDescent="0.2">
      <c r="B812" s="145" t="s">
        <v>3231</v>
      </c>
    </row>
    <row r="813" spans="2:2" x14ac:dyDescent="0.2">
      <c r="B813" s="145" t="s">
        <v>3232</v>
      </c>
    </row>
    <row r="814" spans="2:2" x14ac:dyDescent="0.2">
      <c r="B814" s="145" t="s">
        <v>3233</v>
      </c>
    </row>
    <row r="815" spans="2:2" x14ac:dyDescent="0.2">
      <c r="B815" s="145" t="s">
        <v>3234</v>
      </c>
    </row>
    <row r="816" spans="2:2" x14ac:dyDescent="0.2">
      <c r="B816" s="145" t="s">
        <v>3235</v>
      </c>
    </row>
    <row r="817" spans="2:2" x14ac:dyDescent="0.2">
      <c r="B817" s="145" t="s">
        <v>3236</v>
      </c>
    </row>
    <row r="818" spans="2:2" x14ac:dyDescent="0.2">
      <c r="B818" s="145" t="s">
        <v>3237</v>
      </c>
    </row>
    <row r="819" spans="2:2" x14ac:dyDescent="0.2">
      <c r="B819" s="145" t="s">
        <v>3238</v>
      </c>
    </row>
    <row r="820" spans="2:2" x14ac:dyDescent="0.2">
      <c r="B820" s="145" t="s">
        <v>3239</v>
      </c>
    </row>
    <row r="821" spans="2:2" x14ac:dyDescent="0.2">
      <c r="B821" s="145" t="s">
        <v>3240</v>
      </c>
    </row>
    <row r="822" spans="2:2" x14ac:dyDescent="0.2">
      <c r="B822" s="145" t="s">
        <v>3241</v>
      </c>
    </row>
    <row r="823" spans="2:2" x14ac:dyDescent="0.2">
      <c r="B823" s="145" t="s">
        <v>3242</v>
      </c>
    </row>
    <row r="824" spans="2:2" x14ac:dyDescent="0.2">
      <c r="B824" s="145" t="s">
        <v>3243</v>
      </c>
    </row>
    <row r="825" spans="2:2" x14ac:dyDescent="0.2">
      <c r="B825" s="145" t="s">
        <v>3244</v>
      </c>
    </row>
    <row r="826" spans="2:2" x14ac:dyDescent="0.2">
      <c r="B826" s="145" t="s">
        <v>3245</v>
      </c>
    </row>
    <row r="827" spans="2:2" x14ac:dyDescent="0.2">
      <c r="B827" s="145" t="s">
        <v>3246</v>
      </c>
    </row>
    <row r="828" spans="2:2" x14ac:dyDescent="0.2">
      <c r="B828" s="145" t="s">
        <v>3247</v>
      </c>
    </row>
    <row r="829" spans="2:2" x14ac:dyDescent="0.2">
      <c r="B829" s="145" t="s">
        <v>3248</v>
      </c>
    </row>
    <row r="830" spans="2:2" x14ac:dyDescent="0.2">
      <c r="B830" s="145" t="s">
        <v>3249</v>
      </c>
    </row>
    <row r="831" spans="2:2" x14ac:dyDescent="0.2">
      <c r="B831" s="145" t="s">
        <v>3250</v>
      </c>
    </row>
    <row r="832" spans="2:2" x14ac:dyDescent="0.2">
      <c r="B832" s="145" t="s">
        <v>3251</v>
      </c>
    </row>
    <row r="833" spans="2:2" x14ac:dyDescent="0.2">
      <c r="B833" s="145" t="s">
        <v>3252</v>
      </c>
    </row>
    <row r="834" spans="2:2" x14ac:dyDescent="0.2">
      <c r="B834" s="145" t="s">
        <v>3253</v>
      </c>
    </row>
    <row r="835" spans="2:2" x14ac:dyDescent="0.2">
      <c r="B835" s="145" t="s">
        <v>3254</v>
      </c>
    </row>
    <row r="836" spans="2:2" x14ac:dyDescent="0.2">
      <c r="B836" s="145" t="s">
        <v>3255</v>
      </c>
    </row>
    <row r="837" spans="2:2" x14ac:dyDescent="0.2">
      <c r="B837" s="145" t="s">
        <v>3256</v>
      </c>
    </row>
    <row r="838" spans="2:2" x14ac:dyDescent="0.2">
      <c r="B838" s="145" t="s">
        <v>3257</v>
      </c>
    </row>
    <row r="839" spans="2:2" x14ac:dyDescent="0.2">
      <c r="B839" s="145" t="s">
        <v>3258</v>
      </c>
    </row>
    <row r="840" spans="2:2" x14ac:dyDescent="0.2">
      <c r="B840" s="145" t="s">
        <v>3259</v>
      </c>
    </row>
    <row r="841" spans="2:2" x14ac:dyDescent="0.2">
      <c r="B841" s="145" t="s">
        <v>3260</v>
      </c>
    </row>
    <row r="842" spans="2:2" x14ac:dyDescent="0.2">
      <c r="B842" s="145" t="s">
        <v>3261</v>
      </c>
    </row>
    <row r="843" spans="2:2" x14ac:dyDescent="0.2">
      <c r="B843" s="145" t="s">
        <v>3262</v>
      </c>
    </row>
    <row r="844" spans="2:2" x14ac:dyDescent="0.2">
      <c r="B844" s="145" t="s">
        <v>3263</v>
      </c>
    </row>
    <row r="845" spans="2:2" x14ac:dyDescent="0.2">
      <c r="B845" s="145" t="s">
        <v>3264</v>
      </c>
    </row>
    <row r="846" spans="2:2" x14ac:dyDescent="0.2">
      <c r="B846" s="145" t="s">
        <v>3265</v>
      </c>
    </row>
    <row r="847" spans="2:2" x14ac:dyDescent="0.2">
      <c r="B847" s="145" t="s">
        <v>3266</v>
      </c>
    </row>
    <row r="848" spans="2:2" x14ac:dyDescent="0.2">
      <c r="B848" s="145" t="s">
        <v>3267</v>
      </c>
    </row>
    <row r="849" spans="2:2" x14ac:dyDescent="0.2">
      <c r="B849" s="145" t="s">
        <v>3268</v>
      </c>
    </row>
    <row r="850" spans="2:2" x14ac:dyDescent="0.2">
      <c r="B850" s="145" t="s">
        <v>3269</v>
      </c>
    </row>
    <row r="851" spans="2:2" x14ac:dyDescent="0.2">
      <c r="B851" s="145" t="s">
        <v>3270</v>
      </c>
    </row>
    <row r="852" spans="2:2" x14ac:dyDescent="0.2">
      <c r="B852" s="145" t="s">
        <v>3271</v>
      </c>
    </row>
    <row r="853" spans="2:2" x14ac:dyDescent="0.2">
      <c r="B853" s="145" t="s">
        <v>3272</v>
      </c>
    </row>
    <row r="854" spans="2:2" x14ac:dyDescent="0.2">
      <c r="B854" s="145" t="s">
        <v>3273</v>
      </c>
    </row>
    <row r="855" spans="2:2" x14ac:dyDescent="0.2">
      <c r="B855" s="145" t="s">
        <v>3274</v>
      </c>
    </row>
    <row r="856" spans="2:2" x14ac:dyDescent="0.2">
      <c r="B856" s="145" t="s">
        <v>3275</v>
      </c>
    </row>
    <row r="857" spans="2:2" x14ac:dyDescent="0.2">
      <c r="B857" s="145" t="s">
        <v>3276</v>
      </c>
    </row>
    <row r="858" spans="2:2" x14ac:dyDescent="0.2">
      <c r="B858" s="145" t="s">
        <v>3277</v>
      </c>
    </row>
    <row r="859" spans="2:2" x14ac:dyDescent="0.2">
      <c r="B859" s="145" t="s">
        <v>3278</v>
      </c>
    </row>
    <row r="860" spans="2:2" x14ac:dyDescent="0.2">
      <c r="B860" s="145" t="s">
        <v>3279</v>
      </c>
    </row>
    <row r="861" spans="2:2" x14ac:dyDescent="0.2">
      <c r="B861" s="145" t="s">
        <v>3280</v>
      </c>
    </row>
    <row r="862" spans="2:2" x14ac:dyDescent="0.2">
      <c r="B862" s="145" t="s">
        <v>3281</v>
      </c>
    </row>
    <row r="863" spans="2:2" x14ac:dyDescent="0.2">
      <c r="B863" s="145" t="s">
        <v>3282</v>
      </c>
    </row>
    <row r="864" spans="2:2" x14ac:dyDescent="0.2">
      <c r="B864" s="145" t="s">
        <v>3283</v>
      </c>
    </row>
    <row r="865" spans="2:2" x14ac:dyDescent="0.2">
      <c r="B865" s="145" t="s">
        <v>3284</v>
      </c>
    </row>
    <row r="866" spans="2:2" x14ac:dyDescent="0.2">
      <c r="B866" s="145" t="s">
        <v>3285</v>
      </c>
    </row>
    <row r="867" spans="2:2" x14ac:dyDescent="0.2">
      <c r="B867" s="145" t="s">
        <v>3286</v>
      </c>
    </row>
    <row r="868" spans="2:2" x14ac:dyDescent="0.2">
      <c r="B868" s="145" t="s">
        <v>3287</v>
      </c>
    </row>
    <row r="869" spans="2:2" x14ac:dyDescent="0.2">
      <c r="B869" s="145" t="s">
        <v>3288</v>
      </c>
    </row>
    <row r="870" spans="2:2" x14ac:dyDescent="0.2">
      <c r="B870" s="145" t="s">
        <v>3289</v>
      </c>
    </row>
    <row r="871" spans="2:2" x14ac:dyDescent="0.2">
      <c r="B871" s="145" t="s">
        <v>3290</v>
      </c>
    </row>
    <row r="872" spans="2:2" x14ac:dyDescent="0.2">
      <c r="B872" s="145" t="s">
        <v>3291</v>
      </c>
    </row>
    <row r="873" spans="2:2" x14ac:dyDescent="0.2">
      <c r="B873" s="145" t="s">
        <v>3292</v>
      </c>
    </row>
    <row r="874" spans="2:2" x14ac:dyDescent="0.2">
      <c r="B874" s="145" t="s">
        <v>3293</v>
      </c>
    </row>
    <row r="875" spans="2:2" x14ac:dyDescent="0.2">
      <c r="B875" s="145" t="s">
        <v>3294</v>
      </c>
    </row>
    <row r="876" spans="2:2" x14ac:dyDescent="0.2">
      <c r="B876" s="145" t="s">
        <v>3295</v>
      </c>
    </row>
    <row r="877" spans="2:2" x14ac:dyDescent="0.2">
      <c r="B877" s="145" t="s">
        <v>3296</v>
      </c>
    </row>
    <row r="878" spans="2:2" x14ac:dyDescent="0.2">
      <c r="B878" s="145" t="s">
        <v>3297</v>
      </c>
    </row>
    <row r="879" spans="2:2" x14ac:dyDescent="0.2">
      <c r="B879" s="145" t="s">
        <v>3298</v>
      </c>
    </row>
    <row r="880" spans="2:2" x14ac:dyDescent="0.2">
      <c r="B880" s="145" t="s">
        <v>3299</v>
      </c>
    </row>
    <row r="881" spans="2:2" x14ac:dyDescent="0.2">
      <c r="B881" s="145" t="s">
        <v>3300</v>
      </c>
    </row>
    <row r="882" spans="2:2" x14ac:dyDescent="0.2">
      <c r="B882" s="145" t="s">
        <v>3301</v>
      </c>
    </row>
    <row r="883" spans="2:2" x14ac:dyDescent="0.2">
      <c r="B883" s="145" t="s">
        <v>3302</v>
      </c>
    </row>
    <row r="884" spans="2:2" x14ac:dyDescent="0.2">
      <c r="B884" s="145" t="s">
        <v>3303</v>
      </c>
    </row>
    <row r="885" spans="2:2" x14ac:dyDescent="0.2">
      <c r="B885" s="145" t="s">
        <v>3304</v>
      </c>
    </row>
    <row r="886" spans="2:2" x14ac:dyDescent="0.2">
      <c r="B886" s="145" t="s">
        <v>3305</v>
      </c>
    </row>
    <row r="887" spans="2:2" x14ac:dyDescent="0.2">
      <c r="B887" s="145" t="s">
        <v>3306</v>
      </c>
    </row>
    <row r="888" spans="2:2" x14ac:dyDescent="0.2">
      <c r="B888" s="145" t="s">
        <v>3307</v>
      </c>
    </row>
    <row r="889" spans="2:2" x14ac:dyDescent="0.2">
      <c r="B889" s="145" t="s">
        <v>3308</v>
      </c>
    </row>
    <row r="890" spans="2:2" x14ac:dyDescent="0.2">
      <c r="B890" s="145" t="s">
        <v>3309</v>
      </c>
    </row>
    <row r="891" spans="2:2" x14ac:dyDescent="0.2">
      <c r="B891" s="145" t="s">
        <v>3310</v>
      </c>
    </row>
    <row r="892" spans="2:2" x14ac:dyDescent="0.2">
      <c r="B892" s="145" t="s">
        <v>3311</v>
      </c>
    </row>
    <row r="893" spans="2:2" x14ac:dyDescent="0.2">
      <c r="B893" s="145" t="s">
        <v>3312</v>
      </c>
    </row>
    <row r="894" spans="2:2" x14ac:dyDescent="0.2">
      <c r="B894" s="145" t="s">
        <v>3313</v>
      </c>
    </row>
    <row r="895" spans="2:2" x14ac:dyDescent="0.2">
      <c r="B895" s="145" t="s">
        <v>3314</v>
      </c>
    </row>
    <row r="896" spans="2:2" x14ac:dyDescent="0.2">
      <c r="B896" s="145" t="s">
        <v>3315</v>
      </c>
    </row>
    <row r="897" spans="2:2" x14ac:dyDescent="0.2">
      <c r="B897" s="145" t="s">
        <v>3316</v>
      </c>
    </row>
    <row r="898" spans="2:2" x14ac:dyDescent="0.2">
      <c r="B898" s="145" t="s">
        <v>3317</v>
      </c>
    </row>
    <row r="899" spans="2:2" x14ac:dyDescent="0.2">
      <c r="B899" s="145" t="s">
        <v>3318</v>
      </c>
    </row>
    <row r="900" spans="2:2" x14ac:dyDescent="0.2">
      <c r="B900" s="145" t="s">
        <v>3319</v>
      </c>
    </row>
    <row r="901" spans="2:2" x14ac:dyDescent="0.2">
      <c r="B901" s="145" t="s">
        <v>3320</v>
      </c>
    </row>
    <row r="902" spans="2:2" x14ac:dyDescent="0.2">
      <c r="B902" s="145" t="s">
        <v>3321</v>
      </c>
    </row>
    <row r="903" spans="2:2" x14ac:dyDescent="0.2">
      <c r="B903" s="145" t="s">
        <v>3322</v>
      </c>
    </row>
    <row r="904" spans="2:2" x14ac:dyDescent="0.2">
      <c r="B904" s="145" t="s">
        <v>3323</v>
      </c>
    </row>
    <row r="905" spans="2:2" x14ac:dyDescent="0.2">
      <c r="B905" s="145" t="s">
        <v>3324</v>
      </c>
    </row>
    <row r="906" spans="2:2" x14ac:dyDescent="0.2">
      <c r="B906" s="145" t="s">
        <v>3325</v>
      </c>
    </row>
    <row r="907" spans="2:2" x14ac:dyDescent="0.2">
      <c r="B907" s="145" t="s">
        <v>3326</v>
      </c>
    </row>
    <row r="908" spans="2:2" x14ac:dyDescent="0.2">
      <c r="B908" s="145" t="s">
        <v>3327</v>
      </c>
    </row>
    <row r="909" spans="2:2" x14ac:dyDescent="0.2">
      <c r="B909" s="145" t="s">
        <v>3328</v>
      </c>
    </row>
    <row r="910" spans="2:2" x14ac:dyDescent="0.2">
      <c r="B910" s="145" t="s">
        <v>3329</v>
      </c>
    </row>
    <row r="911" spans="2:2" x14ac:dyDescent="0.2">
      <c r="B911" s="145" t="s">
        <v>3330</v>
      </c>
    </row>
    <row r="912" spans="2:2" x14ac:dyDescent="0.2">
      <c r="B912" s="145" t="s">
        <v>3331</v>
      </c>
    </row>
    <row r="913" spans="2:2" x14ac:dyDescent="0.2">
      <c r="B913" s="145" t="s">
        <v>3332</v>
      </c>
    </row>
    <row r="914" spans="2:2" x14ac:dyDescent="0.2">
      <c r="B914" s="145" t="s">
        <v>3333</v>
      </c>
    </row>
    <row r="915" spans="2:2" x14ac:dyDescent="0.2">
      <c r="B915" s="145" t="s">
        <v>3334</v>
      </c>
    </row>
    <row r="916" spans="2:2" x14ac:dyDescent="0.2">
      <c r="B916" s="145" t="s">
        <v>3335</v>
      </c>
    </row>
    <row r="917" spans="2:2" x14ac:dyDescent="0.2">
      <c r="B917" s="145" t="s">
        <v>3336</v>
      </c>
    </row>
    <row r="918" spans="2:2" x14ac:dyDescent="0.2">
      <c r="B918" s="145" t="s">
        <v>3337</v>
      </c>
    </row>
    <row r="919" spans="2:2" x14ac:dyDescent="0.2">
      <c r="B919" s="145" t="s">
        <v>3338</v>
      </c>
    </row>
    <row r="920" spans="2:2" x14ac:dyDescent="0.2">
      <c r="B920" s="145" t="s">
        <v>3339</v>
      </c>
    </row>
    <row r="921" spans="2:2" x14ac:dyDescent="0.2">
      <c r="B921" s="145" t="s">
        <v>3340</v>
      </c>
    </row>
    <row r="922" spans="2:2" x14ac:dyDescent="0.2">
      <c r="B922" s="145" t="s">
        <v>3341</v>
      </c>
    </row>
    <row r="923" spans="2:2" x14ac:dyDescent="0.2">
      <c r="B923" s="145" t="s">
        <v>3342</v>
      </c>
    </row>
    <row r="924" spans="2:2" x14ac:dyDescent="0.2">
      <c r="B924" s="145" t="s">
        <v>3343</v>
      </c>
    </row>
    <row r="925" spans="2:2" x14ac:dyDescent="0.2">
      <c r="B925" s="145" t="s">
        <v>3344</v>
      </c>
    </row>
    <row r="926" spans="2:2" x14ac:dyDescent="0.2">
      <c r="B926" s="145" t="s">
        <v>3345</v>
      </c>
    </row>
    <row r="927" spans="2:2" x14ac:dyDescent="0.2">
      <c r="B927" s="145" t="s">
        <v>3346</v>
      </c>
    </row>
    <row r="928" spans="2:2" x14ac:dyDescent="0.2">
      <c r="B928" s="145" t="s">
        <v>3347</v>
      </c>
    </row>
    <row r="929" spans="2:2" x14ac:dyDescent="0.2">
      <c r="B929" s="145" t="s">
        <v>3348</v>
      </c>
    </row>
    <row r="930" spans="2:2" x14ac:dyDescent="0.2">
      <c r="B930" s="145" t="s">
        <v>3349</v>
      </c>
    </row>
    <row r="931" spans="2:2" x14ac:dyDescent="0.2">
      <c r="B931" s="145" t="s">
        <v>3350</v>
      </c>
    </row>
    <row r="932" spans="2:2" x14ac:dyDescent="0.2">
      <c r="B932" s="145" t="s">
        <v>3351</v>
      </c>
    </row>
    <row r="933" spans="2:2" x14ac:dyDescent="0.2">
      <c r="B933" s="145" t="s">
        <v>3352</v>
      </c>
    </row>
    <row r="934" spans="2:2" x14ac:dyDescent="0.2">
      <c r="B934" s="145" t="s">
        <v>3353</v>
      </c>
    </row>
    <row r="935" spans="2:2" x14ac:dyDescent="0.2">
      <c r="B935" s="145" t="s">
        <v>3354</v>
      </c>
    </row>
    <row r="936" spans="2:2" x14ac:dyDescent="0.2">
      <c r="B936" s="145" t="s">
        <v>3355</v>
      </c>
    </row>
    <row r="937" spans="2:2" x14ac:dyDescent="0.2">
      <c r="B937" s="145" t="s">
        <v>3356</v>
      </c>
    </row>
    <row r="938" spans="2:2" x14ac:dyDescent="0.2">
      <c r="B938" s="145" t="s">
        <v>3357</v>
      </c>
    </row>
    <row r="939" spans="2:2" x14ac:dyDescent="0.2">
      <c r="B939" s="145" t="s">
        <v>3358</v>
      </c>
    </row>
    <row r="940" spans="2:2" x14ac:dyDescent="0.2">
      <c r="B940" s="145" t="s">
        <v>3359</v>
      </c>
    </row>
    <row r="941" spans="2:2" x14ac:dyDescent="0.2">
      <c r="B941" s="145" t="s">
        <v>3360</v>
      </c>
    </row>
    <row r="942" spans="2:2" x14ac:dyDescent="0.2">
      <c r="B942" s="145" t="s">
        <v>3361</v>
      </c>
    </row>
    <row r="943" spans="2:2" x14ac:dyDescent="0.2">
      <c r="B943" s="145" t="s">
        <v>3362</v>
      </c>
    </row>
    <row r="944" spans="2:2" x14ac:dyDescent="0.2">
      <c r="B944" s="145" t="s">
        <v>3363</v>
      </c>
    </row>
    <row r="945" spans="2:2" x14ac:dyDescent="0.2">
      <c r="B945" s="145" t="s">
        <v>3364</v>
      </c>
    </row>
    <row r="946" spans="2:2" x14ac:dyDescent="0.2">
      <c r="B946" s="145" t="s">
        <v>3365</v>
      </c>
    </row>
    <row r="947" spans="2:2" x14ac:dyDescent="0.2">
      <c r="B947" s="145" t="s">
        <v>3366</v>
      </c>
    </row>
    <row r="948" spans="2:2" x14ac:dyDescent="0.2">
      <c r="B948" s="145" t="s">
        <v>3367</v>
      </c>
    </row>
    <row r="949" spans="2:2" x14ac:dyDescent="0.2">
      <c r="B949" s="145" t="s">
        <v>3368</v>
      </c>
    </row>
    <row r="950" spans="2:2" x14ac:dyDescent="0.2">
      <c r="B950" s="145" t="s">
        <v>3369</v>
      </c>
    </row>
    <row r="951" spans="2:2" x14ac:dyDescent="0.2">
      <c r="B951" s="145" t="s">
        <v>3370</v>
      </c>
    </row>
    <row r="952" spans="2:2" x14ac:dyDescent="0.2">
      <c r="B952" s="145" t="s">
        <v>3371</v>
      </c>
    </row>
    <row r="953" spans="2:2" x14ac:dyDescent="0.2">
      <c r="B953" s="145" t="s">
        <v>3372</v>
      </c>
    </row>
    <row r="954" spans="2:2" x14ac:dyDescent="0.2">
      <c r="B954" s="145" t="s">
        <v>3373</v>
      </c>
    </row>
    <row r="955" spans="2:2" x14ac:dyDescent="0.2">
      <c r="B955" s="145" t="s">
        <v>3374</v>
      </c>
    </row>
    <row r="956" spans="2:2" x14ac:dyDescent="0.2">
      <c r="B956" s="145" t="s">
        <v>3375</v>
      </c>
    </row>
    <row r="957" spans="2:2" x14ac:dyDescent="0.2">
      <c r="B957" s="145" t="s">
        <v>3376</v>
      </c>
    </row>
    <row r="958" spans="2:2" x14ac:dyDescent="0.2">
      <c r="B958" s="145" t="s">
        <v>3377</v>
      </c>
    </row>
    <row r="959" spans="2:2" x14ac:dyDescent="0.2">
      <c r="B959" s="145" t="s">
        <v>3378</v>
      </c>
    </row>
    <row r="960" spans="2:2" x14ac:dyDescent="0.2">
      <c r="B960" s="145" t="s">
        <v>3379</v>
      </c>
    </row>
    <row r="961" spans="2:2" x14ac:dyDescent="0.2">
      <c r="B961" s="145" t="s">
        <v>3380</v>
      </c>
    </row>
    <row r="962" spans="2:2" x14ac:dyDescent="0.2">
      <c r="B962" s="145" t="s">
        <v>3381</v>
      </c>
    </row>
    <row r="963" spans="2:2" x14ac:dyDescent="0.2">
      <c r="B963" s="145" t="s">
        <v>3382</v>
      </c>
    </row>
    <row r="964" spans="2:2" x14ac:dyDescent="0.2">
      <c r="B964" s="145" t="s">
        <v>3383</v>
      </c>
    </row>
    <row r="965" spans="2:2" x14ac:dyDescent="0.2">
      <c r="B965" s="145" t="s">
        <v>3384</v>
      </c>
    </row>
    <row r="966" spans="2:2" x14ac:dyDescent="0.2">
      <c r="B966" s="145" t="s">
        <v>3385</v>
      </c>
    </row>
    <row r="967" spans="2:2" x14ac:dyDescent="0.2">
      <c r="B967" s="145" t="s">
        <v>3386</v>
      </c>
    </row>
    <row r="968" spans="2:2" x14ac:dyDescent="0.2">
      <c r="B968" s="145" t="s">
        <v>3387</v>
      </c>
    </row>
    <row r="969" spans="2:2" x14ac:dyDescent="0.2">
      <c r="B969" s="145" t="s">
        <v>3388</v>
      </c>
    </row>
    <row r="970" spans="2:2" x14ac:dyDescent="0.2">
      <c r="B970" s="145" t="s">
        <v>3389</v>
      </c>
    </row>
    <row r="971" spans="2:2" x14ac:dyDescent="0.2">
      <c r="B971" s="145" t="s">
        <v>3390</v>
      </c>
    </row>
    <row r="972" spans="2:2" x14ac:dyDescent="0.2">
      <c r="B972" s="145" t="s">
        <v>3391</v>
      </c>
    </row>
    <row r="973" spans="2:2" x14ac:dyDescent="0.2">
      <c r="B973" s="145" t="s">
        <v>3392</v>
      </c>
    </row>
    <row r="974" spans="2:2" x14ac:dyDescent="0.2">
      <c r="B974" s="145" t="s">
        <v>3393</v>
      </c>
    </row>
    <row r="975" spans="2:2" x14ac:dyDescent="0.2">
      <c r="B975" s="145" t="s">
        <v>3394</v>
      </c>
    </row>
    <row r="976" spans="2:2" x14ac:dyDescent="0.2">
      <c r="B976" s="145" t="s">
        <v>3395</v>
      </c>
    </row>
    <row r="977" spans="2:2" x14ac:dyDescent="0.2">
      <c r="B977" s="145" t="s">
        <v>3396</v>
      </c>
    </row>
    <row r="978" spans="2:2" x14ac:dyDescent="0.2">
      <c r="B978" s="145" t="s">
        <v>3397</v>
      </c>
    </row>
    <row r="979" spans="2:2" x14ac:dyDescent="0.2">
      <c r="B979" s="145" t="s">
        <v>3398</v>
      </c>
    </row>
    <row r="980" spans="2:2" x14ac:dyDescent="0.2">
      <c r="B980" s="145" t="s">
        <v>3399</v>
      </c>
    </row>
    <row r="981" spans="2:2" x14ac:dyDescent="0.2">
      <c r="B981" s="145" t="s">
        <v>3400</v>
      </c>
    </row>
    <row r="982" spans="2:2" x14ac:dyDescent="0.2">
      <c r="B982" s="145" t="s">
        <v>3401</v>
      </c>
    </row>
    <row r="983" spans="2:2" x14ac:dyDescent="0.2">
      <c r="B983" s="145" t="s">
        <v>3402</v>
      </c>
    </row>
    <row r="984" spans="2:2" x14ac:dyDescent="0.2">
      <c r="B984" s="145" t="s">
        <v>3403</v>
      </c>
    </row>
    <row r="985" spans="2:2" x14ac:dyDescent="0.2">
      <c r="B985" s="145" t="s">
        <v>3404</v>
      </c>
    </row>
    <row r="986" spans="2:2" x14ac:dyDescent="0.2">
      <c r="B986" s="145" t="s">
        <v>3405</v>
      </c>
    </row>
    <row r="987" spans="2:2" x14ac:dyDescent="0.2">
      <c r="B987" s="145" t="s">
        <v>3406</v>
      </c>
    </row>
    <row r="988" spans="2:2" x14ac:dyDescent="0.2">
      <c r="B988" s="145" t="s">
        <v>3407</v>
      </c>
    </row>
    <row r="989" spans="2:2" x14ac:dyDescent="0.2">
      <c r="B989" s="145" t="s">
        <v>3408</v>
      </c>
    </row>
    <row r="990" spans="2:2" x14ac:dyDescent="0.2">
      <c r="B990" s="145" t="s">
        <v>3409</v>
      </c>
    </row>
    <row r="991" spans="2:2" x14ac:dyDescent="0.2">
      <c r="B991" s="145" t="s">
        <v>3410</v>
      </c>
    </row>
    <row r="992" spans="2:2" x14ac:dyDescent="0.2">
      <c r="B992" s="145" t="s">
        <v>3411</v>
      </c>
    </row>
    <row r="993" spans="2:2" x14ac:dyDescent="0.2">
      <c r="B993" s="145" t="s">
        <v>3412</v>
      </c>
    </row>
    <row r="994" spans="2:2" x14ac:dyDescent="0.2">
      <c r="B994" s="145" t="s">
        <v>3413</v>
      </c>
    </row>
    <row r="995" spans="2:2" x14ac:dyDescent="0.2">
      <c r="B995" s="145" t="s">
        <v>3414</v>
      </c>
    </row>
    <row r="996" spans="2:2" x14ac:dyDescent="0.2">
      <c r="B996" s="145" t="s">
        <v>3415</v>
      </c>
    </row>
    <row r="997" spans="2:2" x14ac:dyDescent="0.2">
      <c r="B997" s="145" t="s">
        <v>3416</v>
      </c>
    </row>
    <row r="998" spans="2:2" x14ac:dyDescent="0.2">
      <c r="B998" s="145" t="s">
        <v>3417</v>
      </c>
    </row>
    <row r="999" spans="2:2" x14ac:dyDescent="0.2">
      <c r="B999" s="145" t="s">
        <v>3418</v>
      </c>
    </row>
    <row r="1000" spans="2:2" x14ac:dyDescent="0.2">
      <c r="B1000" s="145" t="s">
        <v>3419</v>
      </c>
    </row>
    <row r="1001" spans="2:2" x14ac:dyDescent="0.2">
      <c r="B1001" s="145" t="s">
        <v>3420</v>
      </c>
    </row>
    <row r="1002" spans="2:2" x14ac:dyDescent="0.2">
      <c r="B1002" s="145" t="s">
        <v>3421</v>
      </c>
    </row>
    <row r="1003" spans="2:2" x14ac:dyDescent="0.2">
      <c r="B1003" s="145" t="s">
        <v>3422</v>
      </c>
    </row>
    <row r="1004" spans="2:2" x14ac:dyDescent="0.2">
      <c r="B1004" s="145" t="s">
        <v>3423</v>
      </c>
    </row>
    <row r="1005" spans="2:2" x14ac:dyDescent="0.2">
      <c r="B1005" s="145" t="s">
        <v>3424</v>
      </c>
    </row>
    <row r="1006" spans="2:2" x14ac:dyDescent="0.2">
      <c r="B1006" s="145" t="s">
        <v>3425</v>
      </c>
    </row>
    <row r="1007" spans="2:2" x14ac:dyDescent="0.2">
      <c r="B1007" s="145" t="s">
        <v>3426</v>
      </c>
    </row>
    <row r="1008" spans="2:2" x14ac:dyDescent="0.2">
      <c r="B1008" s="145" t="s">
        <v>3427</v>
      </c>
    </row>
    <row r="1009" spans="2:2" x14ac:dyDescent="0.2">
      <c r="B1009" s="145" t="s">
        <v>3428</v>
      </c>
    </row>
    <row r="1010" spans="2:2" x14ac:dyDescent="0.2">
      <c r="B1010" s="145" t="s">
        <v>3429</v>
      </c>
    </row>
    <row r="1011" spans="2:2" x14ac:dyDescent="0.2">
      <c r="B1011" s="145" t="s">
        <v>3430</v>
      </c>
    </row>
    <row r="1012" spans="2:2" x14ac:dyDescent="0.2">
      <c r="B1012" s="145" t="s">
        <v>3431</v>
      </c>
    </row>
    <row r="1013" spans="2:2" x14ac:dyDescent="0.2">
      <c r="B1013" s="145" t="s">
        <v>3432</v>
      </c>
    </row>
    <row r="1014" spans="2:2" x14ac:dyDescent="0.2">
      <c r="B1014" s="145" t="s">
        <v>3433</v>
      </c>
    </row>
    <row r="1015" spans="2:2" x14ac:dyDescent="0.2">
      <c r="B1015" s="145" t="s">
        <v>3434</v>
      </c>
    </row>
    <row r="1016" spans="2:2" x14ac:dyDescent="0.2">
      <c r="B1016" s="145" t="s">
        <v>3435</v>
      </c>
    </row>
    <row r="1017" spans="2:2" x14ac:dyDescent="0.2">
      <c r="B1017" s="145" t="s">
        <v>3436</v>
      </c>
    </row>
    <row r="1018" spans="2:2" x14ac:dyDescent="0.2">
      <c r="B1018" s="145" t="s">
        <v>3437</v>
      </c>
    </row>
  </sheetData>
  <pageMargins left="0.7" right="0.7" top="0.75" bottom="0.75" header="0.3" footer="0.3"/>
  <pageSetup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84A23-DE51-47A6-871D-495990ABADAE}">
  <sheetPr codeName="Sheet24">
    <tabColor rgb="FF0070C0"/>
  </sheetPr>
  <dimension ref="A1:K36"/>
  <sheetViews>
    <sheetView workbookViewId="0"/>
  </sheetViews>
  <sheetFormatPr defaultColWidth="8.7265625" defaultRowHeight="13.15" customHeight="1" x14ac:dyDescent="0.3"/>
  <cols>
    <col min="1" max="16384" width="8.7265625" style="4"/>
  </cols>
  <sheetData>
    <row r="1" spans="1:11" ht="13.15" customHeight="1" x14ac:dyDescent="0.3">
      <c r="A1" s="32"/>
      <c r="B1" s="33"/>
      <c r="C1" s="34"/>
      <c r="D1" s="842" t="s">
        <v>3438</v>
      </c>
      <c r="E1" s="842"/>
      <c r="F1" s="842"/>
      <c r="G1" s="842"/>
      <c r="H1" s="842"/>
      <c r="I1" s="34"/>
      <c r="J1" s="34"/>
      <c r="K1" s="35" t="str">
        <f>'1-Cover'!$G$1</f>
        <v>OMB Approval No. 3245-0063</v>
      </c>
    </row>
    <row r="2" spans="1:11" ht="13.15" customHeight="1" x14ac:dyDescent="0.3">
      <c r="A2" s="15"/>
      <c r="D2" s="843" t="str">
        <f>"FOR "&amp;Number_of_Months&amp;" MONTH PERIOD ENDED: "&amp;TEXT(Form468Date,"MM/DD/YYYY")</f>
        <v>FOR  MONTH PERIOD ENDED: 01/00/1900</v>
      </c>
      <c r="E2" s="843"/>
      <c r="F2" s="843"/>
      <c r="G2" s="843"/>
      <c r="H2" s="843"/>
      <c r="I2" s="18"/>
      <c r="J2" s="18"/>
      <c r="K2" s="10" t="str">
        <f>'1-Cover'!$G$2</f>
        <v>Expiration Date MM/DD/YYYY</v>
      </c>
    </row>
    <row r="3" spans="1:11" ht="13.15" customHeight="1" x14ac:dyDescent="0.3">
      <c r="A3" s="11"/>
      <c r="B3" s="5"/>
      <c r="C3" s="13"/>
      <c r="D3" s="13"/>
      <c r="E3" s="13"/>
      <c r="F3" s="14"/>
      <c r="G3" s="13"/>
      <c r="H3" s="13"/>
      <c r="I3" s="13"/>
      <c r="J3" s="13"/>
      <c r="K3" s="9"/>
    </row>
    <row r="4" spans="1:11" ht="13.15" customHeight="1" x14ac:dyDescent="0.3">
      <c r="A4" s="36" t="str">
        <f>"Name of License:  "&amp;sbicname</f>
        <v xml:space="preserve">Name of License:  </v>
      </c>
      <c r="B4" s="37"/>
      <c r="C4" s="38"/>
      <c r="D4" s="38"/>
      <c r="E4" s="38"/>
      <c r="F4" s="38"/>
      <c r="G4" s="38"/>
      <c r="H4" s="38"/>
      <c r="I4" s="38"/>
      <c r="J4" s="38"/>
      <c r="K4" s="39" t="str">
        <f>"License no.:  "&amp;TEXT(licenseno,"00\/00\-0000")</f>
        <v>License no.:  00/00-0000</v>
      </c>
    </row>
    <row r="5" spans="1:11" ht="13.15" customHeight="1" x14ac:dyDescent="0.3">
      <c r="J5" s="3"/>
    </row>
    <row r="6" spans="1:11" ht="13.15" customHeight="1" x14ac:dyDescent="0.3">
      <c r="A6" s="1" t="s">
        <v>3439</v>
      </c>
    </row>
    <row r="8" spans="1:11" ht="13.15" customHeight="1" x14ac:dyDescent="0.3">
      <c r="A8" s="841" t="s">
        <v>3440</v>
      </c>
      <c r="B8" s="841"/>
      <c r="C8" s="841"/>
      <c r="D8" s="841"/>
      <c r="E8" s="841"/>
      <c r="F8" s="841"/>
      <c r="G8" s="841"/>
      <c r="H8" s="841"/>
      <c r="I8" s="841"/>
      <c r="J8" s="841"/>
      <c r="K8" s="841"/>
    </row>
    <row r="9" spans="1:11" ht="13.15" customHeight="1" x14ac:dyDescent="0.3">
      <c r="A9" s="841"/>
      <c r="B9" s="841"/>
      <c r="C9" s="841"/>
      <c r="D9" s="841"/>
      <c r="E9" s="841"/>
      <c r="F9" s="841"/>
      <c r="G9" s="841"/>
      <c r="H9" s="841"/>
      <c r="I9" s="841"/>
      <c r="J9" s="841"/>
      <c r="K9" s="841"/>
    </row>
    <row r="10" spans="1:11" ht="13.15" customHeight="1" x14ac:dyDescent="0.3">
      <c r="A10" s="841"/>
      <c r="B10" s="841"/>
      <c r="C10" s="841"/>
      <c r="D10" s="841"/>
      <c r="E10" s="841"/>
      <c r="F10" s="841"/>
      <c r="G10" s="841"/>
      <c r="H10" s="841"/>
      <c r="I10" s="841"/>
      <c r="J10" s="841"/>
      <c r="K10" s="841"/>
    </row>
    <row r="11" spans="1:11" ht="13.15" customHeight="1" x14ac:dyDescent="0.3">
      <c r="A11" s="841"/>
      <c r="B11" s="841"/>
      <c r="C11" s="841"/>
      <c r="D11" s="841"/>
      <c r="E11" s="841"/>
      <c r="F11" s="841"/>
      <c r="G11" s="841"/>
      <c r="H11" s="841"/>
      <c r="I11" s="841"/>
      <c r="J11" s="841"/>
      <c r="K11" s="841"/>
    </row>
    <row r="13" spans="1:11" ht="13.15" customHeight="1" x14ac:dyDescent="0.3">
      <c r="A13" s="841" t="s">
        <v>3441</v>
      </c>
      <c r="B13" s="841"/>
      <c r="C13" s="841"/>
      <c r="D13" s="841"/>
      <c r="E13" s="841"/>
      <c r="F13" s="841"/>
      <c r="G13" s="841"/>
      <c r="H13" s="841"/>
      <c r="I13" s="841"/>
      <c r="J13" s="841"/>
      <c r="K13" s="841"/>
    </row>
    <row r="14" spans="1:11" ht="13.15" customHeight="1" x14ac:dyDescent="0.3">
      <c r="A14" s="841"/>
      <c r="B14" s="841"/>
      <c r="C14" s="841"/>
      <c r="D14" s="841"/>
      <c r="E14" s="841"/>
      <c r="F14" s="841"/>
      <c r="G14" s="841"/>
      <c r="H14" s="841"/>
      <c r="I14" s="841"/>
      <c r="J14" s="841"/>
      <c r="K14" s="841"/>
    </row>
    <row r="16" spans="1:11" ht="13.15" customHeight="1" x14ac:dyDescent="0.3">
      <c r="A16" s="31" t="s">
        <v>3442</v>
      </c>
    </row>
    <row r="18" spans="1:11" ht="13.15" customHeight="1" x14ac:dyDescent="0.3">
      <c r="A18" s="4" t="s">
        <v>3443</v>
      </c>
    </row>
    <row r="19" spans="1:11" ht="13.15" customHeight="1" x14ac:dyDescent="0.3">
      <c r="A19" s="840" t="s">
        <v>3444</v>
      </c>
      <c r="B19" s="840"/>
      <c r="C19" s="840"/>
      <c r="D19" s="840"/>
      <c r="E19" s="840"/>
      <c r="F19" s="840"/>
      <c r="G19" s="840"/>
      <c r="H19" s="840"/>
      <c r="I19" s="840"/>
      <c r="J19" s="840"/>
      <c r="K19" s="840"/>
    </row>
    <row r="20" spans="1:11" ht="13.15" customHeight="1" x14ac:dyDescent="0.3">
      <c r="A20" s="840"/>
      <c r="B20" s="840"/>
      <c r="C20" s="840"/>
      <c r="D20" s="840"/>
      <c r="E20" s="840"/>
      <c r="F20" s="840"/>
      <c r="G20" s="840"/>
      <c r="H20" s="840"/>
      <c r="I20" s="840"/>
      <c r="J20" s="840"/>
      <c r="K20" s="840"/>
    </row>
    <row r="21" spans="1:11" ht="13.15" customHeight="1" x14ac:dyDescent="0.3">
      <c r="A21" s="840" t="s">
        <v>3445</v>
      </c>
      <c r="B21" s="840"/>
      <c r="C21" s="840"/>
      <c r="D21" s="840"/>
      <c r="E21" s="840"/>
      <c r="F21" s="840"/>
      <c r="G21" s="840"/>
      <c r="H21" s="840"/>
      <c r="I21" s="840"/>
      <c r="J21" s="840"/>
      <c r="K21" s="840"/>
    </row>
    <row r="22" spans="1:11" ht="13.15" customHeight="1" x14ac:dyDescent="0.3">
      <c r="A22" s="840"/>
      <c r="B22" s="840"/>
      <c r="C22" s="840"/>
      <c r="D22" s="840"/>
      <c r="E22" s="840"/>
      <c r="F22" s="840"/>
      <c r="G22" s="840"/>
      <c r="H22" s="840"/>
      <c r="I22" s="840"/>
      <c r="J22" s="840"/>
      <c r="K22" s="840"/>
    </row>
    <row r="23" spans="1:11" ht="13.15" customHeight="1" x14ac:dyDescent="0.3">
      <c r="A23" s="6" t="s">
        <v>3446</v>
      </c>
      <c r="B23" s="6"/>
      <c r="C23" s="6"/>
      <c r="D23" s="6"/>
      <c r="E23" s="6"/>
      <c r="F23" s="6"/>
      <c r="G23" s="6"/>
      <c r="H23" s="6"/>
      <c r="I23" s="6"/>
      <c r="J23" s="6"/>
      <c r="K23" s="6"/>
    </row>
    <row r="24" spans="1:11" ht="13.15" customHeight="1" x14ac:dyDescent="0.3">
      <c r="A24" s="6" t="s">
        <v>3447</v>
      </c>
      <c r="B24" s="6"/>
      <c r="C24" s="6"/>
      <c r="D24" s="6"/>
      <c r="E24" s="6"/>
      <c r="F24" s="6"/>
      <c r="G24" s="6"/>
      <c r="H24" s="6"/>
      <c r="I24" s="6"/>
      <c r="J24" s="6"/>
      <c r="K24" s="6"/>
    </row>
    <row r="25" spans="1:11" ht="13.15" customHeight="1" x14ac:dyDescent="0.3">
      <c r="A25" s="6"/>
      <c r="B25" s="6"/>
      <c r="C25" s="6"/>
      <c r="D25" s="6"/>
      <c r="E25" s="6"/>
      <c r="F25" s="6"/>
      <c r="G25" s="6"/>
      <c r="H25" s="6"/>
      <c r="I25" s="6"/>
      <c r="J25" s="6"/>
      <c r="K25" s="6"/>
    </row>
    <row r="26" spans="1:11" ht="13.15" customHeight="1" x14ac:dyDescent="0.3">
      <c r="A26" s="4" t="s">
        <v>3448</v>
      </c>
    </row>
    <row r="27" spans="1:11" ht="13.15" customHeight="1" x14ac:dyDescent="0.3">
      <c r="A27" s="6" t="s">
        <v>3449</v>
      </c>
    </row>
    <row r="28" spans="1:11" ht="13.15" customHeight="1" x14ac:dyDescent="0.3">
      <c r="A28" s="6" t="s">
        <v>3450</v>
      </c>
    </row>
    <row r="29" spans="1:11" ht="13.15" customHeight="1" x14ac:dyDescent="0.3">
      <c r="A29" s="6" t="s">
        <v>3451</v>
      </c>
    </row>
    <row r="30" spans="1:11" ht="13.15" customHeight="1" x14ac:dyDescent="0.3">
      <c r="A30" s="6" t="s">
        <v>3452</v>
      </c>
    </row>
    <row r="31" spans="1:11" ht="13.15" customHeight="1" x14ac:dyDescent="0.3">
      <c r="A31" s="6" t="s">
        <v>3453</v>
      </c>
    </row>
    <row r="32" spans="1:11" ht="13.15" customHeight="1" x14ac:dyDescent="0.3">
      <c r="A32" s="6" t="s">
        <v>3454</v>
      </c>
    </row>
    <row r="34" spans="1:11" ht="13.15" customHeight="1" x14ac:dyDescent="0.3">
      <c r="A34" s="841" t="s">
        <v>3455</v>
      </c>
      <c r="B34" s="841"/>
      <c r="C34" s="841"/>
      <c r="D34" s="841"/>
      <c r="E34" s="841"/>
      <c r="F34" s="841"/>
      <c r="G34" s="841"/>
      <c r="H34" s="841"/>
      <c r="I34" s="841"/>
      <c r="J34" s="841"/>
      <c r="K34" s="841"/>
    </row>
    <row r="35" spans="1:11" ht="13.15" customHeight="1" x14ac:dyDescent="0.3">
      <c r="A35" s="841"/>
      <c r="B35" s="841"/>
      <c r="C35" s="841"/>
      <c r="D35" s="841"/>
      <c r="E35" s="841"/>
      <c r="F35" s="841"/>
      <c r="G35" s="841"/>
      <c r="H35" s="841"/>
      <c r="I35" s="841"/>
      <c r="J35" s="841"/>
      <c r="K35" s="841"/>
    </row>
    <row r="36" spans="1:11" ht="13.15" customHeight="1" x14ac:dyDescent="0.3">
      <c r="A36" s="841"/>
      <c r="B36" s="841"/>
      <c r="C36" s="841"/>
      <c r="D36" s="841"/>
      <c r="E36" s="841"/>
      <c r="F36" s="841"/>
      <c r="G36" s="841"/>
      <c r="H36" s="841"/>
      <c r="I36" s="841"/>
      <c r="J36" s="841"/>
      <c r="K36" s="841"/>
    </row>
  </sheetData>
  <mergeCells count="7">
    <mergeCell ref="A21:K22"/>
    <mergeCell ref="A34:K36"/>
    <mergeCell ref="D1:H1"/>
    <mergeCell ref="D2:H2"/>
    <mergeCell ref="A8:K11"/>
    <mergeCell ref="A13:K14"/>
    <mergeCell ref="A19:K20"/>
  </mergeCells>
  <pageMargins left="0.5" right="0.5" top="0.5" bottom="0.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9F465-DAF6-4F6A-AECE-4A29F0020DC4}">
  <sheetPr codeName="Sheet4"/>
  <dimension ref="A1:G36"/>
  <sheetViews>
    <sheetView workbookViewId="0">
      <selection activeCell="F2" sqref="F2"/>
    </sheetView>
  </sheetViews>
  <sheetFormatPr defaultColWidth="8.7265625" defaultRowHeight="10" x14ac:dyDescent="0.2"/>
  <cols>
    <col min="1" max="1" width="3.1796875" style="77" customWidth="1"/>
    <col min="2" max="2" width="65.1796875" style="77" customWidth="1"/>
    <col min="3" max="3" width="12.453125" style="77" customWidth="1"/>
    <col min="4" max="4" width="14.453125" style="79" customWidth="1"/>
    <col min="5" max="5" width="12.6328125" style="79" customWidth="1"/>
    <col min="6" max="6" width="14.453125" style="77" customWidth="1"/>
    <col min="7" max="7" width="18.36328125" style="145" customWidth="1"/>
    <col min="8" max="16384" width="8.7265625" style="77"/>
  </cols>
  <sheetData>
    <row r="1" spans="1:7" x14ac:dyDescent="0.2">
      <c r="A1" s="638" t="s">
        <v>1667</v>
      </c>
      <c r="B1" s="145"/>
      <c r="D1" s="629"/>
    </row>
    <row r="2" spans="1:7" x14ac:dyDescent="0.2">
      <c r="A2" s="605"/>
      <c r="B2" s="699" t="s">
        <v>3568</v>
      </c>
    </row>
    <row r="3" spans="1:7" s="84" customFormat="1" ht="30" x14ac:dyDescent="0.2">
      <c r="B3" s="630" t="s">
        <v>1668</v>
      </c>
      <c r="C3" s="343" t="s">
        <v>1669</v>
      </c>
      <c r="D3" s="343" t="s">
        <v>1670</v>
      </c>
      <c r="E3" s="631" t="s">
        <v>3476</v>
      </c>
      <c r="F3" s="343" t="s">
        <v>1671</v>
      </c>
      <c r="G3" s="637" t="s">
        <v>1672</v>
      </c>
    </row>
    <row r="4" spans="1:7" s="352" customFormat="1" x14ac:dyDescent="0.35">
      <c r="B4" s="632" t="s">
        <v>1673</v>
      </c>
      <c r="C4" s="633">
        <v>1</v>
      </c>
      <c r="D4" s="633">
        <v>1</v>
      </c>
      <c r="E4" s="633"/>
      <c r="F4" s="633"/>
      <c r="G4" s="634" t="s">
        <v>86</v>
      </c>
    </row>
    <row r="5" spans="1:7" s="352" customFormat="1" x14ac:dyDescent="0.35">
      <c r="B5" s="632" t="s">
        <v>1674</v>
      </c>
      <c r="C5" s="633">
        <v>2</v>
      </c>
      <c r="D5" s="633">
        <v>14</v>
      </c>
      <c r="E5" s="633"/>
      <c r="F5" s="633"/>
      <c r="G5" s="634" t="s">
        <v>102</v>
      </c>
    </row>
    <row r="6" spans="1:7" s="352" customFormat="1" x14ac:dyDescent="0.35">
      <c r="B6" s="632" t="s">
        <v>1675</v>
      </c>
      <c r="C6" s="633">
        <v>3</v>
      </c>
      <c r="D6" s="633">
        <v>15</v>
      </c>
      <c r="E6" s="633"/>
      <c r="F6" s="633"/>
      <c r="G6" s="634" t="s">
        <v>109</v>
      </c>
    </row>
    <row r="7" spans="1:7" s="352" customFormat="1" x14ac:dyDescent="0.35">
      <c r="B7" s="632" t="s">
        <v>1676</v>
      </c>
      <c r="C7" s="633">
        <v>4</v>
      </c>
      <c r="D7" s="633">
        <v>16</v>
      </c>
      <c r="E7" s="633"/>
      <c r="F7" s="633"/>
      <c r="G7" s="634" t="s">
        <v>112</v>
      </c>
    </row>
    <row r="8" spans="1:7" s="352" customFormat="1" x14ac:dyDescent="0.35">
      <c r="B8" s="632" t="s">
        <v>1677</v>
      </c>
      <c r="C8" s="633">
        <v>5</v>
      </c>
      <c r="D8" s="633">
        <v>12</v>
      </c>
      <c r="E8" s="633"/>
      <c r="F8" s="633"/>
      <c r="G8" s="634" t="s">
        <v>113</v>
      </c>
    </row>
    <row r="9" spans="1:7" s="352" customFormat="1" x14ac:dyDescent="0.35">
      <c r="B9" s="632" t="s">
        <v>1678</v>
      </c>
      <c r="C9" s="633">
        <v>6</v>
      </c>
      <c r="D9" s="633">
        <v>13</v>
      </c>
      <c r="E9" s="633"/>
      <c r="F9" s="633" t="s">
        <v>198</v>
      </c>
      <c r="G9" s="634" t="s">
        <v>114</v>
      </c>
    </row>
    <row r="10" spans="1:7" s="352" customFormat="1" x14ac:dyDescent="0.35">
      <c r="B10" s="632" t="s">
        <v>1679</v>
      </c>
      <c r="C10" s="633">
        <v>7</v>
      </c>
      <c r="D10" s="633">
        <v>3</v>
      </c>
      <c r="E10" s="633"/>
      <c r="F10" s="633"/>
      <c r="G10" s="634" t="s">
        <v>96</v>
      </c>
    </row>
    <row r="11" spans="1:7" s="352" customFormat="1" x14ac:dyDescent="0.35">
      <c r="B11" s="632" t="s">
        <v>1680</v>
      </c>
      <c r="C11" s="633">
        <v>8</v>
      </c>
      <c r="D11" s="633">
        <v>5</v>
      </c>
      <c r="E11" s="633"/>
      <c r="F11" s="633"/>
      <c r="G11" s="634" t="s">
        <v>1681</v>
      </c>
    </row>
    <row r="12" spans="1:7" s="352" customFormat="1" x14ac:dyDescent="0.35">
      <c r="B12" s="632" t="s">
        <v>1682</v>
      </c>
      <c r="C12" s="633">
        <v>9</v>
      </c>
      <c r="D12" s="633">
        <v>4</v>
      </c>
      <c r="E12" s="633"/>
      <c r="F12" s="633"/>
      <c r="G12" s="634" t="s">
        <v>99</v>
      </c>
    </row>
    <row r="13" spans="1:7" s="352" customFormat="1" x14ac:dyDescent="0.35">
      <c r="B13" s="632" t="s">
        <v>1683</v>
      </c>
      <c r="C13" s="633">
        <v>10</v>
      </c>
      <c r="D13" s="633">
        <v>6</v>
      </c>
      <c r="E13" s="633"/>
      <c r="F13" s="633"/>
      <c r="G13" s="634" t="s">
        <v>100</v>
      </c>
    </row>
    <row r="14" spans="1:7" s="352" customFormat="1" x14ac:dyDescent="0.35">
      <c r="B14" s="632" t="s">
        <v>1684</v>
      </c>
      <c r="C14" s="633">
        <v>11</v>
      </c>
      <c r="D14" s="633">
        <v>7</v>
      </c>
      <c r="E14" s="633"/>
      <c r="F14" s="633"/>
      <c r="G14" s="634" t="s">
        <v>719</v>
      </c>
    </row>
    <row r="15" spans="1:7" s="352" customFormat="1" x14ac:dyDescent="0.35">
      <c r="B15" s="632" t="s">
        <v>1685</v>
      </c>
      <c r="C15" s="633">
        <v>12</v>
      </c>
      <c r="D15" s="633">
        <v>8</v>
      </c>
      <c r="E15" s="633"/>
      <c r="F15" s="633"/>
      <c r="G15" s="634" t="s">
        <v>1686</v>
      </c>
    </row>
    <row r="16" spans="1:7" s="352" customFormat="1" x14ac:dyDescent="0.35">
      <c r="B16" s="632" t="s">
        <v>1687</v>
      </c>
      <c r="C16" s="633">
        <v>13</v>
      </c>
      <c r="D16" s="633">
        <v>9</v>
      </c>
      <c r="E16" s="633"/>
      <c r="F16" s="633"/>
      <c r="G16" s="634" t="s">
        <v>98</v>
      </c>
    </row>
    <row r="17" spans="2:7" s="352" customFormat="1" x14ac:dyDescent="0.35">
      <c r="B17" s="632" t="s">
        <v>1688</v>
      </c>
      <c r="C17" s="633">
        <v>14</v>
      </c>
      <c r="D17" s="633">
        <v>10</v>
      </c>
      <c r="E17" s="633"/>
      <c r="F17" s="633"/>
      <c r="G17" s="634" t="s">
        <v>1689</v>
      </c>
    </row>
    <row r="18" spans="2:7" s="352" customFormat="1" x14ac:dyDescent="0.35">
      <c r="B18" s="632" t="s">
        <v>1690</v>
      </c>
      <c r="C18" s="633">
        <v>15</v>
      </c>
      <c r="D18" s="633">
        <v>11</v>
      </c>
      <c r="E18" s="633"/>
      <c r="F18" s="633" t="s">
        <v>198</v>
      </c>
      <c r="G18" s="634" t="s">
        <v>1691</v>
      </c>
    </row>
    <row r="19" spans="2:7" s="352" customFormat="1" x14ac:dyDescent="0.35">
      <c r="B19" s="632" t="s">
        <v>3474</v>
      </c>
      <c r="C19" s="633">
        <v>16</v>
      </c>
      <c r="D19" s="633">
        <v>17</v>
      </c>
      <c r="E19" s="633" t="s">
        <v>198</v>
      </c>
      <c r="F19" s="633"/>
      <c r="G19" s="634" t="s">
        <v>3457</v>
      </c>
    </row>
    <row r="20" spans="2:7" s="352" customFormat="1" x14ac:dyDescent="0.35">
      <c r="B20" s="632" t="s">
        <v>1692</v>
      </c>
      <c r="C20" s="633">
        <v>17</v>
      </c>
      <c r="D20" s="633">
        <v>18</v>
      </c>
      <c r="E20" s="633"/>
      <c r="F20" s="633"/>
      <c r="G20" s="634" t="s">
        <v>1693</v>
      </c>
    </row>
    <row r="21" spans="2:7" s="352" customFormat="1" x14ac:dyDescent="0.35">
      <c r="B21" s="632" t="s">
        <v>1694</v>
      </c>
      <c r="C21" s="633">
        <v>18</v>
      </c>
      <c r="D21" s="633">
        <v>22</v>
      </c>
      <c r="E21" s="633"/>
      <c r="F21" s="633"/>
      <c r="G21" s="634" t="s">
        <v>1694</v>
      </c>
    </row>
    <row r="22" spans="2:7" s="352" customFormat="1" x14ac:dyDescent="0.35">
      <c r="B22" s="632" t="s">
        <v>3473</v>
      </c>
      <c r="C22" s="633">
        <v>19</v>
      </c>
      <c r="D22" s="633">
        <v>19</v>
      </c>
      <c r="E22" s="633"/>
      <c r="F22" s="633"/>
      <c r="G22" s="634" t="s">
        <v>89</v>
      </c>
    </row>
    <row r="23" spans="2:7" s="352" customFormat="1" x14ac:dyDescent="0.35">
      <c r="B23" s="632" t="s">
        <v>1695</v>
      </c>
      <c r="C23" s="633">
        <v>20</v>
      </c>
      <c r="D23" s="633">
        <v>2</v>
      </c>
      <c r="E23" s="633"/>
      <c r="F23" s="633"/>
      <c r="G23" s="634" t="s">
        <v>101</v>
      </c>
    </row>
    <row r="24" spans="2:7" s="352" customFormat="1" x14ac:dyDescent="0.35">
      <c r="B24" s="698" t="s">
        <v>3564</v>
      </c>
      <c r="C24" s="633">
        <v>21</v>
      </c>
      <c r="D24" s="633">
        <v>21</v>
      </c>
      <c r="E24" s="633"/>
      <c r="F24" s="633"/>
      <c r="G24" s="634" t="s">
        <v>3565</v>
      </c>
    </row>
    <row r="25" spans="2:7" s="352" customFormat="1" x14ac:dyDescent="0.35">
      <c r="B25" s="632" t="s">
        <v>1696</v>
      </c>
      <c r="C25" s="633">
        <v>22</v>
      </c>
      <c r="D25" s="633">
        <v>20</v>
      </c>
      <c r="E25" s="633"/>
      <c r="F25" s="633"/>
      <c r="G25" s="634" t="s">
        <v>94</v>
      </c>
    </row>
    <row r="26" spans="2:7" s="352" customFormat="1" x14ac:dyDescent="0.35">
      <c r="B26" s="632" t="s">
        <v>1697</v>
      </c>
      <c r="C26" s="633">
        <v>23</v>
      </c>
      <c r="D26" s="633">
        <v>23</v>
      </c>
      <c r="E26" s="633"/>
      <c r="F26" s="633"/>
      <c r="G26" s="634" t="s">
        <v>1698</v>
      </c>
    </row>
    <row r="27" spans="2:7" s="352" customFormat="1" x14ac:dyDescent="0.35">
      <c r="B27" s="632" t="s">
        <v>1699</v>
      </c>
      <c r="C27" s="633">
        <v>24</v>
      </c>
      <c r="D27" s="633">
        <v>24</v>
      </c>
      <c r="E27" s="633"/>
      <c r="F27" s="633"/>
      <c r="G27" s="634" t="s">
        <v>108</v>
      </c>
    </row>
    <row r="28" spans="2:7" s="352" customFormat="1" x14ac:dyDescent="0.35">
      <c r="B28" s="632" t="s">
        <v>1700</v>
      </c>
      <c r="C28" s="633">
        <v>25</v>
      </c>
      <c r="D28" s="633">
        <v>25</v>
      </c>
      <c r="E28" s="633"/>
      <c r="F28" s="633"/>
      <c r="G28" s="634" t="s">
        <v>1701</v>
      </c>
    </row>
    <row r="29" spans="2:7" s="352" customFormat="1" x14ac:dyDescent="0.35">
      <c r="B29" s="635" t="s">
        <v>1702</v>
      </c>
      <c r="C29" s="633">
        <v>26</v>
      </c>
      <c r="D29" s="633">
        <v>26</v>
      </c>
      <c r="E29" s="633"/>
      <c r="F29" s="633"/>
      <c r="G29" s="634" t="s">
        <v>1703</v>
      </c>
    </row>
    <row r="30" spans="2:7" s="352" customFormat="1" x14ac:dyDescent="0.35">
      <c r="B30" s="632" t="s">
        <v>1704</v>
      </c>
      <c r="C30" s="633" t="s">
        <v>6</v>
      </c>
      <c r="D30" s="633" t="s">
        <v>6</v>
      </c>
      <c r="E30" s="633"/>
      <c r="F30" s="633" t="s">
        <v>198</v>
      </c>
      <c r="G30" s="634" t="s">
        <v>704</v>
      </c>
    </row>
    <row r="31" spans="2:7" x14ac:dyDescent="0.2">
      <c r="B31" s="632" t="s">
        <v>1705</v>
      </c>
      <c r="C31" s="633" t="s">
        <v>6</v>
      </c>
      <c r="D31" s="633" t="s">
        <v>6</v>
      </c>
      <c r="E31" s="633"/>
      <c r="F31" s="633"/>
      <c r="G31" s="634" t="s">
        <v>105</v>
      </c>
    </row>
    <row r="32" spans="2:7" x14ac:dyDescent="0.2">
      <c r="B32" s="636"/>
      <c r="C32" s="306"/>
      <c r="D32" s="306"/>
      <c r="E32" s="306"/>
      <c r="F32" s="306"/>
    </row>
    <row r="33" spans="2:5" x14ac:dyDescent="0.2">
      <c r="B33" s="605" t="s">
        <v>1706</v>
      </c>
    </row>
    <row r="34" spans="2:5" ht="29.5" customHeight="1" x14ac:dyDescent="0.2">
      <c r="B34" s="703" t="s">
        <v>3475</v>
      </c>
      <c r="C34" s="703"/>
      <c r="D34" s="703"/>
      <c r="E34" s="417"/>
    </row>
    <row r="35" spans="2:5" ht="13.5" customHeight="1" x14ac:dyDescent="0.2">
      <c r="B35" s="703" t="s">
        <v>1707</v>
      </c>
      <c r="C35" s="703"/>
      <c r="D35" s="703"/>
      <c r="E35" s="417"/>
    </row>
    <row r="36" spans="2:5" x14ac:dyDescent="0.2">
      <c r="B36" s="703"/>
      <c r="C36" s="703"/>
      <c r="D36" s="703"/>
    </row>
  </sheetData>
  <mergeCells count="3">
    <mergeCell ref="B34:D34"/>
    <mergeCell ref="B35:D35"/>
    <mergeCell ref="B36:D36"/>
  </mergeCells>
  <hyperlinks>
    <hyperlink ref="B4" location="ReportType" display="Cover" xr:uid="{44DEE33F-EDB2-4FEC-8752-5430AD70D444}"/>
    <hyperlink ref="B10" location="S1Inv!A1" display="Schedule 1:  Schedule of Loans and Investments" xr:uid="{00CA824E-C6F9-44C7-A15F-D4A0A51D477D}"/>
    <hyperlink ref="B25" location="aum" display="Executive Summary " xr:uid="{AC684EFA-6DDF-453E-A4B1-65F758B442C5}"/>
    <hyperlink ref="B5" location="'2&amp;3-Bal'!A1" display="Balance Sheet" xr:uid="{0340EE59-712F-46DE-8B4B-08B72C978220}"/>
    <hyperlink ref="B6" location="'4-NI'!A1" display="Statement of Operations / Income Statement" xr:uid="{AF208DC0-5259-467B-A1DD-F27AF44964AB}"/>
    <hyperlink ref="B7" location="'5&amp;6-CF'!A1" display="Cash Flow Statement" xr:uid="{F71A9DEE-7C12-45CC-94C8-77FCA9F566BF}"/>
    <hyperlink ref="B16" location="S5Commit!A1" display="Schedule 5:  Schedule of Commitments" xr:uid="{5C464BB8-F8C3-4AB9-BACD-6100A2D305A6}"/>
    <hyperlink ref="B17" location="S6Guar!A1" display="Schedule 6:  Schedule of Guarantees" xr:uid="{F4F69E7E-B173-4855-9DD8-0CEF62E50E64}"/>
    <hyperlink ref="B8" location="'7-PCap'!A1" display="Statement of Partners' Capital " xr:uid="{402488BF-2494-4DB5-BEFD-B0E8207EA093}"/>
    <hyperlink ref="B9" location="'8-READ_Cap'!A1" display="READ &amp; Regulatory &amp; Leverageable Capital " xr:uid="{AD4896CB-BC26-4C98-A373-A67CDD97D1D3}"/>
    <hyperlink ref="B11" location="S1AB!A1" display="Schedule 1 A &amp; B: Summary of Loans and Investments and Smaller Enterprise Financings" xr:uid="{937C2C3B-1C6F-410F-A447-1964A8978F5A}"/>
    <hyperlink ref="B12" location="S1C!A1" display="Schedule 1 C:  Schedule of Additions and Deductions to Loan and Investment Cost" xr:uid="{D0F3A5E7-DDB1-46EF-8CC5-5D0F11996F22}"/>
    <hyperlink ref="B13" location="S2RG!A1" display="Schedule 2:  Schedule of Realized Gains and Losses on Loans and Investments" xr:uid="{F42E7EAF-8994-48A5-89C7-6E906A729684}"/>
    <hyperlink ref="B14" location="S3NC!A1" display="Schedule 3:  Schedule of Non-cash Gains/Income" xr:uid="{ED463856-BE33-47D8-BC52-03FD740624F7}"/>
    <hyperlink ref="B15" location="S4Del!A1" display="Schedule 4:  Schedule of Delinquent Loans and Investments" xr:uid="{3705B750-0548-4DD0-8E1C-B051BB9239E7}"/>
    <hyperlink ref="B18" location="S7Cash!A1" display="Schedule 7:  Schedule of Cash and Invested Idle Funds" xr:uid="{2E75C73A-D4A0-493F-8F43-42118F482C10}"/>
    <hyperlink ref="B20" location="S9Activity!A1" display="Schedule 9:  Schedule of Activity" xr:uid="{3CABDE45-1CA0-4A18-8415-2BEE4B1E13F4}"/>
    <hyperlink ref="B19" location="s8dist!A1" display="Schedule 8:  SBIC Distribution Schedule*" xr:uid="{ECDF5637-A732-40FF-A22E-085BAEEBC5CA}"/>
    <hyperlink ref="B22" location="s10crm!A1" display="Schedule 10:  SBIC Customer Relationship Management Information" xr:uid="{CDCCD454-3237-4263-A551-BF4ADBA2369A}"/>
    <hyperlink ref="B21" location="Certifications!A1" display="Certifications" xr:uid="{B46C3C54-CD65-43A7-A746-9C7B6DFCED80}"/>
    <hyperlink ref="B30" location="keymetrics!A1" display="Key SBA Leverage Metrics " xr:uid="{AE745191-323B-4F2A-A15C-BFA7A87119F1}"/>
    <hyperlink ref="B23" location="s11cumperf!A1" display="Schedule 11:  SBIC Cumulative Performance" xr:uid="{287A130E-51AA-4851-AD7D-B5BC82A25330}"/>
    <hyperlink ref="B26" location="WDSup!A1" display="Wind-Down Plan Supplement" xr:uid="{73F8111A-EA3F-40E4-9329-91B8462D6DF2}"/>
    <hyperlink ref="B27" location="WDSupA!A1" display="Wind-Down Plan Supplement Schedule A" xr:uid="{0E44DABD-62EF-47F7-93A4-32B9CCDA089B}"/>
    <hyperlink ref="B28" location="WDSupB!A1" display="Wind-Down Plan Supplement Schedule B" xr:uid="{0B35ECF3-E52C-4679-8B70-CDE38B0E4F67}"/>
    <hyperlink ref="B24" location="S12pc!A1" display="Schedule 12:  Portfolio Company Updates" xr:uid="{603AA493-6BB0-4D33-95E9-C26256D97D57}"/>
  </hyperlinks>
  <pageMargins left="0.7" right="0.7" top="0.75" bottom="0.75" header="0.3" footer="0.3"/>
  <pageSetup orientation="landscape"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7B0E4-C0EC-48A1-BF1C-9DD61FC91D84}">
  <sheetPr codeName="Sheet5">
    <tabColor theme="4" tint="0.79998168889431442"/>
  </sheetPr>
  <dimension ref="A1:H43"/>
  <sheetViews>
    <sheetView topLeftCell="A32" workbookViewId="0">
      <selection activeCell="D46" sqref="D46"/>
    </sheetView>
  </sheetViews>
  <sheetFormatPr defaultColWidth="8.7265625" defaultRowHeight="12" customHeight="1" x14ac:dyDescent="0.2"/>
  <cols>
    <col min="1" max="1" width="18.81640625" style="77" customWidth="1"/>
    <col min="2" max="2" width="13.7265625" style="77" customWidth="1"/>
    <col min="3" max="3" width="15.1796875" style="77" customWidth="1"/>
    <col min="4" max="4" width="23.1796875" style="77" customWidth="1"/>
    <col min="5" max="5" width="7.7265625" style="85" customWidth="1"/>
    <col min="6" max="7" width="13.7265625" style="85" customWidth="1"/>
    <col min="8" max="9" width="8.7265625" style="77"/>
    <col min="10" max="26" width="8.7265625" style="77" customWidth="1"/>
    <col min="27" max="29" width="8.7265625" style="77"/>
    <col min="30" max="31" width="9" style="77" customWidth="1"/>
    <col min="32" max="32" width="9.26953125" style="77" customWidth="1"/>
    <col min="33" max="35" width="8.7265625" style="77"/>
    <col min="36" max="36" width="9.7265625" style="77" customWidth="1"/>
    <col min="37" max="37" width="13" style="77" customWidth="1"/>
    <col min="38" max="38" width="10.26953125" style="77" customWidth="1"/>
    <col min="39" max="39" width="10" style="77" customWidth="1"/>
    <col min="40" max="40" width="12.26953125" style="77" customWidth="1"/>
    <col min="41" max="41" width="15.26953125" style="77" customWidth="1"/>
    <col min="42" max="42" width="8.7265625" style="77"/>
    <col min="43" max="43" width="10.7265625" style="77" customWidth="1"/>
    <col min="44" max="16384" width="8.7265625" style="77"/>
  </cols>
  <sheetData>
    <row r="1" spans="1:7" ht="12" customHeight="1" x14ac:dyDescent="0.2">
      <c r="A1" s="84"/>
      <c r="B1" s="84"/>
      <c r="C1" s="84"/>
      <c r="D1" s="105" t="s">
        <v>3567</v>
      </c>
      <c r="E1" s="84"/>
      <c r="F1" s="84"/>
      <c r="G1" s="150" t="s">
        <v>1708</v>
      </c>
    </row>
    <row r="2" spans="1:7" ht="12" customHeight="1" x14ac:dyDescent="0.2">
      <c r="A2" s="84"/>
      <c r="B2" s="84"/>
      <c r="C2" s="84"/>
      <c r="D2" s="79" t="s">
        <v>3566</v>
      </c>
      <c r="E2" s="84"/>
      <c r="F2" s="84"/>
      <c r="G2" s="150" t="s">
        <v>1709</v>
      </c>
    </row>
    <row r="3" spans="1:7" ht="13.9" customHeight="1" x14ac:dyDescent="0.2">
      <c r="A3" s="84"/>
      <c r="B3" s="84"/>
      <c r="C3" s="84"/>
      <c r="D3" s="617" t="s">
        <v>160</v>
      </c>
      <c r="E3" s="84"/>
      <c r="F3" s="84"/>
      <c r="G3" s="84"/>
    </row>
    <row r="4" spans="1:7" ht="12" customHeight="1" x14ac:dyDescent="0.2">
      <c r="A4" s="84"/>
    </row>
    <row r="5" spans="1:7" ht="12" customHeight="1" x14ac:dyDescent="0.2">
      <c r="A5" s="84"/>
    </row>
    <row r="6" spans="1:7" ht="12" customHeight="1" x14ac:dyDescent="0.2">
      <c r="B6" s="150" t="s">
        <v>1710</v>
      </c>
      <c r="C6" s="704"/>
      <c r="D6" s="704"/>
      <c r="E6" s="704"/>
    </row>
    <row r="7" spans="1:7" ht="12" customHeight="1" x14ac:dyDescent="0.2">
      <c r="B7" s="150"/>
    </row>
    <row r="8" spans="1:7" ht="12" customHeight="1" x14ac:dyDescent="0.2">
      <c r="B8" s="150" t="s">
        <v>1711</v>
      </c>
      <c r="C8" s="618"/>
    </row>
    <row r="9" spans="1:7" ht="12" customHeight="1" x14ac:dyDescent="0.2">
      <c r="B9" s="150"/>
    </row>
    <row r="10" spans="1:7" ht="12" customHeight="1" x14ac:dyDescent="0.2">
      <c r="B10" s="150" t="s">
        <v>1712</v>
      </c>
      <c r="C10" s="709"/>
      <c r="D10" s="710"/>
      <c r="E10" s="711"/>
    </row>
    <row r="11" spans="1:7" ht="12" customHeight="1" x14ac:dyDescent="0.2">
      <c r="B11" s="150"/>
      <c r="C11" s="712"/>
      <c r="D11" s="713"/>
      <c r="E11" s="714"/>
    </row>
    <row r="12" spans="1:7" ht="12" customHeight="1" x14ac:dyDescent="0.2">
      <c r="B12" s="150"/>
    </row>
    <row r="13" spans="1:7" ht="12" customHeight="1" x14ac:dyDescent="0.2">
      <c r="B13" s="150" t="s">
        <v>1713</v>
      </c>
      <c r="C13" s="704"/>
      <c r="D13" s="704"/>
      <c r="E13" s="704"/>
    </row>
    <row r="14" spans="1:7" ht="12" customHeight="1" x14ac:dyDescent="0.2">
      <c r="B14" s="150" t="s">
        <v>1714</v>
      </c>
      <c r="C14" s="619"/>
      <c r="D14" s="715" t="e">
        <f>VLOOKUP(C14,Select_state[#Data],2,FALSE)</f>
        <v>#N/A</v>
      </c>
      <c r="E14" s="715"/>
    </row>
    <row r="15" spans="1:7" ht="12" customHeight="1" x14ac:dyDescent="0.2">
      <c r="B15" s="150" t="s">
        <v>1715</v>
      </c>
      <c r="C15" s="620"/>
      <c r="D15" s="85"/>
    </row>
    <row r="16" spans="1:7" ht="12" customHeight="1" x14ac:dyDescent="0.2">
      <c r="B16" s="150" t="s">
        <v>1716</v>
      </c>
      <c r="C16" s="704"/>
      <c r="D16" s="704"/>
    </row>
    <row r="17" spans="2:7" ht="12" customHeight="1" x14ac:dyDescent="0.2">
      <c r="B17" s="150"/>
    </row>
    <row r="18" spans="2:7" ht="12" customHeight="1" x14ac:dyDescent="0.2">
      <c r="B18" s="150" t="s">
        <v>1717</v>
      </c>
      <c r="C18" s="616"/>
    </row>
    <row r="19" spans="2:7" ht="12" customHeight="1" x14ac:dyDescent="0.2">
      <c r="B19" s="150"/>
    </row>
    <row r="20" spans="2:7" ht="12" customHeight="1" x14ac:dyDescent="0.2">
      <c r="B20" s="150" t="s">
        <v>1718</v>
      </c>
      <c r="C20" s="621"/>
      <c r="E20" s="199"/>
      <c r="F20" s="199"/>
    </row>
    <row r="21" spans="2:7" ht="12" customHeight="1" x14ac:dyDescent="0.2">
      <c r="B21" s="150"/>
      <c r="F21" s="199"/>
    </row>
    <row r="22" spans="2:7" ht="12" customHeight="1" x14ac:dyDescent="0.2">
      <c r="B22" s="150" t="s">
        <v>1719</v>
      </c>
      <c r="C22" s="622"/>
      <c r="F22" s="199"/>
    </row>
    <row r="23" spans="2:7" ht="12" customHeight="1" x14ac:dyDescent="0.2">
      <c r="F23" s="199"/>
    </row>
    <row r="24" spans="2:7" ht="12" customHeight="1" x14ac:dyDescent="0.2">
      <c r="B24" s="150" t="s">
        <v>1720</v>
      </c>
      <c r="C24" s="704" t="s">
        <v>223</v>
      </c>
      <c r="D24" s="704"/>
      <c r="E24" s="704"/>
      <c r="F24" s="199"/>
    </row>
    <row r="25" spans="2:7" ht="12" customHeight="1" x14ac:dyDescent="0.2">
      <c r="F25" s="199"/>
    </row>
    <row r="26" spans="2:7" ht="12" customHeight="1" x14ac:dyDescent="0.2">
      <c r="B26" s="215" t="s">
        <v>1721</v>
      </c>
      <c r="C26" s="716" t="s">
        <v>161</v>
      </c>
      <c r="D26" s="716"/>
      <c r="E26" s="716"/>
      <c r="F26" s="199"/>
    </row>
    <row r="27" spans="2:7" ht="12" customHeight="1" x14ac:dyDescent="0.2">
      <c r="E27" s="77"/>
      <c r="F27" s="199"/>
    </row>
    <row r="28" spans="2:7" ht="12" customHeight="1" x14ac:dyDescent="0.2">
      <c r="B28" s="150" t="s">
        <v>1722</v>
      </c>
      <c r="C28" s="622"/>
      <c r="F28" s="199"/>
    </row>
    <row r="29" spans="2:7" ht="12" customHeight="1" x14ac:dyDescent="0.2">
      <c r="B29" s="150"/>
      <c r="F29" s="199"/>
    </row>
    <row r="30" spans="2:7" ht="12" customHeight="1" x14ac:dyDescent="0.2">
      <c r="B30" s="150" t="s">
        <v>3513</v>
      </c>
      <c r="C30" s="619"/>
      <c r="F30" s="199"/>
    </row>
    <row r="31" spans="2:7" ht="12" customHeight="1" x14ac:dyDescent="0.2">
      <c r="B31" s="150"/>
      <c r="F31" s="199"/>
    </row>
    <row r="32" spans="2:7" ht="12" customHeight="1" x14ac:dyDescent="0.2">
      <c r="B32" s="150" t="s">
        <v>3514</v>
      </c>
      <c r="C32" s="705"/>
      <c r="D32" s="705"/>
      <c r="E32" s="705"/>
      <c r="F32" s="199"/>
      <c r="G32" s="615"/>
    </row>
    <row r="33" spans="1:8" ht="26.5" customHeight="1" x14ac:dyDescent="0.2">
      <c r="B33" s="623" t="s">
        <v>3538</v>
      </c>
      <c r="C33" s="706"/>
      <c r="D33" s="707"/>
      <c r="E33" s="707"/>
      <c r="F33" s="707"/>
      <c r="G33" s="708"/>
    </row>
    <row r="34" spans="1:8" ht="11.5" customHeight="1" x14ac:dyDescent="0.2">
      <c r="E34" s="77"/>
      <c r="F34" s="77"/>
      <c r="G34" s="77"/>
    </row>
    <row r="35" spans="1:8" ht="12" customHeight="1" x14ac:dyDescent="0.2">
      <c r="B35" s="150" t="s">
        <v>3471</v>
      </c>
      <c r="C35" s="622" t="s">
        <v>196</v>
      </c>
    </row>
    <row r="37" spans="1:8" ht="12" customHeight="1" x14ac:dyDescent="0.2">
      <c r="A37" s="703" t="s">
        <v>1723</v>
      </c>
      <c r="B37" s="703"/>
      <c r="C37" s="703"/>
      <c r="D37" s="703"/>
      <c r="E37" s="703"/>
      <c r="F37" s="703"/>
      <c r="G37" s="703"/>
    </row>
    <row r="38" spans="1:8" ht="12" customHeight="1" x14ac:dyDescent="0.2">
      <c r="A38" s="703"/>
      <c r="B38" s="703"/>
      <c r="C38" s="703"/>
      <c r="D38" s="703"/>
      <c r="E38" s="703"/>
      <c r="F38" s="703"/>
      <c r="G38" s="703"/>
    </row>
    <row r="39" spans="1:8" ht="12" customHeight="1" x14ac:dyDescent="0.2">
      <c r="A39" s="703"/>
      <c r="B39" s="703"/>
      <c r="C39" s="703"/>
      <c r="D39" s="703"/>
      <c r="E39" s="703"/>
      <c r="F39" s="703"/>
      <c r="G39" s="703"/>
    </row>
    <row r="40" spans="1:8" ht="12" customHeight="1" x14ac:dyDescent="0.2">
      <c r="A40" s="703"/>
      <c r="B40" s="703"/>
      <c r="C40" s="703"/>
      <c r="D40" s="703"/>
      <c r="E40" s="703"/>
      <c r="F40" s="703"/>
      <c r="G40" s="703"/>
    </row>
    <row r="42" spans="1:8" ht="12" customHeight="1" x14ac:dyDescent="0.2">
      <c r="A42" s="154"/>
      <c r="B42" s="154"/>
      <c r="C42" s="154"/>
      <c r="D42" s="154"/>
      <c r="E42" s="624"/>
      <c r="F42" s="624"/>
      <c r="G42" s="624"/>
      <c r="H42" s="154"/>
    </row>
    <row r="43" spans="1:8" ht="12" customHeight="1" x14ac:dyDescent="0.2">
      <c r="A43" s="625"/>
      <c r="B43" s="626" t="s">
        <v>1724</v>
      </c>
      <c r="C43" s="154"/>
      <c r="D43" s="154"/>
      <c r="E43" s="624"/>
      <c r="F43" s="624"/>
      <c r="G43" s="624"/>
    </row>
  </sheetData>
  <mergeCells count="10">
    <mergeCell ref="A37:G40"/>
    <mergeCell ref="C24:E24"/>
    <mergeCell ref="C32:E32"/>
    <mergeCell ref="C33:G33"/>
    <mergeCell ref="C6:E6"/>
    <mergeCell ref="C16:D16"/>
    <mergeCell ref="C10:E11"/>
    <mergeCell ref="C13:E13"/>
    <mergeCell ref="D14:E14"/>
    <mergeCell ref="C26:E26"/>
  </mergeCells>
  <phoneticPr fontId="2" type="noConversion"/>
  <pageMargins left="0.5" right="0.5" top="0.5" bottom="0.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B3AE1DD-F529-429F-9BC9-BDBF8582828D}">
          <x14:formula1>
            <xm:f>selection!$S$17:$S$75</xm:f>
          </x14:formula1>
          <xm:sqref>C14</xm:sqref>
        </x14:dataValidation>
        <x14:dataValidation type="list" allowBlank="1" showInputMessage="1" showErrorMessage="1" xr:uid="{E6C874E4-342E-423E-AF12-909DE9222CD7}">
          <x14:formula1>
            <xm:f>selection!$V$17:$V$37</xm:f>
          </x14:formula1>
          <xm:sqref>C32:E32</xm:sqref>
        </x14:dataValidation>
        <x14:dataValidation type="list" allowBlank="1" showInputMessage="1" showErrorMessage="1" xr:uid="{3C7E28D5-FF47-47A2-8A1D-1415BC9894E1}">
          <x14:formula1>
            <xm:f>selection!$M$17:$M$18</xm:f>
          </x14:formula1>
          <xm:sqref>D3</xm:sqref>
        </x14:dataValidation>
        <x14:dataValidation type="list" allowBlank="1" showInputMessage="1" showErrorMessage="1" xr:uid="{A20A3207-9157-4BEF-9AF5-C775098C1A51}">
          <x14:formula1>
            <xm:f>selection!$P$17:$P$19</xm:f>
          </x14:formula1>
          <xm:sqref>C26:E26</xm:sqref>
        </x14:dataValidation>
        <x14:dataValidation type="list" allowBlank="1" showInputMessage="1" showErrorMessage="1" xr:uid="{814F40F9-2F87-4490-A778-0E29BF490E98}">
          <x14:formula1>
            <xm:f>selection!$Y$17:$Y$18</xm:f>
          </x14:formula1>
          <xm:sqref>C35</xm:sqref>
        </x14:dataValidation>
        <x14:dataValidation type="list" allowBlank="1" showInputMessage="1" showErrorMessage="1" xr:uid="{CAE1E243-E2AD-4581-9295-FBAF9DE6E916}">
          <x14:formula1>
            <xm:f>selection!$AC$17:$AC$18</xm:f>
          </x14:formula1>
          <xm:sqref>A43</xm:sqref>
        </x14:dataValidation>
        <x14:dataValidation type="list" allowBlank="1" showInputMessage="1" showErrorMessage="1" xr:uid="{2727E33E-6BB4-488B-948E-7E3DA28B03E6}">
          <x14:formula1>
            <xm:f>selection!$CH$17:$CH$20</xm:f>
          </x14:formula1>
          <xm:sqref>C24:E24</xm:sqref>
        </x14:dataValidation>
        <x14:dataValidation type="list" allowBlank="1" showInputMessage="1" showErrorMessage="1" xr:uid="{B0D1AC8B-6F04-4628-8463-FA0EE1BDBC8B}">
          <x14:formula1>
            <xm:f>selection!$W$17:$W$24</xm:f>
          </x14:formula1>
          <xm:sqref>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D7864-61EF-434E-A439-B4F091C8EE7F}">
  <sheetPr codeName="Sheet7"/>
  <dimension ref="A1:AD118"/>
  <sheetViews>
    <sheetView topLeftCell="A3" workbookViewId="0">
      <selection activeCell="A95" sqref="A95:B95"/>
    </sheetView>
  </sheetViews>
  <sheetFormatPr defaultColWidth="8.7265625" defaultRowHeight="12" customHeight="1" outlineLevelRow="1" outlineLevelCol="1" x14ac:dyDescent="0.2"/>
  <cols>
    <col min="1" max="1" width="18.26953125" style="77" customWidth="1"/>
    <col min="2" max="2" width="13.26953125" style="77" customWidth="1"/>
    <col min="3" max="3" width="23.81640625" style="77" customWidth="1"/>
    <col min="4" max="4" width="3.54296875" style="77" customWidth="1"/>
    <col min="5" max="5" width="1.7265625" style="77" customWidth="1"/>
    <col min="6" max="6" width="15" style="85" customWidth="1"/>
    <col min="7" max="7" width="3" style="85" customWidth="1"/>
    <col min="8" max="8" width="16.1796875" style="85" customWidth="1"/>
    <col min="9" max="9" width="1" style="77" hidden="1" customWidth="1" outlineLevel="1"/>
    <col min="10" max="10" width="13.1796875" style="77" hidden="1" customWidth="1" outlineLevel="1"/>
    <col min="11" max="11" width="1.7265625" style="77" hidden="1" customWidth="1" outlineLevel="1"/>
    <col min="12" max="12" width="12.26953125" style="77" hidden="1" customWidth="1" outlineLevel="1"/>
    <col min="13" max="13" width="2.7265625" style="77" customWidth="1" collapsed="1"/>
    <col min="14" max="14" width="11" style="77" hidden="1" customWidth="1" outlineLevel="1"/>
    <col min="15" max="23" width="8.7265625" style="77" hidden="1" customWidth="1" outlineLevel="1"/>
    <col min="24" max="24" width="13.26953125" style="77" hidden="1" customWidth="1" outlineLevel="1"/>
    <col min="25" max="25" width="12.81640625" style="77" hidden="1" customWidth="1" outlineLevel="1"/>
    <col min="26" max="26" width="3.81640625" style="77" hidden="1" customWidth="1" outlineLevel="1"/>
    <col min="27" max="27" width="4.26953125" style="77" hidden="1" customWidth="1" collapsed="1"/>
    <col min="28" max="16384" width="8.7265625" style="77"/>
  </cols>
  <sheetData>
    <row r="1" spans="1:13" ht="12" customHeight="1" x14ac:dyDescent="0.2">
      <c r="A1" s="73"/>
      <c r="B1" s="74"/>
      <c r="C1" s="75" t="s">
        <v>1725</v>
      </c>
      <c r="D1" s="74"/>
      <c r="E1" s="75"/>
      <c r="F1" s="74"/>
      <c r="G1" s="74"/>
      <c r="H1" s="76" t="str">
        <f>'1-Cover'!$G$1</f>
        <v>OMB Approval No. 3245-0063</v>
      </c>
      <c r="I1" s="74"/>
      <c r="J1" s="74"/>
      <c r="K1" s="74"/>
      <c r="L1" s="76" t="str">
        <f>'1-Cover'!$G$1</f>
        <v>OMB Approval No. 3245-0063</v>
      </c>
    </row>
    <row r="2" spans="1:13" ht="12" customHeight="1" x14ac:dyDescent="0.2">
      <c r="A2" s="78"/>
      <c r="C2" s="79" t="str">
        <f>"FOR "&amp;Number_of_Months&amp;" MONTH PERIOD ENDED: "&amp;TEXT(Form468Date,"MM/DD/YYYY")</f>
        <v>FOR  MONTH PERIOD ENDED: 01/00/1900</v>
      </c>
      <c r="E2" s="79"/>
      <c r="F2" s="77"/>
      <c r="G2" s="77"/>
      <c r="H2" s="80" t="str">
        <f>'1-Cover'!$G$2</f>
        <v>Expiration Date MM/DD/YYYY</v>
      </c>
      <c r="L2" s="80" t="str">
        <f>'1-Cover'!$G$2</f>
        <v>Expiration Date MM/DD/YYYY</v>
      </c>
    </row>
    <row r="3" spans="1:13" ht="12" customHeight="1" x14ac:dyDescent="0.2">
      <c r="A3" s="78"/>
      <c r="C3" s="79" t="s">
        <v>1726</v>
      </c>
      <c r="E3" s="79"/>
      <c r="F3" s="77"/>
      <c r="G3" s="77"/>
      <c r="H3" s="81"/>
      <c r="I3" s="82"/>
      <c r="J3" s="82"/>
      <c r="K3" s="82"/>
      <c r="L3" s="83"/>
    </row>
    <row r="4" spans="1:13" ht="12" customHeight="1" x14ac:dyDescent="0.2">
      <c r="A4" s="121" t="str">
        <f>"Name of License:  "&amp;sbicname</f>
        <v xml:space="preserve">Name of License:  </v>
      </c>
      <c r="B4" s="122">
        <f>sbicname</f>
        <v>0</v>
      </c>
      <c r="C4" s="122"/>
      <c r="D4" s="122"/>
      <c r="E4" s="122"/>
      <c r="F4" s="122"/>
      <c r="G4" s="122"/>
      <c r="H4" s="123" t="str">
        <f>"License no.:  "&amp;TEXT(licenseno,"00\/00\-0000")</f>
        <v>License no.:  00/00-0000</v>
      </c>
      <c r="I4" s="124"/>
      <c r="J4" s="122"/>
      <c r="K4" s="122"/>
      <c r="L4" s="123" t="str">
        <f>"License no.:  "&amp;TEXT(licenseno,"00\/00\-0000")</f>
        <v>License no.:  00/00-0000</v>
      </c>
    </row>
    <row r="5" spans="1:13" ht="6" customHeight="1" x14ac:dyDescent="0.2"/>
    <row r="6" spans="1:13" ht="12" customHeight="1" x14ac:dyDescent="0.2">
      <c r="F6" s="720" t="str">
        <f>ApprovedValuation</f>
        <v>SBA Valuation Guidelines</v>
      </c>
      <c r="G6" s="721"/>
      <c r="H6" s="722"/>
      <c r="J6" s="723" t="s">
        <v>1727</v>
      </c>
      <c r="K6" s="724"/>
      <c r="L6" s="725"/>
    </row>
    <row r="7" spans="1:13" ht="12" customHeight="1" x14ac:dyDescent="0.2">
      <c r="A7" s="84" t="s">
        <v>1728</v>
      </c>
      <c r="F7" s="116" t="s">
        <v>1729</v>
      </c>
      <c r="G7" s="116"/>
      <c r="H7" s="116" t="s">
        <v>1730</v>
      </c>
      <c r="J7" s="86" t="s">
        <v>1729</v>
      </c>
      <c r="K7" s="86"/>
      <c r="L7" s="86" t="s">
        <v>1730</v>
      </c>
      <c r="M7" s="86"/>
    </row>
    <row r="8" spans="1:13" ht="10" x14ac:dyDescent="0.2">
      <c r="A8" s="87" t="s">
        <v>1731</v>
      </c>
      <c r="D8" s="88"/>
      <c r="E8" s="88"/>
      <c r="F8" s="117">
        <f>Form468Date</f>
        <v>0</v>
      </c>
      <c r="G8" s="89"/>
      <c r="H8" s="118"/>
      <c r="J8" s="90">
        <f>Form468Date</f>
        <v>0</v>
      </c>
      <c r="K8" s="89"/>
      <c r="L8" s="90">
        <f>PYEnd</f>
        <v>0</v>
      </c>
      <c r="M8" s="89"/>
    </row>
    <row r="9" spans="1:13" ht="12" customHeight="1" x14ac:dyDescent="0.2">
      <c r="A9" s="91" t="s">
        <v>1732</v>
      </c>
      <c r="E9" s="92"/>
    </row>
    <row r="10" spans="1:13" ht="12" customHeight="1" x14ac:dyDescent="0.2">
      <c r="A10" s="93" t="s">
        <v>1733</v>
      </c>
      <c r="E10" s="94" t="s">
        <v>1734</v>
      </c>
      <c r="F10" s="119">
        <f>S1Inv!$R$9</f>
        <v>0</v>
      </c>
      <c r="H10" s="119">
        <f>S1Inv!$N$9</f>
        <v>0</v>
      </c>
      <c r="J10" s="85">
        <f>F10</f>
        <v>0</v>
      </c>
      <c r="L10" s="85">
        <f>H10</f>
        <v>0</v>
      </c>
    </row>
    <row r="11" spans="1:13" ht="12" customHeight="1" x14ac:dyDescent="0.2">
      <c r="A11" s="93" t="s">
        <v>1735</v>
      </c>
      <c r="E11" s="94" t="s">
        <v>1734</v>
      </c>
      <c r="F11" s="119">
        <f>S1Inv!$R$10</f>
        <v>0</v>
      </c>
      <c r="H11" s="119">
        <f>S1Inv!$N$10</f>
        <v>0</v>
      </c>
      <c r="J11" s="85">
        <f>F11</f>
        <v>0</v>
      </c>
      <c r="L11" s="85">
        <f>H11</f>
        <v>0</v>
      </c>
    </row>
    <row r="12" spans="1:13" ht="12" customHeight="1" x14ac:dyDescent="0.2">
      <c r="A12" s="93" t="s">
        <v>1736</v>
      </c>
      <c r="E12" s="94" t="s">
        <v>1734</v>
      </c>
      <c r="F12" s="119">
        <f>S1Inv!$R$11</f>
        <v>0</v>
      </c>
      <c r="H12" s="119">
        <f>S1Inv!$N$11</f>
        <v>0</v>
      </c>
      <c r="J12" s="85">
        <f>F12</f>
        <v>0</v>
      </c>
      <c r="K12" s="84"/>
      <c r="L12" s="85">
        <f>H12</f>
        <v>0</v>
      </c>
    </row>
    <row r="13" spans="1:13" ht="12" customHeight="1" x14ac:dyDescent="0.2">
      <c r="A13" s="93" t="s">
        <v>1737</v>
      </c>
      <c r="E13" s="94" t="s">
        <v>1734</v>
      </c>
      <c r="F13" s="119">
        <f>F12+F11+F10</f>
        <v>0</v>
      </c>
      <c r="H13" s="119">
        <f>H12+H11+H10</f>
        <v>0</v>
      </c>
      <c r="J13" s="96">
        <f>F13</f>
        <v>0</v>
      </c>
      <c r="L13" s="96">
        <f>H13</f>
        <v>0</v>
      </c>
    </row>
    <row r="14" spans="1:13" ht="12" customHeight="1" x14ac:dyDescent="0.2">
      <c r="A14" s="93" t="s">
        <v>1738</v>
      </c>
      <c r="E14" s="94" t="s">
        <v>1734</v>
      </c>
      <c r="F14" s="119">
        <f>S1Inv!$S$12</f>
        <v>0</v>
      </c>
      <c r="H14" s="97">
        <v>0</v>
      </c>
      <c r="J14" s="98">
        <f>J16-J13+ABS(J15)</f>
        <v>0</v>
      </c>
      <c r="K14" s="85"/>
      <c r="L14" s="97">
        <v>0</v>
      </c>
    </row>
    <row r="15" spans="1:13" ht="12" customHeight="1" x14ac:dyDescent="0.2">
      <c r="A15" s="93" t="s">
        <v>1739</v>
      </c>
      <c r="E15" s="94" t="s">
        <v>1734</v>
      </c>
      <c r="F15" s="119">
        <f>S1Inv!$T$12</f>
        <v>0</v>
      </c>
      <c r="H15" s="97"/>
      <c r="J15" s="97">
        <f>F15</f>
        <v>0</v>
      </c>
      <c r="K15" s="85"/>
      <c r="L15" s="97">
        <v>0</v>
      </c>
    </row>
    <row r="16" spans="1:13" ht="12" customHeight="1" x14ac:dyDescent="0.2">
      <c r="A16" s="99" t="s">
        <v>1740</v>
      </c>
      <c r="E16" s="92"/>
      <c r="F16" s="119">
        <f>F13+F14-ABS(F15)</f>
        <v>0</v>
      </c>
      <c r="H16" s="119">
        <f>H13+H14-ABS(H15)</f>
        <v>0</v>
      </c>
      <c r="J16" s="95">
        <f>S1Inv!Y12</f>
        <v>0</v>
      </c>
      <c r="K16" s="96"/>
      <c r="L16" s="95">
        <f>L13+L14-ABS(L15)</f>
        <v>0</v>
      </c>
    </row>
    <row r="17" spans="1:12" ht="4.9000000000000004" customHeight="1" x14ac:dyDescent="0.2">
      <c r="A17" s="100"/>
      <c r="E17" s="92"/>
    </row>
    <row r="18" spans="1:12" ht="12" customHeight="1" x14ac:dyDescent="0.2">
      <c r="A18" s="91" t="s">
        <v>1741</v>
      </c>
      <c r="E18" s="92"/>
    </row>
    <row r="19" spans="1:12" ht="12" customHeight="1" x14ac:dyDescent="0.2">
      <c r="A19" s="93" t="s">
        <v>1742</v>
      </c>
      <c r="E19" s="94" t="s">
        <v>1734</v>
      </c>
      <c r="F19" s="119">
        <f>S1Inv!$R$13</f>
        <v>0</v>
      </c>
      <c r="H19" s="119">
        <f>S1Inv!$N13</f>
        <v>0</v>
      </c>
      <c r="J19" s="85">
        <f t="shared" ref="J19:J22" si="0">F19</f>
        <v>0</v>
      </c>
      <c r="L19" s="85">
        <f t="shared" ref="L19:L22" si="1">H19</f>
        <v>0</v>
      </c>
    </row>
    <row r="20" spans="1:12" ht="12" customHeight="1" x14ac:dyDescent="0.2">
      <c r="A20" s="93" t="s">
        <v>1743</v>
      </c>
      <c r="E20" s="94" t="s">
        <v>1734</v>
      </c>
      <c r="F20" s="119">
        <f>S1Inv!$R$14</f>
        <v>0</v>
      </c>
      <c r="H20" s="119">
        <f>S1Inv!$N14</f>
        <v>0</v>
      </c>
      <c r="J20" s="85">
        <f t="shared" si="0"/>
        <v>0</v>
      </c>
      <c r="L20" s="85">
        <f t="shared" si="1"/>
        <v>0</v>
      </c>
    </row>
    <row r="21" spans="1:12" ht="12" customHeight="1" x14ac:dyDescent="0.2">
      <c r="A21" s="93" t="s">
        <v>1744</v>
      </c>
      <c r="E21" s="94" t="s">
        <v>1734</v>
      </c>
      <c r="F21" s="119">
        <f>S1Inv!$R$15</f>
        <v>0</v>
      </c>
      <c r="H21" s="119">
        <f>S1Inv!$N15</f>
        <v>0</v>
      </c>
      <c r="J21" s="85">
        <f t="shared" si="0"/>
        <v>0</v>
      </c>
      <c r="L21" s="85">
        <f t="shared" si="1"/>
        <v>0</v>
      </c>
    </row>
    <row r="22" spans="1:12" ht="12" customHeight="1" x14ac:dyDescent="0.2">
      <c r="A22" s="93" t="s">
        <v>1745</v>
      </c>
      <c r="E22" s="94" t="s">
        <v>1734</v>
      </c>
      <c r="F22" s="119">
        <f>S1Inv!$R$16</f>
        <v>0</v>
      </c>
      <c r="H22" s="119">
        <f>S1Inv!$N16</f>
        <v>0</v>
      </c>
      <c r="J22" s="85">
        <f t="shared" si="0"/>
        <v>0</v>
      </c>
      <c r="L22" s="85">
        <f t="shared" si="1"/>
        <v>0</v>
      </c>
    </row>
    <row r="23" spans="1:12" ht="12" customHeight="1" x14ac:dyDescent="0.2">
      <c r="A23" s="93" t="s">
        <v>1746</v>
      </c>
      <c r="E23" s="94" t="s">
        <v>1734</v>
      </c>
      <c r="F23" s="119">
        <f>SUM(F19:F22)</f>
        <v>0</v>
      </c>
      <c r="H23" s="119">
        <f>SUM(H19:H22)</f>
        <v>0</v>
      </c>
      <c r="J23" s="96">
        <f>F23</f>
        <v>0</v>
      </c>
      <c r="L23" s="96">
        <f>H23</f>
        <v>0</v>
      </c>
    </row>
    <row r="24" spans="1:12" ht="12" customHeight="1" x14ac:dyDescent="0.2">
      <c r="A24" s="93" t="s">
        <v>1747</v>
      </c>
      <c r="E24" s="94" t="s">
        <v>1734</v>
      </c>
      <c r="F24" s="119">
        <f>SUM(S1Inv!$S$13:$S$16)</f>
        <v>0</v>
      </c>
      <c r="H24" s="97">
        <v>0</v>
      </c>
      <c r="J24" s="95">
        <f>J26-J23+ABS(J25)</f>
        <v>0</v>
      </c>
      <c r="K24" s="85"/>
      <c r="L24" s="97"/>
    </row>
    <row r="25" spans="1:12" ht="12" customHeight="1" x14ac:dyDescent="0.2">
      <c r="A25" s="93" t="s">
        <v>1748</v>
      </c>
      <c r="E25" s="94" t="s">
        <v>1734</v>
      </c>
      <c r="F25" s="119">
        <f>SUM(S1Inv!$T$13:$T$16)</f>
        <v>0</v>
      </c>
      <c r="H25" s="97">
        <v>0</v>
      </c>
      <c r="J25" s="97"/>
      <c r="K25" s="85"/>
      <c r="L25" s="97"/>
    </row>
    <row r="26" spans="1:12" ht="12" customHeight="1" x14ac:dyDescent="0.2">
      <c r="A26" s="99" t="s">
        <v>1749</v>
      </c>
      <c r="E26" s="92"/>
      <c r="F26" s="119">
        <f>F23+F24-ABS(F25)</f>
        <v>0</v>
      </c>
      <c r="H26" s="119">
        <f>H23+H24-ABS(H25)</f>
        <v>0</v>
      </c>
      <c r="J26" s="95">
        <f>SUM(S1Inv!Y13:Y16)</f>
        <v>0</v>
      </c>
      <c r="K26" s="96"/>
      <c r="L26" s="95">
        <f>L23+L24-ABS(L25)</f>
        <v>0</v>
      </c>
    </row>
    <row r="27" spans="1:12" ht="8.5" customHeight="1" x14ac:dyDescent="0.2">
      <c r="A27" s="91"/>
      <c r="E27" s="92"/>
      <c r="F27" s="77"/>
      <c r="G27" s="77"/>
      <c r="H27" s="77"/>
    </row>
    <row r="28" spans="1:12" ht="12" customHeight="1" x14ac:dyDescent="0.2">
      <c r="A28" s="91" t="s">
        <v>1750</v>
      </c>
      <c r="E28" s="92"/>
      <c r="F28" s="77"/>
      <c r="G28" s="77"/>
      <c r="H28" s="77"/>
    </row>
    <row r="29" spans="1:12" ht="12" customHeight="1" x14ac:dyDescent="0.2">
      <c r="A29" s="93" t="s">
        <v>1751</v>
      </c>
      <c r="E29" s="94" t="s">
        <v>1734</v>
      </c>
      <c r="F29" s="119">
        <f>S1Inv!R17</f>
        <v>0</v>
      </c>
      <c r="G29" s="77"/>
      <c r="H29" s="119">
        <f>S1Inv!N17</f>
        <v>0</v>
      </c>
      <c r="J29" s="85">
        <f t="shared" ref="J29:J31" si="2">F29</f>
        <v>0</v>
      </c>
      <c r="L29" s="85">
        <f t="shared" ref="L29" si="3">H29</f>
        <v>0</v>
      </c>
    </row>
    <row r="30" spans="1:12" ht="12" customHeight="1" x14ac:dyDescent="0.2">
      <c r="A30" s="93" t="s">
        <v>1752</v>
      </c>
      <c r="E30" s="94" t="s">
        <v>1734</v>
      </c>
      <c r="F30" s="119">
        <f>S1Inv!S17</f>
        <v>0</v>
      </c>
      <c r="G30" s="77"/>
      <c r="H30" s="110">
        <v>0</v>
      </c>
      <c r="J30" s="85">
        <f t="shared" si="2"/>
        <v>0</v>
      </c>
      <c r="L30" s="101"/>
    </row>
    <row r="31" spans="1:12" ht="12" customHeight="1" x14ac:dyDescent="0.2">
      <c r="A31" s="93" t="s">
        <v>1753</v>
      </c>
      <c r="E31" s="94" t="s">
        <v>1734</v>
      </c>
      <c r="F31" s="119">
        <f>S1Inv!T17</f>
        <v>0</v>
      </c>
      <c r="G31" s="77"/>
      <c r="H31" s="110">
        <v>0</v>
      </c>
      <c r="J31" s="85">
        <f t="shared" si="2"/>
        <v>0</v>
      </c>
      <c r="L31" s="101"/>
    </row>
    <row r="32" spans="1:12" ht="12" customHeight="1" x14ac:dyDescent="0.2">
      <c r="A32" s="99" t="s">
        <v>1754</v>
      </c>
      <c r="E32" s="92"/>
      <c r="F32" s="119">
        <f>S1Inv!X17</f>
        <v>0</v>
      </c>
      <c r="G32" s="77"/>
      <c r="H32" s="119">
        <f>H29+H30-ABS(H31)</f>
        <v>0</v>
      </c>
      <c r="J32" s="95">
        <f>S1Inv!Y17</f>
        <v>0</v>
      </c>
      <c r="L32" s="95">
        <f>L29+L30-ABS(L31)</f>
        <v>0</v>
      </c>
    </row>
    <row r="33" spans="1:12" ht="5.5" customHeight="1" x14ac:dyDescent="0.2">
      <c r="A33" s="91"/>
      <c r="E33" s="92"/>
      <c r="F33" s="77"/>
      <c r="G33" s="77"/>
      <c r="H33" s="77"/>
    </row>
    <row r="34" spans="1:12" ht="12" customHeight="1" x14ac:dyDescent="0.2">
      <c r="A34" s="102" t="s">
        <v>1755</v>
      </c>
      <c r="E34" s="92"/>
      <c r="F34" s="119">
        <f>F23+F13+F29</f>
        <v>0</v>
      </c>
      <c r="H34" s="119">
        <f>H23+H13+H29</f>
        <v>0</v>
      </c>
      <c r="J34" s="95">
        <f>J23+J13+J29</f>
        <v>0</v>
      </c>
      <c r="K34" s="85"/>
      <c r="L34" s="95">
        <f>L23+L13+L29</f>
        <v>0</v>
      </c>
    </row>
    <row r="35" spans="1:12" ht="12" customHeight="1" x14ac:dyDescent="0.2">
      <c r="A35" s="102" t="s">
        <v>1756</v>
      </c>
      <c r="E35" s="92"/>
      <c r="F35" s="119">
        <f>F26+F16+F32</f>
        <v>0</v>
      </c>
      <c r="H35" s="119">
        <f>H26+H16+H32</f>
        <v>0</v>
      </c>
      <c r="J35" s="95">
        <f>J26+J16+J32</f>
        <v>0</v>
      </c>
      <c r="K35" s="85"/>
      <c r="L35" s="95">
        <f>L26+L16+L32</f>
        <v>0</v>
      </c>
    </row>
    <row r="36" spans="1:12" ht="12" customHeight="1" x14ac:dyDescent="0.2">
      <c r="A36" s="102" t="s">
        <v>1757</v>
      </c>
      <c r="E36" s="92"/>
      <c r="F36" s="119">
        <f>SUM(F46:F49)</f>
        <v>0</v>
      </c>
      <c r="H36" s="119">
        <f>SUM(H46:H49)</f>
        <v>0</v>
      </c>
      <c r="J36" s="95">
        <f>SUM(J46:J49)</f>
        <v>0</v>
      </c>
      <c r="K36" s="85"/>
      <c r="L36" s="95">
        <f>SUM(L46:L49)</f>
        <v>0</v>
      </c>
    </row>
    <row r="37" spans="1:12" ht="12" customHeight="1" x14ac:dyDescent="0.2">
      <c r="A37" s="102" t="s">
        <v>1758</v>
      </c>
      <c r="E37" s="92"/>
      <c r="F37" s="119">
        <f>F35-ABS(F36)</f>
        <v>0</v>
      </c>
      <c r="H37" s="119">
        <f>H35-ABS(H36)</f>
        <v>0</v>
      </c>
      <c r="J37" s="95">
        <f>J35-ABS(J36)</f>
        <v>0</v>
      </c>
      <c r="K37" s="85"/>
      <c r="L37" s="95">
        <f>L35-ABS(L36)</f>
        <v>0</v>
      </c>
    </row>
    <row r="38" spans="1:12" ht="12" customHeight="1" x14ac:dyDescent="0.2">
      <c r="A38" s="103"/>
      <c r="E38" s="92"/>
    </row>
    <row r="39" spans="1:12" ht="12" customHeight="1" x14ac:dyDescent="0.2">
      <c r="A39" s="84" t="s">
        <v>1759</v>
      </c>
      <c r="E39" s="92"/>
    </row>
    <row r="40" spans="1:12" ht="12" customHeight="1" x14ac:dyDescent="0.2">
      <c r="A40" s="100" t="s">
        <v>1760</v>
      </c>
      <c r="E40" s="104" t="s">
        <v>1734</v>
      </c>
      <c r="F40" s="97">
        <v>0</v>
      </c>
      <c r="H40" s="97">
        <v>0</v>
      </c>
      <c r="J40" s="85">
        <f t="shared" ref="J40:J51" si="4">F40</f>
        <v>0</v>
      </c>
      <c r="L40" s="85">
        <f t="shared" ref="L40:L51" si="5">H40</f>
        <v>0</v>
      </c>
    </row>
    <row r="41" spans="1:12" ht="12" customHeight="1" x14ac:dyDescent="0.2">
      <c r="A41" s="100" t="s">
        <v>1761</v>
      </c>
      <c r="E41" s="104" t="s">
        <v>1734</v>
      </c>
      <c r="F41" s="97">
        <v>0</v>
      </c>
      <c r="H41" s="97">
        <v>0</v>
      </c>
      <c r="J41" s="85">
        <f t="shared" si="4"/>
        <v>0</v>
      </c>
      <c r="L41" s="85">
        <f t="shared" si="5"/>
        <v>0</v>
      </c>
    </row>
    <row r="42" spans="1:12" ht="12" customHeight="1" x14ac:dyDescent="0.2">
      <c r="A42" s="100" t="s">
        <v>1762</v>
      </c>
      <c r="E42" s="92"/>
      <c r="F42" s="97">
        <v>0</v>
      </c>
      <c r="H42" s="97">
        <v>0</v>
      </c>
      <c r="J42" s="85">
        <f t="shared" si="4"/>
        <v>0</v>
      </c>
      <c r="L42" s="85">
        <f t="shared" si="5"/>
        <v>0</v>
      </c>
    </row>
    <row r="43" spans="1:12" ht="12" customHeight="1" x14ac:dyDescent="0.2">
      <c r="A43" s="100" t="s">
        <v>1763</v>
      </c>
      <c r="E43" s="92"/>
      <c r="F43" s="97">
        <v>0</v>
      </c>
      <c r="H43" s="97">
        <v>0</v>
      </c>
      <c r="J43" s="85">
        <f t="shared" si="4"/>
        <v>0</v>
      </c>
      <c r="L43" s="85">
        <f t="shared" si="5"/>
        <v>0</v>
      </c>
    </row>
    <row r="44" spans="1:12" ht="12" customHeight="1" x14ac:dyDescent="0.2">
      <c r="A44" s="100" t="s">
        <v>1764</v>
      </c>
      <c r="E44" s="92"/>
      <c r="F44" s="97">
        <v>0</v>
      </c>
      <c r="H44" s="97">
        <v>0</v>
      </c>
      <c r="J44" s="85">
        <f t="shared" si="4"/>
        <v>0</v>
      </c>
      <c r="L44" s="85">
        <f t="shared" si="5"/>
        <v>0</v>
      </c>
    </row>
    <row r="45" spans="1:12" ht="12" customHeight="1" x14ac:dyDescent="0.2">
      <c r="A45" s="100" t="s">
        <v>1765</v>
      </c>
      <c r="E45" s="92"/>
      <c r="F45" s="97">
        <v>0</v>
      </c>
      <c r="H45" s="97">
        <v>0</v>
      </c>
      <c r="J45" s="85">
        <f t="shared" si="4"/>
        <v>0</v>
      </c>
      <c r="L45" s="85">
        <f t="shared" si="5"/>
        <v>0</v>
      </c>
    </row>
    <row r="46" spans="1:12" ht="12" customHeight="1" x14ac:dyDescent="0.2">
      <c r="A46" s="100" t="s">
        <v>1766</v>
      </c>
      <c r="E46" s="92"/>
      <c r="F46" s="97">
        <v>0</v>
      </c>
      <c r="H46" s="97">
        <v>0</v>
      </c>
      <c r="J46" s="85">
        <f t="shared" si="4"/>
        <v>0</v>
      </c>
      <c r="L46" s="85">
        <f t="shared" si="5"/>
        <v>0</v>
      </c>
    </row>
    <row r="47" spans="1:12" ht="12" customHeight="1" x14ac:dyDescent="0.2">
      <c r="A47" s="100" t="s">
        <v>1767</v>
      </c>
      <c r="E47" s="92"/>
      <c r="F47" s="97">
        <v>0</v>
      </c>
      <c r="H47" s="97">
        <v>0</v>
      </c>
      <c r="J47" s="85">
        <f t="shared" si="4"/>
        <v>0</v>
      </c>
      <c r="L47" s="85">
        <f t="shared" si="5"/>
        <v>0</v>
      </c>
    </row>
    <row r="48" spans="1:12" ht="12" customHeight="1" x14ac:dyDescent="0.2">
      <c r="A48" s="100" t="s">
        <v>1768</v>
      </c>
      <c r="E48" s="92"/>
      <c r="F48" s="97">
        <v>0</v>
      </c>
      <c r="H48" s="97">
        <v>0</v>
      </c>
      <c r="J48" s="85">
        <f t="shared" si="4"/>
        <v>0</v>
      </c>
      <c r="L48" s="85">
        <f t="shared" si="5"/>
        <v>0</v>
      </c>
    </row>
    <row r="49" spans="1:12" ht="12" customHeight="1" x14ac:dyDescent="0.2">
      <c r="A49" s="100" t="s">
        <v>1769</v>
      </c>
      <c r="E49" s="92"/>
      <c r="F49" s="97">
        <v>0</v>
      </c>
      <c r="H49" s="97">
        <v>0</v>
      </c>
      <c r="J49" s="85">
        <f t="shared" si="4"/>
        <v>0</v>
      </c>
      <c r="L49" s="85">
        <f t="shared" si="5"/>
        <v>0</v>
      </c>
    </row>
    <row r="50" spans="1:12" ht="12" customHeight="1" x14ac:dyDescent="0.2">
      <c r="A50" s="100" t="s">
        <v>1770</v>
      </c>
      <c r="B50" s="717"/>
      <c r="C50" s="718"/>
      <c r="D50" s="719"/>
      <c r="E50" s="92"/>
      <c r="F50" s="97">
        <v>0</v>
      </c>
      <c r="H50" s="97">
        <v>0</v>
      </c>
      <c r="J50" s="85">
        <f t="shared" si="4"/>
        <v>0</v>
      </c>
      <c r="L50" s="85">
        <f t="shared" si="5"/>
        <v>0</v>
      </c>
    </row>
    <row r="51" spans="1:12" ht="12" customHeight="1" x14ac:dyDescent="0.2">
      <c r="A51" s="100" t="s">
        <v>1771</v>
      </c>
      <c r="B51" s="717"/>
      <c r="C51" s="718"/>
      <c r="D51" s="719"/>
      <c r="E51" s="92"/>
      <c r="F51" s="97">
        <v>0</v>
      </c>
      <c r="H51" s="97">
        <v>0</v>
      </c>
      <c r="J51" s="85">
        <f t="shared" si="4"/>
        <v>0</v>
      </c>
      <c r="L51" s="85">
        <f t="shared" si="5"/>
        <v>0</v>
      </c>
    </row>
    <row r="52" spans="1:12" ht="12" customHeight="1" x14ac:dyDescent="0.2">
      <c r="A52" s="91" t="s">
        <v>1772</v>
      </c>
      <c r="B52" s="105"/>
      <c r="C52" s="105"/>
      <c r="D52" s="105"/>
      <c r="E52" s="106"/>
      <c r="F52" s="119">
        <f>SUM(F40:F44)-ABS(F45)+SUM(F46:F51)</f>
        <v>0</v>
      </c>
      <c r="H52" s="119">
        <f>SUM(H40:H44)-ABS(H45)+SUM(H46:H51)</f>
        <v>0</v>
      </c>
      <c r="J52" s="85">
        <f>F52</f>
        <v>0</v>
      </c>
      <c r="K52" s="85">
        <f>H52</f>
        <v>0</v>
      </c>
      <c r="L52" s="85">
        <f>pycurrentassets</f>
        <v>0</v>
      </c>
    </row>
    <row r="54" spans="1:12" ht="12" customHeight="1" x14ac:dyDescent="0.2">
      <c r="A54" s="84" t="s">
        <v>1773</v>
      </c>
    </row>
    <row r="55" spans="1:12" ht="12" customHeight="1" x14ac:dyDescent="0.2">
      <c r="A55" s="100" t="s">
        <v>1774</v>
      </c>
      <c r="F55" s="97">
        <v>0</v>
      </c>
      <c r="H55" s="97">
        <v>0</v>
      </c>
    </row>
    <row r="56" spans="1:12" ht="12" customHeight="1" x14ac:dyDescent="0.2">
      <c r="A56" s="100" t="s">
        <v>1775</v>
      </c>
      <c r="F56" s="97">
        <v>0</v>
      </c>
      <c r="H56" s="97">
        <v>0</v>
      </c>
    </row>
    <row r="57" spans="1:12" ht="12" customHeight="1" x14ac:dyDescent="0.2">
      <c r="A57" s="100" t="s">
        <v>1776</v>
      </c>
      <c r="B57" s="717"/>
      <c r="C57" s="718"/>
      <c r="D57" s="719"/>
      <c r="F57" s="97">
        <v>0</v>
      </c>
      <c r="H57" s="97">
        <v>0</v>
      </c>
    </row>
    <row r="58" spans="1:12" ht="12" customHeight="1" x14ac:dyDescent="0.2">
      <c r="A58" s="100" t="s">
        <v>1777</v>
      </c>
      <c r="B58" s="717"/>
      <c r="C58" s="718"/>
      <c r="D58" s="719"/>
      <c r="F58" s="97">
        <v>0</v>
      </c>
      <c r="H58" s="97">
        <v>0</v>
      </c>
    </row>
    <row r="59" spans="1:12" ht="12" customHeight="1" x14ac:dyDescent="0.2">
      <c r="A59" s="91" t="s">
        <v>1778</v>
      </c>
      <c r="F59" s="119">
        <f>SUM(F55:F58)</f>
        <v>0</v>
      </c>
      <c r="H59" s="119">
        <f>SUM(H55:H58)</f>
        <v>0</v>
      </c>
      <c r="J59" s="85">
        <f>F59</f>
        <v>0</v>
      </c>
      <c r="L59" s="85">
        <f>H59</f>
        <v>0</v>
      </c>
    </row>
    <row r="60" spans="1:12" ht="10" x14ac:dyDescent="0.2"/>
    <row r="61" spans="1:12" ht="12" customHeight="1" x14ac:dyDescent="0.2">
      <c r="A61" s="84" t="s">
        <v>1779</v>
      </c>
      <c r="F61" s="119">
        <f>F59+F52+F37</f>
        <v>0</v>
      </c>
      <c r="H61" s="119">
        <f>H59+H52+H37</f>
        <v>0</v>
      </c>
      <c r="J61" s="95">
        <f>J59+J52+J37</f>
        <v>0</v>
      </c>
      <c r="K61" s="85"/>
      <c r="L61" s="95">
        <f>L59+L52+L37</f>
        <v>0</v>
      </c>
    </row>
    <row r="62" spans="1:12" ht="6.75" customHeight="1" x14ac:dyDescent="0.2">
      <c r="A62" s="84"/>
    </row>
    <row r="63" spans="1:12" ht="10" hidden="1" x14ac:dyDescent="0.2">
      <c r="F63" s="77"/>
      <c r="G63" s="77"/>
      <c r="H63" s="77"/>
    </row>
    <row r="64" spans="1:12" ht="8.5" customHeight="1" x14ac:dyDescent="0.2">
      <c r="J64" s="85"/>
      <c r="L64" s="85"/>
    </row>
    <row r="65" spans="1:12" ht="10" x14ac:dyDescent="0.2">
      <c r="A65" s="84" t="s">
        <v>1780</v>
      </c>
      <c r="F65" s="720" t="str">
        <f>ApprovedValuation</f>
        <v>SBA Valuation Guidelines</v>
      </c>
      <c r="G65" s="721"/>
      <c r="H65" s="722"/>
      <c r="J65" s="726" t="s">
        <v>1727</v>
      </c>
      <c r="K65" s="727"/>
      <c r="L65" s="728"/>
    </row>
    <row r="66" spans="1:12" ht="12" customHeight="1" x14ac:dyDescent="0.2">
      <c r="A66" s="84"/>
      <c r="F66" s="116" t="s">
        <v>1729</v>
      </c>
      <c r="G66" s="116"/>
      <c r="H66" s="116" t="s">
        <v>1730</v>
      </c>
      <c r="J66" s="86" t="s">
        <v>1729</v>
      </c>
      <c r="K66" s="86"/>
      <c r="L66" s="86" t="s">
        <v>1730</v>
      </c>
    </row>
    <row r="67" spans="1:12" ht="12" customHeight="1" x14ac:dyDescent="0.2">
      <c r="A67" s="84" t="s">
        <v>1781</v>
      </c>
      <c r="F67" s="120">
        <f>Form468Date</f>
        <v>0</v>
      </c>
      <c r="G67" s="89"/>
      <c r="H67" s="120" t="str">
        <f>IF(PYEnd="","",PYEnd)</f>
        <v/>
      </c>
      <c r="J67" s="90">
        <f>Form468Date</f>
        <v>0</v>
      </c>
      <c r="K67" s="89"/>
      <c r="L67" s="90">
        <f>PYEnd</f>
        <v>0</v>
      </c>
    </row>
    <row r="68" spans="1:12" ht="12" customHeight="1" x14ac:dyDescent="0.2">
      <c r="A68" s="91" t="s">
        <v>1782</v>
      </c>
    </row>
    <row r="69" spans="1:12" ht="12" customHeight="1" x14ac:dyDescent="0.2">
      <c r="A69" s="93" t="s">
        <v>1783</v>
      </c>
      <c r="F69" s="97">
        <v>0</v>
      </c>
      <c r="H69" s="97">
        <v>0</v>
      </c>
    </row>
    <row r="70" spans="1:12" ht="12" customHeight="1" x14ac:dyDescent="0.2">
      <c r="A70" s="93" t="s">
        <v>1784</v>
      </c>
      <c r="F70" s="97">
        <v>0</v>
      </c>
      <c r="H70" s="97">
        <v>0</v>
      </c>
    </row>
    <row r="71" spans="1:12" ht="12" customHeight="1" x14ac:dyDescent="0.2">
      <c r="A71" s="99" t="s">
        <v>1785</v>
      </c>
      <c r="B71" s="84"/>
      <c r="C71" s="84"/>
      <c r="D71" s="84"/>
      <c r="E71" s="84"/>
      <c r="F71" s="119">
        <f>F70+F69</f>
        <v>0</v>
      </c>
      <c r="H71" s="119">
        <f>H70+H69</f>
        <v>0</v>
      </c>
      <c r="I71" s="84"/>
      <c r="J71" s="96">
        <f>F71</f>
        <v>0</v>
      </c>
      <c r="K71" s="84"/>
      <c r="L71" s="96">
        <f>H71</f>
        <v>0</v>
      </c>
    </row>
    <row r="72" spans="1:12" ht="12" customHeight="1" x14ac:dyDescent="0.2">
      <c r="A72" s="108"/>
    </row>
    <row r="73" spans="1:12" ht="12" customHeight="1" x14ac:dyDescent="0.2">
      <c r="A73" s="91" t="s">
        <v>1786</v>
      </c>
    </row>
    <row r="74" spans="1:12" ht="12" customHeight="1" x14ac:dyDescent="0.2">
      <c r="A74" s="93" t="s">
        <v>1787</v>
      </c>
      <c r="F74" s="97">
        <v>0</v>
      </c>
      <c r="H74" s="97">
        <v>0</v>
      </c>
      <c r="J74" s="85">
        <f t="shared" ref="J74" si="6">F74</f>
        <v>0</v>
      </c>
      <c r="L74" s="85">
        <f t="shared" ref="L74" si="7">H74</f>
        <v>0</v>
      </c>
    </row>
    <row r="75" spans="1:12" ht="12" customHeight="1" x14ac:dyDescent="0.2">
      <c r="A75" s="93" t="s">
        <v>1788</v>
      </c>
    </row>
    <row r="76" spans="1:12" ht="12" customHeight="1" x14ac:dyDescent="0.2">
      <c r="A76" s="109" t="s">
        <v>1789</v>
      </c>
      <c r="F76" s="97">
        <v>0</v>
      </c>
      <c r="H76" s="97">
        <v>0</v>
      </c>
      <c r="J76" s="85">
        <f t="shared" ref="J76:J83" si="8">F76</f>
        <v>0</v>
      </c>
      <c r="L76" s="85">
        <f t="shared" ref="L76:L83" si="9">H76</f>
        <v>0</v>
      </c>
    </row>
    <row r="77" spans="1:12" ht="12" customHeight="1" x14ac:dyDescent="0.2">
      <c r="A77" s="109" t="s">
        <v>1790</v>
      </c>
      <c r="F77" s="97">
        <v>0</v>
      </c>
      <c r="H77" s="97">
        <v>0</v>
      </c>
      <c r="J77" s="85">
        <f t="shared" si="8"/>
        <v>0</v>
      </c>
      <c r="L77" s="85">
        <f t="shared" si="9"/>
        <v>0</v>
      </c>
    </row>
    <row r="78" spans="1:12" ht="12" customHeight="1" x14ac:dyDescent="0.2">
      <c r="A78" s="93" t="s">
        <v>1791</v>
      </c>
      <c r="F78" s="97">
        <v>0</v>
      </c>
      <c r="H78" s="97">
        <v>0</v>
      </c>
      <c r="J78" s="85">
        <f t="shared" si="8"/>
        <v>0</v>
      </c>
      <c r="L78" s="85">
        <f t="shared" si="9"/>
        <v>0</v>
      </c>
    </row>
    <row r="79" spans="1:12" ht="12" customHeight="1" x14ac:dyDescent="0.2">
      <c r="A79" s="93" t="s">
        <v>1792</v>
      </c>
      <c r="F79" s="97">
        <v>0</v>
      </c>
      <c r="H79" s="97">
        <v>0</v>
      </c>
      <c r="J79" s="85">
        <f t="shared" si="8"/>
        <v>0</v>
      </c>
      <c r="L79" s="85">
        <f t="shared" si="9"/>
        <v>0</v>
      </c>
    </row>
    <row r="80" spans="1:12" ht="12" customHeight="1" x14ac:dyDescent="0.2">
      <c r="A80" s="93" t="s">
        <v>1793</v>
      </c>
      <c r="F80" s="97">
        <v>0</v>
      </c>
      <c r="H80" s="97">
        <v>0</v>
      </c>
      <c r="J80" s="85">
        <f t="shared" si="8"/>
        <v>0</v>
      </c>
      <c r="L80" s="85">
        <f t="shared" si="9"/>
        <v>0</v>
      </c>
    </row>
    <row r="81" spans="1:27" ht="12" customHeight="1" x14ac:dyDescent="0.2">
      <c r="A81" s="93" t="s">
        <v>1794</v>
      </c>
      <c r="F81" s="97">
        <v>0</v>
      </c>
      <c r="H81" s="97">
        <v>0</v>
      </c>
      <c r="J81" s="85">
        <f t="shared" si="8"/>
        <v>0</v>
      </c>
      <c r="L81" s="85">
        <f t="shared" si="9"/>
        <v>0</v>
      </c>
    </row>
    <row r="82" spans="1:27" ht="12" customHeight="1" x14ac:dyDescent="0.2">
      <c r="A82" s="93" t="s">
        <v>1795</v>
      </c>
      <c r="B82" s="717"/>
      <c r="C82" s="718"/>
      <c r="D82" s="719"/>
      <c r="F82" s="97">
        <v>0</v>
      </c>
      <c r="H82" s="97">
        <v>0</v>
      </c>
      <c r="J82" s="85">
        <f t="shared" si="8"/>
        <v>0</v>
      </c>
      <c r="L82" s="85">
        <f t="shared" si="9"/>
        <v>0</v>
      </c>
    </row>
    <row r="83" spans="1:27" ht="12" customHeight="1" x14ac:dyDescent="0.2">
      <c r="A83" s="93" t="s">
        <v>1796</v>
      </c>
      <c r="B83" s="717"/>
      <c r="C83" s="718"/>
      <c r="D83" s="719"/>
      <c r="F83" s="97">
        <v>0</v>
      </c>
      <c r="H83" s="97">
        <v>0</v>
      </c>
      <c r="J83" s="85">
        <f t="shared" si="8"/>
        <v>0</v>
      </c>
      <c r="L83" s="85">
        <f t="shared" si="9"/>
        <v>0</v>
      </c>
    </row>
    <row r="84" spans="1:27" ht="12" customHeight="1" x14ac:dyDescent="0.2">
      <c r="A84" s="99" t="s">
        <v>1797</v>
      </c>
      <c r="B84" s="84"/>
      <c r="C84" s="84"/>
      <c r="D84" s="84"/>
      <c r="E84" s="84"/>
      <c r="F84" s="119">
        <f>SUM(F74:F83)</f>
        <v>0</v>
      </c>
      <c r="H84" s="119">
        <f>SUM(H74:H83)</f>
        <v>0</v>
      </c>
      <c r="I84" s="84"/>
      <c r="J84" s="96">
        <f>F84</f>
        <v>0</v>
      </c>
      <c r="K84" s="84"/>
      <c r="L84" s="96">
        <f>H84</f>
        <v>0</v>
      </c>
    </row>
    <row r="86" spans="1:27" ht="12" customHeight="1" x14ac:dyDescent="0.2">
      <c r="A86" s="91" t="s">
        <v>1798</v>
      </c>
    </row>
    <row r="87" spans="1:27" ht="12" customHeight="1" x14ac:dyDescent="0.2">
      <c r="A87" s="93" t="s">
        <v>1799</v>
      </c>
      <c r="F87" s="110">
        <v>0</v>
      </c>
      <c r="H87" s="110">
        <v>0</v>
      </c>
      <c r="J87" s="85">
        <f t="shared" ref="J87:J89" si="10">F87</f>
        <v>0</v>
      </c>
      <c r="L87" s="85">
        <f t="shared" ref="L87:L89" si="11">H87</f>
        <v>0</v>
      </c>
    </row>
    <row r="88" spans="1:27" ht="12" customHeight="1" x14ac:dyDescent="0.2">
      <c r="A88" s="93" t="s">
        <v>1800</v>
      </c>
      <c r="F88" s="110">
        <v>0</v>
      </c>
      <c r="H88" s="110">
        <v>0</v>
      </c>
      <c r="J88" s="85">
        <f t="shared" si="10"/>
        <v>0</v>
      </c>
      <c r="L88" s="85">
        <f t="shared" si="11"/>
        <v>0</v>
      </c>
    </row>
    <row r="89" spans="1:27" ht="12" customHeight="1" x14ac:dyDescent="0.2">
      <c r="A89" s="93" t="s">
        <v>1801</v>
      </c>
      <c r="B89" s="717"/>
      <c r="C89" s="718"/>
      <c r="D89" s="719"/>
      <c r="F89" s="110">
        <v>0</v>
      </c>
      <c r="H89" s="110">
        <v>0</v>
      </c>
      <c r="J89" s="85">
        <f t="shared" si="10"/>
        <v>0</v>
      </c>
      <c r="L89" s="85">
        <f t="shared" si="11"/>
        <v>0</v>
      </c>
    </row>
    <row r="90" spans="1:27" ht="12" customHeight="1" x14ac:dyDescent="0.2">
      <c r="A90" s="99" t="s">
        <v>1802</v>
      </c>
      <c r="B90" s="84"/>
      <c r="C90" s="84"/>
      <c r="D90" s="84"/>
      <c r="E90" s="84"/>
      <c r="F90" s="119">
        <f>SUM(F87:F89)</f>
        <v>0</v>
      </c>
      <c r="H90" s="119">
        <f>SUM(H87:H89)</f>
        <v>0</v>
      </c>
      <c r="I90" s="84"/>
      <c r="J90" s="96">
        <f>F90</f>
        <v>0</v>
      </c>
      <c r="K90" s="84"/>
      <c r="L90" s="96">
        <f>H90</f>
        <v>0</v>
      </c>
    </row>
    <row r="92" spans="1:27" ht="12" customHeight="1" x14ac:dyDescent="0.2">
      <c r="A92" s="84" t="s">
        <v>1803</v>
      </c>
      <c r="F92" s="119">
        <f>F90+F84+F71</f>
        <v>0</v>
      </c>
      <c r="H92" s="119">
        <f>H90+H84+H71</f>
        <v>0</v>
      </c>
      <c r="J92" s="96">
        <f>F92</f>
        <v>0</v>
      </c>
      <c r="K92" s="84"/>
      <c r="L92" s="96">
        <f>H92</f>
        <v>0</v>
      </c>
    </row>
    <row r="93" spans="1:27" ht="12" customHeight="1" x14ac:dyDescent="0.2">
      <c r="A93" s="84"/>
    </row>
    <row r="94" spans="1:27" ht="12" customHeight="1" x14ac:dyDescent="0.2">
      <c r="A94" s="84" t="str">
        <f>VLOOKUP(AA94,FormTypeLabels[],2,FALSE)</f>
        <v>PARTNERS' CAPITAL</v>
      </c>
      <c r="AA94" s="111" t="s">
        <v>184</v>
      </c>
    </row>
    <row r="95" spans="1:27" ht="12" customHeight="1" x14ac:dyDescent="0.2">
      <c r="A95" s="91" t="str">
        <f>VLOOKUP(AA95,FormTypeLabels[],2,FALSE)</f>
        <v>47 Private Partners' Contributed Capital</v>
      </c>
      <c r="B95" s="84"/>
      <c r="AA95" s="112" t="s">
        <v>216</v>
      </c>
    </row>
    <row r="96" spans="1:27" ht="12" customHeight="1" x14ac:dyDescent="0.2">
      <c r="A96" s="93" t="str">
        <f>VLOOKUP(AA96,FormTypeLabels[],2,FALSE)</f>
        <v>a. General Partners'</v>
      </c>
      <c r="E96" s="94" t="s">
        <v>1734</v>
      </c>
      <c r="F96" s="119">
        <f>'7-PCap'!H28</f>
        <v>0</v>
      </c>
      <c r="H96" s="97">
        <v>0</v>
      </c>
      <c r="J96" s="85">
        <f t="shared" ref="J96:J97" si="12">F96</f>
        <v>0</v>
      </c>
      <c r="L96" s="85">
        <f t="shared" ref="L96:L97" si="13">H96</f>
        <v>0</v>
      </c>
      <c r="AA96" s="111" t="s">
        <v>247</v>
      </c>
    </row>
    <row r="97" spans="1:30" ht="12" customHeight="1" x14ac:dyDescent="0.2">
      <c r="A97" s="93" t="str">
        <f>VLOOKUP(AA97,FormTypeLabels[],2,FALSE)</f>
        <v>b. Limited Partners'</v>
      </c>
      <c r="E97" s="94" t="s">
        <v>1734</v>
      </c>
      <c r="F97" s="119">
        <f>'7-PCap'!J28</f>
        <v>0</v>
      </c>
      <c r="H97" s="97">
        <v>0</v>
      </c>
      <c r="J97" s="85">
        <f t="shared" si="12"/>
        <v>0</v>
      </c>
      <c r="L97" s="85">
        <f t="shared" si="13"/>
        <v>0</v>
      </c>
      <c r="AA97" s="112" t="s">
        <v>268</v>
      </c>
    </row>
    <row r="98" spans="1:30" ht="12" customHeight="1" x14ac:dyDescent="0.2">
      <c r="A98" s="93" t="str">
        <f>VLOOKUP(AA98,FormTypeLabels[],2,FALSE)</f>
        <v/>
      </c>
      <c r="E98" s="94"/>
      <c r="F98" s="77"/>
      <c r="G98" s="77"/>
      <c r="H98" s="77"/>
      <c r="AA98" s="111" t="s">
        <v>284</v>
      </c>
    </row>
    <row r="99" spans="1:30" ht="12" customHeight="1" x14ac:dyDescent="0.2">
      <c r="A99" s="93" t="str">
        <f>VLOOKUP(AA99,FormTypeLabels[],2,FALSE)</f>
        <v>c. Total Private Partners' Contributed Capital</v>
      </c>
      <c r="E99" s="94"/>
      <c r="F99" s="119">
        <f>SUM(F96:F98)</f>
        <v>0</v>
      </c>
      <c r="H99" s="119">
        <f>SUM(H96:H98)</f>
        <v>0</v>
      </c>
      <c r="J99" s="96">
        <f>F99</f>
        <v>0</v>
      </c>
      <c r="K99" s="84"/>
      <c r="L99" s="96">
        <f>H99</f>
        <v>0</v>
      </c>
      <c r="AA99" s="112" t="s">
        <v>299</v>
      </c>
    </row>
    <row r="100" spans="1:30" ht="12" customHeight="1" x14ac:dyDescent="0.2">
      <c r="A100" s="100" t="s">
        <v>1804</v>
      </c>
      <c r="B100" s="717"/>
      <c r="C100" s="718"/>
      <c r="D100" s="719"/>
      <c r="E100" s="94"/>
      <c r="F100" s="110">
        <v>0</v>
      </c>
      <c r="H100" s="110">
        <v>0</v>
      </c>
      <c r="J100" s="113">
        <f>F100</f>
        <v>0</v>
      </c>
      <c r="L100" s="113">
        <f>H100</f>
        <v>0</v>
      </c>
    </row>
    <row r="101" spans="1:30" ht="12" customHeight="1" x14ac:dyDescent="0.2">
      <c r="A101" s="100" t="s">
        <v>1805</v>
      </c>
      <c r="E101" s="94"/>
      <c r="F101" s="119">
        <f>F14-ABS(F15)+F24-ABS(F25)</f>
        <v>0</v>
      </c>
      <c r="H101" s="119">
        <f>H14-ABS(H15)+H24-ABS(H25)</f>
        <v>0</v>
      </c>
      <c r="J101" s="95">
        <f>J14-ABS(J15)+J24-ABS(J25)</f>
        <v>0</v>
      </c>
      <c r="K101" s="85"/>
      <c r="L101" s="95">
        <f>L14-ABS(L15)+L24-ABS(L25)</f>
        <v>0</v>
      </c>
    </row>
    <row r="102" spans="1:30" ht="12" customHeight="1" x14ac:dyDescent="0.2">
      <c r="A102" s="100" t="s">
        <v>1806</v>
      </c>
      <c r="E102" s="94" t="s">
        <v>1734</v>
      </c>
      <c r="F102" s="119">
        <f>S3NC!$G$7</f>
        <v>0</v>
      </c>
      <c r="H102" s="114">
        <f>S3NC!D7</f>
        <v>0</v>
      </c>
      <c r="J102" s="113">
        <f>F102</f>
        <v>0</v>
      </c>
      <c r="L102" s="113">
        <f>H102</f>
        <v>0</v>
      </c>
    </row>
    <row r="103" spans="1:30" ht="12" customHeight="1" x14ac:dyDescent="0.2">
      <c r="A103" s="100" t="str">
        <f>VLOOKUP(AA103,FormTypeLabels[],2,FALSE)</f>
        <v xml:space="preserve">51 Undistributed Net Realized Earnings </v>
      </c>
      <c r="E103" s="94" t="s">
        <v>1734</v>
      </c>
      <c r="F103" s="119">
        <f>UNRE</f>
        <v>0</v>
      </c>
      <c r="H103" s="110">
        <v>0</v>
      </c>
      <c r="J103" s="113">
        <f>F103</f>
        <v>0</v>
      </c>
      <c r="L103" s="113">
        <f>H103</f>
        <v>0</v>
      </c>
      <c r="AA103" s="111" t="s">
        <v>311</v>
      </c>
      <c r="AD103" s="115"/>
    </row>
    <row r="104" spans="1:30" ht="12" customHeight="1" x14ac:dyDescent="0.2">
      <c r="A104" s="93" t="str">
        <f>VLOOKUP(AA104,FormTypeLabels[],2,FALSE)</f>
        <v/>
      </c>
      <c r="F104" s="77"/>
      <c r="G104" s="77"/>
      <c r="H104" s="77"/>
      <c r="AA104" s="111" t="s">
        <v>322</v>
      </c>
    </row>
    <row r="105" spans="1:30" ht="12" customHeight="1" x14ac:dyDescent="0.2">
      <c r="A105" s="93" t="str">
        <f>VLOOKUP(AA105,FormTypeLabels[],2,FALSE)</f>
        <v/>
      </c>
      <c r="F105" s="77"/>
      <c r="G105" s="77"/>
      <c r="H105" s="77"/>
      <c r="AA105" s="111" t="s">
        <v>332</v>
      </c>
    </row>
    <row r="106" spans="1:30" ht="12" customHeight="1" x14ac:dyDescent="0.2">
      <c r="A106" s="93" t="str">
        <f>VLOOKUP(AA106,FormTypeLabels[],2,FALSE)</f>
        <v/>
      </c>
      <c r="F106" s="77"/>
      <c r="G106" s="77"/>
      <c r="H106" s="77"/>
      <c r="AA106" s="111" t="s">
        <v>342</v>
      </c>
    </row>
    <row r="107" spans="1:30" ht="12" customHeight="1" x14ac:dyDescent="0.2">
      <c r="A107" s="100" t="str">
        <f>VLOOKUP(AA107,FormTypeLabels[],2,FALSE)</f>
        <v xml:space="preserve">52 Undistributed Realized Earnings (line 50 plus line 51) </v>
      </c>
      <c r="F107" s="119">
        <f>F103+F102</f>
        <v>0</v>
      </c>
      <c r="H107" s="114">
        <f>H103+H102</f>
        <v>0</v>
      </c>
      <c r="J107" s="95">
        <f>J103+J102</f>
        <v>0</v>
      </c>
      <c r="K107" s="96"/>
      <c r="L107" s="95">
        <f>L103+L102</f>
        <v>0</v>
      </c>
      <c r="AA107" s="77" t="s">
        <v>363</v>
      </c>
    </row>
    <row r="108" spans="1:30" ht="12" customHeight="1" x14ac:dyDescent="0.2">
      <c r="A108" s="93" t="str">
        <f>VLOOKUP(AA108,FormTypeLabels[],2,FALSE)</f>
        <v/>
      </c>
      <c r="F108" s="77"/>
      <c r="G108" s="77"/>
      <c r="H108" s="77"/>
      <c r="AA108" s="111" t="s">
        <v>374</v>
      </c>
    </row>
    <row r="109" spans="1:30" ht="12" customHeight="1" x14ac:dyDescent="0.2">
      <c r="A109" s="93" t="str">
        <f>VLOOKUP(AA109,FormTypeLabels[],2,FALSE)</f>
        <v/>
      </c>
      <c r="F109" s="77"/>
      <c r="G109" s="77"/>
      <c r="H109" s="77"/>
      <c r="AA109" s="111" t="s">
        <v>382</v>
      </c>
    </row>
    <row r="110" spans="1:30" ht="12" customHeight="1" x14ac:dyDescent="0.2">
      <c r="A110" s="84" t="str">
        <f>VLOOKUP(AA110,FormTypeLabels[],2,FALSE)</f>
        <v>53 TOTAL PARTNERS' CAPITAL (Sum of Lines 47c, 48, 49, and 52)</v>
      </c>
      <c r="F110" s="119">
        <f>F99+F100+F101+F107</f>
        <v>0</v>
      </c>
      <c r="H110" s="114">
        <f>H99+H100+H101+H107</f>
        <v>0</v>
      </c>
      <c r="J110" s="95">
        <f>J99+J100+J101+J107</f>
        <v>0</v>
      </c>
      <c r="K110" s="96"/>
      <c r="L110" s="95">
        <f>L99+L100+L101+L107</f>
        <v>0</v>
      </c>
      <c r="AA110" s="111" t="s">
        <v>353</v>
      </c>
    </row>
    <row r="111" spans="1:30" ht="12" customHeight="1" x14ac:dyDescent="0.2">
      <c r="A111" s="84"/>
      <c r="I111" s="85"/>
      <c r="J111" s="85"/>
      <c r="K111" s="85"/>
      <c r="L111" s="85"/>
    </row>
    <row r="112" spans="1:30" ht="12" customHeight="1" x14ac:dyDescent="0.2">
      <c r="A112" s="84" t="s">
        <v>1807</v>
      </c>
      <c r="F112" s="119">
        <f>F110+F92</f>
        <v>0</v>
      </c>
      <c r="H112" s="114">
        <f>H110+H92</f>
        <v>0</v>
      </c>
      <c r="J112" s="95">
        <f>J110+J92</f>
        <v>0</v>
      </c>
      <c r="K112" s="96"/>
      <c r="L112" s="95">
        <f>L110+L92</f>
        <v>0</v>
      </c>
    </row>
    <row r="115" spans="1:12" ht="12" customHeight="1" outlineLevel="1" x14ac:dyDescent="0.2">
      <c r="A115" s="84" t="s">
        <v>1779</v>
      </c>
      <c r="F115" s="114">
        <f>F61</f>
        <v>0</v>
      </c>
      <c r="H115" s="114">
        <f>H61</f>
        <v>0</v>
      </c>
      <c r="J115" s="85">
        <f>J61</f>
        <v>0</v>
      </c>
      <c r="L115" s="85">
        <f>L61</f>
        <v>0</v>
      </c>
    </row>
    <row r="116" spans="1:12" ht="12" customHeight="1" outlineLevel="1" x14ac:dyDescent="0.2">
      <c r="A116" s="77" t="s">
        <v>1808</v>
      </c>
      <c r="F116" s="114">
        <f>F115-F112</f>
        <v>0</v>
      </c>
      <c r="H116" s="114">
        <f>H115-H112</f>
        <v>0</v>
      </c>
      <c r="J116" s="85">
        <f>J115-J112</f>
        <v>0</v>
      </c>
      <c r="L116" s="85">
        <f>L115-L112</f>
        <v>0</v>
      </c>
    </row>
    <row r="117" spans="1:12" ht="12" customHeight="1" x14ac:dyDescent="0.2">
      <c r="A117" s="77" t="s">
        <v>1809</v>
      </c>
      <c r="F117" s="114" t="str">
        <f>IF(F112=F61,"",F112-F61)</f>
        <v/>
      </c>
      <c r="H117" s="114" t="str">
        <f>IF(H112=H61,"",H112-H61)</f>
        <v/>
      </c>
    </row>
    <row r="118" spans="1:12" ht="12" customHeight="1" x14ac:dyDescent="0.2">
      <c r="J118" s="85"/>
    </row>
  </sheetData>
  <mergeCells count="12">
    <mergeCell ref="J6:L6"/>
    <mergeCell ref="F65:H65"/>
    <mergeCell ref="J65:L65"/>
    <mergeCell ref="B50:D50"/>
    <mergeCell ref="B51:D51"/>
    <mergeCell ref="B57:D57"/>
    <mergeCell ref="B58:D58"/>
    <mergeCell ref="B82:D82"/>
    <mergeCell ref="B83:D83"/>
    <mergeCell ref="B89:D89"/>
    <mergeCell ref="B100:D100"/>
    <mergeCell ref="F6:H6"/>
  </mergeCells>
  <phoneticPr fontId="2" type="noConversion"/>
  <conditionalFormatting sqref="B98:D98 F98:XFD98">
    <cfRule type="expression" dxfId="289" priority="16">
      <formula>formtype="P"</formula>
    </cfRule>
  </conditionalFormatting>
  <conditionalFormatting sqref="F98 H98">
    <cfRule type="expression" dxfId="288" priority="17">
      <formula>formtype="C"</formula>
    </cfRule>
  </conditionalFormatting>
  <conditionalFormatting sqref="B104:XFD106">
    <cfRule type="expression" dxfId="287" priority="14">
      <formula>formtype="P"</formula>
    </cfRule>
  </conditionalFormatting>
  <conditionalFormatting sqref="F104:F106 H104:H106">
    <cfRule type="expression" dxfId="286" priority="15">
      <formula>formtype="C"</formula>
    </cfRule>
  </conditionalFormatting>
  <conditionalFormatting sqref="B108:XFD109">
    <cfRule type="expression" dxfId="285" priority="12">
      <formula>formtype="P"</formula>
    </cfRule>
  </conditionalFormatting>
  <conditionalFormatting sqref="F108:F109 H108:H109">
    <cfRule type="expression" dxfId="284" priority="13">
      <formula>formtype="C"</formula>
    </cfRule>
  </conditionalFormatting>
  <conditionalFormatting sqref="A7:A112">
    <cfRule type="expression" dxfId="283" priority="10">
      <formula>AND(AA7&lt;&gt;"",formtype="C",cdiff="X")</formula>
    </cfRule>
  </conditionalFormatting>
  <conditionalFormatting sqref="A7:D7">
    <cfRule type="expression" dxfId="282" priority="9">
      <formula>AND(AA7&lt;&gt;"",formtype="C")</formula>
    </cfRule>
  </conditionalFormatting>
  <conditionalFormatting sqref="E10:E15">
    <cfRule type="expression" dxfId="281" priority="8">
      <formula>AND(AE10&lt;&gt;"",formtype="C",cdiff="X")</formula>
    </cfRule>
  </conditionalFormatting>
  <conditionalFormatting sqref="E19:E25">
    <cfRule type="expression" dxfId="280" priority="7">
      <formula>AND(AE19&lt;&gt;"",formtype="C",cdiff="X")</formula>
    </cfRule>
  </conditionalFormatting>
  <conditionalFormatting sqref="E29:E31">
    <cfRule type="expression" dxfId="279" priority="6">
      <formula>AND(AE29&lt;&gt;"",formtype="C",cdiff="X")</formula>
    </cfRule>
  </conditionalFormatting>
  <conditionalFormatting sqref="E96:E103">
    <cfRule type="expression" dxfId="278" priority="5">
      <formula>AND(AE96&lt;&gt;"",formtype="C",cdiff="X")</formula>
    </cfRule>
  </conditionalFormatting>
  <dataValidations disablePrompts="1" count="2">
    <dataValidation allowBlank="1" showInputMessage="1" showErrorMessage="1" prompt="Go to Statement of Private Capital." sqref="F96" xr:uid="{F60C9B23-9F4F-4F70-8054-81EF0221A61D}"/>
    <dataValidation allowBlank="1" showInputMessage="1" showErrorMessage="1" prompt="Go to Statement of Private Capital._x000a_" sqref="F97" xr:uid="{B0E28F1B-336F-465D-992F-308F845A92B8}"/>
  </dataValidations>
  <hyperlinks>
    <hyperlink ref="A8" location="S1Inv!A1" display="LOANS AND INVESTMENTS (Current Period from Schedule 1)" xr:uid="{E0F866B7-ABB4-497D-A677-18E50C59EED6}"/>
    <hyperlink ref="E40" location="S7Cash!A1" display="*" xr:uid="{8A4B0A86-4B3B-4112-9AB0-65902EFBEAB4}"/>
    <hyperlink ref="E96" location="'7-PCap'!A1" display="*" xr:uid="{D8089A75-4D52-4252-AF22-3309B5AC4F1D}"/>
    <hyperlink ref="E10" location="S1Inv!A1" display="LOANS AND INVESTMENTS (Current Period from Schedule 1)" xr:uid="{D4EF9AC3-D284-419F-9FF5-3E3CA7FE18F2}"/>
    <hyperlink ref="E29:E31" location="S1Inv!A1" display="LOANS AND INVESTMENTS (Current Period from Schedule 1)" xr:uid="{BF8F0546-05CA-4D67-90FF-73A002882904}"/>
    <hyperlink ref="E41" location="S7Cash!A1" display="*" xr:uid="{0DF92470-67C4-4072-8A39-6D837536016C}"/>
    <hyperlink ref="E103" location="UNRE" display="*" xr:uid="{BAFB0C31-0810-4BF0-86B6-754A5ADDF93B}"/>
    <hyperlink ref="E97" location="'7-PCap'!A1" display="*" xr:uid="{F3BE4AEA-1971-46BE-99BC-1FCC153C5AB5}"/>
    <hyperlink ref="E102" location="S3NC!A1" display="*" xr:uid="{0ED56686-4998-4C7D-A55E-9A1354BE5095}"/>
  </hyperlinks>
  <pageMargins left="0.5" right="0.25" top="0.5" bottom="0.25" header="0.3" footer="0.05"/>
  <pageSetup orientation="portrait" blackAndWhite="1" horizontalDpi="1200" verticalDpi="1200" r:id="rId1"/>
  <rowBreaks count="1" manualBreakCount="1">
    <brk id="63" max="16383" man="1"/>
  </rowBreaks>
  <extLst>
    <ext xmlns:x14="http://schemas.microsoft.com/office/spreadsheetml/2009/9/main" uri="{78C0D931-6437-407d-A8EE-F0AAD7539E65}">
      <x14:conditionalFormattings>
        <x14:conditionalFormatting xmlns:xm="http://schemas.microsoft.com/office/excel/2006/main">
          <x14:cfRule type="expression" priority="25" id="{D9FB0232-2524-42E2-9232-994AB84049D9}">
            <xm:f>selection!$E$17="C"</xm:f>
            <x14:dxf>
              <border>
                <left/>
                <right/>
                <vertical/>
                <horizontal/>
              </border>
            </x14:dxf>
          </x14:cfRule>
          <xm:sqref>G103:H103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E45E-1BB1-47EE-B76B-F2A16994C9CB}">
  <sheetPr codeName="Sheet9"/>
  <dimension ref="A1:AC61"/>
  <sheetViews>
    <sheetView workbookViewId="0">
      <selection activeCell="AF12" sqref="AF12"/>
    </sheetView>
  </sheetViews>
  <sheetFormatPr defaultColWidth="8.7265625" defaultRowHeight="12" customHeight="1" outlineLevelCol="1" x14ac:dyDescent="0.25"/>
  <cols>
    <col min="1" max="1" width="18.26953125" style="55" customWidth="1"/>
    <col min="2" max="2" width="14.54296875" style="55" customWidth="1"/>
    <col min="3" max="4" width="10.453125" style="55" customWidth="1"/>
    <col min="5" max="5" width="2.1796875" style="55" customWidth="1"/>
    <col min="6" max="6" width="11.81640625" style="66" customWidth="1"/>
    <col min="7" max="7" width="2.1796875" style="66" customWidth="1"/>
    <col min="8" max="8" width="12.453125" style="66" customWidth="1"/>
    <col min="9" max="9" width="2.1796875" style="66" customWidth="1"/>
    <col min="10" max="10" width="13.26953125" style="66" customWidth="1"/>
    <col min="11" max="11" width="8.7265625" style="55" customWidth="1"/>
    <col min="12" max="26" width="8.7265625" style="55" hidden="1" customWidth="1" outlineLevel="1"/>
    <col min="27" max="27" width="0" style="55" hidden="1" customWidth="1" collapsed="1"/>
    <col min="28" max="28" width="0.81640625" style="55" customWidth="1"/>
    <col min="29" max="29" width="12.453125" style="55" customWidth="1"/>
    <col min="30" max="16384" width="8.7265625" style="55"/>
  </cols>
  <sheetData>
    <row r="1" spans="1:29" ht="12" customHeight="1" x14ac:dyDescent="0.25">
      <c r="A1" s="59"/>
      <c r="B1" s="60"/>
      <c r="C1" s="729" t="s">
        <v>1810</v>
      </c>
      <c r="D1" s="729"/>
      <c r="E1" s="729"/>
      <c r="F1" s="729"/>
      <c r="G1" s="729"/>
      <c r="H1" s="125"/>
      <c r="I1" s="125"/>
      <c r="J1" s="61" t="str">
        <f>'1-Cover'!$G$1</f>
        <v>OMB Approval No. 3245-0063</v>
      </c>
    </row>
    <row r="2" spans="1:29" ht="12" customHeight="1" x14ac:dyDescent="0.25">
      <c r="A2" s="62"/>
      <c r="C2" s="730" t="str">
        <f>"FOR "&amp;Number_of_Months&amp;" MONTH PERIOD ENDED: "&amp;TEXT(Form468Date,"MM/DD/YYYY")</f>
        <v>FOR  MONTH PERIOD ENDED: 01/00/1900</v>
      </c>
      <c r="D2" s="730"/>
      <c r="E2" s="730"/>
      <c r="F2" s="730"/>
      <c r="J2" s="63" t="str">
        <f>'1-Cover'!$G$2</f>
        <v>Expiration Date MM/DD/YYYY</v>
      </c>
    </row>
    <row r="3" spans="1:29" ht="12" customHeight="1" x14ac:dyDescent="0.25">
      <c r="A3" s="126"/>
      <c r="B3" s="64"/>
      <c r="C3" s="731" t="s">
        <v>1726</v>
      </c>
      <c r="D3" s="731"/>
      <c r="E3" s="731"/>
      <c r="F3" s="731"/>
      <c r="G3" s="731"/>
      <c r="H3" s="127"/>
      <c r="I3" s="127"/>
      <c r="J3" s="65"/>
    </row>
    <row r="4" spans="1:29" ht="12" customHeight="1" x14ac:dyDescent="0.25">
      <c r="A4" s="57" t="str">
        <f>"Name of License:  "&amp;sbicname</f>
        <v xml:space="preserve">Name of License:  </v>
      </c>
      <c r="B4" s="52">
        <f>'2&amp;3-Bal'!B4</f>
        <v>0</v>
      </c>
      <c r="C4" s="52"/>
      <c r="D4" s="53"/>
      <c r="E4" s="53"/>
      <c r="F4" s="53"/>
      <c r="G4" s="53"/>
      <c r="H4" s="53"/>
      <c r="I4" s="53"/>
      <c r="J4" s="54" t="str">
        <f>"License no.:  "&amp;TEXT(licenseno,"00\/00\-0000")</f>
        <v>License no.:  00/00-0000</v>
      </c>
      <c r="AC4" s="130" t="s">
        <v>1811</v>
      </c>
    </row>
    <row r="5" spans="1:29" ht="12" customHeight="1" x14ac:dyDescent="0.25">
      <c r="F5" s="735" t="s">
        <v>1812</v>
      </c>
      <c r="G5" s="55"/>
      <c r="H5" s="735" t="s">
        <v>1813</v>
      </c>
      <c r="I5" s="55"/>
      <c r="J5" s="735" t="s">
        <v>1814</v>
      </c>
      <c r="AC5" s="736" t="s">
        <v>1814</v>
      </c>
    </row>
    <row r="6" spans="1:29" ht="12" customHeight="1" x14ac:dyDescent="0.25">
      <c r="F6" s="736"/>
      <c r="G6" s="67"/>
      <c r="H6" s="736"/>
      <c r="I6" s="67"/>
      <c r="J6" s="736"/>
      <c r="AC6" s="736"/>
    </row>
    <row r="7" spans="1:29" ht="12" customHeight="1" x14ac:dyDescent="0.25">
      <c r="A7" s="55" t="s">
        <v>1815</v>
      </c>
      <c r="F7" s="131">
        <f>Form468Date</f>
        <v>0</v>
      </c>
      <c r="G7" s="67"/>
      <c r="H7" s="131">
        <f>Form468Date</f>
        <v>0</v>
      </c>
      <c r="I7" s="67"/>
      <c r="J7" s="131">
        <f>Form468Date</f>
        <v>0</v>
      </c>
      <c r="AC7" s="131">
        <v>44561</v>
      </c>
    </row>
    <row r="8" spans="1:29" ht="12" customHeight="1" x14ac:dyDescent="0.25">
      <c r="A8" s="69" t="s">
        <v>1816</v>
      </c>
      <c r="F8" s="70">
        <v>0</v>
      </c>
      <c r="H8" s="70">
        <v>0</v>
      </c>
      <c r="J8" s="70">
        <f t="shared" ref="J8:J16" si="0">AC8+H8</f>
        <v>0</v>
      </c>
      <c r="AC8" s="70">
        <v>0</v>
      </c>
    </row>
    <row r="9" spans="1:29" ht="12" customHeight="1" x14ac:dyDescent="0.25">
      <c r="A9" s="69" t="s">
        <v>1817</v>
      </c>
      <c r="F9" s="70">
        <v>0</v>
      </c>
      <c r="H9" s="70">
        <v>0</v>
      </c>
      <c r="J9" s="70">
        <f t="shared" si="0"/>
        <v>0</v>
      </c>
      <c r="AC9" s="70">
        <v>0</v>
      </c>
    </row>
    <row r="10" spans="1:29" ht="12" customHeight="1" x14ac:dyDescent="0.25">
      <c r="A10" s="69" t="s">
        <v>1818</v>
      </c>
      <c r="F10" s="70">
        <v>0</v>
      </c>
      <c r="H10" s="70">
        <v>0</v>
      </c>
      <c r="J10" s="70">
        <f t="shared" si="0"/>
        <v>0</v>
      </c>
      <c r="AC10" s="70">
        <v>0</v>
      </c>
    </row>
    <row r="11" spans="1:29" ht="12" customHeight="1" x14ac:dyDescent="0.25">
      <c r="A11" s="69" t="s">
        <v>1819</v>
      </c>
      <c r="F11" s="70">
        <v>0</v>
      </c>
      <c r="H11" s="70">
        <v>0</v>
      </c>
      <c r="J11" s="70">
        <f t="shared" si="0"/>
        <v>0</v>
      </c>
      <c r="AC11" s="70">
        <v>0</v>
      </c>
    </row>
    <row r="12" spans="1:29" ht="12" customHeight="1" x14ac:dyDescent="0.25">
      <c r="A12" s="69" t="s">
        <v>1820</v>
      </c>
      <c r="F12" s="70">
        <v>0</v>
      </c>
      <c r="H12" s="70">
        <v>0</v>
      </c>
      <c r="J12" s="70">
        <f t="shared" si="0"/>
        <v>0</v>
      </c>
      <c r="AC12" s="70">
        <v>0</v>
      </c>
    </row>
    <row r="13" spans="1:29" ht="12" customHeight="1" x14ac:dyDescent="0.25">
      <c r="A13" s="69" t="s">
        <v>1821</v>
      </c>
      <c r="F13" s="70">
        <v>0</v>
      </c>
      <c r="H13" s="70">
        <v>0</v>
      </c>
      <c r="J13" s="70">
        <f t="shared" si="0"/>
        <v>0</v>
      </c>
      <c r="AC13" s="70">
        <v>0</v>
      </c>
    </row>
    <row r="14" spans="1:29" ht="11.5" customHeight="1" x14ac:dyDescent="0.25">
      <c r="A14" s="69" t="s">
        <v>1822</v>
      </c>
      <c r="B14" s="56"/>
      <c r="C14" s="56"/>
      <c r="D14" s="56"/>
      <c r="F14" s="70">
        <v>0</v>
      </c>
      <c r="H14" s="70">
        <v>0</v>
      </c>
      <c r="J14" s="70">
        <f t="shared" si="0"/>
        <v>0</v>
      </c>
      <c r="AC14" s="70">
        <v>0</v>
      </c>
    </row>
    <row r="15" spans="1:29" ht="12" customHeight="1" x14ac:dyDescent="0.25">
      <c r="A15" s="68" t="s">
        <v>1823</v>
      </c>
      <c r="B15" s="56"/>
      <c r="C15" s="56"/>
      <c r="D15" s="56"/>
      <c r="F15" s="72"/>
      <c r="H15" s="72"/>
      <c r="J15" s="72"/>
      <c r="AC15" s="72"/>
    </row>
    <row r="16" spans="1:29" ht="12" customHeight="1" x14ac:dyDescent="0.25">
      <c r="A16" s="69" t="s">
        <v>1824</v>
      </c>
      <c r="F16" s="70">
        <v>0</v>
      </c>
      <c r="H16" s="70">
        <v>0</v>
      </c>
      <c r="J16" s="70">
        <f t="shared" si="0"/>
        <v>0</v>
      </c>
      <c r="AC16" s="70">
        <v>0</v>
      </c>
    </row>
    <row r="17" spans="1:29" ht="12" customHeight="1" x14ac:dyDescent="0.25">
      <c r="A17" s="69"/>
      <c r="AC17" s="66"/>
    </row>
    <row r="18" spans="1:29" ht="12" customHeight="1" x14ac:dyDescent="0.25">
      <c r="A18" s="69" t="s">
        <v>1825</v>
      </c>
      <c r="F18" s="71">
        <f>SUM(F8:F14,F16)</f>
        <v>0</v>
      </c>
      <c r="G18" s="128"/>
      <c r="H18" s="71">
        <f>SUM(H8:H14,H16)</f>
        <v>0</v>
      </c>
      <c r="I18" s="128"/>
      <c r="J18" s="71">
        <f>SUM(J8:J14,J16)</f>
        <v>0</v>
      </c>
      <c r="AC18" s="71">
        <v>0</v>
      </c>
    </row>
    <row r="19" spans="1:29" ht="12" customHeight="1" x14ac:dyDescent="0.25">
      <c r="AC19" s="66"/>
    </row>
    <row r="20" spans="1:29" ht="12" customHeight="1" x14ac:dyDescent="0.25">
      <c r="A20" s="55" t="s">
        <v>1826</v>
      </c>
      <c r="AC20" s="66"/>
    </row>
    <row r="21" spans="1:29" ht="12" customHeight="1" x14ac:dyDescent="0.25">
      <c r="A21" s="69" t="s">
        <v>1827</v>
      </c>
      <c r="AC21" s="66"/>
    </row>
    <row r="22" spans="1:29" ht="12" customHeight="1" x14ac:dyDescent="0.25">
      <c r="A22" s="68" t="s">
        <v>1828</v>
      </c>
      <c r="F22" s="70">
        <v>0</v>
      </c>
      <c r="H22" s="70">
        <v>0</v>
      </c>
      <c r="J22" s="70">
        <f t="shared" ref="J22:J23" si="1">AC22+H22</f>
        <v>0</v>
      </c>
      <c r="AC22" s="70">
        <v>0</v>
      </c>
    </row>
    <row r="23" spans="1:29" ht="12" customHeight="1" x14ac:dyDescent="0.25">
      <c r="A23" s="68" t="s">
        <v>1829</v>
      </c>
      <c r="F23" s="70">
        <v>0</v>
      </c>
      <c r="H23" s="70">
        <v>0</v>
      </c>
      <c r="J23" s="70">
        <f t="shared" si="1"/>
        <v>0</v>
      </c>
      <c r="AC23" s="70">
        <v>0</v>
      </c>
    </row>
    <row r="24" spans="1:29" ht="12" customHeight="1" x14ac:dyDescent="0.25">
      <c r="A24" s="68" t="s">
        <v>1830</v>
      </c>
      <c r="F24" s="71">
        <f>F23+F22</f>
        <v>0</v>
      </c>
      <c r="H24" s="71">
        <f>H23+H22</f>
        <v>0</v>
      </c>
      <c r="J24" s="71">
        <f>J23+J22</f>
        <v>0</v>
      </c>
      <c r="AC24" s="71">
        <v>0</v>
      </c>
    </row>
    <row r="25" spans="1:29" ht="12" customHeight="1" x14ac:dyDescent="0.25">
      <c r="A25" s="69" t="s">
        <v>1831</v>
      </c>
      <c r="F25" s="70">
        <v>0</v>
      </c>
      <c r="H25" s="70">
        <v>0</v>
      </c>
      <c r="J25" s="70">
        <f t="shared" ref="J25:J34" si="2">AC25+H25</f>
        <v>0</v>
      </c>
      <c r="AC25" s="70">
        <v>0</v>
      </c>
    </row>
    <row r="26" spans="1:29" ht="12" customHeight="1" x14ac:dyDescent="0.25">
      <c r="A26" s="69" t="s">
        <v>1832</v>
      </c>
      <c r="F26" s="70">
        <v>0</v>
      </c>
      <c r="H26" s="70">
        <v>0</v>
      </c>
      <c r="J26" s="70">
        <f t="shared" si="2"/>
        <v>0</v>
      </c>
      <c r="AC26" s="70">
        <v>0</v>
      </c>
    </row>
    <row r="27" spans="1:29" ht="12" customHeight="1" x14ac:dyDescent="0.25">
      <c r="A27" s="69" t="s">
        <v>1833</v>
      </c>
      <c r="F27" s="70">
        <v>0</v>
      </c>
      <c r="H27" s="70">
        <v>0</v>
      </c>
      <c r="J27" s="70">
        <f t="shared" si="2"/>
        <v>0</v>
      </c>
      <c r="AC27" s="70">
        <v>0</v>
      </c>
    </row>
    <row r="28" spans="1:29" ht="12" customHeight="1" x14ac:dyDescent="0.25">
      <c r="A28" s="69" t="str">
        <f>VLOOKUP(AA28,FormTypeLabels[],2,FALSE)</f>
        <v xml:space="preserve">14 Partners' Meetings </v>
      </c>
      <c r="F28" s="70">
        <v>0</v>
      </c>
      <c r="H28" s="70">
        <v>0</v>
      </c>
      <c r="J28" s="70">
        <f t="shared" si="2"/>
        <v>0</v>
      </c>
      <c r="AA28" s="55" t="s">
        <v>390</v>
      </c>
      <c r="AC28" s="70">
        <v>0</v>
      </c>
    </row>
    <row r="29" spans="1:29" ht="12" customHeight="1" x14ac:dyDescent="0.25">
      <c r="A29" s="69" t="s">
        <v>1834</v>
      </c>
      <c r="F29" s="70">
        <v>0</v>
      </c>
      <c r="H29" s="70">
        <v>0</v>
      </c>
      <c r="J29" s="70">
        <f t="shared" si="2"/>
        <v>0</v>
      </c>
      <c r="AC29" s="70">
        <v>0</v>
      </c>
    </row>
    <row r="30" spans="1:29" ht="12" customHeight="1" x14ac:dyDescent="0.25">
      <c r="A30" s="69" t="s">
        <v>1835</v>
      </c>
      <c r="F30" s="70">
        <v>0</v>
      </c>
      <c r="H30" s="70"/>
      <c r="J30" s="70">
        <f t="shared" si="2"/>
        <v>0</v>
      </c>
      <c r="AC30" s="70">
        <v>0</v>
      </c>
    </row>
    <row r="31" spans="1:29" ht="12" customHeight="1" x14ac:dyDescent="0.25">
      <c r="A31" s="69" t="s">
        <v>1836</v>
      </c>
      <c r="F31" s="70">
        <v>0</v>
      </c>
      <c r="H31" s="70">
        <v>0</v>
      </c>
      <c r="J31" s="70">
        <f t="shared" si="2"/>
        <v>0</v>
      </c>
      <c r="AC31" s="70">
        <v>0</v>
      </c>
    </row>
    <row r="32" spans="1:29" ht="12" customHeight="1" x14ac:dyDescent="0.25">
      <c r="A32" s="69" t="s">
        <v>1837</v>
      </c>
      <c r="AC32" s="66"/>
    </row>
    <row r="33" spans="1:29" ht="12" customHeight="1" x14ac:dyDescent="0.25">
      <c r="A33" s="68" t="s">
        <v>1838</v>
      </c>
      <c r="F33" s="70">
        <v>0</v>
      </c>
      <c r="H33" s="70">
        <v>0</v>
      </c>
      <c r="J33" s="70">
        <f t="shared" si="2"/>
        <v>0</v>
      </c>
      <c r="AC33" s="70">
        <v>0</v>
      </c>
    </row>
    <row r="34" spans="1:29" ht="12" customHeight="1" x14ac:dyDescent="0.25">
      <c r="A34" s="68" t="s">
        <v>1839</v>
      </c>
      <c r="F34" s="70">
        <v>0</v>
      </c>
      <c r="H34" s="70">
        <v>0</v>
      </c>
      <c r="J34" s="70">
        <f t="shared" si="2"/>
        <v>0</v>
      </c>
      <c r="AC34" s="70">
        <v>0</v>
      </c>
    </row>
    <row r="35" spans="1:29" ht="12" customHeight="1" x14ac:dyDescent="0.25">
      <c r="A35" s="68" t="s">
        <v>1840</v>
      </c>
      <c r="F35" s="71">
        <f>F34+F33</f>
        <v>0</v>
      </c>
      <c r="H35" s="71">
        <f>H34+H33</f>
        <v>0</v>
      </c>
      <c r="J35" s="71">
        <f>J34+J33</f>
        <v>0</v>
      </c>
      <c r="AC35" s="71">
        <v>0</v>
      </c>
    </row>
    <row r="36" spans="1:29" ht="12" customHeight="1" x14ac:dyDescent="0.25">
      <c r="A36" s="69" t="s">
        <v>1841</v>
      </c>
      <c r="F36" s="70">
        <v>0</v>
      </c>
      <c r="H36" s="70">
        <v>0</v>
      </c>
      <c r="J36" s="70">
        <v>0</v>
      </c>
      <c r="AC36" s="70">
        <v>0</v>
      </c>
    </row>
    <row r="37" spans="1:29" ht="12" customHeight="1" x14ac:dyDescent="0.25">
      <c r="A37" s="69" t="s">
        <v>1842</v>
      </c>
      <c r="F37" s="70">
        <v>0</v>
      </c>
      <c r="H37" s="70">
        <v>0</v>
      </c>
      <c r="J37" s="70">
        <v>0</v>
      </c>
      <c r="AC37" s="70">
        <v>0</v>
      </c>
    </row>
    <row r="38" spans="1:29" ht="12" customHeight="1" x14ac:dyDescent="0.25">
      <c r="A38" s="69" t="s">
        <v>1843</v>
      </c>
      <c r="F38" s="70">
        <v>0</v>
      </c>
      <c r="H38" s="70">
        <v>0</v>
      </c>
      <c r="J38" s="70">
        <v>0</v>
      </c>
      <c r="AC38" s="70">
        <v>0</v>
      </c>
    </row>
    <row r="39" spans="1:29" ht="12" customHeight="1" x14ac:dyDescent="0.25">
      <c r="A39" s="69" t="s">
        <v>1844</v>
      </c>
      <c r="F39" s="70">
        <v>0</v>
      </c>
      <c r="H39" s="70">
        <v>0</v>
      </c>
      <c r="J39" s="70">
        <v>0</v>
      </c>
      <c r="AC39" s="70">
        <v>0</v>
      </c>
    </row>
    <row r="40" spans="1:29" ht="12" customHeight="1" x14ac:dyDescent="0.25">
      <c r="A40" s="69" t="s">
        <v>1845</v>
      </c>
      <c r="F40" s="70">
        <v>0</v>
      </c>
      <c r="H40" s="70">
        <v>0</v>
      </c>
      <c r="J40" s="70">
        <v>0</v>
      </c>
      <c r="AC40" s="70">
        <v>0</v>
      </c>
    </row>
    <row r="41" spans="1:29" ht="12" customHeight="1" x14ac:dyDescent="0.25">
      <c r="A41" s="69" t="s">
        <v>1846</v>
      </c>
      <c r="AC41" s="66"/>
    </row>
    <row r="42" spans="1:29" ht="12" customHeight="1" x14ac:dyDescent="0.25">
      <c r="A42" s="68" t="s">
        <v>1847</v>
      </c>
      <c r="B42" s="732"/>
      <c r="C42" s="733"/>
      <c r="D42" s="734"/>
      <c r="F42" s="70">
        <v>0</v>
      </c>
      <c r="H42" s="70">
        <v>0</v>
      </c>
      <c r="J42" s="70">
        <v>0</v>
      </c>
      <c r="AC42" s="70">
        <v>0</v>
      </c>
    </row>
    <row r="43" spans="1:29" ht="12" customHeight="1" x14ac:dyDescent="0.25">
      <c r="A43" s="68" t="s">
        <v>1848</v>
      </c>
      <c r="B43" s="732"/>
      <c r="C43" s="733"/>
      <c r="D43" s="734"/>
      <c r="F43" s="70">
        <v>0</v>
      </c>
      <c r="H43" s="70">
        <v>0</v>
      </c>
      <c r="J43" s="70">
        <v>0</v>
      </c>
      <c r="AC43" s="70">
        <v>0</v>
      </c>
    </row>
    <row r="44" spans="1:29" ht="12" customHeight="1" x14ac:dyDescent="0.25">
      <c r="A44" s="68" t="s">
        <v>1849</v>
      </c>
      <c r="B44" s="732"/>
      <c r="C44" s="733"/>
      <c r="D44" s="734"/>
      <c r="F44" s="70">
        <v>0</v>
      </c>
      <c r="H44" s="70">
        <v>0</v>
      </c>
      <c r="J44" s="70">
        <v>0</v>
      </c>
      <c r="AC44" s="70">
        <v>0</v>
      </c>
    </row>
    <row r="45" spans="1:29" ht="12" customHeight="1" x14ac:dyDescent="0.25">
      <c r="A45" s="68" t="s">
        <v>1850</v>
      </c>
      <c r="B45" s="732"/>
      <c r="C45" s="733"/>
      <c r="D45" s="734"/>
      <c r="F45" s="70">
        <v>0</v>
      </c>
      <c r="H45" s="70">
        <v>0</v>
      </c>
      <c r="J45" s="70">
        <v>0</v>
      </c>
      <c r="AC45" s="70">
        <v>0</v>
      </c>
    </row>
    <row r="46" spans="1:29" ht="12" customHeight="1" x14ac:dyDescent="0.25">
      <c r="A46" s="68" t="s">
        <v>1851</v>
      </c>
      <c r="B46" s="732" t="s">
        <v>1852</v>
      </c>
      <c r="C46" s="733"/>
      <c r="D46" s="734"/>
      <c r="F46" s="70">
        <v>0</v>
      </c>
      <c r="H46" s="70">
        <v>0</v>
      </c>
      <c r="J46" s="70">
        <v>0</v>
      </c>
      <c r="AC46" s="70">
        <v>0</v>
      </c>
    </row>
    <row r="47" spans="1:29" ht="12" customHeight="1" x14ac:dyDescent="0.25">
      <c r="A47" s="68" t="s">
        <v>1853</v>
      </c>
      <c r="B47" s="732"/>
      <c r="C47" s="733"/>
      <c r="D47" s="734"/>
      <c r="F47" s="70">
        <v>0</v>
      </c>
      <c r="H47" s="70">
        <v>0</v>
      </c>
      <c r="J47" s="70">
        <v>0</v>
      </c>
      <c r="AC47" s="70">
        <v>0</v>
      </c>
    </row>
    <row r="48" spans="1:29" ht="12" customHeight="1" x14ac:dyDescent="0.25">
      <c r="A48" s="68" t="s">
        <v>1854</v>
      </c>
      <c r="F48" s="71">
        <f>SUM(F42:F47)</f>
        <v>0</v>
      </c>
      <c r="H48" s="71">
        <f>SUM(H42:H47)</f>
        <v>0</v>
      </c>
      <c r="J48" s="71">
        <f>SUM(J42:J47)</f>
        <v>0</v>
      </c>
      <c r="AC48" s="71">
        <v>0</v>
      </c>
    </row>
    <row r="49" spans="1:29" ht="12" customHeight="1" x14ac:dyDescent="0.25">
      <c r="A49" s="132" t="s">
        <v>1855</v>
      </c>
      <c r="F49" s="71">
        <f>SUM(F24:F31,F35,F36:F40,F48)</f>
        <v>0</v>
      </c>
      <c r="H49" s="71">
        <f>SUM(H24:H31,H35,H36:H40,H48)</f>
        <v>0</v>
      </c>
      <c r="J49" s="71">
        <f>SUM(J24:J31,J35,J36:J40,J48)</f>
        <v>0</v>
      </c>
      <c r="AC49" s="71">
        <v>0</v>
      </c>
    </row>
    <row r="50" spans="1:29" ht="12" customHeight="1" x14ac:dyDescent="0.25">
      <c r="A50" s="69" t="str">
        <f>VLOOKUP(AA50,FormTypeLabels[],2,FALSE)</f>
        <v>26 NET INVESTMENT INCOME (LOSS)</v>
      </c>
      <c r="F50" s="71">
        <f>F18-F49</f>
        <v>0</v>
      </c>
      <c r="H50" s="71">
        <f>H18-H49</f>
        <v>0</v>
      </c>
      <c r="J50" s="71">
        <f>J18-J49</f>
        <v>0</v>
      </c>
      <c r="AA50" s="55" t="s">
        <v>400</v>
      </c>
      <c r="AC50" s="71">
        <v>0</v>
      </c>
    </row>
    <row r="51" spans="1:29" ht="12" customHeight="1" x14ac:dyDescent="0.25">
      <c r="A51" s="69" t="str">
        <f>VLOOKUP(AA51,FormTypeLabels[],2,FALSE)</f>
        <v>27 NET REALIZED GAIN (LOSS) ON INVESTMENTS (1)</v>
      </c>
      <c r="E51" s="133" t="s">
        <v>1734</v>
      </c>
      <c r="F51" s="71">
        <f>S2RG!H6</f>
        <v>0</v>
      </c>
      <c r="H51" s="71">
        <f>S2RG!$H$7</f>
        <v>0</v>
      </c>
      <c r="J51" s="70">
        <v>0</v>
      </c>
      <c r="AA51" s="55" t="s">
        <v>407</v>
      </c>
      <c r="AC51" s="70">
        <v>0</v>
      </c>
    </row>
    <row r="52" spans="1:29" ht="12" customHeight="1" x14ac:dyDescent="0.25">
      <c r="A52" s="69" t="str">
        <f>VLOOKUP(AA52,FormTypeLabels[],2,FALSE)</f>
        <v/>
      </c>
      <c r="F52" s="129" t="str">
        <f>IF(formtype="P","",F50+F51)</f>
        <v/>
      </c>
      <c r="G52" s="55"/>
      <c r="H52" s="129" t="str">
        <f>IF(formtype="P","",H50+H51)</f>
        <v/>
      </c>
      <c r="I52" s="55"/>
      <c r="J52" s="129" t="str">
        <f>IF(formtype="P","",J50+J51)</f>
        <v/>
      </c>
      <c r="AA52" s="55" t="s">
        <v>416</v>
      </c>
      <c r="AC52" s="129" t="s">
        <v>1856</v>
      </c>
    </row>
    <row r="53" spans="1:29" ht="12" customHeight="1" x14ac:dyDescent="0.25">
      <c r="A53" s="69" t="str">
        <f>VLOOKUP(AA53,FormTypeLabels[],2,FALSE)</f>
        <v/>
      </c>
      <c r="F53" s="55"/>
      <c r="G53" s="55"/>
      <c r="H53" s="55"/>
      <c r="I53" s="55"/>
      <c r="J53" s="55"/>
      <c r="AA53" s="55" t="s">
        <v>424</v>
      </c>
    </row>
    <row r="54" spans="1:29" ht="12" customHeight="1" x14ac:dyDescent="0.25">
      <c r="A54" s="69" t="str">
        <f>VLOOKUP(AA54,FormTypeLabels[],2,FALSE)</f>
        <v xml:space="preserve">28 NET INCOME (LOSS) BEFORE NONRECURRING ITEMS </v>
      </c>
      <c r="F54" s="71">
        <f>IF(formtype="P",F50+F51,F52-F53)</f>
        <v>0</v>
      </c>
      <c r="H54" s="71">
        <f>IF(formtype="P",H50+H51,H52-H53)</f>
        <v>0</v>
      </c>
      <c r="J54" s="71">
        <f>IF(formtype="P",J50+J51,J52-J53)</f>
        <v>0</v>
      </c>
      <c r="AA54" s="55" t="s">
        <v>432</v>
      </c>
      <c r="AC54" s="71">
        <v>0</v>
      </c>
    </row>
    <row r="55" spans="1:29" ht="12" customHeight="1" x14ac:dyDescent="0.25">
      <c r="A55" s="69" t="s">
        <v>1857</v>
      </c>
      <c r="B55" s="737"/>
      <c r="C55" s="738"/>
      <c r="D55" s="739"/>
      <c r="F55" s="70">
        <v>0</v>
      </c>
      <c r="H55" s="70">
        <v>0</v>
      </c>
      <c r="J55" s="70">
        <v>0</v>
      </c>
      <c r="AC55" s="70">
        <v>0</v>
      </c>
    </row>
    <row r="56" spans="1:29" ht="12" customHeight="1" x14ac:dyDescent="0.25">
      <c r="A56" s="69" t="s">
        <v>1858</v>
      </c>
      <c r="F56" s="70">
        <v>0</v>
      </c>
      <c r="H56" s="70">
        <v>0</v>
      </c>
      <c r="J56" s="70">
        <v>0</v>
      </c>
      <c r="AC56" s="70">
        <v>0</v>
      </c>
    </row>
    <row r="57" spans="1:29" ht="12" customHeight="1" x14ac:dyDescent="0.25">
      <c r="A57" s="69"/>
      <c r="AC57" s="66"/>
    </row>
    <row r="58" spans="1:29" ht="12" customHeight="1" x14ac:dyDescent="0.25">
      <c r="A58" s="55" t="s">
        <v>1859</v>
      </c>
      <c r="F58" s="71">
        <f>F54+F55+F56</f>
        <v>0</v>
      </c>
      <c r="H58" s="71">
        <f>H54+H55+H56</f>
        <v>0</v>
      </c>
      <c r="J58" s="71">
        <f>J54+J55+J56</f>
        <v>0</v>
      </c>
      <c r="AC58" s="71">
        <v>0</v>
      </c>
    </row>
    <row r="59" spans="1:29" ht="12" customHeight="1" x14ac:dyDescent="0.25">
      <c r="F59" s="55"/>
      <c r="G59" s="55"/>
      <c r="H59" s="55"/>
      <c r="I59" s="55"/>
      <c r="J59" s="55"/>
    </row>
    <row r="60" spans="1:29" ht="12" customHeight="1" x14ac:dyDescent="0.25">
      <c r="A60" s="55" t="s">
        <v>1860</v>
      </c>
      <c r="AC60" s="66"/>
    </row>
    <row r="61" spans="1:29" ht="12" customHeight="1" x14ac:dyDescent="0.25">
      <c r="AC61" s="66"/>
    </row>
  </sheetData>
  <mergeCells count="14">
    <mergeCell ref="H5:H6"/>
    <mergeCell ref="J5:J6"/>
    <mergeCell ref="AC5:AC6"/>
    <mergeCell ref="B55:D55"/>
    <mergeCell ref="B42:D42"/>
    <mergeCell ref="B43:D43"/>
    <mergeCell ref="B44:D44"/>
    <mergeCell ref="B45:D45"/>
    <mergeCell ref="C1:G1"/>
    <mergeCell ref="C2:F2"/>
    <mergeCell ref="C3:G3"/>
    <mergeCell ref="B46:D46"/>
    <mergeCell ref="B47:D47"/>
    <mergeCell ref="F5:F6"/>
  </mergeCells>
  <phoneticPr fontId="2" type="noConversion"/>
  <conditionalFormatting sqref="B52:Z53 AB52:AB53 AD52:XFD53">
    <cfRule type="expression" dxfId="276" priority="9">
      <formula>formtype="P"</formula>
    </cfRule>
  </conditionalFormatting>
  <conditionalFormatting sqref="F52 H52 J52">
    <cfRule type="expression" dxfId="275" priority="13">
      <formula>formtype="C"</formula>
    </cfRule>
  </conditionalFormatting>
  <conditionalFormatting sqref="F53 H53 J53">
    <cfRule type="expression" dxfId="274" priority="12">
      <formula>formtype="C"</formula>
    </cfRule>
  </conditionalFormatting>
  <conditionalFormatting sqref="A7:A60">
    <cfRule type="expression" dxfId="273" priority="8">
      <formula>AND(AA7&lt;&gt;"",formtype="C",cdiff="X")</formula>
    </cfRule>
  </conditionalFormatting>
  <conditionalFormatting sqref="AC52:AC53">
    <cfRule type="expression" dxfId="272" priority="4">
      <formula>formtype="P"</formula>
    </cfRule>
  </conditionalFormatting>
  <conditionalFormatting sqref="AC52">
    <cfRule type="expression" dxfId="271" priority="3">
      <formula>formtype="C"</formula>
    </cfRule>
  </conditionalFormatting>
  <conditionalFormatting sqref="AC53">
    <cfRule type="expression" dxfId="270" priority="2">
      <formula>formtype="C"</formula>
    </cfRule>
  </conditionalFormatting>
  <conditionalFormatting sqref="E51">
    <cfRule type="expression" dxfId="269" priority="1">
      <formula>AND(AE51&lt;&gt;"",formtype="C",cdiff="X")</formula>
    </cfRule>
  </conditionalFormatting>
  <dataValidations count="1">
    <dataValidation allowBlank="1" showInputMessage="1" showErrorMessage="1" prompt="Derived from Schedule of Realized Gains" sqref="E51" xr:uid="{AAE1A986-76EF-4DD6-8663-31025AE889F1}"/>
  </dataValidations>
  <hyperlinks>
    <hyperlink ref="E51" location="S2RG!A1" display="*" xr:uid="{0C325189-9032-4B99-B0BD-181F194A4D41}"/>
  </hyperlinks>
  <pageMargins left="0.5" right="0.25" top="0.5" bottom="0.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207E9-F115-46BD-B7BC-3B8534688DDB}">
  <sheetPr codeName="Sheet10"/>
  <dimension ref="A1:FZ114"/>
  <sheetViews>
    <sheetView topLeftCell="A44" workbookViewId="0">
      <selection activeCell="G9" sqref="G9"/>
    </sheetView>
  </sheetViews>
  <sheetFormatPr defaultColWidth="8.7265625" defaultRowHeight="12" customHeight="1" outlineLevelRow="1" outlineLevelCol="1" x14ac:dyDescent="0.2"/>
  <cols>
    <col min="1" max="1" width="12.81640625" style="77" customWidth="1"/>
    <col min="2" max="2" width="0.7265625" style="77" customWidth="1"/>
    <col min="3" max="3" width="13.26953125" style="77" customWidth="1"/>
    <col min="4" max="4" width="13.54296875" style="77" customWidth="1"/>
    <col min="5" max="5" width="8.453125" style="77" customWidth="1"/>
    <col min="6" max="6" width="0.7265625" style="77" customWidth="1"/>
    <col min="7" max="7" width="13.1796875" style="85" customWidth="1"/>
    <col min="8" max="8" width="3.7265625" style="85" customWidth="1"/>
    <col min="9" max="9" width="13.1796875" style="85" customWidth="1"/>
    <col min="10" max="10" width="3.7265625" style="85" customWidth="1"/>
    <col min="11" max="11" width="13.1796875" style="85" customWidth="1"/>
    <col min="12" max="12" width="8.7265625" style="77" customWidth="1"/>
    <col min="13" max="26" width="8.7265625" style="77" hidden="1" customWidth="1" outlineLevel="1"/>
    <col min="27" max="27" width="0" style="77" hidden="1" customWidth="1" collapsed="1"/>
    <col min="28" max="28" width="1" style="77" customWidth="1"/>
    <col min="29" max="29" width="10.453125" style="77" customWidth="1"/>
    <col min="30" max="30" width="8.7265625" style="77"/>
    <col min="31" max="31" width="16" style="77" bestFit="1" customWidth="1"/>
    <col min="32" max="16384" width="8.7265625" style="77"/>
  </cols>
  <sheetData>
    <row r="1" spans="1:29" ht="12" customHeight="1" x14ac:dyDescent="0.2">
      <c r="A1" s="73"/>
      <c r="B1" s="74"/>
      <c r="C1" s="74"/>
      <c r="D1" s="740" t="s">
        <v>1861</v>
      </c>
      <c r="E1" s="740"/>
      <c r="F1" s="740"/>
      <c r="G1" s="740"/>
      <c r="H1" s="740"/>
      <c r="I1" s="135"/>
      <c r="J1" s="135"/>
      <c r="K1" s="76" t="str">
        <f>'1-Cover'!$G$1</f>
        <v>OMB Approval No. 3245-0063</v>
      </c>
    </row>
    <row r="2" spans="1:29" ht="12" customHeight="1" x14ac:dyDescent="0.2">
      <c r="A2" s="78"/>
      <c r="D2" s="741" t="str">
        <f>"FOR "&amp;Number_of_Months&amp;" MONTH PERIOD ENDED: "&amp;TEXT(Form468Date,"MM/DD/YYYY")</f>
        <v>FOR  MONTH PERIOD ENDED: 01/00/1900</v>
      </c>
      <c r="E2" s="741"/>
      <c r="F2" s="741"/>
      <c r="G2" s="741"/>
      <c r="H2" s="741"/>
      <c r="K2" s="80" t="str">
        <f>'1-Cover'!$G$2</f>
        <v>Expiration Date MM/DD/YYYY</v>
      </c>
    </row>
    <row r="3" spans="1:29" ht="12" customHeight="1" x14ac:dyDescent="0.2">
      <c r="A3" s="136"/>
      <c r="B3" s="82"/>
      <c r="C3" s="82"/>
      <c r="D3" s="742" t="s">
        <v>1726</v>
      </c>
      <c r="E3" s="742"/>
      <c r="F3" s="742"/>
      <c r="G3" s="742"/>
      <c r="H3" s="742"/>
      <c r="I3" s="138"/>
      <c r="J3" s="138"/>
      <c r="K3" s="139"/>
    </row>
    <row r="4" spans="1:29" ht="12" customHeight="1" x14ac:dyDescent="0.2">
      <c r="A4" s="121" t="str">
        <f>"Name of License:  "&amp;sbicname</f>
        <v xml:space="preserve">Name of License:  </v>
      </c>
      <c r="B4" s="122"/>
      <c r="C4" s="122">
        <f>'4-NI'!B4</f>
        <v>0</v>
      </c>
      <c r="D4" s="140"/>
      <c r="E4" s="140"/>
      <c r="F4" s="140"/>
      <c r="G4" s="140"/>
      <c r="H4" s="140"/>
      <c r="I4" s="140"/>
      <c r="J4" s="140"/>
      <c r="K4" s="123" t="str">
        <f>"License no.:  "&amp;TEXT(licenseno,"00\/00\-0000")</f>
        <v>License no.:  00/00-0000</v>
      </c>
      <c r="AC4" s="141" t="s">
        <v>1811</v>
      </c>
    </row>
    <row r="5" spans="1:29" ht="12" customHeight="1" x14ac:dyDescent="0.2">
      <c r="A5" s="77" t="s">
        <v>1862</v>
      </c>
    </row>
    <row r="6" spans="1:29" ht="40" x14ac:dyDescent="0.2">
      <c r="G6" s="152" t="s">
        <v>1863</v>
      </c>
      <c r="H6" s="152"/>
      <c r="I6" s="152" t="s">
        <v>1864</v>
      </c>
      <c r="J6" s="152"/>
      <c r="K6" s="152" t="s">
        <v>1865</v>
      </c>
      <c r="AC6" s="152" t="s">
        <v>1865</v>
      </c>
    </row>
    <row r="7" spans="1:29" ht="12" customHeight="1" x14ac:dyDescent="0.2">
      <c r="A7" s="154" t="s">
        <v>1866</v>
      </c>
      <c r="B7" s="84"/>
      <c r="G7" s="120">
        <f>Form468Date</f>
        <v>0</v>
      </c>
      <c r="H7" s="153"/>
      <c r="I7" s="120">
        <f>Form468Date</f>
        <v>0</v>
      </c>
      <c r="J7" s="153"/>
      <c r="K7" s="120">
        <f>Form468Date</f>
        <v>0</v>
      </c>
      <c r="AC7" s="120">
        <v>44561</v>
      </c>
    </row>
    <row r="8" spans="1:29" ht="12" customHeight="1" x14ac:dyDescent="0.2">
      <c r="A8" s="84" t="s">
        <v>1867</v>
      </c>
      <c r="B8" s="84"/>
      <c r="G8" s="77"/>
      <c r="H8" s="77"/>
      <c r="I8" s="77"/>
      <c r="J8" s="77"/>
      <c r="K8" s="77"/>
    </row>
    <row r="9" spans="1:29" ht="12" customHeight="1" x14ac:dyDescent="0.2">
      <c r="A9" s="100" t="s">
        <v>1868</v>
      </c>
      <c r="B9" s="100"/>
      <c r="G9" s="110"/>
      <c r="I9" s="110"/>
      <c r="K9" s="110">
        <f>I9+AC9</f>
        <v>0</v>
      </c>
      <c r="AC9" s="110"/>
    </row>
    <row r="10" spans="1:29" ht="12" customHeight="1" x14ac:dyDescent="0.2">
      <c r="A10" s="100" t="s">
        <v>1869</v>
      </c>
      <c r="B10" s="100"/>
      <c r="G10" s="110"/>
      <c r="I10" s="110"/>
      <c r="K10" s="110">
        <f t="shared" ref="K10:K15" si="0">I10+AC10</f>
        <v>0</v>
      </c>
      <c r="AC10" s="110"/>
    </row>
    <row r="11" spans="1:29" ht="12" customHeight="1" x14ac:dyDescent="0.2">
      <c r="A11" s="100" t="s">
        <v>1870</v>
      </c>
      <c r="B11" s="100"/>
      <c r="G11" s="110"/>
      <c r="I11" s="110"/>
      <c r="K11" s="110">
        <f t="shared" si="0"/>
        <v>0</v>
      </c>
      <c r="AC11" s="110"/>
    </row>
    <row r="12" spans="1:29" ht="12" customHeight="1" x14ac:dyDescent="0.2">
      <c r="A12" s="100" t="s">
        <v>1871</v>
      </c>
      <c r="B12" s="100"/>
      <c r="G12" s="110"/>
      <c r="I12" s="110"/>
      <c r="K12" s="110">
        <f t="shared" si="0"/>
        <v>0</v>
      </c>
      <c r="AC12" s="110"/>
    </row>
    <row r="13" spans="1:29" ht="12" customHeight="1" x14ac:dyDescent="0.2">
      <c r="A13" s="100" t="s">
        <v>1872</v>
      </c>
      <c r="B13" s="100"/>
      <c r="G13" s="110"/>
      <c r="I13" s="110"/>
      <c r="K13" s="110">
        <f t="shared" si="0"/>
        <v>0</v>
      </c>
      <c r="AC13" s="110"/>
    </row>
    <row r="14" spans="1:29" ht="12" customHeight="1" x14ac:dyDescent="0.2">
      <c r="A14" s="100" t="s">
        <v>1873</v>
      </c>
      <c r="B14" s="100"/>
      <c r="G14" s="110"/>
      <c r="I14" s="110"/>
      <c r="K14" s="110">
        <f t="shared" si="0"/>
        <v>0</v>
      </c>
      <c r="AC14" s="110"/>
    </row>
    <row r="15" spans="1:29" ht="12" customHeight="1" x14ac:dyDescent="0.2">
      <c r="A15" s="100" t="s">
        <v>1874</v>
      </c>
      <c r="B15" s="100"/>
      <c r="G15" s="110"/>
      <c r="I15" s="110"/>
      <c r="K15" s="110">
        <f t="shared" si="0"/>
        <v>0</v>
      </c>
      <c r="AC15" s="110"/>
    </row>
    <row r="16" spans="1:29" ht="12" customHeight="1" x14ac:dyDescent="0.2">
      <c r="A16" s="84" t="s">
        <v>1875</v>
      </c>
      <c r="B16" s="84"/>
      <c r="AC16" s="85"/>
    </row>
    <row r="17" spans="1:29" ht="12" customHeight="1" x14ac:dyDescent="0.2">
      <c r="A17" s="100" t="s">
        <v>1876</v>
      </c>
      <c r="B17" s="100"/>
      <c r="G17" s="110"/>
      <c r="I17" s="110"/>
      <c r="K17" s="110">
        <f t="shared" ref="K17:K22" si="1">I17+AC17</f>
        <v>0</v>
      </c>
      <c r="AC17" s="110"/>
    </row>
    <row r="18" spans="1:29" ht="12" customHeight="1" x14ac:dyDescent="0.2">
      <c r="A18" s="100" t="s">
        <v>1877</v>
      </c>
      <c r="B18" s="100"/>
      <c r="G18" s="110"/>
      <c r="I18" s="110"/>
      <c r="K18" s="110">
        <f t="shared" si="1"/>
        <v>0</v>
      </c>
      <c r="AC18" s="110"/>
    </row>
    <row r="19" spans="1:29" ht="12" customHeight="1" x14ac:dyDescent="0.2">
      <c r="A19" s="100" t="s">
        <v>1878</v>
      </c>
      <c r="B19" s="100"/>
      <c r="G19" s="110"/>
      <c r="I19" s="110"/>
      <c r="K19" s="110">
        <f t="shared" si="1"/>
        <v>0</v>
      </c>
      <c r="AC19" s="110"/>
    </row>
    <row r="20" spans="1:29" ht="12" customHeight="1" x14ac:dyDescent="0.2">
      <c r="A20" s="100" t="s">
        <v>1879</v>
      </c>
      <c r="B20" s="100"/>
      <c r="G20" s="110"/>
      <c r="I20" s="110"/>
      <c r="K20" s="110">
        <f t="shared" si="1"/>
        <v>0</v>
      </c>
      <c r="AC20" s="110"/>
    </row>
    <row r="21" spans="1:29" ht="12" customHeight="1" x14ac:dyDescent="0.2">
      <c r="A21" s="100" t="s">
        <v>1880</v>
      </c>
      <c r="B21" s="100"/>
      <c r="G21" s="110"/>
      <c r="I21" s="110"/>
      <c r="K21" s="110">
        <f t="shared" si="1"/>
        <v>0</v>
      </c>
      <c r="AC21" s="110"/>
    </row>
    <row r="22" spans="1:29" ht="12" customHeight="1" x14ac:dyDescent="0.2">
      <c r="A22" s="100" t="str">
        <f>VLOOKUP(AA22,FormTypeLabels[],2,FALSE)</f>
        <v>13 Other Operating Cash Disbursements</v>
      </c>
      <c r="B22" s="100"/>
      <c r="G22" s="110"/>
      <c r="I22" s="110"/>
      <c r="K22" s="110">
        <f t="shared" si="1"/>
        <v>0</v>
      </c>
      <c r="AA22" s="111" t="s">
        <v>441</v>
      </c>
      <c r="AB22" s="77" t="s">
        <v>243</v>
      </c>
      <c r="AC22" s="110"/>
    </row>
    <row r="23" spans="1:29" ht="12" customHeight="1" x14ac:dyDescent="0.2">
      <c r="A23" s="100" t="str">
        <f>VLOOKUP(AA23,FormTypeLabels[],2,FALSE)</f>
        <v/>
      </c>
      <c r="B23" s="100"/>
      <c r="G23" s="142"/>
      <c r="I23" s="142"/>
      <c r="K23" s="142"/>
      <c r="AA23" s="112" t="s">
        <v>449</v>
      </c>
      <c r="AB23" s="77" t="s">
        <v>243</v>
      </c>
      <c r="AC23" s="142"/>
    </row>
    <row r="24" spans="1:29" ht="12" customHeight="1" x14ac:dyDescent="0.2">
      <c r="A24" s="100"/>
      <c r="B24" s="100"/>
      <c r="G24" s="77"/>
      <c r="H24" s="77"/>
      <c r="I24" s="77"/>
      <c r="J24" s="77"/>
      <c r="K24" s="77"/>
    </row>
    <row r="25" spans="1:29" ht="12" customHeight="1" x14ac:dyDescent="0.2">
      <c r="A25" s="84" t="s">
        <v>1881</v>
      </c>
      <c r="B25" s="84"/>
      <c r="G25" s="157">
        <f>SUM(G9:G15)-ABS(SUM(G17:G22))</f>
        <v>0</v>
      </c>
      <c r="I25" s="114">
        <f>SUM(I9:I15)-ABS(SUM(I17:I22))</f>
        <v>0</v>
      </c>
      <c r="K25" s="114">
        <f>SUM(K9:K15)-ABS(SUM(K17:K22))</f>
        <v>0</v>
      </c>
      <c r="AC25" s="114"/>
    </row>
    <row r="26" spans="1:29" ht="12" customHeight="1" x14ac:dyDescent="0.2">
      <c r="A26" s="84"/>
      <c r="B26" s="84"/>
      <c r="G26" s="77"/>
      <c r="H26" s="77"/>
      <c r="I26" s="77"/>
      <c r="J26" s="77"/>
      <c r="K26" s="77"/>
    </row>
    <row r="27" spans="1:29" ht="12" customHeight="1" x14ac:dyDescent="0.2">
      <c r="A27" s="154" t="s">
        <v>1882</v>
      </c>
      <c r="B27" s="84"/>
      <c r="AC27" s="85"/>
    </row>
    <row r="28" spans="1:29" ht="12" customHeight="1" x14ac:dyDescent="0.2">
      <c r="A28" s="84" t="s">
        <v>1867</v>
      </c>
      <c r="B28" s="84"/>
      <c r="AC28" s="85"/>
    </row>
    <row r="29" spans="1:29" ht="12" customHeight="1" x14ac:dyDescent="0.2">
      <c r="A29" s="100" t="s">
        <v>1883</v>
      </c>
      <c r="B29" s="100"/>
      <c r="G29" s="110">
        <v>0</v>
      </c>
      <c r="I29" s="110">
        <v>0</v>
      </c>
      <c r="K29" s="110">
        <f t="shared" ref="K29:K33" si="2">I29+AC29</f>
        <v>0</v>
      </c>
      <c r="AC29" s="110"/>
    </row>
    <row r="30" spans="1:29" ht="12" customHeight="1" x14ac:dyDescent="0.2">
      <c r="A30" s="100" t="s">
        <v>1884</v>
      </c>
      <c r="B30" s="100"/>
      <c r="G30" s="110">
        <v>0</v>
      </c>
      <c r="I30" s="110">
        <v>0</v>
      </c>
      <c r="K30" s="110">
        <f t="shared" si="2"/>
        <v>0</v>
      </c>
      <c r="AC30" s="110"/>
    </row>
    <row r="31" spans="1:29" ht="12" customHeight="1" x14ac:dyDescent="0.2">
      <c r="A31" s="100" t="s">
        <v>1885</v>
      </c>
      <c r="B31" s="100"/>
      <c r="G31" s="110">
        <v>0</v>
      </c>
      <c r="I31" s="110">
        <v>0</v>
      </c>
      <c r="K31" s="110">
        <f t="shared" si="2"/>
        <v>0</v>
      </c>
      <c r="AC31" s="110"/>
    </row>
    <row r="32" spans="1:29" ht="12" customHeight="1" x14ac:dyDescent="0.2">
      <c r="A32" s="100" t="s">
        <v>1886</v>
      </c>
      <c r="B32" s="100"/>
      <c r="G32" s="110">
        <v>0</v>
      </c>
      <c r="I32" s="110">
        <v>0</v>
      </c>
      <c r="K32" s="110">
        <f t="shared" si="2"/>
        <v>0</v>
      </c>
      <c r="AC32" s="110"/>
    </row>
    <row r="33" spans="1:29" ht="12" customHeight="1" x14ac:dyDescent="0.2">
      <c r="A33" s="100" t="s">
        <v>1887</v>
      </c>
      <c r="B33" s="100"/>
      <c r="C33" s="717"/>
      <c r="D33" s="718"/>
      <c r="E33" s="719"/>
      <c r="G33" s="110">
        <v>0</v>
      </c>
      <c r="I33" s="110">
        <v>0</v>
      </c>
      <c r="K33" s="110">
        <f t="shared" si="2"/>
        <v>0</v>
      </c>
      <c r="AC33" s="110"/>
    </row>
    <row r="34" spans="1:29" ht="12" customHeight="1" x14ac:dyDescent="0.2">
      <c r="A34" s="84" t="s">
        <v>1875</v>
      </c>
      <c r="B34" s="84"/>
      <c r="AC34" s="85"/>
    </row>
    <row r="35" spans="1:29" ht="12" customHeight="1" x14ac:dyDescent="0.2">
      <c r="A35" s="100" t="s">
        <v>1888</v>
      </c>
      <c r="B35" s="100"/>
      <c r="G35" s="110">
        <v>0</v>
      </c>
      <c r="I35" s="110">
        <v>0</v>
      </c>
      <c r="K35" s="110">
        <f t="shared" ref="K35:K38" si="3">I35+AC35</f>
        <v>0</v>
      </c>
      <c r="AC35" s="110"/>
    </row>
    <row r="36" spans="1:29" ht="12" customHeight="1" x14ac:dyDescent="0.2">
      <c r="A36" s="100" t="s">
        <v>1889</v>
      </c>
      <c r="B36" s="100"/>
      <c r="G36" s="110">
        <v>0</v>
      </c>
      <c r="I36" s="110">
        <v>0</v>
      </c>
      <c r="K36" s="110">
        <f t="shared" si="3"/>
        <v>0</v>
      </c>
      <c r="AC36" s="110"/>
    </row>
    <row r="37" spans="1:29" ht="12" customHeight="1" x14ac:dyDescent="0.2">
      <c r="A37" s="100" t="s">
        <v>1890</v>
      </c>
      <c r="B37" s="100"/>
      <c r="G37" s="110">
        <v>0</v>
      </c>
      <c r="I37" s="110">
        <v>0</v>
      </c>
      <c r="K37" s="110">
        <f t="shared" si="3"/>
        <v>0</v>
      </c>
      <c r="AC37" s="110"/>
    </row>
    <row r="38" spans="1:29" ht="12" customHeight="1" x14ac:dyDescent="0.2">
      <c r="A38" s="100" t="s">
        <v>1891</v>
      </c>
      <c r="B38" s="100"/>
      <c r="C38" s="717"/>
      <c r="D38" s="718"/>
      <c r="E38" s="719"/>
      <c r="G38" s="110">
        <v>0</v>
      </c>
      <c r="I38" s="110">
        <v>0</v>
      </c>
      <c r="K38" s="110">
        <f t="shared" si="3"/>
        <v>0</v>
      </c>
      <c r="AC38" s="110"/>
    </row>
    <row r="39" spans="1:29" ht="12" customHeight="1" x14ac:dyDescent="0.2">
      <c r="A39" s="100"/>
      <c r="B39" s="100"/>
      <c r="C39" s="100"/>
      <c r="D39" s="100"/>
      <c r="E39" s="100"/>
      <c r="F39" s="100"/>
      <c r="G39" s="100"/>
      <c r="H39" s="100"/>
      <c r="I39" s="100"/>
      <c r="J39" s="100"/>
      <c r="K39" s="100"/>
      <c r="L39" s="100"/>
      <c r="M39" s="100"/>
      <c r="N39" s="100"/>
      <c r="AC39" s="100"/>
    </row>
    <row r="40" spans="1:29" ht="12" customHeight="1" x14ac:dyDescent="0.2">
      <c r="A40" s="84" t="s">
        <v>1892</v>
      </c>
      <c r="B40" s="84"/>
      <c r="G40" s="114">
        <f>SUM(G29:G33)-ABS(SUM(G35:G38))</f>
        <v>0</v>
      </c>
      <c r="H40" s="115"/>
      <c r="I40" s="114">
        <f>SUM(I29:I33)-ABS(SUM(I35:I38))</f>
        <v>0</v>
      </c>
      <c r="J40" s="115"/>
      <c r="K40" s="114">
        <f>SUM(K29:K33)-ABS(SUM(K35:K38))</f>
        <v>0</v>
      </c>
      <c r="AC40" s="114"/>
    </row>
    <row r="41" spans="1:29" ht="12" customHeight="1" x14ac:dyDescent="0.2">
      <c r="A41" s="84"/>
      <c r="B41" s="84"/>
      <c r="G41" s="77"/>
      <c r="H41" s="77"/>
      <c r="I41" s="77"/>
      <c r="J41" s="77"/>
      <c r="K41" s="77"/>
    </row>
    <row r="42" spans="1:29" ht="12" customHeight="1" x14ac:dyDescent="0.2">
      <c r="A42" s="154" t="s">
        <v>1893</v>
      </c>
      <c r="B42" s="84"/>
      <c r="AC42" s="85"/>
    </row>
    <row r="43" spans="1:29" ht="12" customHeight="1" x14ac:dyDescent="0.2">
      <c r="A43" s="84" t="s">
        <v>1867</v>
      </c>
      <c r="B43" s="84"/>
      <c r="AC43" s="85"/>
    </row>
    <row r="44" spans="1:29" ht="12" customHeight="1" x14ac:dyDescent="0.2">
      <c r="A44" s="100" t="s">
        <v>1894</v>
      </c>
      <c r="B44" s="100"/>
      <c r="G44" s="110">
        <v>0</v>
      </c>
      <c r="I44" s="110">
        <v>0</v>
      </c>
      <c r="K44" s="110">
        <f t="shared" ref="K44:K47" si="4">I44+AC44</f>
        <v>0</v>
      </c>
      <c r="AC44" s="110"/>
    </row>
    <row r="45" spans="1:29" ht="12" customHeight="1" x14ac:dyDescent="0.2">
      <c r="A45" s="100" t="s">
        <v>1895</v>
      </c>
      <c r="B45" s="100"/>
      <c r="G45" s="110">
        <v>0</v>
      </c>
      <c r="I45" s="110">
        <v>0</v>
      </c>
      <c r="K45" s="110">
        <f t="shared" si="4"/>
        <v>0</v>
      </c>
      <c r="AC45" s="110"/>
    </row>
    <row r="46" spans="1:29" ht="12" customHeight="1" x14ac:dyDescent="0.2">
      <c r="A46" s="100" t="s">
        <v>1896</v>
      </c>
      <c r="B46" s="100"/>
      <c r="F46" s="77">
        <v>0</v>
      </c>
      <c r="G46" s="110">
        <v>0</v>
      </c>
      <c r="I46" s="110">
        <v>0</v>
      </c>
      <c r="K46" s="110">
        <f t="shared" si="4"/>
        <v>0</v>
      </c>
      <c r="AC46" s="110"/>
    </row>
    <row r="47" spans="1:29" ht="12" customHeight="1" x14ac:dyDescent="0.2">
      <c r="A47" s="100" t="s">
        <v>1897</v>
      </c>
      <c r="B47" s="100"/>
      <c r="C47" s="717"/>
      <c r="D47" s="718"/>
      <c r="E47" s="719"/>
      <c r="G47" s="110">
        <v>0</v>
      </c>
      <c r="I47" s="110">
        <v>0</v>
      </c>
      <c r="K47" s="110">
        <f t="shared" si="4"/>
        <v>0</v>
      </c>
      <c r="AC47" s="110"/>
    </row>
    <row r="48" spans="1:29" ht="12" customHeight="1" x14ac:dyDescent="0.2">
      <c r="A48" s="100"/>
      <c r="G48" s="77"/>
      <c r="H48" s="77"/>
      <c r="I48" s="77"/>
      <c r="J48" s="77"/>
      <c r="K48" s="77"/>
    </row>
    <row r="49" spans="1:29" ht="12" customHeight="1" x14ac:dyDescent="0.2">
      <c r="A49" s="84" t="s">
        <v>1875</v>
      </c>
      <c r="G49" s="77"/>
      <c r="H49" s="77"/>
      <c r="I49" s="77"/>
      <c r="J49" s="77"/>
      <c r="K49" s="77"/>
    </row>
    <row r="50" spans="1:29" ht="12" customHeight="1" x14ac:dyDescent="0.2">
      <c r="A50" s="100" t="s">
        <v>1898</v>
      </c>
      <c r="B50" s="100"/>
      <c r="G50" s="110">
        <v>0</v>
      </c>
      <c r="I50" s="110">
        <v>0</v>
      </c>
      <c r="K50" s="110">
        <f t="shared" ref="K50:K55" si="5">I50+AC50</f>
        <v>0</v>
      </c>
      <c r="AC50" s="110"/>
    </row>
    <row r="51" spans="1:29" ht="12" customHeight="1" x14ac:dyDescent="0.2">
      <c r="A51" s="100" t="s">
        <v>1899</v>
      </c>
      <c r="B51" s="100"/>
      <c r="G51" s="110">
        <v>0</v>
      </c>
      <c r="I51" s="110">
        <v>0</v>
      </c>
      <c r="K51" s="110">
        <f t="shared" si="5"/>
        <v>0</v>
      </c>
      <c r="AC51" s="110"/>
    </row>
    <row r="52" spans="1:29" ht="12" customHeight="1" x14ac:dyDescent="0.2">
      <c r="A52" s="100" t="s">
        <v>1900</v>
      </c>
      <c r="B52" s="100"/>
      <c r="G52" s="110">
        <v>0</v>
      </c>
      <c r="I52" s="110">
        <v>0</v>
      </c>
      <c r="K52" s="110">
        <f t="shared" si="5"/>
        <v>0</v>
      </c>
      <c r="AC52" s="110"/>
    </row>
    <row r="53" spans="1:29" ht="12" customHeight="1" x14ac:dyDescent="0.2">
      <c r="A53" s="100" t="s">
        <v>1901</v>
      </c>
      <c r="B53" s="100"/>
      <c r="G53" s="110">
        <v>0</v>
      </c>
      <c r="I53" s="110">
        <v>0</v>
      </c>
      <c r="K53" s="110">
        <f t="shared" si="5"/>
        <v>0</v>
      </c>
      <c r="AC53" s="110"/>
    </row>
    <row r="54" spans="1:29" ht="12" customHeight="1" x14ac:dyDescent="0.2">
      <c r="A54" s="100" t="s">
        <v>1902</v>
      </c>
      <c r="B54" s="100"/>
      <c r="G54" s="110">
        <v>0</v>
      </c>
      <c r="I54" s="110">
        <v>0</v>
      </c>
      <c r="K54" s="110">
        <f t="shared" si="5"/>
        <v>0</v>
      </c>
      <c r="AC54" s="110"/>
    </row>
    <row r="55" spans="1:29" ht="12" customHeight="1" x14ac:dyDescent="0.2">
      <c r="A55" s="100" t="s">
        <v>1903</v>
      </c>
      <c r="B55" s="100"/>
      <c r="C55" s="717"/>
      <c r="D55" s="718"/>
      <c r="E55" s="719"/>
      <c r="G55" s="110">
        <v>0</v>
      </c>
      <c r="I55" s="110">
        <v>0</v>
      </c>
      <c r="K55" s="110">
        <f t="shared" si="5"/>
        <v>0</v>
      </c>
      <c r="AC55" s="110"/>
    </row>
    <row r="56" spans="1:29" ht="12" customHeight="1" x14ac:dyDescent="0.2">
      <c r="A56" s="102"/>
      <c r="B56" s="100"/>
      <c r="G56" s="77"/>
      <c r="H56" s="77"/>
      <c r="I56" s="77"/>
      <c r="J56" s="77"/>
      <c r="K56" s="77"/>
    </row>
    <row r="57" spans="1:29" ht="12" customHeight="1" x14ac:dyDescent="0.2">
      <c r="A57" s="102" t="s">
        <v>1904</v>
      </c>
      <c r="B57" s="100"/>
      <c r="G57" s="114">
        <f>SUM(G44:G47)-ABS(SUM(G50:G55))</f>
        <v>0</v>
      </c>
      <c r="H57" s="143"/>
      <c r="I57" s="114">
        <f>SUM(I44:I47)-ABS(SUM(I50:I55))</f>
        <v>0</v>
      </c>
      <c r="J57" s="143"/>
      <c r="K57" s="114">
        <f>SUM(K44:K47)-ABS(SUM(K50:K55))</f>
        <v>0</v>
      </c>
      <c r="L57" s="142"/>
      <c r="M57" s="142"/>
      <c r="N57" s="142"/>
      <c r="O57" s="142"/>
      <c r="P57" s="142"/>
      <c r="Q57" s="142"/>
      <c r="R57" s="142"/>
      <c r="S57" s="142"/>
      <c r="T57" s="142"/>
      <c r="U57" s="142"/>
      <c r="V57" s="142"/>
      <c r="W57" s="142"/>
      <c r="X57" s="142"/>
      <c r="Y57" s="142"/>
      <c r="Z57" s="142"/>
      <c r="AA57" s="142"/>
      <c r="AB57" s="142"/>
      <c r="AC57" s="114"/>
    </row>
    <row r="58" spans="1:29" ht="12" customHeight="1" x14ac:dyDescent="0.2">
      <c r="A58" s="102"/>
      <c r="B58" s="100"/>
      <c r="G58" s="77"/>
      <c r="H58" s="77"/>
      <c r="I58" s="77"/>
      <c r="J58" s="77"/>
      <c r="K58" s="77"/>
    </row>
    <row r="59" spans="1:29" ht="12" customHeight="1" x14ac:dyDescent="0.2">
      <c r="A59" s="102"/>
      <c r="B59" s="100"/>
      <c r="G59" s="77"/>
      <c r="H59" s="77"/>
      <c r="I59" s="77"/>
      <c r="J59" s="77"/>
      <c r="K59" s="77"/>
    </row>
    <row r="60" spans="1:29" ht="12" customHeight="1" x14ac:dyDescent="0.2">
      <c r="A60" s="102"/>
      <c r="B60" s="100"/>
      <c r="G60" s="77"/>
      <c r="H60" s="77"/>
      <c r="I60" s="77"/>
      <c r="J60" s="77"/>
      <c r="K60" s="77"/>
    </row>
    <row r="61" spans="1:29" ht="12" customHeight="1" x14ac:dyDescent="0.2">
      <c r="A61" s="77" t="s">
        <v>1905</v>
      </c>
      <c r="B61" s="100"/>
      <c r="G61" s="77"/>
      <c r="H61" s="77"/>
      <c r="I61" s="77"/>
      <c r="J61" s="77"/>
      <c r="K61" s="77"/>
    </row>
    <row r="62" spans="1:29" ht="40" x14ac:dyDescent="0.2">
      <c r="B62" s="84"/>
      <c r="G62" s="152" t="s">
        <v>1863</v>
      </c>
      <c r="H62" s="152"/>
      <c r="I62" s="152" t="s">
        <v>1864</v>
      </c>
      <c r="J62" s="152"/>
      <c r="K62" s="152" t="s">
        <v>1865</v>
      </c>
      <c r="AC62" s="152" t="s">
        <v>1865</v>
      </c>
    </row>
    <row r="63" spans="1:29" ht="12" customHeight="1" x14ac:dyDescent="0.2">
      <c r="G63" s="120">
        <f>Form468Date</f>
        <v>0</v>
      </c>
      <c r="H63" s="89"/>
      <c r="I63" s="120">
        <f>Form468Date</f>
        <v>0</v>
      </c>
      <c r="J63" s="89"/>
      <c r="K63" s="120">
        <f>Form468Date</f>
        <v>0</v>
      </c>
      <c r="AC63" s="120">
        <v>44561</v>
      </c>
    </row>
    <row r="64" spans="1:29" ht="12" customHeight="1" x14ac:dyDescent="0.2">
      <c r="A64" s="144" t="s">
        <v>1906</v>
      </c>
      <c r="G64" s="77"/>
      <c r="H64" s="77"/>
      <c r="I64" s="77"/>
      <c r="J64" s="77"/>
      <c r="K64" s="77"/>
    </row>
    <row r="65" spans="1:123" ht="12" customHeight="1" x14ac:dyDescent="0.2">
      <c r="A65" s="145" t="s">
        <v>1907</v>
      </c>
      <c r="B65" s="100"/>
      <c r="G65" s="114">
        <f>G57+G40+G25</f>
        <v>0</v>
      </c>
      <c r="H65" s="115"/>
      <c r="I65" s="114">
        <f>I57+I40+I25</f>
        <v>0</v>
      </c>
      <c r="J65" s="115"/>
      <c r="K65" s="114">
        <f>K57+K40+K25</f>
        <v>0</v>
      </c>
      <c r="AC65" s="114"/>
    </row>
    <row r="66" spans="1:123" ht="12" customHeight="1" x14ac:dyDescent="0.2">
      <c r="A66" s="145"/>
      <c r="B66" s="100"/>
      <c r="G66" s="115"/>
      <c r="H66" s="115"/>
      <c r="I66" s="115"/>
      <c r="J66" s="115"/>
      <c r="K66" s="115"/>
      <c r="AC66" s="115"/>
    </row>
    <row r="67" spans="1:123" s="146" customFormat="1" ht="12" customHeight="1" x14ac:dyDescent="0.2">
      <c r="A67" s="77" t="s">
        <v>1908</v>
      </c>
      <c r="B67" s="77"/>
      <c r="C67" s="77"/>
      <c r="D67" s="77"/>
      <c r="E67" s="77"/>
      <c r="F67" s="77"/>
      <c r="G67" s="110">
        <v>0</v>
      </c>
      <c r="H67" s="115"/>
      <c r="I67" s="114">
        <f>pycash+pyidle</f>
        <v>0</v>
      </c>
      <c r="J67" s="115"/>
      <c r="K67" s="158">
        <v>0</v>
      </c>
      <c r="L67" s="77"/>
      <c r="M67" s="77"/>
      <c r="N67" s="77"/>
      <c r="O67" s="77"/>
      <c r="P67" s="77"/>
      <c r="Q67" s="77"/>
      <c r="R67" s="77"/>
      <c r="S67" s="77"/>
      <c r="T67" s="77"/>
      <c r="U67" s="77"/>
      <c r="V67" s="77"/>
      <c r="W67" s="77"/>
      <c r="X67" s="77"/>
      <c r="Y67" s="77"/>
      <c r="Z67" s="77"/>
      <c r="AA67" s="77"/>
      <c r="AB67" s="77"/>
      <c r="AC67" s="158"/>
      <c r="AD67" s="77"/>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c r="DG67" s="77"/>
      <c r="DH67" s="77"/>
      <c r="DI67" s="77"/>
      <c r="DJ67" s="77"/>
      <c r="DK67" s="77"/>
      <c r="DL67" s="77"/>
      <c r="DM67" s="77"/>
      <c r="DN67" s="77"/>
      <c r="DO67" s="77"/>
      <c r="DP67" s="77"/>
      <c r="DQ67" s="77"/>
      <c r="DR67" s="77"/>
      <c r="DS67" s="77"/>
    </row>
    <row r="68" spans="1:123" s="146" customFormat="1" ht="12" customHeight="1" x14ac:dyDescent="0.2">
      <c r="A68" s="77"/>
      <c r="B68" s="77"/>
      <c r="C68" s="77"/>
      <c r="D68" s="77"/>
      <c r="E68" s="77"/>
      <c r="F68" s="77"/>
      <c r="G68" s="115"/>
      <c r="H68" s="115"/>
      <c r="I68" s="115"/>
      <c r="J68" s="115"/>
      <c r="K68" s="115"/>
      <c r="L68" s="77"/>
      <c r="M68" s="77"/>
      <c r="N68" s="77"/>
      <c r="O68" s="77"/>
      <c r="P68" s="77"/>
      <c r="Q68" s="77"/>
      <c r="R68" s="77"/>
      <c r="S68" s="77"/>
      <c r="T68" s="77"/>
      <c r="U68" s="77"/>
      <c r="V68" s="77"/>
      <c r="W68" s="77"/>
      <c r="X68" s="77"/>
      <c r="Y68" s="77"/>
      <c r="Z68" s="77"/>
      <c r="AA68" s="77"/>
      <c r="AB68" s="77"/>
      <c r="AC68" s="115"/>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7"/>
      <c r="DJ68" s="77"/>
      <c r="DK68" s="77"/>
      <c r="DL68" s="77"/>
      <c r="DM68" s="77"/>
      <c r="DN68" s="77"/>
      <c r="DO68" s="77"/>
      <c r="DP68" s="77"/>
      <c r="DQ68" s="77"/>
      <c r="DR68" s="77"/>
      <c r="DS68" s="77"/>
    </row>
    <row r="69" spans="1:123" s="146" customFormat="1" ht="12" customHeight="1" x14ac:dyDescent="0.2">
      <c r="A69" s="77" t="s">
        <v>1909</v>
      </c>
      <c r="B69" s="77"/>
      <c r="C69" s="77"/>
      <c r="D69" s="77"/>
      <c r="E69" s="77"/>
      <c r="F69" s="77"/>
      <c r="G69" s="114">
        <f>G65+G67</f>
        <v>0</v>
      </c>
      <c r="H69" s="85"/>
      <c r="I69" s="114">
        <f>I65+I67</f>
        <v>0</v>
      </c>
      <c r="J69" s="85"/>
      <c r="K69" s="114">
        <f>K65+K67</f>
        <v>0</v>
      </c>
      <c r="L69" s="77"/>
      <c r="M69" s="77"/>
      <c r="N69" s="77"/>
      <c r="O69" s="77"/>
      <c r="P69" s="77"/>
      <c r="Q69" s="77"/>
      <c r="R69" s="77"/>
      <c r="S69" s="77"/>
      <c r="T69" s="77"/>
      <c r="U69" s="77"/>
      <c r="V69" s="77"/>
      <c r="W69" s="77"/>
      <c r="X69" s="77"/>
      <c r="Y69" s="77"/>
      <c r="Z69" s="77"/>
      <c r="AA69" s="77"/>
      <c r="AB69" s="77"/>
      <c r="AC69" s="114"/>
      <c r="AD69" s="77"/>
      <c r="AE69" s="77"/>
      <c r="AF69" s="77"/>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row>
    <row r="70" spans="1:123" s="146" customFormat="1" ht="12" customHeight="1" outlineLevel="1" x14ac:dyDescent="0.2">
      <c r="A70" s="77"/>
      <c r="B70" s="77"/>
      <c r="C70" s="77"/>
      <c r="D70" s="77"/>
      <c r="E70" s="147" t="s">
        <v>1910</v>
      </c>
      <c r="F70" s="77"/>
      <c r="G70" s="148">
        <f>cycash+cyidle</f>
        <v>0</v>
      </c>
      <c r="H70" s="148"/>
      <c r="I70" s="148">
        <f>G70</f>
        <v>0</v>
      </c>
      <c r="J70" s="85"/>
      <c r="K70" s="85">
        <f>I70</f>
        <v>0</v>
      </c>
      <c r="L70" s="85"/>
      <c r="M70" s="77"/>
      <c r="N70" s="77"/>
      <c r="O70" s="77"/>
      <c r="P70" s="77"/>
      <c r="Q70" s="77"/>
      <c r="R70" s="77"/>
      <c r="S70" s="77"/>
      <c r="T70" s="77"/>
      <c r="U70" s="77"/>
      <c r="V70" s="77"/>
      <c r="W70" s="77"/>
      <c r="X70" s="77"/>
      <c r="Y70" s="77"/>
      <c r="Z70" s="77"/>
      <c r="AA70" s="77"/>
      <c r="AB70" s="77"/>
      <c r="AC70" s="85"/>
      <c r="AD70" s="77"/>
      <c r="AE70" s="77"/>
      <c r="AF70" s="77"/>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7"/>
      <c r="DJ70" s="77"/>
      <c r="DK70" s="77"/>
      <c r="DL70" s="77"/>
      <c r="DM70" s="77"/>
      <c r="DN70" s="77"/>
      <c r="DO70" s="77"/>
      <c r="DP70" s="77"/>
      <c r="DQ70" s="77"/>
      <c r="DR70" s="77"/>
      <c r="DS70" s="77"/>
    </row>
    <row r="71" spans="1:123" s="146" customFormat="1" ht="12" customHeight="1" x14ac:dyDescent="0.2">
      <c r="A71" s="77"/>
      <c r="B71" s="77"/>
      <c r="C71" s="77"/>
      <c r="D71" s="77"/>
      <c r="E71" s="77"/>
      <c r="F71" s="77"/>
      <c r="G71" s="115"/>
      <c r="H71" s="77"/>
      <c r="I71" s="77"/>
      <c r="J71" s="77"/>
      <c r="K71" s="115"/>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c r="CW71" s="77"/>
      <c r="CX71" s="77"/>
      <c r="CY71" s="77"/>
      <c r="CZ71" s="77"/>
      <c r="DA71" s="77"/>
      <c r="DB71" s="77"/>
      <c r="DC71" s="77"/>
      <c r="DD71" s="77"/>
      <c r="DE71" s="77"/>
      <c r="DF71" s="77"/>
      <c r="DG71" s="77"/>
      <c r="DH71" s="77"/>
      <c r="DI71" s="77"/>
      <c r="DJ71" s="77"/>
      <c r="DK71" s="77"/>
      <c r="DL71" s="77"/>
      <c r="DM71" s="77"/>
      <c r="DN71" s="77"/>
      <c r="DO71" s="77"/>
      <c r="DP71" s="77"/>
      <c r="DQ71" s="77"/>
      <c r="DR71" s="77"/>
      <c r="DS71" s="77"/>
    </row>
    <row r="72" spans="1:123" s="146" customFormat="1" ht="12" customHeight="1" x14ac:dyDescent="0.2">
      <c r="A72" s="154" t="s">
        <v>1911</v>
      </c>
      <c r="B72" s="84"/>
      <c r="C72" s="77"/>
      <c r="D72" s="77"/>
      <c r="E72" s="77"/>
      <c r="F72" s="77"/>
      <c r="G72" s="149"/>
      <c r="H72" s="85"/>
      <c r="I72" s="85"/>
      <c r="J72" s="85"/>
      <c r="K72" s="85"/>
      <c r="L72" s="77"/>
      <c r="M72" s="77"/>
      <c r="N72" s="77"/>
      <c r="O72" s="77"/>
      <c r="P72" s="77"/>
      <c r="Q72" s="77"/>
      <c r="R72" s="77"/>
      <c r="S72" s="77"/>
      <c r="T72" s="77"/>
      <c r="U72" s="77"/>
      <c r="V72" s="77"/>
      <c r="W72" s="77"/>
      <c r="X72" s="77"/>
      <c r="Y72" s="77"/>
      <c r="Z72" s="77"/>
      <c r="AA72" s="77"/>
      <c r="AB72" s="77"/>
      <c r="AC72" s="85"/>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c r="DG72" s="77"/>
      <c r="DH72" s="77"/>
      <c r="DI72" s="77"/>
      <c r="DJ72" s="77"/>
      <c r="DK72" s="77"/>
      <c r="DL72" s="77"/>
      <c r="DM72" s="77"/>
      <c r="DN72" s="77"/>
      <c r="DO72" s="77"/>
      <c r="DP72" s="77"/>
      <c r="DQ72" s="77"/>
      <c r="DR72" s="77"/>
      <c r="DS72" s="77"/>
    </row>
    <row r="73" spans="1:123" s="146" customFormat="1" ht="12" customHeight="1" x14ac:dyDescent="0.2">
      <c r="A73" s="102" t="s">
        <v>1912</v>
      </c>
      <c r="B73" s="91"/>
      <c r="C73" s="77"/>
      <c r="D73" s="77"/>
      <c r="E73" s="77"/>
      <c r="F73" s="77"/>
      <c r="G73" s="114">
        <f>'4-NI'!F58</f>
        <v>0</v>
      </c>
      <c r="H73" s="85"/>
      <c r="I73" s="114">
        <f>'4-NI'!H58</f>
        <v>0</v>
      </c>
      <c r="J73" s="85"/>
      <c r="K73" s="157">
        <f>'4-NI'!J58</f>
        <v>0</v>
      </c>
      <c r="L73" s="77"/>
      <c r="M73" s="77"/>
      <c r="N73" s="77"/>
      <c r="O73" s="77"/>
      <c r="P73" s="77"/>
      <c r="Q73" s="77"/>
      <c r="R73" s="77"/>
      <c r="S73" s="77"/>
      <c r="T73" s="77"/>
      <c r="U73" s="77"/>
      <c r="V73" s="77"/>
      <c r="W73" s="77"/>
      <c r="X73" s="77"/>
      <c r="Y73" s="77"/>
      <c r="Z73" s="77"/>
      <c r="AA73" s="77"/>
      <c r="AB73" s="77"/>
      <c r="AC73" s="114"/>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77"/>
      <c r="CT73" s="77"/>
      <c r="CU73" s="77"/>
      <c r="CV73" s="77"/>
      <c r="CW73" s="77"/>
      <c r="CX73" s="77"/>
      <c r="CY73" s="77"/>
      <c r="CZ73" s="77"/>
      <c r="DA73" s="77"/>
      <c r="DB73" s="77"/>
      <c r="DC73" s="77"/>
      <c r="DD73" s="77"/>
      <c r="DE73" s="77"/>
      <c r="DF73" s="77"/>
      <c r="DG73" s="77"/>
      <c r="DH73" s="77"/>
      <c r="DI73" s="77"/>
      <c r="DJ73" s="77"/>
      <c r="DK73" s="77"/>
      <c r="DL73" s="77"/>
      <c r="DM73" s="77"/>
      <c r="DN73" s="77"/>
      <c r="DO73" s="77"/>
      <c r="DP73" s="77"/>
      <c r="DQ73" s="77"/>
      <c r="DR73" s="77"/>
      <c r="DS73" s="77"/>
    </row>
    <row r="74" spans="1:123" s="146" customFormat="1" ht="12" customHeight="1" x14ac:dyDescent="0.2">
      <c r="A74" s="91"/>
      <c r="B74" s="91"/>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77"/>
      <c r="CY74" s="77"/>
      <c r="CZ74" s="77"/>
      <c r="DA74" s="77"/>
      <c r="DB74" s="77"/>
      <c r="DC74" s="77"/>
      <c r="DD74" s="77"/>
      <c r="DE74" s="77"/>
      <c r="DF74" s="77"/>
      <c r="DG74" s="77"/>
      <c r="DH74" s="77"/>
      <c r="DI74" s="77"/>
      <c r="DJ74" s="77"/>
      <c r="DK74" s="77"/>
      <c r="DL74" s="77"/>
      <c r="DM74" s="77"/>
      <c r="DN74" s="77"/>
      <c r="DO74" s="77"/>
      <c r="DP74" s="77"/>
      <c r="DQ74" s="77"/>
      <c r="DR74" s="77"/>
      <c r="DS74" s="77"/>
    </row>
    <row r="75" spans="1:123" s="146" customFormat="1" ht="12" customHeight="1" x14ac:dyDescent="0.2">
      <c r="A75" s="102" t="s">
        <v>1913</v>
      </c>
      <c r="B75" s="91"/>
      <c r="C75" s="77"/>
      <c r="D75" s="77"/>
      <c r="E75" s="77"/>
      <c r="F75" s="77"/>
      <c r="G75" s="149"/>
      <c r="H75" s="85"/>
      <c r="I75" s="115"/>
      <c r="J75" s="85"/>
      <c r="K75" s="85"/>
      <c r="L75" s="77"/>
      <c r="M75" s="77"/>
      <c r="N75" s="77"/>
      <c r="O75" s="77"/>
      <c r="P75" s="77"/>
      <c r="Q75" s="77"/>
      <c r="R75" s="77"/>
      <c r="S75" s="77"/>
      <c r="T75" s="77"/>
      <c r="U75" s="77"/>
      <c r="V75" s="77"/>
      <c r="W75" s="77"/>
      <c r="X75" s="77"/>
      <c r="Y75" s="77"/>
      <c r="Z75" s="77"/>
      <c r="AA75" s="77"/>
      <c r="AB75" s="77"/>
      <c r="AC75" s="85"/>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7"/>
      <c r="BU75" s="77"/>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c r="DG75" s="77"/>
      <c r="DH75" s="77"/>
      <c r="DI75" s="77"/>
      <c r="DJ75" s="77"/>
      <c r="DK75" s="77"/>
      <c r="DL75" s="77"/>
      <c r="DM75" s="77"/>
      <c r="DN75" s="77"/>
      <c r="DO75" s="77"/>
      <c r="DP75" s="77"/>
      <c r="DQ75" s="77"/>
      <c r="DR75" s="77"/>
      <c r="DS75" s="77"/>
    </row>
    <row r="76" spans="1:123" ht="12" customHeight="1" x14ac:dyDescent="0.2">
      <c r="A76" s="100" t="s">
        <v>1914</v>
      </c>
      <c r="B76" s="100"/>
      <c r="G76" s="114">
        <f>'4-NI'!F35</f>
        <v>0</v>
      </c>
      <c r="I76" s="114">
        <f>'4-NI'!H35</f>
        <v>0</v>
      </c>
      <c r="K76" s="114">
        <f>'4-NI'!J35</f>
        <v>0</v>
      </c>
      <c r="AC76" s="114"/>
    </row>
    <row r="77" spans="1:123" ht="12" customHeight="1" x14ac:dyDescent="0.2">
      <c r="A77" s="100" t="s">
        <v>1915</v>
      </c>
      <c r="B77" s="100"/>
      <c r="G77" s="114">
        <f>'4-NI'!F38</f>
        <v>0</v>
      </c>
      <c r="I77" s="114">
        <f>'4-NI'!H38</f>
        <v>0</v>
      </c>
      <c r="K77" s="157">
        <f>'4-NI'!J38</f>
        <v>0</v>
      </c>
      <c r="AC77" s="157"/>
    </row>
    <row r="78" spans="1:123" ht="12" customHeight="1" x14ac:dyDescent="0.2">
      <c r="A78" s="100" t="s">
        <v>1916</v>
      </c>
      <c r="B78" s="100"/>
      <c r="G78" s="114">
        <f>-'4-NI'!F51</f>
        <v>0</v>
      </c>
      <c r="I78" s="114">
        <f>-'4-NI'!H51</f>
        <v>0</v>
      </c>
      <c r="K78" s="157">
        <f>-'4-NI'!J51</f>
        <v>0</v>
      </c>
      <c r="AC78" s="157"/>
    </row>
    <row r="79" spans="1:123" ht="12" customHeight="1" x14ac:dyDescent="0.2">
      <c r="A79" s="100" t="s">
        <v>1917</v>
      </c>
      <c r="B79" s="100"/>
      <c r="AC79" s="85"/>
    </row>
    <row r="80" spans="1:123" ht="12" customHeight="1" x14ac:dyDescent="0.2">
      <c r="A80" s="150" t="s">
        <v>1918</v>
      </c>
      <c r="B80" s="150"/>
      <c r="C80" s="717"/>
      <c r="D80" s="718"/>
      <c r="E80" s="719"/>
      <c r="G80" s="110">
        <v>0</v>
      </c>
      <c r="I80" s="110">
        <v>0</v>
      </c>
      <c r="K80" s="110">
        <f t="shared" ref="K80:K82" si="6">I80+AC80</f>
        <v>0</v>
      </c>
      <c r="AC80" s="110"/>
    </row>
    <row r="81" spans="1:182" ht="12" customHeight="1" x14ac:dyDescent="0.2">
      <c r="A81" s="150" t="s">
        <v>1919</v>
      </c>
      <c r="B81" s="150"/>
      <c r="C81" s="717"/>
      <c r="D81" s="718"/>
      <c r="E81" s="719"/>
      <c r="G81" s="110">
        <v>0</v>
      </c>
      <c r="I81" s="110">
        <v>0</v>
      </c>
      <c r="K81" s="110">
        <f t="shared" si="6"/>
        <v>0</v>
      </c>
      <c r="AC81" s="110"/>
    </row>
    <row r="82" spans="1:182" ht="12" customHeight="1" x14ac:dyDescent="0.2">
      <c r="A82" s="150" t="s">
        <v>1920</v>
      </c>
      <c r="B82" s="150"/>
      <c r="C82" s="717"/>
      <c r="D82" s="718"/>
      <c r="E82" s="719"/>
      <c r="G82" s="110">
        <v>0</v>
      </c>
      <c r="I82" s="110">
        <v>0</v>
      </c>
      <c r="K82" s="110">
        <f t="shared" si="6"/>
        <v>0</v>
      </c>
      <c r="AC82" s="110"/>
    </row>
    <row r="83" spans="1:182" ht="12" customHeight="1" x14ac:dyDescent="0.2">
      <c r="A83" s="150"/>
      <c r="B83" s="150"/>
      <c r="AC83" s="85"/>
    </row>
    <row r="84" spans="1:182" s="84" customFormat="1" ht="12" customHeight="1" x14ac:dyDescent="0.2">
      <c r="A84" s="84" t="s">
        <v>1921</v>
      </c>
      <c r="G84" s="85"/>
      <c r="H84" s="85"/>
      <c r="I84" s="85"/>
      <c r="J84" s="85"/>
      <c r="K84" s="85"/>
      <c r="L84" s="77"/>
      <c r="M84" s="77"/>
      <c r="N84" s="77"/>
      <c r="O84" s="77"/>
      <c r="P84" s="77"/>
      <c r="Q84" s="77"/>
      <c r="R84" s="77"/>
      <c r="S84" s="77"/>
      <c r="T84" s="77"/>
      <c r="U84" s="77"/>
      <c r="V84" s="77"/>
      <c r="W84" s="77"/>
      <c r="X84" s="77"/>
      <c r="Y84" s="77"/>
      <c r="Z84" s="77"/>
      <c r="AA84" s="77"/>
      <c r="AB84" s="77"/>
      <c r="AC84" s="85"/>
      <c r="AE84" s="84" t="s">
        <v>1922</v>
      </c>
    </row>
    <row r="85" spans="1:182" ht="12" customHeight="1" x14ac:dyDescent="0.2">
      <c r="A85" s="100" t="s">
        <v>1923</v>
      </c>
      <c r="B85" s="100"/>
      <c r="G85" s="110">
        <v>0</v>
      </c>
      <c r="I85" s="114">
        <f>pyintdivrec-cyintdivrec</f>
        <v>0</v>
      </c>
      <c r="K85" s="110">
        <f t="shared" ref="K85:K93" si="7">I85+AC85</f>
        <v>0</v>
      </c>
      <c r="AC85" s="110"/>
      <c r="AE85" s="114">
        <f>pyintdivrec-cyintdivrec</f>
        <v>0</v>
      </c>
    </row>
    <row r="86" spans="1:182" ht="12" customHeight="1" x14ac:dyDescent="0.2">
      <c r="A86" s="100" t="s">
        <v>1924</v>
      </c>
      <c r="B86" s="100"/>
      <c r="G86" s="110">
        <v>0</v>
      </c>
      <c r="I86" s="114">
        <f>SUM('2&amp;3-Bal'!$H$46:$H$51)-SUM('2&amp;3-Bal'!$F$46:$F$51)</f>
        <v>0</v>
      </c>
      <c r="K86" s="110">
        <f t="shared" si="7"/>
        <v>0</v>
      </c>
      <c r="AC86" s="110"/>
      <c r="AE86" s="114">
        <f>SUM('2&amp;3-Bal'!$H$46:$H$51)-SUM('2&amp;3-Bal'!$F$46:$F$51)</f>
        <v>0</v>
      </c>
    </row>
    <row r="87" spans="1:182" ht="12" customHeight="1" x14ac:dyDescent="0.2">
      <c r="A87" s="100" t="s">
        <v>1925</v>
      </c>
      <c r="B87" s="100"/>
      <c r="G87" s="110">
        <v>0</v>
      </c>
      <c r="I87" s="114">
        <f>cyaccountspayable-pyaccountspayable+cymgtexpaccountspayable-pymgtexpaccountspayable+cyparentexpaccountspayable-pymgtexpaccountspayable</f>
        <v>0</v>
      </c>
      <c r="K87" s="110">
        <f t="shared" si="7"/>
        <v>0</v>
      </c>
      <c r="AC87" s="110"/>
      <c r="AE87" s="114">
        <f>cyaccountspayable-pyaccountspayable+cymgtexpaccountspayable-pymgtexpaccountspayable+cyparentexpaccountspayable-pymgtexpaccountspayable</f>
        <v>0</v>
      </c>
    </row>
    <row r="88" spans="1:182" ht="12" customHeight="1" x14ac:dyDescent="0.2">
      <c r="A88" s="100" t="s">
        <v>1926</v>
      </c>
      <c r="B88" s="100"/>
      <c r="G88" s="110">
        <v>0</v>
      </c>
      <c r="I88" s="114">
        <f>cyaccruedintpay-pyaccruedintpay</f>
        <v>0</v>
      </c>
      <c r="K88" s="110">
        <f t="shared" si="7"/>
        <v>0</v>
      </c>
      <c r="AC88" s="110"/>
      <c r="AE88" s="114">
        <f>cyaccruedintpay-pyaccruedintpay</f>
        <v>0</v>
      </c>
    </row>
    <row r="89" spans="1:182" ht="12" customHeight="1" x14ac:dyDescent="0.2">
      <c r="A89" s="100" t="s">
        <v>1927</v>
      </c>
      <c r="B89" s="100"/>
      <c r="G89" s="110">
        <v>0</v>
      </c>
      <c r="I89" s="114">
        <f>cyaccruedtaxpay-pyaccruedtaxpay</f>
        <v>0</v>
      </c>
      <c r="K89" s="110">
        <f t="shared" si="7"/>
        <v>0</v>
      </c>
      <c r="AC89" s="110"/>
      <c r="AE89" s="114">
        <f>cyaccruedtaxpay-pyaccruedtaxpay</f>
        <v>0</v>
      </c>
    </row>
    <row r="90" spans="1:182" ht="12" customHeight="1" x14ac:dyDescent="0.2">
      <c r="A90" s="100" t="s">
        <v>1928</v>
      </c>
      <c r="B90" s="100"/>
      <c r="G90" s="110">
        <v>0</v>
      </c>
      <c r="I90" s="114">
        <f>cydistpay-pydistpay</f>
        <v>0</v>
      </c>
      <c r="K90" s="110">
        <f t="shared" si="7"/>
        <v>0</v>
      </c>
      <c r="AC90" s="110"/>
      <c r="AE90" s="114">
        <f>cydistpay-pydistpay</f>
        <v>0</v>
      </c>
    </row>
    <row r="91" spans="1:182" ht="12" customHeight="1" x14ac:dyDescent="0.2">
      <c r="A91" s="100" t="s">
        <v>1929</v>
      </c>
      <c r="B91" s="100"/>
      <c r="G91" s="110">
        <v>0</v>
      </c>
      <c r="I91" s="114">
        <f>SUM('2&amp;3-Bal'!$F$81:$F$83)-SUM('2&amp;3-Bal'!$H$81:$H$83)</f>
        <v>0</v>
      </c>
      <c r="K91" s="110">
        <f t="shared" si="7"/>
        <v>0</v>
      </c>
      <c r="AC91" s="110"/>
      <c r="AE91" s="114">
        <f>SUM('2&amp;3-Bal'!$F$81:$F$83)-SUM('2&amp;3-Bal'!$H$81:$H$83)</f>
        <v>0</v>
      </c>
    </row>
    <row r="92" spans="1:182" s="146" customFormat="1" ht="12" customHeight="1" x14ac:dyDescent="0.2">
      <c r="A92" s="100" t="s">
        <v>1930</v>
      </c>
      <c r="B92" s="100"/>
      <c r="C92" s="717"/>
      <c r="D92" s="718"/>
      <c r="E92" s="719"/>
      <c r="F92" s="77"/>
      <c r="G92" s="110">
        <v>0</v>
      </c>
      <c r="H92" s="85"/>
      <c r="I92" s="110">
        <v>0</v>
      </c>
      <c r="J92" s="85"/>
      <c r="K92" s="110">
        <f t="shared" si="7"/>
        <v>0</v>
      </c>
      <c r="L92" s="77"/>
      <c r="M92" s="77"/>
      <c r="N92" s="77"/>
      <c r="O92" s="77"/>
      <c r="P92" s="77"/>
      <c r="Q92" s="77"/>
      <c r="R92" s="77"/>
      <c r="S92" s="77"/>
      <c r="T92" s="77"/>
      <c r="U92" s="77"/>
      <c r="V92" s="77"/>
      <c r="W92" s="77"/>
      <c r="X92" s="77"/>
      <c r="Y92" s="77"/>
      <c r="Z92" s="77"/>
      <c r="AA92" s="77"/>
      <c r="AB92" s="77"/>
      <c r="AC92" s="110"/>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c r="BE92" s="77"/>
      <c r="BF92" s="77"/>
      <c r="BG92" s="77"/>
      <c r="BH92" s="77"/>
      <c r="BI92" s="77"/>
      <c r="BJ92" s="77"/>
      <c r="BK92" s="77"/>
      <c r="BL92" s="77"/>
      <c r="BM92" s="77"/>
      <c r="BN92" s="77"/>
      <c r="BO92" s="77"/>
      <c r="BP92" s="77"/>
      <c r="BQ92" s="77"/>
      <c r="BR92" s="77"/>
      <c r="BS92" s="77"/>
      <c r="BT92" s="77"/>
      <c r="BU92" s="77"/>
      <c r="BV92" s="77"/>
      <c r="BW92" s="77"/>
      <c r="BX92" s="77"/>
      <c r="BY92" s="77"/>
      <c r="BZ92" s="77"/>
      <c r="CA92" s="77"/>
      <c r="CB92" s="77"/>
      <c r="CC92" s="77"/>
      <c r="CD92" s="77"/>
      <c r="CE92" s="77"/>
      <c r="CF92" s="77"/>
      <c r="CG92" s="77"/>
      <c r="CH92" s="77"/>
      <c r="CI92" s="77"/>
      <c r="CJ92" s="77"/>
      <c r="CK92" s="77"/>
      <c r="CL92" s="77"/>
      <c r="CM92" s="77"/>
      <c r="CN92" s="77"/>
      <c r="CO92" s="77"/>
      <c r="CP92" s="77"/>
      <c r="CQ92" s="77"/>
      <c r="CR92" s="77"/>
      <c r="CS92" s="77"/>
      <c r="CT92" s="77"/>
      <c r="CU92" s="77"/>
      <c r="CV92" s="77"/>
      <c r="CW92" s="77"/>
      <c r="CX92" s="77"/>
      <c r="CY92" s="77"/>
      <c r="CZ92" s="77"/>
      <c r="DA92" s="77"/>
      <c r="DB92" s="77"/>
      <c r="DC92" s="77"/>
      <c r="DD92" s="77"/>
      <c r="DE92" s="77"/>
      <c r="DF92" s="77"/>
      <c r="DG92" s="77"/>
      <c r="DH92" s="77"/>
      <c r="DI92" s="77"/>
      <c r="DJ92" s="77"/>
      <c r="DK92" s="77"/>
      <c r="DL92" s="77"/>
      <c r="DM92" s="77"/>
      <c r="DN92" s="77"/>
      <c r="DO92" s="77"/>
      <c r="DP92" s="77"/>
      <c r="DQ92" s="77"/>
      <c r="DR92" s="77"/>
      <c r="DS92" s="77"/>
      <c r="DT92" s="77"/>
      <c r="DU92" s="77"/>
      <c r="DV92" s="77"/>
      <c r="DW92" s="77"/>
      <c r="DX92" s="77"/>
      <c r="DY92" s="77"/>
      <c r="DZ92" s="77"/>
      <c r="EA92" s="77"/>
      <c r="EB92" s="77"/>
      <c r="EC92" s="77"/>
      <c r="ED92" s="77"/>
      <c r="EE92" s="77"/>
      <c r="EF92" s="77"/>
      <c r="EG92" s="77"/>
      <c r="EH92" s="77"/>
      <c r="EI92" s="77"/>
      <c r="EJ92" s="77"/>
      <c r="EK92" s="77"/>
      <c r="EL92" s="77"/>
      <c r="EM92" s="77"/>
      <c r="EN92" s="77"/>
      <c r="EO92" s="77"/>
      <c r="EP92" s="77"/>
      <c r="EQ92" s="77"/>
      <c r="ER92" s="77"/>
      <c r="ES92" s="77"/>
      <c r="ET92" s="77"/>
      <c r="EU92" s="77"/>
      <c r="EV92" s="77"/>
      <c r="EW92" s="77"/>
      <c r="EX92" s="77"/>
      <c r="EY92" s="77"/>
      <c r="EZ92" s="77"/>
      <c r="FA92" s="77"/>
      <c r="FB92" s="77"/>
      <c r="FC92" s="77"/>
      <c r="FD92" s="77"/>
      <c r="FE92" s="77"/>
      <c r="FF92" s="77"/>
      <c r="FG92" s="77"/>
      <c r="FH92" s="77"/>
      <c r="FI92" s="77"/>
      <c r="FJ92" s="77"/>
      <c r="FK92" s="77"/>
      <c r="FL92" s="77"/>
      <c r="FM92" s="77"/>
      <c r="FN92" s="77"/>
      <c r="FO92" s="77"/>
      <c r="FP92" s="77"/>
      <c r="FQ92" s="77"/>
      <c r="FR92" s="77"/>
      <c r="FS92" s="77"/>
      <c r="FT92" s="77"/>
      <c r="FU92" s="77"/>
      <c r="FV92" s="77"/>
      <c r="FW92" s="77"/>
      <c r="FX92" s="77"/>
      <c r="FY92" s="77"/>
      <c r="FZ92" s="77"/>
    </row>
    <row r="93" spans="1:182" s="146" customFormat="1" ht="12" customHeight="1" x14ac:dyDescent="0.2">
      <c r="A93" s="100" t="s">
        <v>1931</v>
      </c>
      <c r="B93" s="100"/>
      <c r="C93" s="717"/>
      <c r="D93" s="718"/>
      <c r="E93" s="719"/>
      <c r="F93" s="77"/>
      <c r="G93" s="110">
        <v>0</v>
      </c>
      <c r="H93" s="85"/>
      <c r="I93" s="110">
        <v>0</v>
      </c>
      <c r="J93" s="85"/>
      <c r="K93" s="110">
        <f t="shared" si="7"/>
        <v>0</v>
      </c>
      <c r="L93" s="77"/>
      <c r="M93" s="77"/>
      <c r="N93" s="77"/>
      <c r="O93" s="77"/>
      <c r="P93" s="77"/>
      <c r="Q93" s="77"/>
      <c r="R93" s="77"/>
      <c r="S93" s="77"/>
      <c r="T93" s="77"/>
      <c r="U93" s="77"/>
      <c r="V93" s="77"/>
      <c r="W93" s="77"/>
      <c r="X93" s="77"/>
      <c r="Y93" s="77"/>
      <c r="Z93" s="77"/>
      <c r="AA93" s="77"/>
      <c r="AB93" s="77"/>
      <c r="AC93" s="110"/>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c r="BE93" s="77"/>
      <c r="BF93" s="77"/>
      <c r="BG93" s="77"/>
      <c r="BH93" s="77"/>
      <c r="BI93" s="77"/>
      <c r="BJ93" s="77"/>
      <c r="BK93" s="77"/>
      <c r="BL93" s="77"/>
      <c r="BM93" s="77"/>
      <c r="BN93" s="77"/>
      <c r="BO93" s="77"/>
      <c r="BP93" s="77"/>
      <c r="BQ93" s="77"/>
      <c r="BR93" s="77"/>
      <c r="BS93" s="77"/>
      <c r="BT93" s="77"/>
      <c r="BU93" s="77"/>
      <c r="BV93" s="77"/>
      <c r="BW93" s="77"/>
      <c r="BX93" s="77"/>
      <c r="BY93" s="77"/>
      <c r="BZ93" s="77"/>
      <c r="CA93" s="77"/>
      <c r="CB93" s="77"/>
      <c r="CC93" s="77"/>
      <c r="CD93" s="77"/>
      <c r="CE93" s="77"/>
      <c r="CF93" s="77"/>
      <c r="CG93" s="77"/>
      <c r="CH93" s="77"/>
      <c r="CI93" s="77"/>
      <c r="CJ93" s="77"/>
      <c r="CK93" s="77"/>
      <c r="CL93" s="77"/>
      <c r="CM93" s="77"/>
      <c r="CN93" s="77"/>
      <c r="CO93" s="77"/>
      <c r="CP93" s="77"/>
      <c r="CQ93" s="77"/>
      <c r="CR93" s="77"/>
      <c r="CS93" s="77"/>
      <c r="CT93" s="77"/>
      <c r="CU93" s="77"/>
      <c r="CV93" s="77"/>
      <c r="CW93" s="77"/>
      <c r="CX93" s="77"/>
      <c r="CY93" s="77"/>
      <c r="CZ93" s="77"/>
      <c r="DA93" s="77"/>
      <c r="DB93" s="77"/>
      <c r="DC93" s="77"/>
      <c r="DD93" s="77"/>
      <c r="DE93" s="77"/>
      <c r="DF93" s="77"/>
      <c r="DG93" s="77"/>
      <c r="DH93" s="77"/>
      <c r="DI93" s="77"/>
      <c r="DJ93" s="77"/>
      <c r="DK93" s="77"/>
      <c r="DL93" s="77"/>
      <c r="DM93" s="77"/>
      <c r="DN93" s="77"/>
      <c r="DO93" s="77"/>
      <c r="DP93" s="77"/>
      <c r="DQ93" s="77"/>
      <c r="DR93" s="77"/>
      <c r="DS93" s="77"/>
      <c r="DT93" s="77"/>
      <c r="DU93" s="77"/>
      <c r="DV93" s="77"/>
      <c r="DW93" s="77"/>
      <c r="DX93" s="77"/>
      <c r="DY93" s="77"/>
      <c r="DZ93" s="77"/>
      <c r="EA93" s="77"/>
      <c r="EB93" s="77"/>
      <c r="EC93" s="77"/>
      <c r="ED93" s="77"/>
      <c r="EE93" s="77"/>
      <c r="EF93" s="77"/>
      <c r="EG93" s="77"/>
      <c r="EH93" s="77"/>
      <c r="EI93" s="77"/>
      <c r="EJ93" s="77"/>
      <c r="EK93" s="77"/>
      <c r="EL93" s="77"/>
      <c r="EM93" s="77"/>
      <c r="EN93" s="77"/>
      <c r="EO93" s="77"/>
      <c r="EP93" s="77"/>
      <c r="EQ93" s="77"/>
      <c r="ER93" s="77"/>
      <c r="ES93" s="77"/>
      <c r="ET93" s="77"/>
      <c r="EU93" s="77"/>
      <c r="EV93" s="77"/>
      <c r="EW93" s="77"/>
      <c r="EX93" s="77"/>
      <c r="EY93" s="77"/>
      <c r="EZ93" s="77"/>
      <c r="FA93" s="77"/>
      <c r="FB93" s="77"/>
      <c r="FC93" s="77"/>
      <c r="FD93" s="77"/>
      <c r="FE93" s="77"/>
      <c r="FF93" s="77"/>
      <c r="FG93" s="77"/>
      <c r="FH93" s="77"/>
      <c r="FI93" s="77"/>
      <c r="FJ93" s="77"/>
      <c r="FK93" s="77"/>
      <c r="FL93" s="77"/>
      <c r="FM93" s="77"/>
      <c r="FN93" s="77"/>
      <c r="FO93" s="77"/>
      <c r="FP93" s="77"/>
      <c r="FQ93" s="77"/>
      <c r="FR93" s="77"/>
      <c r="FS93" s="77"/>
      <c r="FT93" s="77"/>
      <c r="FU93" s="77"/>
      <c r="FV93" s="77"/>
      <c r="FW93" s="77"/>
      <c r="FX93" s="77"/>
      <c r="FY93" s="77"/>
      <c r="FZ93" s="77"/>
    </row>
    <row r="94" spans="1:182" s="146" customFormat="1" ht="12" customHeight="1" x14ac:dyDescent="0.2">
      <c r="A94" s="77"/>
      <c r="B94" s="77"/>
      <c r="C94" s="77"/>
      <c r="D94" s="77"/>
      <c r="E94" s="77"/>
      <c r="F94" s="77"/>
      <c r="G94" s="85"/>
      <c r="H94" s="85"/>
      <c r="I94" s="85"/>
      <c r="J94" s="85"/>
      <c r="K94" s="85"/>
      <c r="L94" s="77"/>
      <c r="M94" s="77"/>
      <c r="N94" s="77"/>
      <c r="O94" s="77"/>
      <c r="P94" s="77"/>
      <c r="Q94" s="77"/>
      <c r="R94" s="77"/>
      <c r="S94" s="77"/>
      <c r="T94" s="77"/>
      <c r="U94" s="77"/>
      <c r="V94" s="77"/>
      <c r="W94" s="77"/>
      <c r="X94" s="77"/>
      <c r="Y94" s="77"/>
      <c r="Z94" s="77"/>
      <c r="AA94" s="77"/>
      <c r="AB94" s="77"/>
      <c r="AC94" s="85"/>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c r="DG94" s="77"/>
      <c r="DH94" s="77"/>
      <c r="DI94" s="77"/>
      <c r="DJ94" s="77"/>
      <c r="DK94" s="77"/>
      <c r="DL94" s="77"/>
      <c r="DM94" s="77"/>
      <c r="DN94" s="77"/>
      <c r="DO94" s="77"/>
      <c r="DP94" s="77"/>
      <c r="DQ94" s="77"/>
      <c r="DR94" s="77"/>
      <c r="DS94" s="77"/>
      <c r="DT94" s="77"/>
      <c r="DU94" s="77"/>
      <c r="DV94" s="77"/>
      <c r="DW94" s="77"/>
      <c r="DX94" s="77"/>
      <c r="DY94" s="77"/>
      <c r="DZ94" s="77"/>
      <c r="EA94" s="77"/>
      <c r="EB94" s="77"/>
      <c r="EC94" s="77"/>
      <c r="ED94" s="77"/>
      <c r="EE94" s="77"/>
      <c r="EF94" s="77"/>
      <c r="EG94" s="77"/>
      <c r="EH94" s="77"/>
      <c r="EI94" s="77"/>
      <c r="EJ94" s="77"/>
      <c r="EK94" s="77"/>
      <c r="EL94" s="77"/>
      <c r="EM94" s="77"/>
      <c r="EN94" s="77"/>
      <c r="EO94" s="77"/>
      <c r="EP94" s="77"/>
      <c r="EQ94" s="77"/>
      <c r="ER94" s="77"/>
      <c r="ES94" s="77"/>
      <c r="ET94" s="77"/>
      <c r="EU94" s="77"/>
      <c r="EV94" s="77"/>
      <c r="EW94" s="77"/>
      <c r="EX94" s="77"/>
      <c r="EY94" s="77"/>
      <c r="EZ94" s="77"/>
      <c r="FA94" s="77"/>
      <c r="FB94" s="77"/>
      <c r="FC94" s="77"/>
      <c r="FD94" s="77"/>
      <c r="FE94" s="77"/>
      <c r="FF94" s="77"/>
      <c r="FG94" s="77"/>
      <c r="FH94" s="77"/>
      <c r="FI94" s="77"/>
      <c r="FJ94" s="77"/>
      <c r="FK94" s="77"/>
      <c r="FL94" s="77"/>
      <c r="FM94" s="77"/>
      <c r="FN94" s="77"/>
      <c r="FO94" s="77"/>
      <c r="FP94" s="77"/>
      <c r="FQ94" s="77"/>
      <c r="FR94" s="77"/>
      <c r="FS94" s="77"/>
      <c r="FT94" s="77"/>
      <c r="FU94" s="77"/>
      <c r="FV94" s="77"/>
      <c r="FW94" s="77"/>
      <c r="FX94" s="77"/>
      <c r="FY94" s="77"/>
      <c r="FZ94" s="77"/>
    </row>
    <row r="95" spans="1:182" s="146" customFormat="1" ht="12" customHeight="1" x14ac:dyDescent="0.2">
      <c r="A95" s="77"/>
      <c r="B95" s="77"/>
      <c r="C95" s="77"/>
      <c r="D95" s="77"/>
      <c r="E95" s="77"/>
      <c r="F95" s="77"/>
      <c r="G95" s="85"/>
      <c r="H95" s="85"/>
      <c r="I95" s="85"/>
      <c r="J95" s="85"/>
      <c r="K95" s="85"/>
      <c r="L95" s="77"/>
      <c r="M95" s="77"/>
      <c r="N95" s="77"/>
      <c r="O95" s="77"/>
      <c r="P95" s="77"/>
      <c r="Q95" s="77"/>
      <c r="R95" s="77"/>
      <c r="S95" s="77"/>
      <c r="T95" s="77"/>
      <c r="U95" s="77"/>
      <c r="V95" s="77"/>
      <c r="W95" s="77"/>
      <c r="X95" s="77"/>
      <c r="Y95" s="77"/>
      <c r="Z95" s="77"/>
      <c r="AA95" s="77"/>
      <c r="AB95" s="77"/>
      <c r="AC95" s="85"/>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row>
    <row r="96" spans="1:182" s="146" customFormat="1" ht="12" customHeight="1" x14ac:dyDescent="0.2">
      <c r="A96" s="84" t="s">
        <v>1932</v>
      </c>
      <c r="B96" s="84"/>
      <c r="C96" s="77"/>
      <c r="D96" s="77"/>
      <c r="E96" s="77"/>
      <c r="F96" s="77"/>
      <c r="G96" s="114">
        <f>SUM(G85:G93,G80:G82,G73:G78)</f>
        <v>0</v>
      </c>
      <c r="H96" s="85"/>
      <c r="I96" s="114">
        <f>SUM(I85:I93,I80:I82,I73:I78)</f>
        <v>0</v>
      </c>
      <c r="J96" s="85"/>
      <c r="K96" s="114">
        <f>SUM(K85:K93,K80:K82,K73:K78)</f>
        <v>0</v>
      </c>
      <c r="L96" s="77"/>
      <c r="M96" s="77"/>
      <c r="N96" s="77"/>
      <c r="O96" s="77"/>
      <c r="P96" s="77"/>
      <c r="Q96" s="77"/>
      <c r="R96" s="77"/>
      <c r="S96" s="77"/>
      <c r="T96" s="77"/>
      <c r="U96" s="77"/>
      <c r="V96" s="77"/>
      <c r="W96" s="77"/>
      <c r="X96" s="77"/>
      <c r="Y96" s="77"/>
      <c r="Z96" s="77"/>
      <c r="AA96" s="77"/>
      <c r="AB96" s="77"/>
      <c r="AC96" s="114"/>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7"/>
      <c r="BU96" s="77"/>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c r="DG96" s="77"/>
      <c r="DH96" s="77"/>
      <c r="DI96" s="77"/>
      <c r="DJ96" s="77"/>
      <c r="DK96" s="77"/>
      <c r="DL96" s="77"/>
      <c r="DM96" s="77"/>
      <c r="DN96" s="77"/>
      <c r="DO96" s="77"/>
      <c r="DP96" s="77"/>
      <c r="DQ96" s="77"/>
      <c r="DR96" s="77"/>
      <c r="DS96" s="77"/>
      <c r="DT96" s="77"/>
      <c r="DU96" s="77"/>
      <c r="DV96" s="77"/>
      <c r="DW96" s="77"/>
      <c r="DX96" s="77"/>
      <c r="DY96" s="77"/>
      <c r="DZ96" s="77"/>
      <c r="EA96" s="77"/>
      <c r="EB96" s="77"/>
      <c r="EC96" s="77"/>
      <c r="ED96" s="77"/>
      <c r="EE96" s="77"/>
      <c r="EF96" s="77"/>
      <c r="EG96" s="77"/>
      <c r="EH96" s="77"/>
      <c r="EI96" s="77"/>
      <c r="EJ96" s="77"/>
      <c r="EK96" s="77"/>
      <c r="EL96" s="77"/>
      <c r="EM96" s="77"/>
      <c r="EN96" s="77"/>
      <c r="EO96" s="77"/>
      <c r="EP96" s="77"/>
      <c r="EQ96" s="77"/>
      <c r="ER96" s="77"/>
      <c r="ES96" s="77"/>
      <c r="ET96" s="77"/>
      <c r="EU96" s="77"/>
      <c r="EV96" s="77"/>
      <c r="EW96" s="77"/>
      <c r="EX96" s="77"/>
      <c r="EY96" s="77"/>
      <c r="EZ96" s="77"/>
      <c r="FA96" s="77"/>
      <c r="FB96" s="77"/>
      <c r="FC96" s="77"/>
      <c r="FD96" s="77"/>
      <c r="FE96" s="77"/>
      <c r="FF96" s="77"/>
      <c r="FG96" s="77"/>
      <c r="FH96" s="77"/>
      <c r="FI96" s="77"/>
      <c r="FJ96" s="77"/>
      <c r="FK96" s="77"/>
      <c r="FL96" s="77"/>
      <c r="FM96" s="77"/>
      <c r="FN96" s="77"/>
      <c r="FO96" s="77"/>
      <c r="FP96" s="77"/>
      <c r="FQ96" s="77"/>
      <c r="FR96" s="77"/>
      <c r="FS96" s="77"/>
      <c r="FT96" s="77"/>
      <c r="FU96" s="77"/>
      <c r="FV96" s="77"/>
      <c r="FW96" s="77"/>
      <c r="FX96" s="77"/>
      <c r="FY96" s="77"/>
      <c r="FZ96" s="77"/>
    </row>
    <row r="97" spans="1:182" s="146" customFormat="1" ht="12" customHeight="1" x14ac:dyDescent="0.2">
      <c r="A97" s="77" t="s">
        <v>1933</v>
      </c>
      <c r="B97" s="77"/>
      <c r="C97" s="77"/>
      <c r="D97" s="77"/>
      <c r="E97" s="77"/>
      <c r="F97" s="77"/>
      <c r="G97" s="77"/>
      <c r="H97" s="77"/>
      <c r="I97" s="77"/>
      <c r="J97" s="77"/>
      <c r="K97" s="77"/>
      <c r="L97" s="77"/>
      <c r="M97" s="77"/>
      <c r="N97" s="77"/>
      <c r="O97" s="77"/>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c r="BE97" s="77"/>
      <c r="BF97" s="77"/>
      <c r="BG97" s="77"/>
      <c r="BH97" s="77"/>
      <c r="BI97" s="77"/>
      <c r="BJ97" s="77"/>
      <c r="BK97" s="77"/>
      <c r="BL97" s="77"/>
      <c r="BM97" s="77"/>
      <c r="BN97" s="77"/>
      <c r="BO97" s="77"/>
      <c r="BP97" s="77"/>
      <c r="BQ97" s="77"/>
      <c r="BR97" s="77"/>
      <c r="BS97" s="77"/>
      <c r="BT97" s="77"/>
      <c r="BU97" s="77"/>
      <c r="BV97" s="77"/>
      <c r="BW97" s="77"/>
      <c r="BX97" s="77"/>
      <c r="BY97" s="77"/>
      <c r="BZ97" s="77"/>
      <c r="CA97" s="77"/>
      <c r="CB97" s="77"/>
      <c r="CC97" s="77"/>
      <c r="CD97" s="77"/>
      <c r="CE97" s="77"/>
      <c r="CF97" s="77"/>
      <c r="CG97" s="77"/>
      <c r="CH97" s="77"/>
      <c r="CI97" s="77"/>
      <c r="CJ97" s="77"/>
      <c r="CK97" s="77"/>
      <c r="CL97" s="77"/>
      <c r="CM97" s="77"/>
      <c r="CN97" s="77"/>
      <c r="CO97" s="77"/>
      <c r="CP97" s="77"/>
      <c r="CQ97" s="77"/>
      <c r="CR97" s="77"/>
      <c r="CS97" s="77"/>
      <c r="CT97" s="77"/>
      <c r="CU97" s="77"/>
      <c r="CV97" s="77"/>
      <c r="CW97" s="77"/>
      <c r="CX97" s="77"/>
      <c r="CY97" s="77"/>
      <c r="CZ97" s="77"/>
      <c r="DA97" s="77"/>
      <c r="DB97" s="77"/>
      <c r="DC97" s="77"/>
      <c r="DD97" s="77"/>
      <c r="DE97" s="77"/>
      <c r="DF97" s="77"/>
      <c r="DG97" s="77"/>
      <c r="DH97" s="77"/>
      <c r="DI97" s="77"/>
      <c r="DJ97" s="77"/>
      <c r="DK97" s="77"/>
      <c r="DL97" s="77"/>
      <c r="DM97" s="77"/>
      <c r="DN97" s="77"/>
      <c r="DO97" s="77"/>
      <c r="DP97" s="77"/>
      <c r="DQ97" s="77"/>
      <c r="DR97" s="77"/>
      <c r="DS97" s="77"/>
      <c r="DT97" s="77"/>
      <c r="DU97" s="77"/>
      <c r="DV97" s="77"/>
      <c r="DW97" s="77"/>
      <c r="DX97" s="77"/>
      <c r="DY97" s="77"/>
      <c r="DZ97" s="77"/>
      <c r="EA97" s="77"/>
      <c r="EB97" s="77"/>
      <c r="EC97" s="77"/>
      <c r="ED97" s="77"/>
      <c r="EE97" s="77"/>
      <c r="EF97" s="77"/>
      <c r="EG97" s="77"/>
      <c r="EH97" s="77"/>
      <c r="EI97" s="77"/>
      <c r="EJ97" s="77"/>
      <c r="EK97" s="77"/>
      <c r="EL97" s="77"/>
      <c r="EM97" s="77"/>
      <c r="EN97" s="77"/>
      <c r="EO97" s="77"/>
      <c r="EP97" s="77"/>
      <c r="EQ97" s="77"/>
      <c r="ER97" s="77"/>
      <c r="ES97" s="77"/>
      <c r="ET97" s="77"/>
      <c r="EU97" s="77"/>
      <c r="EV97" s="77"/>
      <c r="EW97" s="77"/>
      <c r="EX97" s="77"/>
      <c r="EY97" s="77"/>
      <c r="EZ97" s="77"/>
      <c r="FA97" s="77"/>
      <c r="FB97" s="77"/>
      <c r="FC97" s="77"/>
      <c r="FD97" s="77"/>
      <c r="FE97" s="77"/>
      <c r="FF97" s="77"/>
      <c r="FG97" s="77"/>
      <c r="FH97" s="77"/>
      <c r="FI97" s="77"/>
      <c r="FJ97" s="77"/>
      <c r="FK97" s="77"/>
      <c r="FL97" s="77"/>
      <c r="FM97" s="77"/>
      <c r="FN97" s="77"/>
      <c r="FO97" s="77"/>
      <c r="FP97" s="77"/>
      <c r="FQ97" s="77"/>
      <c r="FR97" s="77"/>
      <c r="FS97" s="77"/>
      <c r="FT97" s="77"/>
      <c r="FU97" s="77"/>
      <c r="FV97" s="77"/>
      <c r="FW97" s="77"/>
      <c r="FX97" s="77"/>
      <c r="FY97" s="77"/>
      <c r="FZ97" s="77"/>
    </row>
    <row r="98" spans="1:182" ht="12" hidden="1" customHeight="1" outlineLevel="1" x14ac:dyDescent="0.2">
      <c r="E98" s="144" t="s">
        <v>1934</v>
      </c>
      <c r="F98" s="144"/>
      <c r="G98" s="151">
        <f>G25</f>
        <v>0</v>
      </c>
      <c r="H98" s="151"/>
      <c r="I98" s="151">
        <f>I25</f>
        <v>0</v>
      </c>
      <c r="J98" s="151"/>
      <c r="K98" s="151">
        <f>K25</f>
        <v>0</v>
      </c>
      <c r="AC98" s="151">
        <v>-6486040</v>
      </c>
    </row>
    <row r="99" spans="1:182" ht="12" customHeight="1" collapsed="1" x14ac:dyDescent="0.2"/>
    <row r="100" spans="1:182" ht="12" customHeight="1" x14ac:dyDescent="0.2">
      <c r="A100" s="155" t="s">
        <v>1935</v>
      </c>
      <c r="G100" s="156" t="str">
        <f>IF(G96=G25,"","Does not equal Net Cash Provided by (Used In) Operating Activities")</f>
        <v/>
      </c>
      <c r="I100" s="156" t="str">
        <f>IF(I96=I25,"","Does not equal Net Cash Provided by (Used In) Operating Activities")</f>
        <v/>
      </c>
    </row>
    <row r="113" spans="1:1" ht="12" customHeight="1" x14ac:dyDescent="0.2">
      <c r="A113" s="134" t="s">
        <v>1936</v>
      </c>
    </row>
    <row r="114" spans="1:1" ht="12" customHeight="1" x14ac:dyDescent="0.2">
      <c r="A114" s="134" t="s">
        <v>1937</v>
      </c>
    </row>
  </sheetData>
  <mergeCells count="12">
    <mergeCell ref="C92:E92"/>
    <mergeCell ref="C93:E93"/>
    <mergeCell ref="C33:E33"/>
    <mergeCell ref="C38:E38"/>
    <mergeCell ref="C47:E47"/>
    <mergeCell ref="C80:E80"/>
    <mergeCell ref="C55:E55"/>
    <mergeCell ref="D1:H1"/>
    <mergeCell ref="D2:H2"/>
    <mergeCell ref="D3:H3"/>
    <mergeCell ref="C81:E81"/>
    <mergeCell ref="C82:E82"/>
  </mergeCells>
  <conditionalFormatting sqref="G23">
    <cfRule type="expression" dxfId="268" priority="10">
      <formula>formtype="P"</formula>
    </cfRule>
  </conditionalFormatting>
  <conditionalFormatting sqref="G23">
    <cfRule type="expression" dxfId="267" priority="11">
      <formula>formtype="C"</formula>
    </cfRule>
  </conditionalFormatting>
  <conditionalFormatting sqref="I23">
    <cfRule type="expression" dxfId="266" priority="8">
      <formula>formtype="P"</formula>
    </cfRule>
  </conditionalFormatting>
  <conditionalFormatting sqref="I23">
    <cfRule type="expression" dxfId="265" priority="9">
      <formula>formtype="C"</formula>
    </cfRule>
  </conditionalFormatting>
  <conditionalFormatting sqref="K23">
    <cfRule type="expression" dxfId="264" priority="6">
      <formula>formtype="P"</formula>
    </cfRule>
  </conditionalFormatting>
  <conditionalFormatting sqref="K23">
    <cfRule type="expression" dxfId="263" priority="7">
      <formula>formtype="C"</formula>
    </cfRule>
  </conditionalFormatting>
  <conditionalFormatting sqref="A7:A100">
    <cfRule type="expression" dxfId="262" priority="5">
      <formula>AND(AA7&lt;&gt;"",formtype="C",cdiff="X")</formula>
    </cfRule>
  </conditionalFormatting>
  <conditionalFormatting sqref="AC23">
    <cfRule type="expression" dxfId="261" priority="1">
      <formula>formtype="P"</formula>
    </cfRule>
  </conditionalFormatting>
  <conditionalFormatting sqref="AC23">
    <cfRule type="expression" dxfId="260" priority="2">
      <formula>formtype="C"</formula>
    </cfRule>
  </conditionalFormatting>
  <pageMargins left="0.5" right="0.5" top="0.5" bottom="0.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CEFD2-5ED8-47C9-BEA8-5BFCD00E3F28}">
  <sheetPr codeName="Sheet11"/>
  <dimension ref="A1:AA60"/>
  <sheetViews>
    <sheetView topLeftCell="A6" workbookViewId="0">
      <selection activeCell="H6" sqref="H6"/>
    </sheetView>
  </sheetViews>
  <sheetFormatPr defaultColWidth="104.81640625" defaultRowHeight="12" customHeight="1" outlineLevelRow="1" outlineLevelCol="1" x14ac:dyDescent="0.2"/>
  <cols>
    <col min="1" max="1" width="15.54296875" style="77" customWidth="1"/>
    <col min="2" max="2" width="4.54296875" style="77" customWidth="1"/>
    <col min="3" max="4" width="8.26953125" style="77" customWidth="1"/>
    <col min="5" max="5" width="8.7265625" style="77" customWidth="1"/>
    <col min="6" max="6" width="4.453125" style="77" customWidth="1"/>
    <col min="7" max="7" width="1.7265625" style="77" customWidth="1"/>
    <col min="8" max="8" width="13.1796875" style="85" customWidth="1"/>
    <col min="9" max="9" width="2.26953125" style="85" customWidth="1"/>
    <col min="10" max="10" width="13.1796875" style="85" customWidth="1"/>
    <col min="11" max="11" width="2.54296875" style="85" customWidth="1"/>
    <col min="12" max="12" width="13.1796875" style="85" customWidth="1"/>
    <col min="13" max="13" width="8.26953125" style="77" customWidth="1"/>
    <col min="14" max="26" width="14" style="77" hidden="1" customWidth="1" outlineLevel="1"/>
    <col min="27" max="27" width="14" style="77" hidden="1" customWidth="1" collapsed="1"/>
    <col min="28" max="117" width="9.81640625" style="77" customWidth="1"/>
    <col min="118" max="16384" width="104.81640625" style="77"/>
  </cols>
  <sheetData>
    <row r="1" spans="1:27" ht="12" customHeight="1" x14ac:dyDescent="0.2">
      <c r="A1" s="73"/>
      <c r="B1" s="74"/>
      <c r="C1" s="74"/>
      <c r="D1" s="74"/>
      <c r="E1" s="74"/>
      <c r="F1" s="75" t="s">
        <v>1938</v>
      </c>
      <c r="G1" s="75"/>
      <c r="H1" s="135"/>
      <c r="I1" s="135"/>
      <c r="J1" s="135"/>
      <c r="K1" s="135"/>
      <c r="L1" s="76" t="str">
        <f>'1-Cover'!$G$1</f>
        <v>OMB Approval No. 3245-0063</v>
      </c>
    </row>
    <row r="2" spans="1:27" ht="12" customHeight="1" x14ac:dyDescent="0.2">
      <c r="A2" s="78"/>
      <c r="F2" s="79" t="str">
        <f>"FOR "&amp;Number_of_Months&amp;" MONTH PERIOD ENDED: "&amp;TEXT(Form468Date,"MM/DD/YYYY")</f>
        <v>FOR  MONTH PERIOD ENDED: 01/00/1900</v>
      </c>
      <c r="G2" s="79"/>
      <c r="L2" s="80" t="str">
        <f>'1-Cover'!$G$2</f>
        <v>Expiration Date MM/DD/YYYY</v>
      </c>
    </row>
    <row r="3" spans="1:27" ht="12" customHeight="1" x14ac:dyDescent="0.2">
      <c r="A3" s="136"/>
      <c r="B3" s="82"/>
      <c r="C3" s="82"/>
      <c r="D3" s="82"/>
      <c r="E3" s="82"/>
      <c r="F3" s="137" t="s">
        <v>1726</v>
      </c>
      <c r="G3" s="137"/>
      <c r="H3" s="138"/>
      <c r="I3" s="138"/>
      <c r="J3" s="138"/>
      <c r="K3" s="138"/>
      <c r="L3" s="83"/>
    </row>
    <row r="4" spans="1:27" ht="12" customHeight="1" x14ac:dyDescent="0.2">
      <c r="A4" s="121" t="str">
        <f>"Name of License:  "&amp;sbicname</f>
        <v xml:space="preserve">Name of License:  </v>
      </c>
      <c r="B4" s="159">
        <f>'5&amp;6-CF'!C4</f>
        <v>0</v>
      </c>
      <c r="C4" s="122"/>
      <c r="D4" s="140"/>
      <c r="E4" s="140"/>
      <c r="F4" s="140"/>
      <c r="G4" s="140"/>
      <c r="H4" s="140"/>
      <c r="I4" s="140"/>
      <c r="J4" s="140"/>
      <c r="K4" s="140"/>
      <c r="L4" s="123" t="str">
        <f>"License no.:  "&amp;TEXT(licenseno,"00\/00\-0000")</f>
        <v>License no.:  00/00-0000</v>
      </c>
    </row>
    <row r="5" spans="1:27" ht="12" customHeight="1" x14ac:dyDescent="0.2">
      <c r="A5" s="145"/>
      <c r="B5" s="145"/>
      <c r="J5" s="150"/>
    </row>
    <row r="6" spans="1:27" ht="40" x14ac:dyDescent="0.2">
      <c r="A6" s="160" t="str">
        <f>VLOOKUP(AA6,FormTypeLabels[],2,FALSE)</f>
        <v>PART I. PRIVATE PARTNERS' CONTRIBUTED CAPITAL</v>
      </c>
      <c r="H6" s="116" t="s">
        <v>1939</v>
      </c>
      <c r="I6" s="89"/>
      <c r="J6" s="116" t="s">
        <v>1940</v>
      </c>
      <c r="K6" s="89"/>
      <c r="L6" s="116" t="s">
        <v>1941</v>
      </c>
      <c r="AA6" s="111" t="s">
        <v>456</v>
      </c>
    </row>
    <row r="7" spans="1:27" s="146" customFormat="1" ht="12" customHeight="1" x14ac:dyDescent="0.2">
      <c r="B7" s="84"/>
      <c r="C7" s="77"/>
      <c r="D7" s="77"/>
      <c r="E7" s="77"/>
      <c r="F7" s="77"/>
      <c r="G7" s="77"/>
      <c r="H7" s="161"/>
      <c r="I7" s="86"/>
      <c r="J7" s="161"/>
      <c r="K7" s="96"/>
      <c r="M7" s="77"/>
      <c r="N7" s="77"/>
      <c r="O7" s="77"/>
      <c r="P7" s="77"/>
      <c r="Q7" s="77"/>
      <c r="R7" s="77"/>
      <c r="S7" s="77"/>
      <c r="T7" s="77"/>
      <c r="U7" s="77"/>
      <c r="V7" s="77"/>
      <c r="W7" s="77"/>
      <c r="X7" s="77"/>
      <c r="Y7" s="77"/>
      <c r="Z7" s="77"/>
    </row>
    <row r="8" spans="1:27" s="146" customFormat="1" ht="12" customHeight="1" x14ac:dyDescent="0.2">
      <c r="A8" s="84" t="s">
        <v>1942</v>
      </c>
      <c r="B8" s="84"/>
      <c r="C8" s="77"/>
      <c r="D8" s="77"/>
      <c r="E8" s="77"/>
      <c r="F8" s="77"/>
      <c r="G8" s="77"/>
      <c r="H8" s="168">
        <f>'2&amp;3-Bal'!H96</f>
        <v>0</v>
      </c>
      <c r="I8" s="85"/>
      <c r="J8" s="168">
        <f>'2&amp;3-Bal'!H97</f>
        <v>0</v>
      </c>
      <c r="K8" s="85"/>
      <c r="L8" s="168">
        <f>H8+J8</f>
        <v>0</v>
      </c>
      <c r="M8" s="77"/>
      <c r="N8" s="77"/>
      <c r="O8" s="77"/>
      <c r="P8" s="77"/>
      <c r="Q8" s="77"/>
      <c r="R8" s="77"/>
      <c r="S8" s="77"/>
      <c r="T8" s="77"/>
      <c r="U8" s="77"/>
      <c r="V8" s="77"/>
      <c r="W8" s="77"/>
      <c r="X8" s="77"/>
      <c r="Y8" s="77"/>
      <c r="Z8" s="77"/>
    </row>
    <row r="9" spans="1:27" s="146" customFormat="1" ht="12" customHeight="1" x14ac:dyDescent="0.2">
      <c r="A9" s="84"/>
      <c r="B9" s="84"/>
      <c r="C9" s="77"/>
      <c r="D9" s="77"/>
      <c r="E9" s="77"/>
      <c r="F9" s="77"/>
      <c r="G9" s="77"/>
      <c r="H9" s="77"/>
      <c r="I9" s="77"/>
      <c r="J9" s="77"/>
      <c r="K9" s="85"/>
      <c r="L9" s="77"/>
      <c r="M9" s="77"/>
      <c r="N9" s="77"/>
      <c r="O9" s="77"/>
      <c r="P9" s="77"/>
      <c r="Q9" s="77"/>
      <c r="R9" s="77"/>
      <c r="S9" s="77"/>
      <c r="T9" s="77"/>
      <c r="U9" s="77"/>
      <c r="V9" s="77"/>
      <c r="W9" s="77"/>
      <c r="X9" s="77"/>
      <c r="Y9" s="77"/>
      <c r="Z9" s="77"/>
    </row>
    <row r="10" spans="1:27" s="146" customFormat="1" ht="12" customHeight="1" x14ac:dyDescent="0.2">
      <c r="A10" s="84" t="s">
        <v>1943</v>
      </c>
      <c r="B10" s="84"/>
      <c r="C10" s="77"/>
      <c r="D10" s="77"/>
      <c r="E10" s="77"/>
      <c r="F10" s="77"/>
      <c r="G10" s="77"/>
      <c r="H10" s="85"/>
      <c r="I10" s="85"/>
      <c r="J10" s="85"/>
      <c r="K10" s="85"/>
      <c r="L10" s="85"/>
      <c r="M10" s="77"/>
      <c r="N10" s="77"/>
      <c r="O10" s="77"/>
      <c r="P10" s="77"/>
      <c r="Q10" s="77"/>
      <c r="R10" s="77"/>
      <c r="S10" s="77"/>
      <c r="T10" s="77"/>
      <c r="U10" s="77"/>
      <c r="V10" s="77"/>
      <c r="W10" s="77"/>
      <c r="X10" s="77"/>
      <c r="Y10" s="77"/>
      <c r="Z10" s="77"/>
    </row>
    <row r="11" spans="1:27" s="146" customFormat="1" ht="12" customHeight="1" x14ac:dyDescent="0.2">
      <c r="A11" s="100" t="str">
        <f>VLOOKUP(AA11,FormTypeLabels[],2,FALSE)</f>
        <v>a. Partnership interests issued for cash</v>
      </c>
      <c r="B11" s="100"/>
      <c r="C11" s="77"/>
      <c r="D11" s="77"/>
      <c r="E11" s="77"/>
      <c r="F11" s="77"/>
      <c r="G11" s="77"/>
      <c r="H11" s="110">
        <v>0</v>
      </c>
      <c r="I11" s="85"/>
      <c r="J11" s="110">
        <v>0</v>
      </c>
      <c r="K11" s="85"/>
      <c r="L11" s="169">
        <f t="shared" ref="L11:L19" si="0">H11+J11</f>
        <v>0</v>
      </c>
      <c r="M11" s="77"/>
      <c r="N11" s="77"/>
      <c r="O11" s="77"/>
      <c r="P11" s="77"/>
      <c r="Q11" s="77"/>
      <c r="R11" s="77"/>
      <c r="S11" s="77"/>
      <c r="T11" s="77"/>
      <c r="U11" s="77"/>
      <c r="V11" s="77"/>
      <c r="W11" s="77"/>
      <c r="X11" s="77"/>
      <c r="Y11" s="77"/>
      <c r="Z11" s="77"/>
      <c r="AA11" s="112" t="s">
        <v>464</v>
      </c>
    </row>
    <row r="12" spans="1:27" s="146" customFormat="1" ht="12" customHeight="1" x14ac:dyDescent="0.2">
      <c r="A12" s="100" t="str">
        <f>VLOOKUP(AA12,FormTypeLabels[],2,FALSE)</f>
        <v xml:space="preserve">b. Partnership interests issued for services rendered </v>
      </c>
      <c r="B12" s="100"/>
      <c r="C12" s="77"/>
      <c r="D12" s="77"/>
      <c r="E12" s="77"/>
      <c r="F12" s="77"/>
      <c r="G12" s="77"/>
      <c r="H12" s="110">
        <v>0</v>
      </c>
      <c r="I12" s="85"/>
      <c r="J12" s="110">
        <v>0</v>
      </c>
      <c r="K12" s="85"/>
      <c r="L12" s="169">
        <f t="shared" si="0"/>
        <v>0</v>
      </c>
      <c r="M12" s="77"/>
      <c r="N12" s="77"/>
      <c r="O12" s="77"/>
      <c r="P12" s="77"/>
      <c r="Q12" s="77"/>
      <c r="R12" s="77"/>
      <c r="S12" s="77"/>
      <c r="T12" s="77"/>
      <c r="U12" s="77"/>
      <c r="V12" s="77"/>
      <c r="W12" s="77"/>
      <c r="X12" s="77"/>
      <c r="Y12" s="77"/>
      <c r="Z12" s="77"/>
      <c r="AA12" s="111" t="s">
        <v>472</v>
      </c>
    </row>
    <row r="13" spans="1:27" s="146" customFormat="1" ht="12" customHeight="1" x14ac:dyDescent="0.2">
      <c r="A13" s="100" t="str">
        <f>VLOOKUP(AA13,FormTypeLabels[],2,FALSE)</f>
        <v xml:space="preserve">c. Partnership interests issued for contributed non-cash assets </v>
      </c>
      <c r="B13" s="100"/>
      <c r="C13" s="77"/>
      <c r="D13" s="77"/>
      <c r="E13" s="77"/>
      <c r="F13" s="77"/>
      <c r="G13" s="77"/>
      <c r="H13" s="110">
        <v>0</v>
      </c>
      <c r="I13" s="85"/>
      <c r="J13" s="110">
        <v>0</v>
      </c>
      <c r="K13" s="85"/>
      <c r="L13" s="169">
        <f t="shared" si="0"/>
        <v>0</v>
      </c>
      <c r="M13" s="77"/>
      <c r="N13" s="77"/>
      <c r="O13" s="77"/>
      <c r="P13" s="77"/>
      <c r="Q13" s="77"/>
      <c r="R13" s="77"/>
      <c r="S13" s="77"/>
      <c r="T13" s="77"/>
      <c r="U13" s="77"/>
      <c r="V13" s="77"/>
      <c r="W13" s="77"/>
      <c r="X13" s="77"/>
      <c r="Y13" s="77"/>
      <c r="Z13" s="77"/>
      <c r="AA13" s="112" t="s">
        <v>480</v>
      </c>
    </row>
    <row r="14" spans="1:27" s="146" customFormat="1" ht="12" customHeight="1" x14ac:dyDescent="0.2">
      <c r="A14" s="100" t="s">
        <v>1944</v>
      </c>
      <c r="B14" s="100"/>
      <c r="C14" s="77"/>
      <c r="D14" s="77"/>
      <c r="E14" s="77"/>
      <c r="F14" s="77"/>
      <c r="G14" s="77"/>
      <c r="H14" s="110">
        <v>0</v>
      </c>
      <c r="I14" s="85"/>
      <c r="J14" s="110">
        <v>0</v>
      </c>
      <c r="K14" s="85"/>
      <c r="L14" s="169">
        <f t="shared" si="0"/>
        <v>0</v>
      </c>
      <c r="M14" s="77"/>
      <c r="N14" s="77"/>
      <c r="O14" s="77"/>
      <c r="P14" s="77"/>
      <c r="Q14" s="77"/>
      <c r="R14" s="77"/>
      <c r="S14" s="77"/>
      <c r="T14" s="77"/>
      <c r="U14" s="77"/>
      <c r="V14" s="77"/>
      <c r="W14" s="77"/>
      <c r="X14" s="77"/>
      <c r="Y14" s="77"/>
      <c r="Z14" s="77"/>
    </row>
    <row r="15" spans="1:27" s="146" customFormat="1" ht="12" customHeight="1" x14ac:dyDescent="0.2">
      <c r="A15" s="100" t="s">
        <v>1945</v>
      </c>
      <c r="B15" s="100"/>
      <c r="C15" s="717"/>
      <c r="D15" s="718"/>
      <c r="E15" s="718"/>
      <c r="F15" s="719"/>
      <c r="G15" s="77"/>
      <c r="H15" s="110">
        <v>0</v>
      </c>
      <c r="I15" s="85"/>
      <c r="J15" s="110">
        <v>0</v>
      </c>
      <c r="K15" s="85"/>
      <c r="L15" s="169">
        <f t="shared" si="0"/>
        <v>0</v>
      </c>
      <c r="M15" s="77"/>
      <c r="N15" s="77"/>
      <c r="O15" s="77"/>
      <c r="P15" s="77"/>
      <c r="Q15" s="77"/>
      <c r="R15" s="77"/>
      <c r="S15" s="77"/>
      <c r="T15" s="77"/>
      <c r="U15" s="77"/>
      <c r="V15" s="77"/>
      <c r="W15" s="77"/>
      <c r="X15" s="77"/>
      <c r="Y15" s="77"/>
      <c r="Z15" s="77"/>
    </row>
    <row r="16" spans="1:27" s="146" customFormat="1" ht="12" customHeight="1" x14ac:dyDescent="0.2">
      <c r="A16" s="100" t="str">
        <f>VLOOKUP(AA16,FormTypeLabels[],2,FALSE)</f>
        <v/>
      </c>
      <c r="B16" s="100"/>
      <c r="C16" s="100"/>
      <c r="D16" s="100"/>
      <c r="E16" s="100"/>
      <c r="F16" s="100"/>
      <c r="G16" s="100"/>
      <c r="H16" s="162"/>
      <c r="I16" s="163"/>
      <c r="J16" s="162"/>
      <c r="K16" s="163"/>
      <c r="L16" s="162" t="str">
        <f>IF(A16&lt;&gt;"",H16+J16,"")</f>
        <v/>
      </c>
      <c r="M16" s="77"/>
      <c r="N16" s="77"/>
      <c r="O16" s="77"/>
      <c r="P16" s="77"/>
      <c r="Q16" s="77"/>
      <c r="R16" s="77"/>
      <c r="S16" s="77"/>
      <c r="T16" s="77"/>
      <c r="U16" s="77"/>
      <c r="V16" s="77"/>
      <c r="W16" s="77"/>
      <c r="X16" s="77"/>
      <c r="Y16" s="77"/>
      <c r="Z16" s="77"/>
      <c r="AA16" s="111" t="s">
        <v>488</v>
      </c>
    </row>
    <row r="17" spans="1:27" s="146" customFormat="1" ht="12" customHeight="1" x14ac:dyDescent="0.2">
      <c r="A17" s="84" t="s">
        <v>1946</v>
      </c>
      <c r="B17" s="84"/>
      <c r="C17" s="77"/>
      <c r="D17" s="77"/>
      <c r="E17" s="77"/>
      <c r="F17" s="77"/>
      <c r="G17" s="77"/>
      <c r="H17" s="168">
        <f>SUM(H11:H15)</f>
        <v>0</v>
      </c>
      <c r="I17" s="85"/>
      <c r="J17" s="168">
        <f>SUM(J11:J15)</f>
        <v>0</v>
      </c>
      <c r="K17" s="85"/>
      <c r="L17" s="169">
        <f t="shared" si="0"/>
        <v>0</v>
      </c>
      <c r="M17" s="77"/>
      <c r="N17" s="77"/>
      <c r="O17" s="77"/>
      <c r="P17" s="77"/>
      <c r="Q17" s="77"/>
      <c r="R17" s="77"/>
      <c r="S17" s="77"/>
      <c r="T17" s="77"/>
      <c r="U17" s="77"/>
      <c r="V17" s="77"/>
      <c r="W17" s="77"/>
      <c r="X17" s="77"/>
      <c r="Y17" s="77"/>
      <c r="Z17" s="77"/>
    </row>
    <row r="18" spans="1:27" s="146" customFormat="1" ht="12" customHeight="1" x14ac:dyDescent="0.2">
      <c r="A18" s="84"/>
      <c r="B18" s="84"/>
      <c r="C18" s="77"/>
      <c r="D18" s="77"/>
      <c r="E18" s="77"/>
      <c r="F18" s="77"/>
      <c r="G18" s="77"/>
      <c r="H18" s="77"/>
      <c r="I18" s="77"/>
      <c r="J18" s="77"/>
      <c r="K18" s="85"/>
      <c r="L18" s="77"/>
      <c r="M18" s="77"/>
      <c r="N18" s="77"/>
      <c r="O18" s="77"/>
      <c r="P18" s="77"/>
      <c r="Q18" s="77"/>
      <c r="R18" s="77"/>
      <c r="S18" s="77"/>
      <c r="T18" s="77"/>
      <c r="U18" s="77"/>
      <c r="V18" s="77"/>
      <c r="W18" s="77"/>
      <c r="X18" s="77"/>
      <c r="Y18" s="77"/>
      <c r="Z18" s="77"/>
    </row>
    <row r="19" spans="1:27" s="146" customFormat="1" ht="12" customHeight="1" x14ac:dyDescent="0.2">
      <c r="A19" s="145" t="s">
        <v>1947</v>
      </c>
      <c r="B19" s="145"/>
      <c r="C19" s="77"/>
      <c r="D19" s="77"/>
      <c r="E19" s="77"/>
      <c r="F19" s="77"/>
      <c r="G19" s="77"/>
      <c r="H19" s="168">
        <f>H8+H17</f>
        <v>0</v>
      </c>
      <c r="I19" s="85"/>
      <c r="J19" s="168">
        <f>J8+J17</f>
        <v>0</v>
      </c>
      <c r="K19" s="85"/>
      <c r="L19" s="168">
        <f t="shared" si="0"/>
        <v>0</v>
      </c>
      <c r="M19" s="77"/>
      <c r="N19" s="77"/>
      <c r="O19" s="77"/>
      <c r="P19" s="77"/>
      <c r="Q19" s="77"/>
      <c r="R19" s="77"/>
      <c r="S19" s="77"/>
      <c r="T19" s="77"/>
      <c r="U19" s="77"/>
      <c r="V19" s="77"/>
      <c r="W19" s="77"/>
      <c r="X19" s="77"/>
      <c r="Y19" s="77"/>
      <c r="Z19" s="77"/>
    </row>
    <row r="20" spans="1:27" s="146" customFormat="1" ht="12" customHeight="1" x14ac:dyDescent="0.2">
      <c r="A20" s="145"/>
      <c r="B20" s="145"/>
      <c r="C20" s="77"/>
      <c r="D20" s="77"/>
      <c r="E20" s="77"/>
      <c r="F20" s="77"/>
      <c r="G20" s="77"/>
      <c r="H20" s="77"/>
      <c r="I20" s="77"/>
      <c r="J20" s="77"/>
      <c r="K20" s="85"/>
      <c r="L20" s="77"/>
      <c r="M20" s="77"/>
      <c r="N20" s="77"/>
      <c r="O20" s="77"/>
      <c r="P20" s="77"/>
      <c r="Q20" s="77"/>
      <c r="R20" s="77"/>
      <c r="S20" s="77"/>
      <c r="T20" s="77"/>
      <c r="U20" s="77"/>
      <c r="V20" s="77"/>
      <c r="W20" s="77"/>
      <c r="X20" s="77"/>
      <c r="Y20" s="77"/>
      <c r="Z20" s="77"/>
    </row>
    <row r="21" spans="1:27" s="146" customFormat="1" ht="12" customHeight="1" x14ac:dyDescent="0.2">
      <c r="A21" s="84" t="s">
        <v>1948</v>
      </c>
      <c r="B21" s="84"/>
      <c r="C21" s="77"/>
      <c r="D21" s="77"/>
      <c r="E21" s="77"/>
      <c r="F21" s="77"/>
      <c r="G21" s="77"/>
      <c r="H21" s="115"/>
      <c r="I21" s="85"/>
      <c r="J21" s="115"/>
      <c r="K21" s="85"/>
      <c r="L21" s="77"/>
      <c r="M21" s="77"/>
      <c r="N21" s="77"/>
      <c r="O21" s="77"/>
      <c r="P21" s="77"/>
      <c r="Q21" s="77"/>
      <c r="R21" s="77"/>
      <c r="S21" s="77"/>
      <c r="T21" s="77"/>
      <c r="U21" s="77"/>
      <c r="V21" s="77"/>
      <c r="W21" s="77"/>
      <c r="X21" s="77"/>
      <c r="Y21" s="77"/>
      <c r="Z21" s="77"/>
    </row>
    <row r="22" spans="1:27" s="146" customFormat="1" ht="12" customHeight="1" x14ac:dyDescent="0.2">
      <c r="A22" s="100" t="str">
        <f>VLOOKUP(AA22,FormTypeLabels[],2,FALSE)</f>
        <v xml:space="preserve">a. Liquidation of Partnership interests </v>
      </c>
      <c r="B22" s="100"/>
      <c r="C22" s="77"/>
      <c r="D22" s="77"/>
      <c r="E22" s="77"/>
      <c r="F22" s="77"/>
      <c r="G22" s="77"/>
      <c r="H22" s="110">
        <v>0</v>
      </c>
      <c r="I22" s="85"/>
      <c r="J22" s="110"/>
      <c r="K22" s="85"/>
      <c r="L22" s="168">
        <f>H22+J22</f>
        <v>0</v>
      </c>
      <c r="M22" s="77"/>
      <c r="N22" s="77"/>
      <c r="O22" s="77"/>
      <c r="P22" s="77"/>
      <c r="Q22" s="77"/>
      <c r="R22" s="77"/>
      <c r="S22" s="77"/>
      <c r="T22" s="77"/>
      <c r="U22" s="77"/>
      <c r="V22" s="77"/>
      <c r="W22" s="77"/>
      <c r="X22" s="77"/>
      <c r="Y22" s="77"/>
      <c r="Z22" s="77"/>
      <c r="AA22" s="112" t="s">
        <v>495</v>
      </c>
    </row>
    <row r="23" spans="1:27" s="146" customFormat="1" ht="12" customHeight="1" x14ac:dyDescent="0.2">
      <c r="A23" s="100" t="str">
        <f>VLOOKUP(AA23,FormTypeLabels[],2,FALSE)</f>
        <v/>
      </c>
      <c r="B23" s="100"/>
      <c r="C23" s="100"/>
      <c r="D23" s="100"/>
      <c r="E23" s="100"/>
      <c r="F23" s="100"/>
      <c r="G23" s="100"/>
      <c r="H23" s="100"/>
      <c r="I23" s="100"/>
      <c r="J23" s="100"/>
      <c r="K23" s="100"/>
      <c r="L23" s="100"/>
      <c r="M23" s="100"/>
      <c r="N23" s="77"/>
      <c r="O23" s="77"/>
      <c r="P23" s="77"/>
      <c r="Q23" s="77"/>
      <c r="R23" s="77"/>
      <c r="S23" s="77"/>
      <c r="T23" s="77"/>
      <c r="U23" s="77"/>
      <c r="V23" s="77"/>
      <c r="W23" s="77"/>
      <c r="X23" s="77"/>
      <c r="Y23" s="77"/>
      <c r="Z23" s="77"/>
      <c r="AA23" s="111" t="s">
        <v>503</v>
      </c>
    </row>
    <row r="24" spans="1:27" s="146" customFormat="1" ht="12" customHeight="1" x14ac:dyDescent="0.2">
      <c r="A24" s="100" t="str">
        <f>VLOOKUP(AA24,FormTypeLabels[],2,FALSE)</f>
        <v/>
      </c>
      <c r="B24" s="100"/>
      <c r="C24" s="100"/>
      <c r="D24" s="100"/>
      <c r="E24" s="100"/>
      <c r="F24" s="100"/>
      <c r="G24" s="100"/>
      <c r="H24" s="100"/>
      <c r="I24" s="100"/>
      <c r="J24" s="100"/>
      <c r="K24" s="100"/>
      <c r="L24" s="100"/>
      <c r="M24" s="100"/>
      <c r="N24" s="77"/>
      <c r="O24" s="77"/>
      <c r="P24" s="77"/>
      <c r="Q24" s="77"/>
      <c r="R24" s="77"/>
      <c r="S24" s="77"/>
      <c r="T24" s="77"/>
      <c r="U24" s="77"/>
      <c r="V24" s="77"/>
      <c r="W24" s="77"/>
      <c r="X24" s="77"/>
      <c r="Y24" s="77"/>
      <c r="Z24" s="77"/>
      <c r="AA24" s="112" t="s">
        <v>510</v>
      </c>
    </row>
    <row r="25" spans="1:27" s="146" customFormat="1" ht="12" customHeight="1" x14ac:dyDescent="0.2">
      <c r="A25" s="100" t="str">
        <f>VLOOKUP(AA25,FormTypeLabels[],2,FALSE)</f>
        <v xml:space="preserve">b.Other debits (specify) </v>
      </c>
      <c r="B25" s="100"/>
      <c r="C25" s="717"/>
      <c r="D25" s="718"/>
      <c r="E25" s="718"/>
      <c r="F25" s="719"/>
      <c r="G25" s="77"/>
      <c r="H25" s="110">
        <v>0</v>
      </c>
      <c r="I25" s="85"/>
      <c r="J25" s="110">
        <v>0</v>
      </c>
      <c r="K25" s="85"/>
      <c r="L25" s="168">
        <f>H25+J25</f>
        <v>0</v>
      </c>
      <c r="M25" s="77"/>
      <c r="N25" s="77"/>
      <c r="O25" s="77"/>
      <c r="P25" s="77"/>
      <c r="Q25" s="77"/>
      <c r="R25" s="77"/>
      <c r="S25" s="77"/>
      <c r="T25" s="77"/>
      <c r="U25" s="77"/>
      <c r="V25" s="77"/>
      <c r="W25" s="77"/>
      <c r="X25" s="77"/>
      <c r="Y25" s="77"/>
      <c r="Z25" s="77"/>
      <c r="AA25" s="111" t="s">
        <v>517</v>
      </c>
    </row>
    <row r="26" spans="1:27" s="146" customFormat="1" ht="12" customHeight="1" x14ac:dyDescent="0.2">
      <c r="A26" s="84" t="s">
        <v>1949</v>
      </c>
      <c r="B26" s="84"/>
      <c r="C26" s="77"/>
      <c r="D26" s="77"/>
      <c r="E26" s="77"/>
      <c r="F26" s="77"/>
      <c r="G26" s="77"/>
      <c r="H26" s="168">
        <f>H25+H22</f>
        <v>0</v>
      </c>
      <c r="I26" s="85"/>
      <c r="J26" s="168">
        <f>J25+J22</f>
        <v>0</v>
      </c>
      <c r="K26" s="85"/>
      <c r="L26" s="168">
        <f>H26+J26</f>
        <v>0</v>
      </c>
      <c r="M26" s="77"/>
      <c r="N26" s="77"/>
      <c r="O26" s="77"/>
      <c r="P26" s="77"/>
      <c r="Q26" s="77"/>
      <c r="R26" s="77"/>
      <c r="S26" s="77"/>
      <c r="T26" s="77"/>
      <c r="U26" s="77"/>
      <c r="V26" s="77"/>
      <c r="W26" s="77"/>
      <c r="X26" s="77"/>
      <c r="Y26" s="77"/>
      <c r="Z26" s="77"/>
    </row>
    <row r="27" spans="1:27" s="146" customFormat="1" ht="12" customHeight="1" x14ac:dyDescent="0.2">
      <c r="A27" s="84"/>
      <c r="B27" s="84"/>
      <c r="C27" s="77"/>
      <c r="D27" s="77"/>
      <c r="E27" s="77"/>
      <c r="F27" s="77"/>
      <c r="G27" s="77"/>
      <c r="H27" s="115"/>
      <c r="I27" s="85"/>
      <c r="J27" s="115"/>
      <c r="K27" s="77"/>
      <c r="L27" s="77"/>
      <c r="M27" s="77"/>
      <c r="N27" s="77"/>
      <c r="O27" s="77"/>
      <c r="P27" s="77"/>
      <c r="Q27" s="77"/>
      <c r="R27" s="77"/>
      <c r="S27" s="77"/>
      <c r="T27" s="77"/>
      <c r="U27" s="77"/>
      <c r="V27" s="77"/>
      <c r="W27" s="77"/>
      <c r="X27" s="77"/>
      <c r="Y27" s="77"/>
      <c r="Z27" s="77"/>
    </row>
    <row r="28" spans="1:27" s="146" customFormat="1" ht="12" customHeight="1" x14ac:dyDescent="0.2">
      <c r="A28" s="84" t="s">
        <v>1950</v>
      </c>
      <c r="B28" s="84"/>
      <c r="C28" s="77"/>
      <c r="D28" s="77"/>
      <c r="E28" s="77"/>
      <c r="F28" s="77"/>
      <c r="G28" s="77"/>
      <c r="H28" s="168">
        <f>H19-H26</f>
        <v>0</v>
      </c>
      <c r="I28" s="85"/>
      <c r="J28" s="168">
        <f>J19-J26</f>
        <v>0</v>
      </c>
      <c r="K28" s="85"/>
      <c r="L28" s="168">
        <f>H28+J28</f>
        <v>0</v>
      </c>
      <c r="M28" s="77"/>
      <c r="N28" s="77"/>
      <c r="O28" s="77"/>
      <c r="P28" s="77"/>
      <c r="Q28" s="77"/>
      <c r="R28" s="77"/>
      <c r="S28" s="77"/>
      <c r="T28" s="77"/>
      <c r="U28" s="77"/>
      <c r="V28" s="77"/>
      <c r="W28" s="77"/>
      <c r="X28" s="77"/>
      <c r="Y28" s="77"/>
      <c r="Z28" s="77"/>
    </row>
    <row r="29" spans="1:27" s="146" customFormat="1" ht="12" hidden="1" customHeight="1" outlineLevel="1" x14ac:dyDescent="0.2">
      <c r="A29" s="164" t="s">
        <v>1951</v>
      </c>
      <c r="B29" s="84"/>
      <c r="C29" s="77"/>
      <c r="D29" s="77"/>
      <c r="E29" s="77"/>
      <c r="F29" s="77"/>
      <c r="G29" s="77"/>
      <c r="H29" s="85">
        <f>'2&amp;3-Bal'!F96</f>
        <v>0</v>
      </c>
      <c r="I29" s="85"/>
      <c r="J29" s="85">
        <f>'2&amp;3-Bal'!F97</f>
        <v>0</v>
      </c>
      <c r="K29" s="85"/>
      <c r="L29" s="85">
        <f>'2&amp;3-Bal'!F99</f>
        <v>0</v>
      </c>
      <c r="M29" s="77"/>
      <c r="N29" s="77"/>
      <c r="O29" s="77"/>
      <c r="P29" s="77"/>
      <c r="Q29" s="77"/>
      <c r="R29" s="77"/>
      <c r="S29" s="77"/>
      <c r="T29" s="77"/>
      <c r="U29" s="77"/>
      <c r="V29" s="77"/>
      <c r="W29" s="77"/>
      <c r="X29" s="77"/>
      <c r="Y29" s="77"/>
      <c r="Z29" s="77"/>
    </row>
    <row r="30" spans="1:27" ht="12" customHeight="1" collapsed="1" thickBot="1" x14ac:dyDescent="0.25">
      <c r="A30" s="165"/>
      <c r="B30" s="165"/>
      <c r="C30" s="165"/>
      <c r="D30" s="165"/>
      <c r="E30" s="165"/>
      <c r="F30" s="165"/>
      <c r="G30" s="165"/>
      <c r="H30" s="166"/>
      <c r="I30" s="166"/>
      <c r="J30" s="166"/>
      <c r="L30" s="166"/>
    </row>
    <row r="31" spans="1:27" ht="10.5" thickTop="1" x14ac:dyDescent="0.2"/>
    <row r="32" spans="1:27" ht="30" x14ac:dyDescent="0.2">
      <c r="A32" s="160" t="s">
        <v>1952</v>
      </c>
      <c r="H32" s="116" t="s">
        <v>1953</v>
      </c>
      <c r="I32" s="89"/>
      <c r="J32" s="116" t="s">
        <v>1954</v>
      </c>
      <c r="K32" s="89"/>
      <c r="L32" s="116" t="s">
        <v>1955</v>
      </c>
    </row>
    <row r="33" spans="1:27" s="146" customFormat="1" ht="12" customHeight="1" x14ac:dyDescent="0.2">
      <c r="B33" s="84"/>
      <c r="C33" s="77"/>
      <c r="D33" s="77"/>
      <c r="E33" s="77"/>
      <c r="F33" s="77"/>
      <c r="G33" s="92"/>
      <c r="H33" s="170"/>
      <c r="I33" s="171"/>
      <c r="J33" s="170"/>
      <c r="K33" s="116"/>
      <c r="L33" s="170"/>
      <c r="M33" s="77"/>
      <c r="N33" s="77"/>
      <c r="O33" s="77"/>
      <c r="P33" s="77"/>
      <c r="Q33" s="77"/>
      <c r="R33" s="77"/>
      <c r="S33" s="77"/>
      <c r="T33" s="77"/>
      <c r="U33" s="77"/>
      <c r="V33" s="77"/>
      <c r="W33" s="77"/>
      <c r="X33" s="77"/>
      <c r="Y33" s="77"/>
      <c r="Z33" s="77"/>
      <c r="AA33" s="77"/>
    </row>
    <row r="34" spans="1:27" s="146" customFormat="1" ht="12" customHeight="1" x14ac:dyDescent="0.2">
      <c r="A34" s="84" t="s">
        <v>1942</v>
      </c>
      <c r="B34" s="84"/>
      <c r="C34" s="77"/>
      <c r="D34" s="77"/>
      <c r="E34" s="77"/>
      <c r="F34" s="77"/>
      <c r="G34" s="94" t="s">
        <v>1734</v>
      </c>
      <c r="H34" s="168">
        <f>pynoncashbal</f>
        <v>0</v>
      </c>
      <c r="I34" s="172" t="s">
        <v>1734</v>
      </c>
      <c r="J34" s="168">
        <f>pyunrebal</f>
        <v>0</v>
      </c>
      <c r="K34" s="85"/>
      <c r="L34" s="168">
        <f>H34+J34</f>
        <v>0</v>
      </c>
      <c r="M34" s="77"/>
      <c r="N34" s="77"/>
      <c r="O34" s="77"/>
      <c r="P34" s="77"/>
      <c r="Q34" s="77"/>
      <c r="R34" s="77"/>
      <c r="S34" s="77"/>
      <c r="T34" s="77"/>
      <c r="U34" s="77"/>
      <c r="V34" s="77"/>
      <c r="W34" s="77"/>
      <c r="X34" s="77"/>
      <c r="Y34" s="77"/>
      <c r="Z34" s="77"/>
      <c r="AA34" s="77"/>
    </row>
    <row r="35" spans="1:27" s="146" customFormat="1" ht="12" customHeight="1" x14ac:dyDescent="0.2">
      <c r="A35" s="84"/>
      <c r="B35" s="84"/>
      <c r="C35" s="77"/>
      <c r="D35" s="77"/>
      <c r="E35" s="77"/>
      <c r="F35" s="77"/>
      <c r="G35" s="92"/>
      <c r="H35" s="77"/>
      <c r="I35" s="92"/>
      <c r="J35" s="77"/>
      <c r="K35" s="77"/>
      <c r="L35" s="77"/>
      <c r="M35" s="77"/>
      <c r="N35" s="77"/>
      <c r="O35" s="77"/>
      <c r="P35" s="77"/>
      <c r="Q35" s="77"/>
      <c r="R35" s="77"/>
      <c r="S35" s="77"/>
      <c r="T35" s="77"/>
      <c r="U35" s="77"/>
      <c r="V35" s="77"/>
      <c r="W35" s="77"/>
      <c r="X35" s="77"/>
      <c r="Y35" s="77"/>
      <c r="Z35" s="77"/>
      <c r="AA35" s="77"/>
    </row>
    <row r="36" spans="1:27" s="146" customFormat="1" ht="12" customHeight="1" x14ac:dyDescent="0.2">
      <c r="A36" s="84" t="s">
        <v>1943</v>
      </c>
      <c r="B36" s="84"/>
      <c r="C36" s="77"/>
      <c r="D36" s="77"/>
      <c r="E36" s="77"/>
      <c r="F36" s="77"/>
      <c r="G36" s="77"/>
      <c r="H36" s="85"/>
      <c r="I36" s="85"/>
      <c r="J36" s="85"/>
      <c r="K36" s="85"/>
      <c r="L36" s="85"/>
      <c r="M36" s="77"/>
      <c r="N36" s="77"/>
      <c r="O36" s="77"/>
      <c r="P36" s="77"/>
      <c r="Q36" s="77"/>
      <c r="R36" s="77"/>
      <c r="S36" s="77"/>
      <c r="T36" s="77"/>
      <c r="U36" s="77"/>
      <c r="V36" s="77"/>
      <c r="W36" s="77"/>
      <c r="X36" s="77"/>
      <c r="Y36" s="77"/>
      <c r="Z36" s="77"/>
      <c r="AA36" s="77"/>
    </row>
    <row r="37" spans="1:27" s="146" customFormat="1" ht="12" customHeight="1" x14ac:dyDescent="0.2">
      <c r="A37" s="100" t="s">
        <v>1956</v>
      </c>
      <c r="B37" s="100"/>
      <c r="C37" s="77"/>
      <c r="D37" s="77"/>
      <c r="E37" s="77"/>
      <c r="F37" s="77"/>
      <c r="G37" s="77"/>
      <c r="H37" s="110">
        <v>0</v>
      </c>
      <c r="I37" s="85"/>
      <c r="J37" s="110">
        <v>0</v>
      </c>
      <c r="K37" s="85"/>
      <c r="L37" s="168">
        <f t="shared" ref="L37:L43" si="1">H37+J37</f>
        <v>0</v>
      </c>
      <c r="M37" s="77"/>
      <c r="N37" s="77"/>
      <c r="O37" s="77"/>
      <c r="P37" s="77"/>
      <c r="Q37" s="77"/>
      <c r="R37" s="77"/>
      <c r="S37" s="77"/>
      <c r="T37" s="77"/>
      <c r="U37" s="77"/>
      <c r="V37" s="77"/>
      <c r="W37" s="77"/>
      <c r="X37" s="77"/>
      <c r="Y37" s="77"/>
      <c r="Z37" s="77"/>
    </row>
    <row r="38" spans="1:27" s="146" customFormat="1" ht="12" customHeight="1" x14ac:dyDescent="0.2">
      <c r="A38" s="100" t="s">
        <v>1957</v>
      </c>
      <c r="B38" s="100"/>
      <c r="C38" s="77"/>
      <c r="D38" s="77"/>
      <c r="E38" s="77"/>
      <c r="F38" s="77"/>
      <c r="G38" s="77"/>
      <c r="H38" s="110">
        <v>0</v>
      </c>
      <c r="I38" s="85"/>
      <c r="J38" s="110">
        <v>0</v>
      </c>
      <c r="K38" s="85"/>
      <c r="L38" s="168">
        <f t="shared" si="1"/>
        <v>0</v>
      </c>
      <c r="M38" s="77"/>
      <c r="N38" s="77"/>
      <c r="O38" s="77"/>
      <c r="P38" s="77"/>
      <c r="Q38" s="77"/>
      <c r="R38" s="77"/>
      <c r="S38" s="77"/>
      <c r="T38" s="77"/>
      <c r="U38" s="77"/>
      <c r="V38" s="77"/>
      <c r="W38" s="77"/>
      <c r="X38" s="77"/>
      <c r="Y38" s="77"/>
      <c r="Z38" s="77"/>
    </row>
    <row r="39" spans="1:27" s="146" customFormat="1" ht="12" customHeight="1" x14ac:dyDescent="0.2">
      <c r="A39" s="100" t="s">
        <v>1958</v>
      </c>
      <c r="B39" s="100"/>
      <c r="C39" s="77"/>
      <c r="D39" s="77"/>
      <c r="E39" s="77"/>
      <c r="F39" s="77"/>
      <c r="G39" s="77"/>
      <c r="H39" s="110">
        <v>0</v>
      </c>
      <c r="I39" s="85"/>
      <c r="J39" s="110">
        <v>0</v>
      </c>
      <c r="K39" s="85"/>
      <c r="L39" s="168">
        <f t="shared" si="1"/>
        <v>0</v>
      </c>
      <c r="M39" s="77"/>
      <c r="N39" s="77"/>
      <c r="O39" s="77"/>
      <c r="P39" s="77"/>
      <c r="Q39" s="77"/>
      <c r="R39" s="77"/>
      <c r="S39" s="77"/>
      <c r="T39" s="77"/>
      <c r="U39" s="77"/>
      <c r="V39" s="77"/>
      <c r="W39" s="77"/>
      <c r="X39" s="77"/>
      <c r="Y39" s="77"/>
      <c r="Z39" s="77"/>
    </row>
    <row r="40" spans="1:27" s="146" customFormat="1" ht="12" customHeight="1" x14ac:dyDescent="0.2">
      <c r="A40" s="100" t="s">
        <v>1959</v>
      </c>
      <c r="B40" s="743"/>
      <c r="C40" s="744"/>
      <c r="D40" s="744"/>
      <c r="E40" s="744"/>
      <c r="F40" s="745"/>
      <c r="G40" s="77"/>
      <c r="H40" s="110">
        <v>0</v>
      </c>
      <c r="I40" s="85"/>
      <c r="J40" s="110">
        <v>0</v>
      </c>
      <c r="K40" s="85"/>
      <c r="L40" s="168">
        <f t="shared" si="1"/>
        <v>0</v>
      </c>
      <c r="M40" s="77"/>
      <c r="N40" s="77"/>
      <c r="O40" s="77"/>
      <c r="P40" s="77"/>
      <c r="Q40" s="77"/>
      <c r="R40" s="77"/>
      <c r="S40" s="77"/>
      <c r="T40" s="77"/>
      <c r="U40" s="77"/>
      <c r="V40" s="77"/>
      <c r="W40" s="77"/>
      <c r="X40" s="77"/>
      <c r="Y40" s="77"/>
      <c r="Z40" s="77"/>
    </row>
    <row r="41" spans="1:27" s="146" customFormat="1" ht="12" customHeight="1" x14ac:dyDescent="0.2">
      <c r="A41" s="84" t="s">
        <v>1960</v>
      </c>
      <c r="B41" s="84"/>
      <c r="C41" s="77"/>
      <c r="D41" s="77"/>
      <c r="E41" s="77"/>
      <c r="F41" s="77"/>
      <c r="G41" s="77"/>
      <c r="H41" s="168">
        <f>SUM(H37:H40)</f>
        <v>0</v>
      </c>
      <c r="I41" s="85"/>
      <c r="J41" s="168">
        <f>SUM(J37:J40)</f>
        <v>0</v>
      </c>
      <c r="K41" s="85"/>
      <c r="L41" s="168">
        <f t="shared" si="1"/>
        <v>0</v>
      </c>
      <c r="M41" s="77"/>
      <c r="N41" s="77"/>
      <c r="O41" s="77"/>
      <c r="P41" s="77"/>
      <c r="Q41" s="77"/>
      <c r="R41" s="77"/>
      <c r="S41" s="77"/>
      <c r="T41" s="77"/>
      <c r="U41" s="77"/>
      <c r="V41" s="77"/>
      <c r="W41" s="77"/>
      <c r="X41" s="77"/>
      <c r="Y41" s="77"/>
      <c r="Z41" s="77"/>
      <c r="AA41" s="77"/>
    </row>
    <row r="42" spans="1:27" s="146" customFormat="1" ht="12" customHeight="1" x14ac:dyDescent="0.2">
      <c r="A42" s="84"/>
      <c r="B42" s="84"/>
      <c r="C42" s="77"/>
      <c r="D42" s="77"/>
      <c r="E42" s="77"/>
      <c r="F42" s="77"/>
      <c r="G42" s="77"/>
      <c r="H42" s="77"/>
      <c r="I42" s="85"/>
      <c r="J42" s="77"/>
      <c r="K42" s="85"/>
      <c r="L42" s="77"/>
      <c r="M42" s="77"/>
      <c r="N42" s="77"/>
      <c r="O42" s="77"/>
      <c r="P42" s="77"/>
      <c r="Q42" s="77"/>
      <c r="R42" s="77"/>
      <c r="S42" s="77"/>
      <c r="T42" s="77"/>
      <c r="U42" s="77"/>
      <c r="V42" s="77"/>
      <c r="W42" s="77"/>
      <c r="X42" s="77"/>
      <c r="Y42" s="77"/>
      <c r="Z42" s="77"/>
      <c r="AA42" s="77"/>
    </row>
    <row r="43" spans="1:27" s="146" customFormat="1" ht="12" customHeight="1" x14ac:dyDescent="0.2">
      <c r="A43" s="77" t="s">
        <v>1961</v>
      </c>
      <c r="B43" s="77"/>
      <c r="C43" s="77"/>
      <c r="D43" s="77"/>
      <c r="E43" s="77"/>
      <c r="F43" s="77"/>
      <c r="G43" s="77"/>
      <c r="H43" s="168">
        <f>H34+H41</f>
        <v>0</v>
      </c>
      <c r="I43" s="85"/>
      <c r="J43" s="168">
        <f>J34+J41</f>
        <v>0</v>
      </c>
      <c r="K43" s="85"/>
      <c r="L43" s="168">
        <f t="shared" si="1"/>
        <v>0</v>
      </c>
      <c r="M43" s="77"/>
      <c r="N43" s="77"/>
      <c r="O43" s="77"/>
      <c r="P43" s="77"/>
      <c r="Q43" s="77"/>
      <c r="R43" s="77"/>
      <c r="S43" s="77"/>
      <c r="T43" s="77"/>
      <c r="U43" s="77"/>
      <c r="V43" s="77"/>
      <c r="W43" s="77"/>
      <c r="X43" s="77"/>
      <c r="Y43" s="77"/>
      <c r="Z43" s="77"/>
      <c r="AA43" s="77"/>
    </row>
    <row r="44" spans="1:27" s="146" customFormat="1" ht="12" customHeight="1" x14ac:dyDescent="0.2">
      <c r="A44" s="77"/>
      <c r="B44" s="77"/>
      <c r="C44" s="77"/>
      <c r="D44" s="77"/>
      <c r="E44" s="77"/>
      <c r="F44" s="77"/>
      <c r="G44" s="77"/>
      <c r="H44" s="77"/>
      <c r="I44" s="85"/>
      <c r="J44" s="77"/>
      <c r="K44" s="85"/>
      <c r="L44" s="77"/>
      <c r="M44" s="77"/>
      <c r="N44" s="77"/>
      <c r="O44" s="77"/>
      <c r="P44" s="77"/>
      <c r="Q44" s="77"/>
      <c r="R44" s="77"/>
      <c r="S44" s="77"/>
      <c r="T44" s="77"/>
      <c r="U44" s="77"/>
      <c r="V44" s="77"/>
      <c r="W44" s="77"/>
      <c r="X44" s="77"/>
      <c r="Y44" s="77"/>
      <c r="Z44" s="77"/>
      <c r="AA44" s="77"/>
    </row>
    <row r="45" spans="1:27" s="146" customFormat="1" ht="12" customHeight="1" x14ac:dyDescent="0.2">
      <c r="A45" s="84" t="s">
        <v>1948</v>
      </c>
      <c r="B45" s="84"/>
      <c r="C45" s="77"/>
      <c r="D45" s="77"/>
      <c r="E45" s="77"/>
      <c r="F45" s="77"/>
      <c r="G45" s="77"/>
      <c r="H45" s="77"/>
      <c r="I45" s="85"/>
      <c r="J45" s="77"/>
      <c r="K45" s="85"/>
      <c r="L45" s="77"/>
      <c r="M45" s="77"/>
      <c r="N45" s="77"/>
      <c r="O45" s="77"/>
      <c r="P45" s="77"/>
      <c r="Q45" s="77"/>
      <c r="R45" s="77"/>
      <c r="S45" s="77"/>
      <c r="T45" s="77"/>
      <c r="U45" s="77"/>
      <c r="V45" s="77"/>
      <c r="W45" s="77"/>
      <c r="X45" s="77"/>
      <c r="Y45" s="77"/>
      <c r="Z45" s="77"/>
      <c r="AA45" s="77"/>
    </row>
    <row r="46" spans="1:27" s="146" customFormat="1" ht="12" customHeight="1" x14ac:dyDescent="0.2">
      <c r="A46" s="100" t="str">
        <f>VLOOKUP(AA46,FormTypeLabels[],2,FALSE)</f>
        <v xml:space="preserve">a. Cash Distributions </v>
      </c>
      <c r="B46" s="100"/>
      <c r="C46" s="77"/>
      <c r="D46" s="77"/>
      <c r="E46" s="77"/>
      <c r="F46" s="77"/>
      <c r="G46" s="77"/>
      <c r="H46" s="77"/>
      <c r="I46" s="85"/>
      <c r="J46" s="110"/>
      <c r="K46" s="85"/>
      <c r="L46" s="168">
        <f t="shared" ref="L46:L50" si="2">H46+J46</f>
        <v>0</v>
      </c>
      <c r="M46" s="77"/>
      <c r="N46" s="77"/>
      <c r="O46" s="77"/>
      <c r="P46" s="77"/>
      <c r="Q46" s="77"/>
      <c r="R46" s="77"/>
      <c r="S46" s="77"/>
      <c r="T46" s="77"/>
      <c r="U46" s="77"/>
      <c r="V46" s="77"/>
      <c r="W46" s="77"/>
      <c r="X46" s="77"/>
      <c r="Y46" s="77"/>
      <c r="Z46" s="77"/>
      <c r="AA46" s="112" t="s">
        <v>525</v>
      </c>
    </row>
    <row r="47" spans="1:27" s="146" customFormat="1" ht="12" customHeight="1" x14ac:dyDescent="0.2">
      <c r="A47" s="100" t="str">
        <f>VLOOKUP(AA47,FormTypeLabels[],2,FALSE)</f>
        <v xml:space="preserve">b. Distributions allocated but not paid </v>
      </c>
      <c r="B47" s="100"/>
      <c r="C47" s="77"/>
      <c r="D47" s="77"/>
      <c r="E47" s="77"/>
      <c r="F47" s="77"/>
      <c r="G47" s="77"/>
      <c r="H47" s="77"/>
      <c r="I47" s="85"/>
      <c r="J47" s="110"/>
      <c r="K47" s="85"/>
      <c r="L47" s="168">
        <f t="shared" si="2"/>
        <v>0</v>
      </c>
      <c r="M47" s="77"/>
      <c r="N47" s="77"/>
      <c r="O47" s="77"/>
      <c r="P47" s="77"/>
      <c r="Q47" s="77"/>
      <c r="R47" s="77"/>
      <c r="S47" s="77"/>
      <c r="T47" s="77"/>
      <c r="U47" s="77"/>
      <c r="V47" s="77"/>
      <c r="W47" s="77"/>
      <c r="X47" s="77"/>
      <c r="Y47" s="77"/>
      <c r="Z47" s="77"/>
      <c r="AA47" s="111" t="s">
        <v>533</v>
      </c>
    </row>
    <row r="48" spans="1:27" s="146" customFormat="1" ht="12" customHeight="1" x14ac:dyDescent="0.2">
      <c r="A48" s="100" t="str">
        <f>VLOOKUP(AA48,FormTypeLabels[],2,FALSE)</f>
        <v xml:space="preserve">c. In-Kind Distributions (at fair value) </v>
      </c>
      <c r="B48" s="100"/>
      <c r="C48" s="77"/>
      <c r="D48" s="77"/>
      <c r="E48" s="77"/>
      <c r="F48" s="77"/>
      <c r="G48" s="77"/>
      <c r="H48" s="110"/>
      <c r="I48" s="85"/>
      <c r="J48" s="110"/>
      <c r="K48" s="85"/>
      <c r="L48" s="168">
        <f t="shared" si="2"/>
        <v>0</v>
      </c>
      <c r="M48" s="77"/>
      <c r="N48" s="77"/>
      <c r="O48" s="77"/>
      <c r="P48" s="77"/>
      <c r="Q48" s="77"/>
      <c r="R48" s="77"/>
      <c r="S48" s="77"/>
      <c r="T48" s="77"/>
      <c r="U48" s="77"/>
      <c r="V48" s="77"/>
      <c r="W48" s="77"/>
      <c r="X48" s="77"/>
      <c r="Y48" s="77"/>
      <c r="Z48" s="77"/>
      <c r="AA48" s="112" t="s">
        <v>541</v>
      </c>
    </row>
    <row r="49" spans="1:27" s="146" customFormat="1" ht="12" customHeight="1" x14ac:dyDescent="0.2">
      <c r="A49" s="100" t="s">
        <v>1962</v>
      </c>
      <c r="B49" s="100"/>
      <c r="C49" s="77"/>
      <c r="D49" s="77"/>
      <c r="E49" s="77"/>
      <c r="F49" s="77"/>
      <c r="G49" s="77"/>
      <c r="H49" s="77"/>
      <c r="I49" s="85"/>
      <c r="J49" s="110"/>
      <c r="K49" s="85"/>
      <c r="L49" s="168">
        <f t="shared" si="2"/>
        <v>0</v>
      </c>
      <c r="M49" s="77"/>
      <c r="N49" s="77"/>
      <c r="O49" s="77"/>
      <c r="P49" s="77"/>
      <c r="Q49" s="77"/>
      <c r="R49" s="77"/>
      <c r="S49" s="77"/>
      <c r="T49" s="77"/>
      <c r="U49" s="77"/>
      <c r="V49" s="77"/>
      <c r="W49" s="77"/>
      <c r="X49" s="77"/>
      <c r="Y49" s="77"/>
      <c r="Z49" s="77"/>
      <c r="AA49" s="77"/>
    </row>
    <row r="50" spans="1:27" s="146" customFormat="1" ht="12" customHeight="1" x14ac:dyDescent="0.2">
      <c r="A50" s="100" t="s">
        <v>1963</v>
      </c>
      <c r="B50" s="743"/>
      <c r="C50" s="744"/>
      <c r="D50" s="744"/>
      <c r="E50" s="744"/>
      <c r="F50" s="745"/>
      <c r="G50" s="77"/>
      <c r="H50" s="110"/>
      <c r="I50" s="85"/>
      <c r="J50" s="110"/>
      <c r="K50" s="85"/>
      <c r="L50" s="168">
        <f t="shared" si="2"/>
        <v>0</v>
      </c>
      <c r="M50" s="77"/>
      <c r="N50" s="77"/>
      <c r="O50" s="77"/>
      <c r="P50" s="77"/>
      <c r="Q50" s="77"/>
      <c r="R50" s="77"/>
      <c r="S50" s="77"/>
      <c r="T50" s="77"/>
      <c r="U50" s="77"/>
      <c r="V50" s="77"/>
      <c r="W50" s="77"/>
      <c r="X50" s="77"/>
      <c r="Y50" s="77"/>
      <c r="Z50" s="77"/>
      <c r="AA50" s="77"/>
    </row>
    <row r="51" spans="1:27" s="146" customFormat="1" ht="12" customHeight="1" x14ac:dyDescent="0.2">
      <c r="A51" s="84" t="s">
        <v>1964</v>
      </c>
      <c r="B51" s="84"/>
      <c r="C51" s="77"/>
      <c r="D51" s="77"/>
      <c r="E51" s="77"/>
      <c r="F51" s="77"/>
      <c r="G51" s="77"/>
      <c r="H51" s="168">
        <f>SUM(H46:H50)</f>
        <v>0</v>
      </c>
      <c r="I51" s="85"/>
      <c r="J51" s="168">
        <f>SUM(J46:J50)</f>
        <v>0</v>
      </c>
      <c r="K51" s="85"/>
      <c r="L51" s="168">
        <f>H51+J51</f>
        <v>0</v>
      </c>
      <c r="M51" s="77"/>
      <c r="N51" s="77"/>
      <c r="O51" s="77"/>
      <c r="P51" s="77"/>
      <c r="Q51" s="77"/>
      <c r="R51" s="77"/>
      <c r="S51" s="77"/>
      <c r="T51" s="77"/>
      <c r="U51" s="77"/>
      <c r="V51" s="77"/>
      <c r="W51" s="77"/>
      <c r="X51" s="77"/>
      <c r="Y51" s="77"/>
      <c r="Z51" s="77"/>
      <c r="AA51" s="77"/>
    </row>
    <row r="52" spans="1:27" s="146" customFormat="1" ht="12" customHeight="1" x14ac:dyDescent="0.2">
      <c r="A52" s="84"/>
      <c r="B52" s="84"/>
      <c r="C52" s="77"/>
      <c r="D52" s="77"/>
      <c r="E52" s="77"/>
      <c r="F52" s="77"/>
      <c r="G52" s="77"/>
      <c r="H52" s="77"/>
      <c r="I52" s="85"/>
      <c r="J52" s="85"/>
      <c r="K52" s="85"/>
      <c r="L52" s="85"/>
      <c r="M52" s="77"/>
      <c r="N52" s="77"/>
      <c r="O52" s="77"/>
      <c r="P52" s="77"/>
      <c r="Q52" s="77"/>
      <c r="R52" s="77"/>
      <c r="S52" s="77"/>
      <c r="T52" s="77"/>
      <c r="U52" s="77"/>
      <c r="V52" s="77"/>
      <c r="W52" s="77"/>
      <c r="X52" s="77"/>
      <c r="Y52" s="77"/>
      <c r="Z52" s="77"/>
      <c r="AA52" s="77"/>
    </row>
    <row r="53" spans="1:27" s="146" customFormat="1" ht="12" customHeight="1" x14ac:dyDescent="0.2">
      <c r="A53" s="84" t="s">
        <v>1965</v>
      </c>
      <c r="B53" s="84"/>
      <c r="C53" s="77"/>
      <c r="D53" s="77"/>
      <c r="E53" s="77"/>
      <c r="F53" s="77"/>
      <c r="G53" s="77"/>
      <c r="H53" s="168">
        <f>H43-H51</f>
        <v>0</v>
      </c>
      <c r="I53" s="85"/>
      <c r="J53" s="168">
        <f>J43-J51</f>
        <v>0</v>
      </c>
      <c r="K53" s="85"/>
      <c r="L53" s="168">
        <f>L43-L51</f>
        <v>0</v>
      </c>
      <c r="M53" s="77"/>
      <c r="N53" s="77"/>
      <c r="O53" s="77"/>
      <c r="P53" s="77"/>
      <c r="Q53" s="77"/>
      <c r="R53" s="77"/>
      <c r="S53" s="77"/>
      <c r="T53" s="77"/>
      <c r="U53" s="77"/>
      <c r="V53" s="77"/>
      <c r="W53" s="77"/>
      <c r="X53" s="77"/>
      <c r="Y53" s="77"/>
      <c r="Z53" s="77"/>
      <c r="AA53" s="77"/>
    </row>
    <row r="54" spans="1:27" s="146" customFormat="1" ht="12" customHeight="1" x14ac:dyDescent="0.2">
      <c r="A54" s="84"/>
      <c r="B54" s="84"/>
      <c r="C54" s="77"/>
      <c r="D54" s="77"/>
      <c r="E54" s="77"/>
      <c r="F54" s="77"/>
      <c r="G54" s="77"/>
      <c r="H54" s="77"/>
      <c r="I54" s="85"/>
      <c r="J54" s="85"/>
      <c r="K54" s="85"/>
      <c r="L54" s="85"/>
      <c r="M54" s="85"/>
      <c r="N54" s="77"/>
      <c r="O54" s="77"/>
      <c r="P54" s="77"/>
      <c r="Q54" s="77"/>
      <c r="R54" s="77"/>
      <c r="S54" s="77"/>
      <c r="T54" s="77"/>
      <c r="U54" s="77"/>
      <c r="V54" s="77"/>
      <c r="W54" s="77"/>
      <c r="X54" s="77"/>
      <c r="Y54" s="77"/>
      <c r="Z54" s="77"/>
      <c r="AA54" s="77"/>
    </row>
    <row r="55" spans="1:27" s="146" customFormat="1" ht="12" customHeight="1" x14ac:dyDescent="0.2">
      <c r="A55" s="77" t="s">
        <v>1966</v>
      </c>
      <c r="B55" s="77"/>
      <c r="C55" s="77"/>
      <c r="D55" s="77"/>
      <c r="E55" s="77"/>
      <c r="F55" s="77"/>
      <c r="G55" s="77"/>
      <c r="H55" s="110">
        <v>0</v>
      </c>
      <c r="I55" s="85"/>
      <c r="J55" s="110">
        <v>0</v>
      </c>
      <c r="K55" s="85"/>
      <c r="L55" s="85"/>
      <c r="M55" s="77"/>
      <c r="N55" s="77"/>
      <c r="O55" s="77"/>
      <c r="P55" s="77"/>
      <c r="Q55" s="77"/>
      <c r="R55" s="77"/>
      <c r="S55" s="77"/>
      <c r="T55" s="77"/>
      <c r="U55" s="77"/>
      <c r="V55" s="77"/>
      <c r="W55" s="77"/>
      <c r="X55" s="77"/>
      <c r="Y55" s="77"/>
      <c r="Z55" s="77"/>
      <c r="AA55" s="77"/>
    </row>
    <row r="56" spans="1:27" s="146" customFormat="1" ht="12" customHeight="1" x14ac:dyDescent="0.2">
      <c r="A56" s="77"/>
      <c r="B56" s="77"/>
      <c r="C56" s="77"/>
      <c r="D56" s="77"/>
      <c r="E56" s="77"/>
      <c r="F56" s="77"/>
      <c r="G56" s="77"/>
      <c r="H56" s="77"/>
      <c r="I56" s="77"/>
      <c r="J56" s="77"/>
      <c r="K56" s="85"/>
      <c r="L56" s="85"/>
      <c r="M56" s="77"/>
      <c r="N56" s="77"/>
      <c r="O56" s="77"/>
      <c r="P56" s="77"/>
      <c r="Q56" s="77"/>
      <c r="R56" s="77"/>
      <c r="S56" s="77"/>
      <c r="T56" s="77"/>
      <c r="U56" s="77"/>
      <c r="V56" s="77"/>
      <c r="W56" s="77"/>
      <c r="X56" s="77"/>
      <c r="Y56" s="77"/>
      <c r="Z56" s="77"/>
    </row>
    <row r="57" spans="1:27" s="146" customFormat="1" ht="12" customHeight="1" x14ac:dyDescent="0.2">
      <c r="A57" s="84" t="s">
        <v>1967</v>
      </c>
      <c r="B57" s="84"/>
      <c r="C57" s="77"/>
      <c r="D57" s="77"/>
      <c r="E57" s="77"/>
      <c r="F57" s="77"/>
      <c r="G57" s="77"/>
      <c r="H57" s="168">
        <f>H53+H55</f>
        <v>0</v>
      </c>
      <c r="I57" s="85"/>
      <c r="J57" s="168">
        <f>J53+J55</f>
        <v>0</v>
      </c>
      <c r="K57" s="85"/>
      <c r="L57" s="168">
        <f>L53+L55</f>
        <v>0</v>
      </c>
      <c r="M57" s="77"/>
      <c r="N57" s="77"/>
      <c r="O57" s="77"/>
      <c r="P57" s="77"/>
      <c r="Q57" s="77"/>
      <c r="R57" s="77"/>
      <c r="S57" s="77"/>
      <c r="T57" s="77"/>
      <c r="U57" s="77"/>
      <c r="V57" s="77"/>
      <c r="W57" s="77"/>
      <c r="X57" s="77"/>
      <c r="Y57" s="77"/>
      <c r="Z57" s="77"/>
      <c r="AA57" s="77"/>
    </row>
    <row r="58" spans="1:27" s="146" customFormat="1" ht="12" hidden="1" customHeight="1" outlineLevel="1" x14ac:dyDescent="0.2">
      <c r="A58" s="164" t="str">
        <f>VLOOKUP(AA58,FormTypeLabels[],2,FALSE)</f>
        <v>Totals must agree with lines 50, 51, and 52, page 3</v>
      </c>
      <c r="B58" s="164"/>
      <c r="C58" s="144"/>
      <c r="D58" s="144"/>
      <c r="E58" s="144"/>
      <c r="F58" s="144"/>
      <c r="G58" s="144"/>
      <c r="H58" s="167">
        <f>'2&amp;3-Bal'!F102</f>
        <v>0</v>
      </c>
      <c r="I58" s="85"/>
      <c r="J58" s="167">
        <f>'2&amp;3-Bal'!F103</f>
        <v>0</v>
      </c>
      <c r="K58" s="85"/>
      <c r="L58" s="167">
        <f>'2&amp;3-Bal'!F107</f>
        <v>0</v>
      </c>
      <c r="M58" s="77"/>
      <c r="N58" s="77"/>
      <c r="O58" s="77"/>
      <c r="P58" s="77"/>
      <c r="Q58" s="77"/>
      <c r="R58" s="77"/>
      <c r="S58" s="77"/>
      <c r="T58" s="77"/>
      <c r="U58" s="77"/>
      <c r="V58" s="77"/>
      <c r="W58" s="77"/>
      <c r="X58" s="77"/>
      <c r="Y58" s="77"/>
      <c r="Z58" s="77"/>
      <c r="AA58" s="111" t="s">
        <v>549</v>
      </c>
    </row>
    <row r="59" spans="1:27" s="146" customFormat="1" ht="12" customHeight="1" collapsed="1" x14ac:dyDescent="0.2">
      <c r="A59" s="84"/>
      <c r="B59" s="84"/>
      <c r="C59" s="77"/>
      <c r="D59" s="77"/>
      <c r="E59" s="77"/>
      <c r="F59" s="77"/>
      <c r="G59" s="77"/>
      <c r="H59" s="85"/>
      <c r="I59" s="85"/>
      <c r="J59" s="85"/>
      <c r="K59" s="85"/>
      <c r="L59" s="85"/>
      <c r="M59" s="77"/>
      <c r="N59" s="77"/>
      <c r="O59" s="77"/>
      <c r="P59" s="77"/>
      <c r="Q59" s="77"/>
      <c r="R59" s="77"/>
      <c r="S59" s="77"/>
      <c r="T59" s="77"/>
      <c r="U59" s="77"/>
      <c r="V59" s="77"/>
      <c r="W59" s="77"/>
      <c r="X59" s="77"/>
      <c r="Y59" s="77"/>
      <c r="Z59" s="77"/>
      <c r="AA59" s="77"/>
    </row>
    <row r="60" spans="1:27" s="146" customFormat="1" ht="12" customHeight="1" x14ac:dyDescent="0.2">
      <c r="A60" s="84"/>
      <c r="B60" s="84"/>
      <c r="C60" s="77"/>
      <c r="D60" s="77"/>
      <c r="E60" s="77"/>
      <c r="F60" s="77"/>
      <c r="G60" s="77"/>
      <c r="H60" s="85"/>
      <c r="I60" s="85"/>
      <c r="J60" s="85"/>
      <c r="K60" s="85"/>
      <c r="L60" s="85"/>
      <c r="M60" s="77"/>
      <c r="N60" s="77"/>
      <c r="O60" s="77"/>
      <c r="P60" s="77"/>
      <c r="Q60" s="77"/>
      <c r="R60" s="77"/>
      <c r="S60" s="77"/>
      <c r="T60" s="77"/>
      <c r="U60" s="77"/>
      <c r="V60" s="77"/>
      <c r="W60" s="77"/>
      <c r="X60" s="77"/>
      <c r="Y60" s="77"/>
      <c r="Z60" s="77"/>
      <c r="AA60" s="77"/>
    </row>
  </sheetData>
  <mergeCells count="4">
    <mergeCell ref="B50:F50"/>
    <mergeCell ref="C15:F15"/>
    <mergeCell ref="C25:F25"/>
    <mergeCell ref="B40:F40"/>
  </mergeCells>
  <conditionalFormatting sqref="H16">
    <cfRule type="expression" dxfId="259" priority="8">
      <formula>formtype="P"</formula>
    </cfRule>
  </conditionalFormatting>
  <conditionalFormatting sqref="H16">
    <cfRule type="expression" dxfId="258" priority="9">
      <formula>formtype="C"</formula>
    </cfRule>
  </conditionalFormatting>
  <conditionalFormatting sqref="J16">
    <cfRule type="expression" dxfId="257" priority="4">
      <formula>formtype="P"</formula>
    </cfRule>
  </conditionalFormatting>
  <conditionalFormatting sqref="J16">
    <cfRule type="expression" dxfId="256" priority="5">
      <formula>formtype="C"</formula>
    </cfRule>
  </conditionalFormatting>
  <conditionalFormatting sqref="L16">
    <cfRule type="expression" dxfId="255" priority="2">
      <formula>formtype="P"</formula>
    </cfRule>
  </conditionalFormatting>
  <conditionalFormatting sqref="L16">
    <cfRule type="expression" dxfId="254" priority="3">
      <formula>formtype="C"</formula>
    </cfRule>
  </conditionalFormatting>
  <conditionalFormatting sqref="A7:A60">
    <cfRule type="expression" dxfId="253" priority="1">
      <formula>AND(AA7&lt;&gt;"",formtype="C",cdiff="X")</formula>
    </cfRule>
  </conditionalFormatting>
  <hyperlinks>
    <hyperlink ref="G34" location="pynoncashbal" display="*" xr:uid="{7CF230CC-BCAA-41A3-8A78-5D122221604F}"/>
    <hyperlink ref="I34" location="pyunrebal" display="*" xr:uid="{EF3F1C1F-A53C-49B1-8F8F-9FAA4B6C39BE}"/>
  </hyperlinks>
  <pageMargins left="0.5" right="0.5" top="0.5" bottom="0.5" header="0.3" footer="0.3"/>
  <pageSetup orientation="portrait" horizontalDpi="1200" verticalDpi="1200" r:id="rId1"/>
  <ignoredErrors>
    <ignoredError sqref="L16"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F572C-6BCD-440D-BA37-3ED4CD626D04}">
  <sheetPr codeName="Sheet12"/>
  <dimension ref="A1:AG71"/>
  <sheetViews>
    <sheetView topLeftCell="A5" workbookViewId="0">
      <selection activeCell="A14" sqref="A14"/>
    </sheetView>
  </sheetViews>
  <sheetFormatPr defaultColWidth="8.7265625" defaultRowHeight="13.15" customHeight="1" outlineLevelCol="1" x14ac:dyDescent="0.2"/>
  <cols>
    <col min="1" max="1" width="20.26953125" style="77" customWidth="1"/>
    <col min="2" max="2" width="8.7265625" style="77" bestFit="1" customWidth="1"/>
    <col min="3" max="3" width="4.81640625" style="77" customWidth="1"/>
    <col min="4" max="4" width="11.7265625" style="77" customWidth="1"/>
    <col min="5" max="5" width="19.26953125" style="77" customWidth="1"/>
    <col min="6" max="6" width="0.7265625" style="77" customWidth="1"/>
    <col min="7" max="7" width="9.7265625" style="85" customWidth="1"/>
    <col min="8" max="8" width="0.7265625" style="85" customWidth="1"/>
    <col min="9" max="9" width="10.7265625" style="85" customWidth="1"/>
    <col min="10" max="10" width="1.54296875" style="85" customWidth="1"/>
    <col min="11" max="11" width="12" style="85" customWidth="1"/>
    <col min="12" max="12" width="8.7265625" style="77"/>
    <col min="13" max="26" width="0" style="77" hidden="1" customWidth="1" outlineLevel="1"/>
    <col min="27" max="27" width="12.54296875" style="77" hidden="1" customWidth="1" collapsed="1"/>
    <col min="28" max="16384" width="8.7265625" style="77"/>
  </cols>
  <sheetData>
    <row r="1" spans="1:33" s="146" customFormat="1" ht="13.15" customHeight="1" x14ac:dyDescent="0.2">
      <c r="A1" s="73"/>
      <c r="B1" s="74"/>
      <c r="C1" s="74"/>
      <c r="D1" s="74"/>
      <c r="E1" s="75" t="s">
        <v>1968</v>
      </c>
      <c r="F1" s="75"/>
      <c r="G1" s="135"/>
      <c r="H1" s="135"/>
      <c r="I1" s="135"/>
      <c r="J1" s="135"/>
      <c r="K1" s="76" t="str">
        <f>'1-Cover'!$G$1</f>
        <v>OMB Approval No. 3245-0063</v>
      </c>
    </row>
    <row r="2" spans="1:33" s="146" customFormat="1" ht="13.15" customHeight="1" x14ac:dyDescent="0.2">
      <c r="A2" s="78"/>
      <c r="B2" s="77"/>
      <c r="C2" s="77"/>
      <c r="D2" s="77"/>
      <c r="E2" s="79" t="s">
        <v>3459</v>
      </c>
      <c r="F2" s="79"/>
      <c r="G2" s="85"/>
      <c r="H2" s="85"/>
      <c r="I2" s="85"/>
      <c r="J2" s="85"/>
      <c r="K2" s="80" t="str">
        <f>'1-Cover'!$G$2</f>
        <v>Expiration Date MM/DD/YYYY</v>
      </c>
      <c r="L2" s="77"/>
      <c r="M2" s="77"/>
      <c r="N2" s="77"/>
      <c r="O2" s="77"/>
      <c r="P2" s="77"/>
      <c r="Q2" s="77"/>
      <c r="R2" s="77"/>
      <c r="S2" s="77"/>
      <c r="T2" s="77"/>
      <c r="U2" s="77"/>
      <c r="V2" s="77"/>
      <c r="W2" s="77"/>
      <c r="X2" s="77"/>
      <c r="Y2" s="77"/>
      <c r="Z2" s="77"/>
      <c r="AA2" s="77"/>
      <c r="AB2" s="77"/>
      <c r="AC2" s="77"/>
      <c r="AD2" s="77"/>
      <c r="AE2" s="77"/>
      <c r="AF2" s="77"/>
      <c r="AG2" s="77"/>
    </row>
    <row r="3" spans="1:33" s="146" customFormat="1" ht="13.15" customHeight="1" x14ac:dyDescent="0.2">
      <c r="A3" s="78"/>
      <c r="B3" s="77"/>
      <c r="C3" s="77"/>
      <c r="D3" s="77"/>
      <c r="E3" s="79" t="str">
        <f>"FOR "&amp;Number_of_Months&amp;" MONTH PERIOD ENDED: "&amp;TEXT(Form468Date,"MM/DD/YYYY")</f>
        <v>FOR  MONTH PERIOD ENDED: 01/00/1900</v>
      </c>
      <c r="F3" s="79"/>
      <c r="G3" s="85"/>
      <c r="H3" s="85"/>
      <c r="I3" s="85"/>
      <c r="J3" s="85"/>
      <c r="K3" s="81"/>
      <c r="L3" s="77"/>
      <c r="M3" s="77"/>
      <c r="N3" s="77"/>
      <c r="O3" s="77"/>
      <c r="P3" s="77"/>
      <c r="Q3" s="77"/>
      <c r="R3" s="77"/>
      <c r="S3" s="77"/>
      <c r="T3" s="77"/>
      <c r="U3" s="77"/>
      <c r="V3" s="77"/>
      <c r="W3" s="77"/>
      <c r="X3" s="77"/>
      <c r="Y3" s="77"/>
      <c r="Z3" s="77"/>
      <c r="AA3" s="77"/>
      <c r="AB3" s="77"/>
      <c r="AC3" s="77"/>
      <c r="AD3" s="77"/>
      <c r="AE3" s="77"/>
      <c r="AF3" s="77"/>
      <c r="AG3" s="77"/>
    </row>
    <row r="4" spans="1:33" s="146" customFormat="1" ht="13.15" customHeight="1" x14ac:dyDescent="0.2">
      <c r="A4" s="78"/>
      <c r="B4" s="77"/>
      <c r="C4" s="77"/>
      <c r="D4" s="77"/>
      <c r="E4" s="79" t="s">
        <v>1726</v>
      </c>
      <c r="F4" s="79"/>
      <c r="G4" s="85"/>
      <c r="H4" s="85"/>
      <c r="I4" s="85"/>
      <c r="J4" s="85"/>
      <c r="K4" s="81"/>
      <c r="L4" s="77"/>
      <c r="M4" s="77"/>
      <c r="N4" s="77"/>
      <c r="O4" s="77"/>
      <c r="P4" s="77"/>
      <c r="Q4" s="77"/>
      <c r="R4" s="77"/>
      <c r="S4" s="77"/>
      <c r="T4" s="77"/>
      <c r="U4" s="77"/>
      <c r="V4" s="77"/>
      <c r="W4" s="77"/>
      <c r="X4" s="77"/>
      <c r="Y4" s="77"/>
      <c r="Z4" s="77"/>
      <c r="AA4" s="77"/>
      <c r="AB4" s="77"/>
      <c r="AC4" s="77"/>
      <c r="AD4" s="77"/>
      <c r="AE4" s="77"/>
      <c r="AF4" s="77"/>
      <c r="AG4" s="77"/>
    </row>
    <row r="5" spans="1:33" s="146" customFormat="1" ht="13.15" customHeight="1" x14ac:dyDescent="0.2">
      <c r="A5" s="121" t="str">
        <f>"Name of License:  "&amp;sbicname</f>
        <v xml:space="preserve">Name of License:  </v>
      </c>
      <c r="B5" s="122">
        <f>'7-PCap'!B4</f>
        <v>0</v>
      </c>
      <c r="C5" s="122"/>
      <c r="D5" s="140"/>
      <c r="E5" s="140"/>
      <c r="F5" s="140"/>
      <c r="G5" s="140"/>
      <c r="H5" s="140"/>
      <c r="I5" s="140"/>
      <c r="J5" s="140"/>
      <c r="K5" s="123" t="str">
        <f>"License no.:  "&amp;TEXT(licenseno,"00\/00\-0000")</f>
        <v>License no.:  00/00-0000</v>
      </c>
      <c r="L5" s="77"/>
      <c r="M5" s="77"/>
      <c r="N5" s="77"/>
      <c r="O5" s="77"/>
      <c r="P5" s="77"/>
      <c r="Q5" s="77"/>
      <c r="R5" s="77"/>
      <c r="S5" s="77"/>
      <c r="T5" s="77"/>
      <c r="U5" s="77"/>
      <c r="V5" s="77"/>
      <c r="W5" s="77"/>
      <c r="X5" s="77"/>
      <c r="Y5" s="77"/>
      <c r="Z5" s="77"/>
      <c r="AA5" s="77"/>
      <c r="AB5" s="77"/>
      <c r="AC5" s="77"/>
      <c r="AD5" s="77"/>
      <c r="AE5" s="77"/>
      <c r="AF5" s="77"/>
      <c r="AG5" s="77"/>
    </row>
    <row r="6" spans="1:33" s="146" customFormat="1" ht="13.15" customHeight="1" x14ac:dyDescent="0.2">
      <c r="A6" s="77"/>
      <c r="B6" s="77"/>
      <c r="C6" s="77"/>
      <c r="D6" s="77"/>
      <c r="E6" s="77"/>
      <c r="F6" s="77"/>
      <c r="G6" s="77"/>
      <c r="H6" s="77"/>
      <c r="I6" s="77"/>
      <c r="J6" s="77"/>
      <c r="K6" s="77"/>
      <c r="L6" s="77"/>
      <c r="M6" s="77"/>
      <c r="N6" s="77"/>
      <c r="O6" s="77"/>
      <c r="P6" s="77"/>
      <c r="Q6" s="77"/>
      <c r="R6" s="77"/>
      <c r="S6" s="77"/>
      <c r="T6" s="77"/>
      <c r="U6" s="77"/>
      <c r="V6" s="77"/>
      <c r="W6" s="77"/>
      <c r="X6" s="77"/>
      <c r="Y6" s="77"/>
      <c r="Z6" s="77"/>
      <c r="AA6" s="77"/>
      <c r="AB6" s="77"/>
      <c r="AC6" s="77"/>
      <c r="AD6" s="77"/>
      <c r="AE6" s="77"/>
      <c r="AF6" s="77"/>
      <c r="AG6" s="77"/>
    </row>
    <row r="7" spans="1:33" s="146" customFormat="1" ht="13.15" customHeight="1" x14ac:dyDescent="0.2">
      <c r="A7" s="84" t="s">
        <v>1969</v>
      </c>
      <c r="B7" s="77"/>
      <c r="C7" s="77"/>
      <c r="D7" s="77"/>
      <c r="E7" s="77"/>
      <c r="F7" s="77"/>
      <c r="G7" s="85"/>
      <c r="H7" s="85"/>
      <c r="I7" s="85"/>
      <c r="J7" s="85"/>
      <c r="K7" s="85"/>
      <c r="L7" s="77"/>
      <c r="M7" s="77"/>
      <c r="N7" s="77"/>
      <c r="O7" s="77"/>
      <c r="P7" s="77"/>
      <c r="Q7" s="77"/>
      <c r="R7" s="77"/>
      <c r="S7" s="77"/>
      <c r="T7" s="77"/>
      <c r="U7" s="77"/>
      <c r="V7" s="77"/>
      <c r="W7" s="77"/>
      <c r="X7" s="77"/>
      <c r="Y7" s="77"/>
      <c r="Z7" s="77"/>
      <c r="AA7" s="77"/>
      <c r="AB7" s="77"/>
      <c r="AC7" s="77"/>
      <c r="AD7" s="77"/>
      <c r="AE7" s="77"/>
      <c r="AF7" s="77"/>
      <c r="AG7" s="77"/>
    </row>
    <row r="8" spans="1:33" s="146" customFormat="1" ht="13.15" customHeight="1" x14ac:dyDescent="0.2">
      <c r="A8" s="100" t="s">
        <v>1970</v>
      </c>
      <c r="B8" s="77"/>
      <c r="C8" s="77"/>
      <c r="D8" s="77"/>
      <c r="E8" s="77"/>
      <c r="F8" s="77"/>
      <c r="G8" s="85"/>
      <c r="H8" s="85"/>
      <c r="I8" s="85"/>
      <c r="J8" s="85"/>
      <c r="K8" s="186">
        <f>cy_UNRE</f>
        <v>0</v>
      </c>
      <c r="L8" s="77"/>
      <c r="M8" s="77"/>
      <c r="N8" s="77"/>
      <c r="O8" s="77"/>
      <c r="P8" s="77"/>
      <c r="Q8" s="77"/>
      <c r="R8" s="77"/>
      <c r="S8" s="77"/>
      <c r="T8" s="77"/>
      <c r="U8" s="77"/>
      <c r="V8" s="77"/>
      <c r="W8" s="77"/>
      <c r="X8" s="77"/>
      <c r="Y8" s="77"/>
      <c r="Z8" s="77"/>
      <c r="AA8" s="77"/>
      <c r="AB8" s="77"/>
      <c r="AC8" s="77"/>
      <c r="AD8" s="77"/>
      <c r="AE8" s="77"/>
      <c r="AF8" s="77"/>
      <c r="AG8" s="77"/>
    </row>
    <row r="9" spans="1:33" s="146" customFormat="1" ht="13.15" customHeight="1" x14ac:dyDescent="0.2">
      <c r="A9" s="100" t="s">
        <v>1971</v>
      </c>
      <c r="B9" s="77"/>
      <c r="C9" s="77"/>
      <c r="D9" s="77"/>
      <c r="E9" s="77"/>
      <c r="F9" s="77"/>
      <c r="G9" s="85"/>
      <c r="H9" s="85"/>
      <c r="I9" s="85"/>
      <c r="J9" s="85"/>
      <c r="K9" s="186">
        <f>-S1AB!F13</f>
        <v>0</v>
      </c>
      <c r="L9" s="77"/>
      <c r="M9" s="77"/>
      <c r="N9" s="77"/>
      <c r="O9" s="77"/>
      <c r="P9" s="77"/>
      <c r="Q9" s="77"/>
      <c r="R9" s="77"/>
      <c r="S9" s="77"/>
      <c r="T9" s="77"/>
      <c r="U9" s="77"/>
      <c r="V9" s="77"/>
      <c r="W9" s="77"/>
      <c r="X9" s="77"/>
      <c r="Y9" s="77"/>
      <c r="Z9" s="77"/>
      <c r="AA9" s="77"/>
      <c r="AB9" s="77"/>
      <c r="AC9" s="77"/>
      <c r="AD9" s="77"/>
      <c r="AE9" s="77"/>
      <c r="AF9" s="77"/>
      <c r="AG9" s="77"/>
    </row>
    <row r="10" spans="1:33" s="146" customFormat="1" ht="13.15" customHeight="1" x14ac:dyDescent="0.2">
      <c r="A10" s="91" t="s">
        <v>1972</v>
      </c>
      <c r="B10" s="77"/>
      <c r="C10" s="77"/>
      <c r="D10" s="77"/>
      <c r="E10" s="77"/>
      <c r="F10" s="77"/>
      <c r="G10" s="85"/>
      <c r="H10" s="85"/>
      <c r="I10" s="85"/>
      <c r="J10" s="85"/>
      <c r="K10" s="186">
        <f>K8-K9</f>
        <v>0</v>
      </c>
      <c r="L10" s="77"/>
      <c r="M10" s="77"/>
      <c r="N10" s="77"/>
      <c r="O10" s="77"/>
      <c r="P10" s="77"/>
      <c r="Q10" s="77"/>
      <c r="R10" s="77"/>
      <c r="S10" s="77"/>
      <c r="T10" s="77"/>
      <c r="U10" s="77"/>
      <c r="V10" s="77"/>
      <c r="W10" s="77"/>
      <c r="X10" s="77"/>
      <c r="Y10" s="77"/>
      <c r="Z10" s="77"/>
      <c r="AA10" s="77"/>
      <c r="AB10" s="77"/>
      <c r="AC10" s="77"/>
      <c r="AD10" s="77"/>
      <c r="AE10" s="77"/>
      <c r="AF10" s="77"/>
      <c r="AG10" s="77"/>
    </row>
    <row r="11" spans="1:33" s="146" customFormat="1" ht="13.15" customHeight="1" thickBot="1" x14ac:dyDescent="0.25">
      <c r="A11" s="173"/>
      <c r="B11" s="165"/>
      <c r="C11" s="165"/>
      <c r="D11" s="165"/>
      <c r="E11" s="165"/>
      <c r="F11" s="165"/>
      <c r="G11" s="166"/>
      <c r="H11" s="166"/>
      <c r="I11" s="166"/>
      <c r="J11" s="166"/>
      <c r="K11" s="166"/>
      <c r="L11" s="77"/>
      <c r="M11" s="77"/>
      <c r="N11" s="77"/>
      <c r="O11" s="77"/>
      <c r="P11" s="77"/>
      <c r="Q11" s="77"/>
      <c r="R11" s="77"/>
      <c r="S11" s="77"/>
      <c r="T11" s="77"/>
      <c r="U11" s="77"/>
      <c r="V11" s="77"/>
      <c r="W11" s="77"/>
      <c r="X11" s="77"/>
      <c r="Y11" s="77"/>
      <c r="Z11" s="77"/>
      <c r="AA11" s="77"/>
      <c r="AB11" s="77"/>
      <c r="AC11" s="77"/>
      <c r="AD11" s="77"/>
      <c r="AE11" s="77"/>
      <c r="AF11" s="77"/>
      <c r="AG11" s="77"/>
    </row>
    <row r="12" spans="1:33" s="146" customFormat="1" ht="13.15" customHeight="1" thickTop="1" x14ac:dyDescent="0.2">
      <c r="A12" s="84" t="s">
        <v>1973</v>
      </c>
      <c r="B12" s="77"/>
      <c r="C12" s="77"/>
      <c r="D12" s="77"/>
      <c r="E12" s="77"/>
      <c r="F12" s="77"/>
      <c r="G12" s="85"/>
      <c r="H12" s="85"/>
      <c r="I12" s="85"/>
      <c r="J12" s="85"/>
      <c r="K12" s="85"/>
      <c r="L12" s="77"/>
      <c r="M12" s="77"/>
      <c r="N12" s="77"/>
      <c r="O12" s="77"/>
      <c r="P12" s="77"/>
      <c r="Q12" s="77"/>
      <c r="R12" s="77"/>
      <c r="S12" s="77"/>
      <c r="T12" s="77"/>
      <c r="U12" s="77"/>
      <c r="V12" s="77"/>
      <c r="W12" s="77"/>
      <c r="X12" s="77"/>
      <c r="Y12" s="77"/>
      <c r="Z12" s="77"/>
      <c r="AA12" s="77"/>
      <c r="AB12" s="77"/>
      <c r="AC12" s="77"/>
      <c r="AD12" s="77"/>
      <c r="AE12" s="77"/>
      <c r="AF12" s="77"/>
      <c r="AG12" s="77"/>
    </row>
    <row r="13" spans="1:33" s="146" customFormat="1" ht="13.15" customHeight="1" x14ac:dyDescent="0.2">
      <c r="A13" s="84"/>
      <c r="B13" s="77"/>
      <c r="C13" s="77"/>
      <c r="D13" s="77"/>
      <c r="E13" s="77"/>
      <c r="F13" s="77"/>
      <c r="G13" s="85"/>
      <c r="H13" s="85"/>
      <c r="I13" s="85"/>
      <c r="J13" s="85"/>
      <c r="K13" s="85"/>
      <c r="L13" s="77"/>
      <c r="M13" s="77"/>
      <c r="N13" s="77"/>
      <c r="O13" s="77"/>
      <c r="P13" s="77"/>
      <c r="Q13" s="77"/>
      <c r="R13" s="77"/>
      <c r="S13" s="77"/>
      <c r="T13" s="77"/>
      <c r="U13" s="77"/>
      <c r="V13" s="77"/>
      <c r="W13" s="77"/>
      <c r="X13" s="77"/>
      <c r="Y13" s="77"/>
      <c r="Z13" s="77"/>
      <c r="AA13" s="77"/>
      <c r="AB13" s="77"/>
      <c r="AC13" s="77"/>
      <c r="AD13" s="77"/>
      <c r="AE13" s="77"/>
      <c r="AF13" s="77"/>
      <c r="AG13" s="77"/>
    </row>
    <row r="14" spans="1:33" s="146" customFormat="1" ht="13.15" customHeight="1" x14ac:dyDescent="0.2">
      <c r="A14" s="100" t="str">
        <f>VLOOKUP(AA14,FormTypeLabels[],2,FALSE)</f>
        <v>1 Private Partners' Contributed Capital (line 47c, page 3)</v>
      </c>
      <c r="B14" s="77"/>
      <c r="C14" s="77"/>
      <c r="D14" s="77"/>
      <c r="E14" s="77"/>
      <c r="F14" s="77"/>
      <c r="G14" s="85"/>
      <c r="H14" s="85"/>
      <c r="I14" s="85"/>
      <c r="J14" s="85"/>
      <c r="K14" s="186">
        <f>cyprivcapbal</f>
        <v>0</v>
      </c>
      <c r="L14" s="77"/>
      <c r="M14" s="77"/>
      <c r="N14" s="77"/>
      <c r="O14" s="77"/>
      <c r="P14" s="77"/>
      <c r="Q14" s="77"/>
      <c r="R14" s="77"/>
      <c r="S14" s="77"/>
      <c r="T14" s="77"/>
      <c r="U14" s="77"/>
      <c r="V14" s="77"/>
      <c r="W14" s="77"/>
      <c r="X14" s="77"/>
      <c r="Y14" s="77"/>
      <c r="Z14" s="77"/>
      <c r="AA14" s="112" t="s">
        <v>557</v>
      </c>
      <c r="AB14" s="77"/>
      <c r="AC14" s="77"/>
      <c r="AD14" s="77"/>
      <c r="AE14" s="77"/>
      <c r="AF14" s="77"/>
      <c r="AG14" s="77"/>
    </row>
    <row r="15" spans="1:33" s="146" customFormat="1" ht="13.15" customHeight="1" x14ac:dyDescent="0.2">
      <c r="A15" s="100"/>
      <c r="B15" s="77"/>
      <c r="C15" s="77"/>
      <c r="D15" s="77"/>
      <c r="E15" s="77"/>
      <c r="F15" s="77"/>
      <c r="G15" s="85"/>
      <c r="H15" s="77"/>
      <c r="I15" s="77"/>
      <c r="J15" s="77"/>
      <c r="K15" s="77"/>
      <c r="L15" s="77"/>
      <c r="M15" s="77"/>
      <c r="N15" s="77"/>
      <c r="O15" s="77"/>
      <c r="P15" s="77"/>
      <c r="Q15" s="77"/>
      <c r="R15" s="77"/>
      <c r="S15" s="77"/>
      <c r="T15" s="77"/>
      <c r="U15" s="77"/>
      <c r="V15" s="77"/>
      <c r="W15" s="77"/>
      <c r="X15" s="77"/>
      <c r="Y15" s="77"/>
      <c r="Z15" s="77"/>
      <c r="AB15" s="77"/>
      <c r="AC15" s="77"/>
      <c r="AD15" s="77"/>
      <c r="AE15" s="77"/>
      <c r="AF15" s="77"/>
      <c r="AG15" s="77"/>
    </row>
    <row r="16" spans="1:33" s="146" customFormat="1" ht="13.15" customHeight="1" x14ac:dyDescent="0.2">
      <c r="A16" s="100" t="s">
        <v>1974</v>
      </c>
      <c r="B16" s="77"/>
      <c r="C16" s="77"/>
      <c r="D16" s="77"/>
      <c r="E16" s="77"/>
      <c r="F16" s="77"/>
      <c r="G16" s="85"/>
      <c r="H16" s="85"/>
      <c r="I16" s="85"/>
      <c r="J16" s="85"/>
      <c r="K16" s="85"/>
      <c r="L16" s="77"/>
      <c r="M16" s="77"/>
      <c r="N16" s="77"/>
      <c r="O16" s="77"/>
      <c r="P16" s="77"/>
      <c r="Q16" s="77"/>
      <c r="R16" s="77"/>
      <c r="S16" s="77"/>
      <c r="T16" s="77"/>
      <c r="U16" s="77"/>
      <c r="V16" s="77"/>
      <c r="W16" s="77"/>
      <c r="X16" s="77"/>
      <c r="Y16" s="77"/>
      <c r="Z16" s="77"/>
      <c r="AA16" s="77"/>
      <c r="AB16" s="77"/>
      <c r="AC16" s="77"/>
      <c r="AD16" s="77"/>
      <c r="AE16" s="77"/>
      <c r="AF16" s="77"/>
      <c r="AG16" s="77"/>
    </row>
    <row r="17" spans="1:33" s="146" customFormat="1" ht="13.15" customHeight="1" x14ac:dyDescent="0.2">
      <c r="A17" s="93" t="str">
        <f>VLOOKUP(AA17,FormTypeLabels[],2,FALSE)</f>
        <v>a. Unfunded binding commitments from Institutional Investors</v>
      </c>
      <c r="B17" s="77"/>
      <c r="C17" s="77"/>
      <c r="D17" s="77"/>
      <c r="E17" s="77"/>
      <c r="F17" s="77"/>
      <c r="G17" s="85"/>
      <c r="H17" s="85"/>
      <c r="I17" s="174">
        <v>0</v>
      </c>
      <c r="J17" s="85"/>
      <c r="K17" s="85"/>
      <c r="L17" s="77"/>
      <c r="M17" s="77"/>
      <c r="N17" s="77"/>
      <c r="O17" s="77"/>
      <c r="P17" s="77"/>
      <c r="Q17" s="77"/>
      <c r="R17" s="77"/>
      <c r="S17" s="77"/>
      <c r="T17" s="77"/>
      <c r="U17" s="77"/>
      <c r="V17" s="77"/>
      <c r="W17" s="77"/>
      <c r="X17" s="77"/>
      <c r="Y17" s="77"/>
      <c r="Z17" s="77"/>
      <c r="AA17" s="112" t="s">
        <v>564</v>
      </c>
      <c r="AB17" s="77"/>
      <c r="AC17" s="77"/>
      <c r="AD17" s="77"/>
      <c r="AE17" s="77"/>
      <c r="AF17" s="77"/>
      <c r="AG17" s="77"/>
    </row>
    <row r="18" spans="1:33" s="146" customFormat="1" ht="13.15" customHeight="1" x14ac:dyDescent="0.2">
      <c r="A18" s="93" t="str">
        <f>VLOOKUP(AA18,FormTypeLabels[],2,FALSE)</f>
        <v>b. Waived management fees credited as capital contributions</v>
      </c>
      <c r="B18" s="77"/>
      <c r="C18" s="77"/>
      <c r="D18" s="77"/>
      <c r="E18" s="77"/>
      <c r="F18" s="77"/>
      <c r="G18" s="85"/>
      <c r="H18" s="85"/>
      <c r="I18" s="174"/>
      <c r="J18" s="85"/>
      <c r="K18" s="85"/>
      <c r="L18" s="77"/>
      <c r="M18" s="77"/>
      <c r="N18" s="77"/>
      <c r="O18" s="77"/>
      <c r="P18" s="77"/>
      <c r="Q18" s="77"/>
      <c r="R18" s="77"/>
      <c r="S18" s="77"/>
      <c r="T18" s="77"/>
      <c r="U18" s="77"/>
      <c r="V18" s="77"/>
      <c r="W18" s="77"/>
      <c r="X18" s="77"/>
      <c r="Y18" s="77"/>
      <c r="Z18" s="77"/>
      <c r="AA18" s="111" t="s">
        <v>572</v>
      </c>
      <c r="AB18" s="77"/>
      <c r="AC18" s="77"/>
      <c r="AD18" s="77"/>
      <c r="AE18" s="77"/>
      <c r="AF18" s="77"/>
      <c r="AG18" s="77"/>
    </row>
    <row r="19" spans="1:33" s="146" customFormat="1" ht="13.15" customHeight="1" x14ac:dyDescent="0.2">
      <c r="A19" s="93" t="str">
        <f>VLOOKUP(AA19,FormTypeLabels[],2,FALSE)</f>
        <v>c.  Total Additions (Sum of Line 2a and 2b)</v>
      </c>
      <c r="B19" s="77"/>
      <c r="C19" s="77"/>
      <c r="D19" s="77"/>
      <c r="E19" s="77"/>
      <c r="F19" s="77"/>
      <c r="G19" s="77"/>
      <c r="H19" s="77"/>
      <c r="I19" s="77"/>
      <c r="J19" s="77"/>
      <c r="K19" s="186">
        <f>I18+I17</f>
        <v>0</v>
      </c>
      <c r="L19" s="77"/>
      <c r="M19" s="77"/>
      <c r="N19" s="77"/>
      <c r="O19" s="77"/>
      <c r="P19" s="77"/>
      <c r="Q19" s="77"/>
      <c r="R19" s="77"/>
      <c r="S19" s="77"/>
      <c r="T19" s="77"/>
      <c r="U19" s="77"/>
      <c r="V19" s="77"/>
      <c r="W19" s="77"/>
      <c r="X19" s="77"/>
      <c r="Y19" s="77"/>
      <c r="Z19" s="77"/>
      <c r="AA19" s="112" t="s">
        <v>579</v>
      </c>
      <c r="AB19" s="77"/>
      <c r="AC19" s="77"/>
      <c r="AD19" s="77"/>
      <c r="AE19" s="77"/>
      <c r="AF19" s="77"/>
      <c r="AG19" s="77"/>
    </row>
    <row r="20" spans="1:33" s="146" customFormat="1" ht="13.15" customHeight="1" x14ac:dyDescent="0.2">
      <c r="A20" s="91" t="s">
        <v>1975</v>
      </c>
      <c r="B20" s="77"/>
      <c r="C20" s="77"/>
      <c r="D20" s="77"/>
      <c r="E20" s="77"/>
      <c r="F20" s="77"/>
      <c r="G20" s="85"/>
      <c r="H20" s="85"/>
      <c r="I20" s="85"/>
      <c r="J20" s="85"/>
      <c r="K20" s="85"/>
      <c r="L20" s="77"/>
      <c r="M20" s="77"/>
      <c r="N20" s="77"/>
      <c r="O20" s="77"/>
      <c r="P20" s="77"/>
      <c r="Q20" s="77"/>
      <c r="R20" s="77"/>
      <c r="S20" s="77"/>
      <c r="T20" s="77"/>
      <c r="U20" s="77"/>
      <c r="V20" s="77"/>
      <c r="W20" s="77"/>
      <c r="X20" s="77"/>
      <c r="Y20" s="77"/>
      <c r="Z20" s="77"/>
      <c r="AB20" s="77"/>
      <c r="AC20" s="77"/>
      <c r="AD20" s="77"/>
      <c r="AE20" s="77"/>
      <c r="AF20" s="77"/>
      <c r="AG20" s="77"/>
    </row>
    <row r="21" spans="1:33" s="146" customFormat="1" ht="13.15" customHeight="1" x14ac:dyDescent="0.2">
      <c r="A21" s="93" t="s">
        <v>1976</v>
      </c>
      <c r="B21" s="77"/>
      <c r="C21" s="77"/>
      <c r="D21" s="77"/>
      <c r="E21" s="77"/>
      <c r="F21" s="77"/>
      <c r="G21" s="85"/>
      <c r="H21" s="85"/>
      <c r="I21" s="174"/>
      <c r="J21" s="85"/>
      <c r="K21" s="85"/>
      <c r="L21" s="77"/>
      <c r="M21" s="77"/>
      <c r="N21" s="77"/>
      <c r="O21" s="77"/>
      <c r="P21" s="77"/>
      <c r="Q21" s="77"/>
      <c r="R21" s="77"/>
      <c r="S21" s="77"/>
      <c r="T21" s="77"/>
      <c r="U21" s="77"/>
      <c r="V21" s="77"/>
      <c r="W21" s="77"/>
      <c r="X21" s="77"/>
      <c r="Y21" s="77"/>
      <c r="Z21" s="77"/>
      <c r="AB21" s="77"/>
      <c r="AC21" s="77"/>
      <c r="AD21" s="77"/>
      <c r="AE21" s="77"/>
      <c r="AF21" s="77"/>
      <c r="AG21" s="77"/>
    </row>
    <row r="22" spans="1:33" s="146" customFormat="1" ht="13.15" customHeight="1" x14ac:dyDescent="0.2">
      <c r="A22" s="93" t="str">
        <f>VLOOKUP(AA22,FormTypeLabels[],2,FALSE)</f>
        <v>b. Partnership interests Issued for Services</v>
      </c>
      <c r="B22" s="77"/>
      <c r="C22" s="77"/>
      <c r="D22" s="77"/>
      <c r="E22" s="77"/>
      <c r="F22" s="77"/>
      <c r="G22" s="85"/>
      <c r="H22" s="85"/>
      <c r="I22" s="174">
        <v>0</v>
      </c>
      <c r="J22" s="85"/>
      <c r="K22" s="85"/>
      <c r="L22" s="77"/>
      <c r="M22" s="77"/>
      <c r="N22" s="77"/>
      <c r="O22" s="77"/>
      <c r="P22" s="77"/>
      <c r="Q22" s="77"/>
      <c r="R22" s="77"/>
      <c r="S22" s="77"/>
      <c r="T22" s="77"/>
      <c r="U22" s="77"/>
      <c r="V22" s="77"/>
      <c r="W22" s="77"/>
      <c r="X22" s="77"/>
      <c r="Y22" s="77"/>
      <c r="Z22" s="77"/>
      <c r="AA22" s="111" t="s">
        <v>586</v>
      </c>
      <c r="AB22" s="77"/>
      <c r="AC22" s="77"/>
      <c r="AD22" s="77"/>
      <c r="AE22" s="77"/>
      <c r="AF22" s="77"/>
      <c r="AG22" s="77"/>
    </row>
    <row r="23" spans="1:33" s="146" customFormat="1" ht="13.15" customHeight="1" x14ac:dyDescent="0.2">
      <c r="A23" s="93" t="str">
        <f>VLOOKUP(AA23,FormTypeLabels[],2,FALSE)</f>
        <v>c. Partnership interests Issued for Non-cash Assets</v>
      </c>
      <c r="B23" s="175"/>
      <c r="C23" s="175"/>
      <c r="D23" s="175"/>
      <c r="E23" s="175"/>
      <c r="F23" s="175"/>
      <c r="G23" s="175"/>
      <c r="H23" s="85"/>
      <c r="I23" s="174">
        <v>0</v>
      </c>
      <c r="J23" s="85"/>
      <c r="K23" s="85"/>
      <c r="L23" s="77"/>
      <c r="M23" s="77"/>
      <c r="N23" s="77"/>
      <c r="O23" s="77"/>
      <c r="P23" s="77"/>
      <c r="Q23" s="77"/>
      <c r="R23" s="77"/>
      <c r="S23" s="77"/>
      <c r="T23" s="77"/>
      <c r="U23" s="77"/>
      <c r="V23" s="77"/>
      <c r="W23" s="77"/>
      <c r="X23" s="77"/>
      <c r="Y23" s="77"/>
      <c r="Z23" s="77"/>
      <c r="AA23" s="112" t="s">
        <v>594</v>
      </c>
      <c r="AB23" s="77"/>
      <c r="AC23" s="77"/>
      <c r="AD23" s="77"/>
      <c r="AE23" s="77"/>
      <c r="AF23" s="77"/>
      <c r="AG23" s="77"/>
    </row>
    <row r="24" spans="1:33" s="146" customFormat="1" ht="13.15" customHeight="1" x14ac:dyDescent="0.2">
      <c r="A24" s="93" t="s">
        <v>1977</v>
      </c>
      <c r="B24" s="175"/>
      <c r="C24" s="175"/>
      <c r="D24" s="175"/>
      <c r="E24" s="175"/>
      <c r="F24" s="175"/>
      <c r="G24" s="175"/>
      <c r="H24" s="85"/>
      <c r="I24" s="85"/>
      <c r="J24" s="85"/>
      <c r="K24" s="85"/>
      <c r="L24" s="77"/>
      <c r="M24" s="77"/>
      <c r="N24" s="77"/>
      <c r="O24" s="77"/>
      <c r="P24" s="77"/>
      <c r="Q24" s="77"/>
      <c r="R24" s="77"/>
      <c r="S24" s="77"/>
      <c r="T24" s="77"/>
      <c r="U24" s="77"/>
      <c r="V24" s="77"/>
      <c r="W24" s="77"/>
      <c r="X24" s="77"/>
      <c r="Y24" s="77"/>
      <c r="Z24" s="77"/>
      <c r="AB24" s="77"/>
      <c r="AC24" s="77"/>
      <c r="AD24" s="77"/>
      <c r="AE24" s="77"/>
      <c r="AF24" s="77"/>
      <c r="AG24" s="77"/>
    </row>
    <row r="25" spans="1:33" s="146" customFormat="1" ht="13.15" customHeight="1" x14ac:dyDescent="0.2">
      <c r="A25" s="93" t="str">
        <f>VLOOKUP(AA25,FormTypeLabels[],2,FALSE)</f>
        <v/>
      </c>
      <c r="I25" s="176"/>
      <c r="J25" s="85"/>
      <c r="K25" s="85"/>
      <c r="L25" s="77"/>
      <c r="M25" s="77"/>
      <c r="N25" s="77"/>
      <c r="O25" s="77"/>
      <c r="P25" s="77"/>
      <c r="Q25" s="77"/>
      <c r="R25" s="77"/>
      <c r="S25" s="77"/>
      <c r="T25" s="77"/>
      <c r="U25" s="77"/>
      <c r="V25" s="77"/>
      <c r="W25" s="77"/>
      <c r="X25" s="77"/>
      <c r="Y25" s="77"/>
      <c r="Z25" s="77"/>
      <c r="AA25" s="111" t="s">
        <v>602</v>
      </c>
      <c r="AB25" s="77"/>
      <c r="AC25" s="77"/>
      <c r="AD25" s="77"/>
      <c r="AE25" s="77"/>
      <c r="AF25" s="77"/>
      <c r="AG25" s="77"/>
    </row>
    <row r="26" spans="1:33" s="146" customFormat="1" ht="13.15" customHeight="1" x14ac:dyDescent="0.2">
      <c r="A26" s="93" t="str">
        <f>VLOOKUP(AA26,FormTypeLabels[],2,FALSE)</f>
        <v>d. Other credits (specify)</v>
      </c>
      <c r="B26" s="77"/>
      <c r="C26" s="749"/>
      <c r="D26" s="750"/>
      <c r="E26" s="750"/>
      <c r="F26" s="750"/>
      <c r="G26" s="751"/>
      <c r="H26" s="85"/>
      <c r="I26" s="174">
        <v>0</v>
      </c>
      <c r="J26" s="85"/>
      <c r="K26" s="85"/>
      <c r="L26" s="77"/>
      <c r="M26" s="77"/>
      <c r="N26" s="77"/>
      <c r="O26" s="77"/>
      <c r="P26" s="77"/>
      <c r="Q26" s="77"/>
      <c r="R26" s="77"/>
      <c r="S26" s="77"/>
      <c r="T26" s="77"/>
      <c r="U26" s="77"/>
      <c r="V26" s="77"/>
      <c r="W26" s="77"/>
      <c r="X26" s="77"/>
      <c r="Y26" s="77"/>
      <c r="Z26" s="77"/>
      <c r="AA26" s="112" t="s">
        <v>609</v>
      </c>
      <c r="AB26" s="77"/>
      <c r="AC26" s="77"/>
      <c r="AD26" s="77"/>
      <c r="AE26" s="77"/>
      <c r="AF26" s="77"/>
      <c r="AG26" s="77"/>
    </row>
    <row r="27" spans="1:33" s="146" customFormat="1" ht="13.15" customHeight="1" x14ac:dyDescent="0.2">
      <c r="A27" s="100" t="s">
        <v>1978</v>
      </c>
      <c r="B27" s="77"/>
      <c r="C27" s="77"/>
      <c r="D27" s="77"/>
      <c r="E27" s="77"/>
      <c r="F27" s="77"/>
      <c r="G27" s="85"/>
      <c r="H27" s="85"/>
      <c r="I27" s="85"/>
      <c r="J27" s="85"/>
      <c r="K27" s="186">
        <f>SUM(I21:I26)</f>
        <v>0</v>
      </c>
      <c r="L27" s="77"/>
      <c r="M27" s="77"/>
      <c r="N27" s="77"/>
      <c r="O27" s="77"/>
      <c r="P27" s="77"/>
      <c r="Q27" s="77"/>
      <c r="R27" s="77"/>
      <c r="S27" s="77"/>
      <c r="T27" s="77"/>
      <c r="U27" s="77"/>
      <c r="V27" s="77"/>
      <c r="W27" s="77"/>
      <c r="X27" s="77"/>
      <c r="Y27" s="77"/>
      <c r="Z27" s="77"/>
      <c r="AB27" s="77"/>
      <c r="AC27" s="77"/>
      <c r="AD27" s="77"/>
      <c r="AE27" s="77"/>
      <c r="AF27" s="77"/>
      <c r="AG27" s="77"/>
    </row>
    <row r="28" spans="1:33" s="146" customFormat="1" ht="13.15" customHeight="1" x14ac:dyDescent="0.2">
      <c r="A28" s="100"/>
      <c r="B28" s="77"/>
      <c r="C28" s="77"/>
      <c r="D28" s="77"/>
      <c r="E28" s="77"/>
      <c r="F28" s="77"/>
      <c r="G28" s="85"/>
      <c r="H28" s="85"/>
      <c r="I28" s="85"/>
      <c r="J28" s="85"/>
      <c r="K28" s="85"/>
      <c r="L28" s="85"/>
      <c r="M28" s="77"/>
      <c r="N28" s="77"/>
      <c r="O28" s="77"/>
      <c r="P28" s="77"/>
      <c r="Q28" s="77"/>
      <c r="R28" s="77"/>
      <c r="S28" s="77"/>
      <c r="T28" s="77"/>
      <c r="U28" s="77"/>
      <c r="V28" s="77"/>
      <c r="W28" s="77"/>
      <c r="X28" s="77"/>
      <c r="Y28" s="77"/>
      <c r="Z28" s="77"/>
      <c r="AA28" s="77"/>
      <c r="AB28" s="77"/>
      <c r="AC28" s="77"/>
      <c r="AD28" s="77"/>
      <c r="AE28" s="77"/>
      <c r="AF28" s="77"/>
      <c r="AG28" s="77"/>
    </row>
    <row r="29" spans="1:33" s="146" customFormat="1" ht="13.15" customHeight="1" x14ac:dyDescent="0.2">
      <c r="A29" s="100" t="s">
        <v>1979</v>
      </c>
      <c r="B29" s="77"/>
      <c r="C29" s="77"/>
      <c r="D29" s="77"/>
      <c r="E29" s="717"/>
      <c r="F29" s="718"/>
      <c r="G29" s="719"/>
      <c r="H29" s="85"/>
      <c r="I29" s="85"/>
      <c r="J29" s="85"/>
      <c r="K29" s="174">
        <v>0</v>
      </c>
      <c r="L29" s="77"/>
      <c r="M29" s="77"/>
      <c r="N29" s="77"/>
      <c r="O29" s="77"/>
      <c r="P29" s="77"/>
      <c r="Q29" s="77"/>
      <c r="R29" s="77"/>
      <c r="S29" s="77"/>
      <c r="T29" s="77"/>
      <c r="U29" s="77"/>
      <c r="V29" s="77"/>
      <c r="W29" s="77"/>
      <c r="X29" s="77"/>
      <c r="Y29" s="77"/>
      <c r="Z29" s="77"/>
      <c r="AA29" s="77"/>
      <c r="AB29" s="77"/>
      <c r="AC29" s="77"/>
      <c r="AD29" s="77"/>
      <c r="AE29" s="77"/>
      <c r="AF29" s="77"/>
      <c r="AG29" s="77"/>
    </row>
    <row r="30" spans="1:33" s="146" customFormat="1" ht="13.15" customHeight="1" x14ac:dyDescent="0.2">
      <c r="A30" s="100"/>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row>
    <row r="31" spans="1:33" s="146" customFormat="1" ht="13.15" customHeight="1" x14ac:dyDescent="0.2">
      <c r="A31" s="91" t="s">
        <v>1980</v>
      </c>
      <c r="B31" s="77"/>
      <c r="C31" s="77"/>
      <c r="D31" s="77"/>
      <c r="E31" s="77"/>
      <c r="F31" s="77"/>
      <c r="G31" s="85"/>
      <c r="H31" s="85"/>
      <c r="I31" s="85"/>
      <c r="J31" s="85"/>
      <c r="K31" s="186">
        <f>K14+K19+K27+K29</f>
        <v>0</v>
      </c>
      <c r="L31" s="77"/>
      <c r="M31" s="77"/>
      <c r="N31" s="77"/>
      <c r="O31" s="77"/>
      <c r="P31" s="77"/>
      <c r="Q31" s="77"/>
      <c r="R31" s="77"/>
      <c r="S31" s="77"/>
      <c r="T31" s="77"/>
      <c r="U31" s="77"/>
      <c r="V31" s="77"/>
      <c r="W31" s="77"/>
      <c r="X31" s="77"/>
      <c r="Y31" s="77"/>
      <c r="Z31" s="77"/>
      <c r="AA31" s="77"/>
      <c r="AB31" s="77"/>
      <c r="AC31" s="77"/>
      <c r="AD31" s="77"/>
      <c r="AE31" s="77"/>
      <c r="AF31" s="77"/>
      <c r="AG31" s="77"/>
    </row>
    <row r="32" spans="1:33" s="146" customFormat="1" ht="13.15" customHeight="1" x14ac:dyDescent="0.2">
      <c r="A32" s="77"/>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row>
    <row r="33" spans="1:33" s="146" customFormat="1" ht="13.15" customHeight="1" x14ac:dyDescent="0.2">
      <c r="A33" s="91" t="s">
        <v>1981</v>
      </c>
      <c r="B33" s="77"/>
      <c r="C33" s="77"/>
      <c r="D33" s="77"/>
      <c r="E33" s="77"/>
      <c r="F33" s="77"/>
      <c r="G33" s="85"/>
      <c r="H33" s="85"/>
      <c r="I33" s="85"/>
      <c r="J33" s="85"/>
      <c r="K33" s="186">
        <f>PI_UnfundCommit</f>
        <v>0</v>
      </c>
      <c r="L33" s="77"/>
      <c r="M33" s="77"/>
      <c r="N33" s="77"/>
      <c r="O33" s="77"/>
      <c r="P33" s="77"/>
      <c r="Q33" s="77"/>
      <c r="R33" s="77"/>
      <c r="S33" s="77"/>
      <c r="T33" s="77"/>
      <c r="U33" s="77"/>
      <c r="V33" s="77"/>
      <c r="W33" s="77"/>
      <c r="X33" s="77"/>
      <c r="Y33" s="77"/>
      <c r="Z33" s="77"/>
      <c r="AA33" s="77"/>
      <c r="AB33" s="77"/>
      <c r="AC33" s="77"/>
      <c r="AD33" s="77"/>
      <c r="AE33" s="77"/>
      <c r="AF33" s="77"/>
      <c r="AG33" s="77"/>
    </row>
    <row r="34" spans="1:33" s="146" customFormat="1" ht="13.15" customHeight="1" x14ac:dyDescent="0.2">
      <c r="A34" s="100" t="s">
        <v>1982</v>
      </c>
      <c r="B34" s="77"/>
      <c r="C34" s="77"/>
      <c r="D34" s="77"/>
      <c r="E34" s="77"/>
      <c r="F34" s="77"/>
      <c r="G34" s="85"/>
      <c r="H34" s="85"/>
      <c r="I34" s="85"/>
      <c r="J34" s="85"/>
      <c r="K34" s="174">
        <v>0</v>
      </c>
      <c r="L34" s="77"/>
      <c r="M34" s="77"/>
      <c r="N34" s="77"/>
      <c r="O34" s="77"/>
      <c r="P34" s="77"/>
      <c r="Q34" s="77"/>
      <c r="R34" s="77"/>
      <c r="S34" s="77"/>
      <c r="T34" s="77"/>
      <c r="U34" s="77"/>
      <c r="V34" s="77"/>
      <c r="W34" s="77"/>
      <c r="X34" s="77"/>
      <c r="Y34" s="77"/>
      <c r="Z34" s="77"/>
      <c r="AA34" s="77"/>
      <c r="AB34" s="77"/>
      <c r="AC34" s="77"/>
      <c r="AD34" s="77"/>
      <c r="AE34" s="77"/>
      <c r="AF34" s="77"/>
      <c r="AG34" s="77"/>
    </row>
    <row r="35" spans="1:33" s="146" customFormat="1" ht="13.15" customHeight="1" x14ac:dyDescent="0.2">
      <c r="A35" s="100" t="s">
        <v>1983</v>
      </c>
      <c r="B35" s="77"/>
      <c r="C35" s="177"/>
      <c r="D35" s="746"/>
      <c r="E35" s="747"/>
      <c r="F35" s="747"/>
      <c r="G35" s="748"/>
      <c r="H35" s="85"/>
      <c r="I35" s="85"/>
      <c r="J35" s="85"/>
      <c r="K35" s="174">
        <v>0</v>
      </c>
      <c r="L35" s="77"/>
      <c r="M35" s="77"/>
      <c r="N35" s="77"/>
      <c r="O35" s="77"/>
      <c r="P35" s="77"/>
      <c r="Q35" s="77"/>
      <c r="R35" s="77"/>
      <c r="S35" s="77"/>
      <c r="T35" s="77"/>
      <c r="U35" s="77"/>
      <c r="V35" s="77"/>
      <c r="W35" s="77"/>
      <c r="X35" s="77"/>
      <c r="Y35" s="77"/>
      <c r="Z35" s="77"/>
      <c r="AA35" s="77"/>
      <c r="AB35" s="77"/>
      <c r="AC35" s="77"/>
      <c r="AD35" s="77"/>
      <c r="AE35" s="77"/>
      <c r="AF35" s="77"/>
      <c r="AG35" s="77"/>
    </row>
    <row r="36" spans="1:33" s="146" customFormat="1" ht="13.15" customHeight="1" x14ac:dyDescent="0.2">
      <c r="A36" s="100"/>
      <c r="B36" s="77"/>
      <c r="C36" s="77"/>
      <c r="D36" s="77"/>
      <c r="E36" s="77"/>
      <c r="F36" s="77"/>
      <c r="G36" s="85"/>
      <c r="H36" s="85"/>
      <c r="I36" s="85"/>
      <c r="J36" s="85"/>
      <c r="K36" s="85"/>
      <c r="L36" s="77"/>
      <c r="M36" s="77"/>
      <c r="N36" s="77"/>
      <c r="O36" s="77"/>
      <c r="P36" s="77"/>
      <c r="Q36" s="77"/>
      <c r="R36" s="77"/>
      <c r="S36" s="77"/>
      <c r="T36" s="77"/>
      <c r="U36" s="77"/>
      <c r="V36" s="77"/>
      <c r="W36" s="77"/>
      <c r="X36" s="77"/>
      <c r="Y36" s="77"/>
      <c r="Z36" s="77"/>
      <c r="AA36" s="77"/>
      <c r="AB36" s="77"/>
      <c r="AC36" s="77"/>
      <c r="AD36" s="77"/>
      <c r="AE36" s="77"/>
      <c r="AF36" s="77"/>
      <c r="AG36" s="77"/>
    </row>
    <row r="37" spans="1:33" s="146" customFormat="1" ht="13.15" customHeight="1" x14ac:dyDescent="0.2">
      <c r="A37" s="91" t="s">
        <v>1984</v>
      </c>
      <c r="B37" s="77"/>
      <c r="C37" s="77"/>
      <c r="D37" s="77"/>
      <c r="E37" s="77"/>
      <c r="F37" s="77"/>
      <c r="G37" s="85"/>
      <c r="H37" s="85"/>
      <c r="I37" s="85"/>
      <c r="J37" s="85"/>
      <c r="K37" s="186">
        <f>K31-ABS(K33)-ABS(K34)-ABS(K35)</f>
        <v>0</v>
      </c>
      <c r="L37" s="77"/>
      <c r="M37" s="77"/>
      <c r="N37" s="77"/>
      <c r="O37" s="77"/>
      <c r="P37" s="77"/>
      <c r="Q37" s="77"/>
      <c r="R37" s="77"/>
      <c r="S37" s="77"/>
      <c r="T37" s="77"/>
      <c r="U37" s="77"/>
      <c r="V37" s="77"/>
      <c r="W37" s="77"/>
      <c r="X37" s="77"/>
      <c r="Y37" s="77"/>
      <c r="Z37" s="77"/>
      <c r="AA37" s="77"/>
      <c r="AB37" s="77"/>
      <c r="AC37" s="77"/>
      <c r="AD37" s="77"/>
      <c r="AE37" s="77"/>
      <c r="AF37" s="77"/>
      <c r="AG37" s="77"/>
    </row>
    <row r="38" spans="1:33" s="146" customFormat="1" ht="13.15" customHeight="1" thickBot="1" x14ac:dyDescent="0.25">
      <c r="A38" s="173"/>
      <c r="B38" s="165"/>
      <c r="C38" s="165"/>
      <c r="D38" s="165"/>
      <c r="E38" s="165"/>
      <c r="F38" s="165"/>
      <c r="G38" s="166"/>
      <c r="H38" s="166"/>
      <c r="I38" s="166"/>
      <c r="J38" s="166"/>
      <c r="K38" s="166"/>
      <c r="L38" s="77"/>
      <c r="M38" s="77"/>
      <c r="N38" s="77"/>
      <c r="O38" s="77"/>
      <c r="P38" s="77"/>
      <c r="Q38" s="77"/>
      <c r="R38" s="77"/>
      <c r="S38" s="77"/>
      <c r="T38" s="77"/>
      <c r="U38" s="77"/>
      <c r="V38" s="77"/>
      <c r="W38" s="77"/>
      <c r="X38" s="77"/>
      <c r="Y38" s="77"/>
      <c r="Z38" s="77"/>
      <c r="AA38" s="77"/>
      <c r="AB38" s="77"/>
      <c r="AC38" s="77"/>
      <c r="AD38" s="77"/>
      <c r="AE38" s="77"/>
      <c r="AF38" s="77"/>
      <c r="AG38" s="77"/>
    </row>
    <row r="39" spans="1:33" s="177" customFormat="1" ht="12.75" hidden="1" customHeight="1" thickTop="1" x14ac:dyDescent="0.2">
      <c r="A39" s="178" t="s">
        <v>1985</v>
      </c>
      <c r="G39" s="179"/>
      <c r="H39" s="179"/>
      <c r="I39" s="179"/>
      <c r="J39" s="179"/>
      <c r="K39" s="179"/>
    </row>
    <row r="40" spans="1:33" s="177" customFormat="1" ht="12" hidden="1" customHeight="1" x14ac:dyDescent="0.2">
      <c r="A40" s="178" t="s">
        <v>1986</v>
      </c>
      <c r="G40" s="179"/>
      <c r="H40" s="179"/>
      <c r="I40" s="179"/>
      <c r="J40" s="179"/>
      <c r="K40" s="179"/>
    </row>
    <row r="41" spans="1:33" s="177" customFormat="1" ht="12" hidden="1" customHeight="1" x14ac:dyDescent="0.2">
      <c r="A41" s="180" t="s">
        <v>1987</v>
      </c>
      <c r="B41" s="181">
        <f>Form468Date</f>
        <v>0</v>
      </c>
      <c r="G41" s="179"/>
      <c r="H41" s="179"/>
      <c r="I41" s="179"/>
      <c r="J41" s="179"/>
      <c r="K41" s="179"/>
    </row>
    <row r="42" spans="1:33" s="177" customFormat="1" ht="12" hidden="1" customHeight="1" x14ac:dyDescent="0.2">
      <c r="A42" s="178"/>
      <c r="G42" s="179"/>
      <c r="H42" s="179"/>
      <c r="I42" s="179"/>
      <c r="J42" s="179"/>
      <c r="K42" s="179"/>
    </row>
    <row r="43" spans="1:33" s="177" customFormat="1" ht="12" hidden="1" customHeight="1" x14ac:dyDescent="0.2">
      <c r="A43" s="182" t="s">
        <v>1988</v>
      </c>
      <c r="G43" s="179"/>
      <c r="H43" s="179"/>
      <c r="I43" s="179"/>
      <c r="J43" s="179"/>
      <c r="K43" s="183"/>
    </row>
    <row r="44" spans="1:33" s="177" customFormat="1" ht="12" hidden="1" customHeight="1" x14ac:dyDescent="0.2">
      <c r="A44" s="182" t="s">
        <v>1989</v>
      </c>
      <c r="G44" s="179"/>
      <c r="H44" s="179"/>
      <c r="I44" s="179"/>
      <c r="J44" s="179"/>
      <c r="K44" s="183"/>
    </row>
    <row r="45" spans="1:33" s="177" customFormat="1" ht="12" hidden="1" customHeight="1" x14ac:dyDescent="0.2">
      <c r="A45" s="182" t="s">
        <v>1990</v>
      </c>
      <c r="G45" s="179"/>
      <c r="H45" s="179"/>
      <c r="I45" s="179"/>
      <c r="J45" s="179"/>
      <c r="K45" s="183"/>
    </row>
    <row r="46" spans="1:33" s="177" customFormat="1" ht="12" hidden="1" customHeight="1" x14ac:dyDescent="0.2">
      <c r="A46" s="182" t="s">
        <v>1991</v>
      </c>
      <c r="B46" s="178"/>
      <c r="C46" s="178"/>
      <c r="D46" s="178"/>
      <c r="E46" s="178"/>
      <c r="F46" s="178"/>
      <c r="G46" s="184"/>
      <c r="H46" s="184"/>
      <c r="I46" s="179"/>
      <c r="J46" s="179"/>
      <c r="K46" s="183"/>
    </row>
    <row r="47" spans="1:33" s="177" customFormat="1" ht="12" hidden="1" customHeight="1" x14ac:dyDescent="0.2">
      <c r="A47" s="182" t="s">
        <v>1992</v>
      </c>
      <c r="B47" s="178"/>
      <c r="C47" s="178"/>
      <c r="D47" s="178"/>
      <c r="E47" s="178"/>
      <c r="F47" s="178"/>
      <c r="G47" s="184"/>
      <c r="H47" s="184"/>
      <c r="I47" s="179"/>
      <c r="J47" s="179"/>
      <c r="K47" s="183"/>
    </row>
    <row r="48" spans="1:33" s="177" customFormat="1" ht="12" hidden="1" customHeight="1" x14ac:dyDescent="0.2">
      <c r="A48" s="182" t="s">
        <v>1993</v>
      </c>
      <c r="B48" s="178"/>
      <c r="C48" s="178"/>
      <c r="D48" s="178"/>
      <c r="E48" s="178"/>
      <c r="F48" s="178"/>
      <c r="G48" s="184"/>
      <c r="H48" s="184"/>
      <c r="I48" s="179"/>
      <c r="J48" s="179"/>
      <c r="K48" s="183"/>
    </row>
    <row r="49" spans="1:33" s="177" customFormat="1" ht="12" hidden="1" customHeight="1" x14ac:dyDescent="0.2">
      <c r="A49" s="182" t="s">
        <v>1994</v>
      </c>
      <c r="B49" s="178"/>
      <c r="C49" s="178"/>
      <c r="D49" s="178"/>
      <c r="E49" s="178"/>
      <c r="F49" s="178"/>
      <c r="G49" s="184"/>
      <c r="H49" s="184"/>
      <c r="I49" s="179"/>
      <c r="J49" s="179"/>
      <c r="K49" s="183"/>
    </row>
    <row r="50" spans="1:33" s="177" customFormat="1" ht="12" hidden="1" customHeight="1" x14ac:dyDescent="0.2">
      <c r="A50" s="182" t="s">
        <v>1995</v>
      </c>
      <c r="B50" s="178"/>
      <c r="C50" s="178"/>
      <c r="D50" s="178"/>
      <c r="E50" s="178"/>
      <c r="F50" s="178"/>
      <c r="G50" s="184"/>
      <c r="H50" s="184"/>
      <c r="I50" s="179"/>
      <c r="J50" s="179"/>
      <c r="K50" s="183"/>
    </row>
    <row r="51" spans="1:33" s="177" customFormat="1" ht="12" hidden="1" customHeight="1" x14ac:dyDescent="0.2">
      <c r="A51" s="185"/>
      <c r="B51" s="178"/>
      <c r="C51" s="178"/>
      <c r="D51" s="178"/>
      <c r="E51" s="178"/>
      <c r="F51" s="178"/>
      <c r="G51" s="184"/>
      <c r="H51" s="184"/>
      <c r="I51" s="179"/>
      <c r="J51" s="179"/>
      <c r="K51" s="179"/>
    </row>
    <row r="52" spans="1:33" s="177" customFormat="1" ht="12" hidden="1" customHeight="1" x14ac:dyDescent="0.2">
      <c r="A52" s="182" t="s">
        <v>1996</v>
      </c>
      <c r="B52" s="178"/>
      <c r="C52" s="178"/>
      <c r="D52" s="178"/>
      <c r="E52" s="178"/>
      <c r="F52" s="178"/>
      <c r="G52" s="184"/>
      <c r="H52" s="184"/>
      <c r="I52" s="179"/>
      <c r="J52" s="179"/>
      <c r="K52" s="179"/>
    </row>
    <row r="53" spans="1:33" s="177" customFormat="1" ht="12" hidden="1" customHeight="1" x14ac:dyDescent="0.2">
      <c r="A53" s="182"/>
      <c r="G53" s="179"/>
      <c r="H53" s="179"/>
      <c r="I53" s="179"/>
      <c r="J53" s="179"/>
      <c r="K53" s="179"/>
    </row>
    <row r="54" spans="1:33" s="146" customFormat="1" ht="12" hidden="1" customHeight="1" x14ac:dyDescent="0.2">
      <c r="A54" s="91"/>
      <c r="B54" s="77"/>
      <c r="C54" s="77"/>
      <c r="D54" s="77"/>
      <c r="E54" s="77"/>
      <c r="F54" s="77"/>
      <c r="G54" s="85"/>
      <c r="H54" s="85"/>
      <c r="I54" s="85"/>
      <c r="J54" s="85"/>
      <c r="K54" s="85"/>
      <c r="L54" s="77"/>
      <c r="M54" s="77"/>
      <c r="N54" s="77"/>
      <c r="O54" s="77"/>
      <c r="P54" s="77"/>
      <c r="Q54" s="77"/>
      <c r="R54" s="77"/>
      <c r="S54" s="77"/>
      <c r="T54" s="77"/>
      <c r="U54" s="77"/>
      <c r="V54" s="77"/>
      <c r="W54" s="77"/>
      <c r="X54" s="77"/>
      <c r="Y54" s="77"/>
      <c r="Z54" s="77"/>
      <c r="AA54" s="77"/>
      <c r="AB54" s="77"/>
      <c r="AC54" s="77"/>
      <c r="AD54" s="77"/>
      <c r="AE54" s="77"/>
      <c r="AF54" s="77"/>
      <c r="AG54" s="77"/>
    </row>
    <row r="55" spans="1:33" s="146" customFormat="1" ht="13.15" customHeight="1" thickTop="1" x14ac:dyDescent="0.2">
      <c r="A55" s="91" t="s">
        <v>1997</v>
      </c>
      <c r="B55" s="77"/>
      <c r="C55" s="77"/>
      <c r="D55" s="77"/>
      <c r="E55" s="77"/>
      <c r="F55" s="77"/>
      <c r="G55" s="85"/>
      <c r="H55" s="85"/>
      <c r="I55" s="85"/>
      <c r="J55" s="85"/>
      <c r="K55" s="85"/>
      <c r="L55" s="77"/>
      <c r="M55" s="77"/>
      <c r="N55" s="77"/>
      <c r="O55" s="77"/>
      <c r="P55" s="77"/>
      <c r="Q55" s="77"/>
      <c r="R55" s="77"/>
      <c r="S55" s="77"/>
      <c r="T55" s="77"/>
      <c r="U55" s="77"/>
      <c r="V55" s="77"/>
      <c r="W55" s="77"/>
      <c r="X55" s="77"/>
      <c r="Y55" s="77"/>
      <c r="Z55" s="77"/>
      <c r="AA55" s="77"/>
      <c r="AB55" s="77"/>
      <c r="AC55" s="77"/>
      <c r="AD55" s="77"/>
      <c r="AE55" s="77"/>
      <c r="AF55" s="77"/>
      <c r="AG55" s="77"/>
    </row>
    <row r="56" spans="1:33" s="146" customFormat="1" ht="13.15" customHeight="1" x14ac:dyDescent="0.2">
      <c r="A56" s="100" t="s">
        <v>1998</v>
      </c>
      <c r="B56" s="77"/>
      <c r="C56" s="77"/>
      <c r="D56" s="77"/>
      <c r="E56" s="77"/>
      <c r="F56" s="77"/>
      <c r="G56" s="85"/>
      <c r="H56" s="85"/>
      <c r="I56" s="85"/>
      <c r="J56" s="85"/>
      <c r="K56" s="85"/>
      <c r="L56" s="77"/>
      <c r="M56" s="77"/>
      <c r="N56" s="77"/>
      <c r="O56" s="77"/>
      <c r="P56" s="77"/>
      <c r="Q56" s="77"/>
      <c r="R56" s="77"/>
      <c r="S56" s="77"/>
      <c r="T56" s="77"/>
      <c r="U56" s="77"/>
      <c r="V56" s="77"/>
      <c r="W56" s="77"/>
      <c r="X56" s="77"/>
      <c r="Y56" s="77"/>
      <c r="Z56" s="77"/>
      <c r="AA56" s="77"/>
      <c r="AB56" s="77"/>
      <c r="AC56" s="77"/>
      <c r="AD56" s="77"/>
      <c r="AE56" s="77"/>
      <c r="AF56" s="77"/>
      <c r="AG56" s="77"/>
    </row>
    <row r="57" spans="1:33" s="146" customFormat="1" ht="13.15" customHeight="1" x14ac:dyDescent="0.2">
      <c r="A57" s="91"/>
      <c r="B57" s="77"/>
      <c r="C57" s="77"/>
      <c r="D57" s="77"/>
      <c r="E57" s="77"/>
      <c r="F57" s="77"/>
      <c r="G57" s="85"/>
      <c r="H57" s="85"/>
      <c r="I57" s="85"/>
      <c r="J57" s="85"/>
      <c r="K57" s="85"/>
      <c r="L57" s="77"/>
      <c r="M57" s="77"/>
      <c r="N57" s="77"/>
      <c r="O57" s="77"/>
      <c r="P57" s="77"/>
      <c r="Q57" s="77"/>
      <c r="R57" s="77"/>
      <c r="S57" s="77"/>
      <c r="T57" s="77"/>
      <c r="U57" s="77"/>
      <c r="V57" s="77"/>
      <c r="W57" s="77"/>
      <c r="X57" s="77"/>
      <c r="Y57" s="77"/>
      <c r="Z57" s="77"/>
      <c r="AA57" s="77"/>
      <c r="AB57" s="77"/>
      <c r="AC57" s="77"/>
      <c r="AD57" s="77"/>
      <c r="AE57" s="77"/>
      <c r="AF57" s="77"/>
      <c r="AG57" s="77"/>
    </row>
    <row r="58" spans="1:33" s="146" customFormat="1" ht="13.15" customHeight="1" x14ac:dyDescent="0.2">
      <c r="A58" s="84"/>
      <c r="B58" s="77"/>
      <c r="C58" s="77"/>
      <c r="D58" s="77"/>
      <c r="E58" s="77"/>
      <c r="F58" s="77"/>
      <c r="G58" s="85"/>
      <c r="H58" s="85"/>
      <c r="I58" s="85"/>
      <c r="J58" s="85"/>
      <c r="K58" s="85"/>
      <c r="L58" s="77"/>
      <c r="M58" s="77"/>
      <c r="N58" s="77"/>
      <c r="O58" s="77"/>
      <c r="P58" s="77"/>
      <c r="Q58" s="77"/>
      <c r="R58" s="77"/>
      <c r="S58" s="77"/>
      <c r="T58" s="77"/>
      <c r="U58" s="77"/>
      <c r="V58" s="77"/>
      <c r="W58" s="77"/>
      <c r="X58" s="77"/>
      <c r="Y58" s="77"/>
      <c r="Z58" s="77"/>
      <c r="AA58" s="77"/>
      <c r="AB58" s="77"/>
      <c r="AC58" s="77"/>
      <c r="AD58" s="77"/>
      <c r="AE58" s="77"/>
      <c r="AF58" s="77"/>
      <c r="AG58" s="77"/>
    </row>
    <row r="59" spans="1:33" s="146" customFormat="1" ht="13.15" customHeight="1" x14ac:dyDescent="0.2">
      <c r="A59" s="84"/>
      <c r="B59" s="77"/>
      <c r="C59" s="77"/>
      <c r="D59" s="77"/>
      <c r="E59" s="77"/>
      <c r="F59" s="77"/>
      <c r="G59" s="85"/>
      <c r="H59" s="85"/>
      <c r="I59" s="85"/>
      <c r="J59" s="85"/>
      <c r="K59" s="85"/>
      <c r="L59" s="77"/>
      <c r="M59" s="77"/>
      <c r="N59" s="77"/>
      <c r="O59" s="77"/>
      <c r="P59" s="77"/>
      <c r="Q59" s="77"/>
      <c r="R59" s="77"/>
      <c r="S59" s="77"/>
      <c r="T59" s="77"/>
      <c r="U59" s="77"/>
      <c r="V59" s="77"/>
      <c r="W59" s="77"/>
      <c r="X59" s="77"/>
      <c r="Y59" s="77"/>
      <c r="Z59" s="77"/>
      <c r="AA59" s="77"/>
      <c r="AB59" s="77"/>
      <c r="AC59" s="77"/>
      <c r="AD59" s="77"/>
      <c r="AE59" s="77"/>
      <c r="AF59" s="77"/>
      <c r="AG59" s="77"/>
    </row>
    <row r="60" spans="1:33" s="146" customFormat="1" ht="13.15" customHeight="1" x14ac:dyDescent="0.2">
      <c r="A60" s="84"/>
      <c r="B60" s="77"/>
      <c r="C60" s="77"/>
      <c r="D60" s="77"/>
      <c r="E60" s="77"/>
      <c r="F60" s="77"/>
      <c r="G60" s="85"/>
      <c r="H60" s="85"/>
      <c r="I60" s="85"/>
      <c r="J60" s="85"/>
      <c r="K60" s="85"/>
      <c r="L60" s="77"/>
      <c r="M60" s="77"/>
      <c r="N60" s="77"/>
      <c r="O60" s="77"/>
      <c r="P60" s="77"/>
      <c r="Q60" s="77"/>
      <c r="R60" s="77"/>
      <c r="S60" s="77"/>
      <c r="T60" s="77"/>
      <c r="U60" s="77"/>
      <c r="V60" s="77"/>
      <c r="W60" s="77"/>
      <c r="X60" s="77"/>
      <c r="Y60" s="77"/>
      <c r="Z60" s="77"/>
      <c r="AA60" s="77"/>
      <c r="AB60" s="77"/>
      <c r="AC60" s="77"/>
      <c r="AD60" s="77"/>
      <c r="AE60" s="77"/>
      <c r="AF60" s="77"/>
      <c r="AG60" s="77"/>
    </row>
    <row r="61" spans="1:33" s="146" customFormat="1" ht="13.15" customHeight="1" x14ac:dyDescent="0.2">
      <c r="A61" s="84"/>
      <c r="B61" s="77"/>
      <c r="C61" s="77"/>
      <c r="D61" s="77"/>
      <c r="E61" s="77"/>
      <c r="F61" s="77"/>
      <c r="G61" s="85"/>
      <c r="H61" s="85"/>
      <c r="I61" s="85"/>
      <c r="J61" s="85"/>
      <c r="K61" s="85"/>
      <c r="L61" s="77"/>
      <c r="M61" s="77"/>
      <c r="N61" s="77"/>
      <c r="O61" s="77"/>
      <c r="P61" s="77"/>
      <c r="Q61" s="77"/>
      <c r="R61" s="77"/>
      <c r="S61" s="77"/>
      <c r="T61" s="77"/>
      <c r="U61" s="77"/>
      <c r="V61" s="77"/>
      <c r="W61" s="77"/>
      <c r="X61" s="77"/>
      <c r="Y61" s="77"/>
      <c r="Z61" s="77"/>
      <c r="AA61" s="77"/>
      <c r="AB61" s="77"/>
      <c r="AC61" s="77"/>
      <c r="AD61" s="77"/>
      <c r="AE61" s="77"/>
      <c r="AF61" s="77"/>
      <c r="AG61" s="77"/>
    </row>
    <row r="62" spans="1:33" s="146" customFormat="1" ht="13.15" customHeight="1" x14ac:dyDescent="0.2">
      <c r="A62" s="84"/>
      <c r="B62" s="77"/>
      <c r="C62" s="77"/>
      <c r="D62" s="77"/>
      <c r="E62" s="77"/>
      <c r="F62" s="77"/>
      <c r="G62" s="85"/>
      <c r="H62" s="85"/>
      <c r="I62" s="85"/>
      <c r="J62" s="85"/>
      <c r="K62" s="85"/>
      <c r="L62" s="77"/>
      <c r="M62" s="77"/>
      <c r="N62" s="77"/>
      <c r="O62" s="77"/>
      <c r="P62" s="77"/>
      <c r="Q62" s="77"/>
      <c r="R62" s="77"/>
      <c r="S62" s="77"/>
      <c r="T62" s="77"/>
      <c r="U62" s="77"/>
      <c r="V62" s="77"/>
      <c r="W62" s="77"/>
      <c r="X62" s="77"/>
      <c r="Y62" s="77"/>
      <c r="Z62" s="77"/>
      <c r="AA62" s="77"/>
      <c r="AB62" s="77"/>
      <c r="AC62" s="77"/>
      <c r="AD62" s="77"/>
      <c r="AE62" s="77"/>
      <c r="AF62" s="77"/>
      <c r="AG62" s="77"/>
    </row>
    <row r="63" spans="1:33" s="146" customFormat="1" ht="13.15" customHeight="1" x14ac:dyDescent="0.2">
      <c r="A63" s="84"/>
      <c r="B63" s="77"/>
      <c r="C63" s="77"/>
      <c r="D63" s="77"/>
      <c r="E63" s="77"/>
      <c r="F63" s="77"/>
      <c r="G63" s="85"/>
      <c r="H63" s="85"/>
      <c r="I63" s="85"/>
      <c r="J63" s="85"/>
      <c r="K63" s="85"/>
      <c r="L63" s="77"/>
      <c r="M63" s="77"/>
      <c r="N63" s="77"/>
      <c r="O63" s="77"/>
      <c r="P63" s="77"/>
      <c r="Q63" s="77"/>
      <c r="R63" s="77"/>
      <c r="S63" s="77"/>
      <c r="T63" s="77"/>
      <c r="U63" s="77"/>
      <c r="V63" s="77"/>
      <c r="W63" s="77"/>
      <c r="X63" s="77"/>
      <c r="Y63" s="77"/>
      <c r="Z63" s="77"/>
      <c r="AA63" s="77"/>
      <c r="AB63" s="77"/>
      <c r="AC63" s="77"/>
      <c r="AD63" s="77"/>
      <c r="AE63" s="77"/>
      <c r="AF63" s="77"/>
      <c r="AG63" s="77"/>
    </row>
    <row r="64" spans="1:33" s="146" customFormat="1" ht="13.15" customHeight="1" x14ac:dyDescent="0.2">
      <c r="A64" s="84"/>
      <c r="B64" s="77"/>
      <c r="C64" s="77"/>
      <c r="D64" s="77"/>
      <c r="E64" s="77"/>
      <c r="F64" s="77"/>
      <c r="G64" s="85"/>
      <c r="H64" s="85"/>
      <c r="I64" s="85"/>
      <c r="J64" s="85"/>
      <c r="K64" s="85"/>
      <c r="L64" s="77"/>
      <c r="M64" s="77"/>
      <c r="N64" s="77"/>
      <c r="O64" s="77"/>
      <c r="P64" s="77"/>
      <c r="Q64" s="77"/>
      <c r="R64" s="77"/>
      <c r="S64" s="77"/>
      <c r="T64" s="77"/>
      <c r="U64" s="77"/>
      <c r="V64" s="77"/>
      <c r="W64" s="77"/>
      <c r="X64" s="77"/>
      <c r="Y64" s="77"/>
      <c r="Z64" s="77"/>
      <c r="AA64" s="77"/>
      <c r="AB64" s="77"/>
      <c r="AC64" s="77"/>
      <c r="AD64" s="77"/>
      <c r="AE64" s="77"/>
      <c r="AF64" s="77"/>
      <c r="AG64" s="77"/>
    </row>
    <row r="65" spans="1:33" s="146" customFormat="1" ht="13.15" customHeight="1" x14ac:dyDescent="0.2">
      <c r="A65" s="84"/>
      <c r="B65" s="77"/>
      <c r="C65" s="77"/>
      <c r="D65" s="77"/>
      <c r="E65" s="77"/>
      <c r="F65" s="77"/>
      <c r="G65" s="85"/>
      <c r="H65" s="85"/>
      <c r="I65" s="85"/>
      <c r="J65" s="85"/>
      <c r="K65" s="85"/>
      <c r="L65" s="77"/>
      <c r="M65" s="77"/>
      <c r="N65" s="77"/>
      <c r="O65" s="77"/>
      <c r="P65" s="77"/>
      <c r="Q65" s="77"/>
      <c r="R65" s="77"/>
      <c r="S65" s="77"/>
      <c r="T65" s="77"/>
      <c r="U65" s="77"/>
      <c r="V65" s="77"/>
      <c r="W65" s="77"/>
      <c r="X65" s="77"/>
      <c r="Y65" s="77"/>
      <c r="Z65" s="77"/>
      <c r="AA65" s="77"/>
      <c r="AB65" s="77"/>
      <c r="AC65" s="77"/>
      <c r="AD65" s="77"/>
      <c r="AE65" s="77"/>
      <c r="AF65" s="77"/>
      <c r="AG65" s="77"/>
    </row>
    <row r="66" spans="1:33" s="146" customFormat="1" ht="13.15" customHeight="1" x14ac:dyDescent="0.2">
      <c r="A66" s="84"/>
      <c r="B66" s="77"/>
      <c r="C66" s="77"/>
      <c r="D66" s="77"/>
      <c r="E66" s="77"/>
      <c r="F66" s="77"/>
      <c r="G66" s="85"/>
      <c r="H66" s="85"/>
      <c r="I66" s="85"/>
      <c r="J66" s="85"/>
      <c r="K66" s="85"/>
      <c r="L66" s="77"/>
      <c r="M66" s="77"/>
      <c r="N66" s="77"/>
      <c r="O66" s="77"/>
      <c r="P66" s="77"/>
      <c r="Q66" s="77"/>
      <c r="R66" s="77"/>
      <c r="S66" s="77"/>
      <c r="T66" s="77"/>
      <c r="U66" s="77"/>
      <c r="V66" s="77"/>
      <c r="W66" s="77"/>
      <c r="X66" s="77"/>
      <c r="Y66" s="77"/>
      <c r="Z66" s="77"/>
      <c r="AA66" s="77"/>
      <c r="AB66" s="77"/>
      <c r="AC66" s="77"/>
      <c r="AD66" s="77"/>
      <c r="AE66" s="77"/>
      <c r="AF66" s="77"/>
      <c r="AG66" s="77"/>
    </row>
    <row r="67" spans="1:33" s="146" customFormat="1" ht="13.15" customHeight="1" x14ac:dyDescent="0.2">
      <c r="A67" s="84"/>
      <c r="B67" s="77"/>
      <c r="C67" s="77"/>
      <c r="D67" s="77"/>
      <c r="E67" s="77"/>
      <c r="F67" s="77"/>
      <c r="G67" s="85"/>
      <c r="H67" s="85"/>
      <c r="I67" s="85"/>
      <c r="J67" s="85"/>
      <c r="K67" s="85"/>
      <c r="L67" s="77"/>
      <c r="M67" s="77"/>
      <c r="N67" s="77"/>
      <c r="O67" s="77"/>
      <c r="P67" s="77"/>
      <c r="Q67" s="77"/>
      <c r="R67" s="77"/>
      <c r="S67" s="77"/>
      <c r="T67" s="77"/>
      <c r="U67" s="77"/>
      <c r="V67" s="77"/>
      <c r="W67" s="77"/>
      <c r="X67" s="77"/>
      <c r="Y67" s="77"/>
      <c r="Z67" s="77"/>
      <c r="AA67" s="77"/>
      <c r="AB67" s="77"/>
      <c r="AC67" s="77"/>
      <c r="AD67" s="77"/>
      <c r="AE67" s="77"/>
      <c r="AF67" s="77"/>
      <c r="AG67" s="77"/>
    </row>
    <row r="68" spans="1:33" ht="13.15" customHeight="1" x14ac:dyDescent="0.2">
      <c r="A68" s="84"/>
    </row>
    <row r="69" spans="1:33" ht="13.15" customHeight="1" x14ac:dyDescent="0.2">
      <c r="A69" s="84"/>
    </row>
    <row r="70" spans="1:33" ht="13.15" customHeight="1" x14ac:dyDescent="0.2">
      <c r="A70" s="84"/>
    </row>
    <row r="71" spans="1:33" ht="13.15" customHeight="1" x14ac:dyDescent="0.2">
      <c r="A71" s="84"/>
    </row>
  </sheetData>
  <mergeCells count="3">
    <mergeCell ref="E29:G29"/>
    <mergeCell ref="D35:G35"/>
    <mergeCell ref="C26:G26"/>
  </mergeCells>
  <conditionalFormatting sqref="I18">
    <cfRule type="expression" dxfId="252" priority="3">
      <formula>formtype="C"</formula>
    </cfRule>
  </conditionalFormatting>
  <conditionalFormatting sqref="I25">
    <cfRule type="expression" dxfId="251" priority="2">
      <formula>formtype="C"</formula>
    </cfRule>
  </conditionalFormatting>
  <conditionalFormatting sqref="A7:A58">
    <cfRule type="expression" dxfId="250" priority="1">
      <formula>AND(AA7&lt;&gt;"",formtype="C",cdiff="X")</formula>
    </cfRule>
  </conditionalFormatting>
  <pageMargins left="0.5" right="0.5" top="0.5" bottom="0.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131</vt:i4>
      </vt:variant>
    </vt:vector>
  </HeadingPairs>
  <TitlesOfParts>
    <vt:vector size="159" baseType="lpstr">
      <vt:lpstr>import</vt:lpstr>
      <vt:lpstr>selection</vt:lpstr>
      <vt:lpstr>TOC</vt:lpstr>
      <vt:lpstr>1-Cover</vt:lpstr>
      <vt:lpstr>2&amp;3-Bal</vt:lpstr>
      <vt:lpstr>4-NI</vt:lpstr>
      <vt:lpstr>5&amp;6-CF</vt:lpstr>
      <vt:lpstr>7-PCap</vt:lpstr>
      <vt:lpstr>8-READ_Cap</vt:lpstr>
      <vt:lpstr>S1Inv</vt:lpstr>
      <vt:lpstr>S1AB</vt:lpstr>
      <vt:lpstr>S1C</vt:lpstr>
      <vt:lpstr>S2RG</vt:lpstr>
      <vt:lpstr>S3NC</vt:lpstr>
      <vt:lpstr>S4Del</vt:lpstr>
      <vt:lpstr>S5Commit</vt:lpstr>
      <vt:lpstr>S6Guar</vt:lpstr>
      <vt:lpstr>S7Cash</vt:lpstr>
      <vt:lpstr>S8Dist</vt:lpstr>
      <vt:lpstr>Certifications</vt:lpstr>
      <vt:lpstr>S11cumperf</vt:lpstr>
      <vt:lpstr>ExecSum</vt:lpstr>
      <vt:lpstr>WDSup</vt:lpstr>
      <vt:lpstr>WDSupA</vt:lpstr>
      <vt:lpstr>WDSupB</vt:lpstr>
      <vt:lpstr>KeyLeverageMetrics</vt:lpstr>
      <vt:lpstr>NAICS Search</vt:lpstr>
      <vt:lpstr>Op Plan</vt:lpstr>
      <vt:lpstr>ApprovedValuation</vt:lpstr>
      <vt:lpstr>aum</vt:lpstr>
      <vt:lpstr>ccert</vt:lpstr>
      <vt:lpstr>cdiff</vt:lpstr>
      <vt:lpstr>CIPCalc</vt:lpstr>
      <vt:lpstr>CIPMax</vt:lpstr>
      <vt:lpstr>cqtrinterest</vt:lpstr>
      <vt:lpstr>cy_UNRE</vt:lpstr>
      <vt:lpstr>cy_unrealgainloss</vt:lpstr>
      <vt:lpstr>cyaccountspayable</vt:lpstr>
      <vt:lpstr>cyaccruedintpay</vt:lpstr>
      <vt:lpstr>cyaccruedtaxpay</vt:lpstr>
      <vt:lpstr>cycash</vt:lpstr>
      <vt:lpstr>cycurrentassets</vt:lpstr>
      <vt:lpstr>cycurrentliab</vt:lpstr>
      <vt:lpstr>cydistpay</vt:lpstr>
      <vt:lpstr>cygaapassets</vt:lpstr>
      <vt:lpstr>cygaapotherassets</vt:lpstr>
      <vt:lpstr>cygaaptotalliab</vt:lpstr>
      <vt:lpstr>cyidle</vt:lpstr>
      <vt:lpstr>cyintdivrec</vt:lpstr>
      <vt:lpstr>cymgtexpaccountspayable</vt:lpstr>
      <vt:lpstr>cynoncashbal</vt:lpstr>
      <vt:lpstr>cyotherassets</vt:lpstr>
      <vt:lpstr>cyotherliab</vt:lpstr>
      <vt:lpstr>cyparentexpaccountspayable</vt:lpstr>
      <vt:lpstr>cyprivcapbal</vt:lpstr>
      <vt:lpstr>cysbabal</vt:lpstr>
      <vt:lpstr>cytd_expenses</vt:lpstr>
      <vt:lpstr>cytd_grossinvestinc</vt:lpstr>
      <vt:lpstr>cytd_netincome</vt:lpstr>
      <vt:lpstr>cytd_netinvestinc</vt:lpstr>
      <vt:lpstr>cytotalassets</vt:lpstr>
      <vt:lpstr>cytotalliab</vt:lpstr>
      <vt:lpstr>cytotalLTLiab</vt:lpstr>
      <vt:lpstr>cytotliabcap</vt:lpstr>
      <vt:lpstr>cytotpartcap</vt:lpstr>
      <vt:lpstr>cyunrebal</vt:lpstr>
      <vt:lpstr>expirationdate</vt:lpstr>
      <vt:lpstr>Form468Date</vt:lpstr>
      <vt:lpstr>formtype</vt:lpstr>
      <vt:lpstr>In_Wind_down</vt:lpstr>
      <vt:lpstr>InvestAmt</vt:lpstr>
      <vt:lpstr>LCR</vt:lpstr>
      <vt:lpstr>levcap</vt:lpstr>
      <vt:lpstr>licenseno</vt:lpstr>
      <vt:lpstr>licenseno_entry</vt:lpstr>
      <vt:lpstr>NAICSSearch</vt:lpstr>
      <vt:lpstr>NetAssetValue</vt:lpstr>
      <vt:lpstr>netincome</vt:lpstr>
      <vt:lpstr>Number_of_Months</vt:lpstr>
      <vt:lpstr>ombapproval</vt:lpstr>
      <vt:lpstr>pccount</vt:lpstr>
      <vt:lpstr>pcert</vt:lpstr>
      <vt:lpstr>PI_UnfundCommit</vt:lpstr>
      <vt:lpstr>'1-Cover'!Print_Area</vt:lpstr>
      <vt:lpstr>'2&amp;3-Bal'!Print_Area</vt:lpstr>
      <vt:lpstr>'4-NI'!Print_Area</vt:lpstr>
      <vt:lpstr>'5&amp;6-CF'!Print_Area</vt:lpstr>
      <vt:lpstr>'7-PCap'!Print_Area</vt:lpstr>
      <vt:lpstr>'8-READ_Cap'!Print_Area</vt:lpstr>
      <vt:lpstr>Certifications!Print_Area</vt:lpstr>
      <vt:lpstr>ExecSum!Print_Area</vt:lpstr>
      <vt:lpstr>S11cumperf!Print_Area</vt:lpstr>
      <vt:lpstr>S1AB!Print_Area</vt:lpstr>
      <vt:lpstr>S1Inv!Print_Area</vt:lpstr>
      <vt:lpstr>S5Commit!Print_Area</vt:lpstr>
      <vt:lpstr>S6Guar!Print_Area</vt:lpstr>
      <vt:lpstr>S7Cash!Print_Area</vt:lpstr>
      <vt:lpstr>S8Dist!Print_Area</vt:lpstr>
      <vt:lpstr>TOC!Print_Area</vt:lpstr>
      <vt:lpstr>WDSup!Print_Area</vt:lpstr>
      <vt:lpstr>WDSupA!Print_Area</vt:lpstr>
      <vt:lpstr>WDSupB!Print_Area</vt:lpstr>
      <vt:lpstr>'1-Cover'!Print_Area1</vt:lpstr>
      <vt:lpstr>'2&amp;3-Bal'!Print_Titles</vt:lpstr>
      <vt:lpstr>'5&amp;6-CF'!Print_Titles</vt:lpstr>
      <vt:lpstr>S11cumperf!Print_Titles</vt:lpstr>
      <vt:lpstr>S1Inv!Print_Titles</vt:lpstr>
      <vt:lpstr>S8Dist!Print_Titles</vt:lpstr>
      <vt:lpstr>priorqtr</vt:lpstr>
      <vt:lpstr>privatePIcap</vt:lpstr>
      <vt:lpstr>pyaccountspayable</vt:lpstr>
      <vt:lpstr>pyaccruedintpay</vt:lpstr>
      <vt:lpstr>pyaccruedtaxpay</vt:lpstr>
      <vt:lpstr>pycash</vt:lpstr>
      <vt:lpstr>pycurrentassets</vt:lpstr>
      <vt:lpstr>pycurrentliab</vt:lpstr>
      <vt:lpstr>pydistpay</vt:lpstr>
      <vt:lpstr>PYEnd</vt:lpstr>
      <vt:lpstr>pyFYEnd</vt:lpstr>
      <vt:lpstr>pyidle</vt:lpstr>
      <vt:lpstr>pyintdivrec</vt:lpstr>
      <vt:lpstr>pymgtexpaccountspayable</vt:lpstr>
      <vt:lpstr>pynoncashbal</vt:lpstr>
      <vt:lpstr>pyotherassets</vt:lpstr>
      <vt:lpstr>pyotherliab</vt:lpstr>
      <vt:lpstr>pyparentexpaccountspayable</vt:lpstr>
      <vt:lpstr>pyprivcapbal</vt:lpstr>
      <vt:lpstr>pysbabal</vt:lpstr>
      <vt:lpstr>pytotalassets</vt:lpstr>
      <vt:lpstr>pytotalliab</vt:lpstr>
      <vt:lpstr>PYTotalLiabCap</vt:lpstr>
      <vt:lpstr>pytotalLTliab</vt:lpstr>
      <vt:lpstr>PYTotalPartCap</vt:lpstr>
      <vt:lpstr>pyunrebal</vt:lpstr>
      <vt:lpstr>regcap</vt:lpstr>
      <vt:lpstr>ReportType</vt:lpstr>
      <vt:lpstr>ReportType_Fulltext</vt:lpstr>
      <vt:lpstr>rptkey</vt:lpstr>
      <vt:lpstr>rptperiodtype</vt:lpstr>
      <vt:lpstr>rpttype</vt:lpstr>
      <vt:lpstr>S1_Class1Total</vt:lpstr>
      <vt:lpstr>S1_Class2Total</vt:lpstr>
      <vt:lpstr>S1_UnrealApp</vt:lpstr>
      <vt:lpstr>s1_unrealdep</vt:lpstr>
      <vt:lpstr>s11_gaapval</vt:lpstr>
      <vt:lpstr>s11_pccount</vt:lpstr>
      <vt:lpstr>s11_totreceipts</vt:lpstr>
      <vt:lpstr>s3NC_includibleNC</vt:lpstr>
      <vt:lpstr>s9totinvest</vt:lpstr>
      <vt:lpstr>sbapct</vt:lpstr>
      <vt:lpstr>sbicname</vt:lpstr>
      <vt:lpstr>sbicstate</vt:lpstr>
      <vt:lpstr>shapct</vt:lpstr>
      <vt:lpstr>Strategy</vt:lpstr>
      <vt:lpstr>totassets</vt:lpstr>
      <vt:lpstr>UNRE</vt:lpstr>
      <vt:lpstr>URE</vt:lpstr>
      <vt:lpstr>VintageYr</vt:lpstr>
      <vt:lpstr>WindDown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2023-05-20T14:53:16Z</dcterms:created>
  <dcterms:modified xsi:type="dcterms:W3CDTF">2023-07-19T14:57:51Z</dcterms:modified>
  <cp:category/>
  <cp:contentStatus/>
</cp:coreProperties>
</file>