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FNS-SNAP-PAAD-SAB/Shared Documents/General/Notices and ICRs/0584-0083 366A&amp;B, 388/2023/Supporting Statement/"/>
    </mc:Choice>
  </mc:AlternateContent>
  <xr:revisionPtr revIDLastSave="122" documentId="8_{6A02762D-1760-4271-82CE-19FBE32FF3D1}" xr6:coauthVersionLast="47" xr6:coauthVersionMax="47" xr10:uidLastSave="{B28FEF6D-1C0C-404E-AE92-A509F1F44C5E}"/>
  <bookViews>
    <workbookView xWindow="28680" yWindow="-120" windowWidth="29040" windowHeight="15840" xr2:uid="{104575D2-4C9F-4B60-A19D-DE43517F8087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I14" i="1"/>
  <c r="I13" i="1"/>
  <c r="F13" i="1"/>
  <c r="H13" i="1"/>
  <c r="I31" i="1"/>
  <c r="I5" i="1"/>
  <c r="I30" i="1"/>
  <c r="I29" i="1"/>
  <c r="I28" i="1"/>
  <c r="I6" i="1"/>
  <c r="I21" i="1"/>
  <c r="I7" i="1"/>
  <c r="I22" i="1"/>
  <c r="I8" i="1"/>
  <c r="I23" i="1"/>
  <c r="I9" i="1"/>
  <c r="I24" i="1"/>
  <c r="I10" i="1"/>
  <c r="I25" i="1"/>
  <c r="I11" i="1"/>
  <c r="I26" i="1"/>
  <c r="I12" i="1"/>
  <c r="I27" i="1"/>
  <c r="I20" i="1"/>
  <c r="I15" i="1"/>
  <c r="M22" i="1"/>
  <c r="M21" i="1"/>
  <c r="M23" i="1"/>
  <c r="F26" i="1"/>
  <c r="H26" i="1"/>
  <c r="M26" i="1"/>
  <c r="M27" i="1"/>
  <c r="F28" i="1"/>
  <c r="H28" i="1"/>
  <c r="M28" i="1"/>
  <c r="F29" i="1"/>
  <c r="H29" i="1"/>
  <c r="M29" i="1"/>
  <c r="M31" i="1"/>
  <c r="M32" i="1"/>
  <c r="F25" i="1"/>
  <c r="H25" i="1"/>
  <c r="Q25" i="1"/>
  <c r="Q32" i="1"/>
  <c r="F6" i="1"/>
  <c r="H6" i="1"/>
  <c r="Q6" i="1"/>
  <c r="Q16" i="1"/>
  <c r="F5" i="1"/>
  <c r="H5" i="1"/>
  <c r="P5" i="1"/>
  <c r="F7" i="1"/>
  <c r="H7" i="1"/>
  <c r="M7" i="1"/>
  <c r="P7" i="1"/>
  <c r="F8" i="1"/>
  <c r="H8" i="1"/>
  <c r="M8" i="1"/>
  <c r="P8" i="1"/>
  <c r="F9" i="1"/>
  <c r="H9" i="1"/>
  <c r="M9" i="1"/>
  <c r="P9" i="1"/>
  <c r="F10" i="1"/>
  <c r="H10" i="1"/>
  <c r="M10" i="1"/>
  <c r="P10" i="1"/>
  <c r="F11" i="1"/>
  <c r="H11" i="1"/>
  <c r="P11" i="1"/>
  <c r="F12" i="1"/>
  <c r="H12" i="1"/>
  <c r="P12" i="1"/>
  <c r="M13" i="1"/>
  <c r="P13" i="1"/>
  <c r="M14" i="1"/>
  <c r="P14" i="1"/>
  <c r="P15" i="1"/>
  <c r="P16" i="1"/>
  <c r="M16" i="1"/>
  <c r="P31" i="1"/>
  <c r="F30" i="1"/>
  <c r="H30" i="1"/>
  <c r="P30" i="1"/>
  <c r="P29" i="1"/>
  <c r="P28" i="1"/>
  <c r="P27" i="1"/>
  <c r="P26" i="1"/>
  <c r="F24" i="1"/>
  <c r="H24" i="1"/>
  <c r="P24" i="1"/>
  <c r="F23" i="1"/>
  <c r="H23" i="1"/>
  <c r="P23" i="1"/>
  <c r="P21" i="1"/>
  <c r="M20" i="1"/>
  <c r="P20" i="1"/>
  <c r="J23" i="1"/>
  <c r="K23" i="1"/>
  <c r="L23" i="1"/>
  <c r="F22" i="1"/>
  <c r="H22" i="1"/>
  <c r="J22" i="1"/>
  <c r="K22" i="1"/>
  <c r="L22" i="1"/>
  <c r="P22" i="1"/>
  <c r="P32" i="1"/>
  <c r="J9" i="1"/>
  <c r="K9" i="1"/>
  <c r="L9" i="1"/>
  <c r="J11" i="1"/>
  <c r="K11" i="1"/>
  <c r="L11" i="1"/>
  <c r="D16" i="1"/>
  <c r="J6" i="1"/>
  <c r="K6" i="1"/>
  <c r="L6" i="1"/>
  <c r="D32" i="1"/>
  <c r="F20" i="1"/>
  <c r="H20" i="1"/>
  <c r="F21" i="1"/>
  <c r="H21" i="1"/>
  <c r="F27" i="1"/>
  <c r="H27" i="1"/>
  <c r="F31" i="1"/>
  <c r="H31" i="1"/>
  <c r="F14" i="1"/>
  <c r="H14" i="1"/>
  <c r="F15" i="1"/>
  <c r="H15" i="1"/>
  <c r="J5" i="1"/>
  <c r="K5" i="1"/>
  <c r="L5" i="1"/>
  <c r="J8" i="1"/>
  <c r="K8" i="1"/>
  <c r="L8" i="1"/>
  <c r="J12" i="1"/>
  <c r="K12" i="1"/>
  <c r="L12" i="1"/>
  <c r="C44" i="1"/>
  <c r="J29" i="1"/>
  <c r="K29" i="1"/>
  <c r="L29" i="1"/>
  <c r="J10" i="1"/>
  <c r="K10" i="1"/>
  <c r="L10" i="1"/>
  <c r="J28" i="1"/>
  <c r="K28" i="1"/>
  <c r="L28" i="1"/>
  <c r="J25" i="1"/>
  <c r="K25" i="1"/>
  <c r="L25" i="1"/>
  <c r="J24" i="1"/>
  <c r="K24" i="1"/>
  <c r="L24" i="1"/>
  <c r="J26" i="1"/>
  <c r="K26" i="1"/>
  <c r="L26" i="1"/>
  <c r="J30" i="1"/>
  <c r="K30" i="1"/>
  <c r="L30" i="1"/>
  <c r="D33" i="1"/>
  <c r="J20" i="1"/>
  <c r="K20" i="1"/>
  <c r="L20" i="1"/>
  <c r="F32" i="1"/>
  <c r="E32" i="1"/>
  <c r="J21" i="1"/>
  <c r="K21" i="1"/>
  <c r="L21" i="1"/>
  <c r="J15" i="1"/>
  <c r="K15" i="1"/>
  <c r="L15" i="1"/>
  <c r="J13" i="1"/>
  <c r="K13" i="1"/>
  <c r="L13" i="1"/>
  <c r="J27" i="1"/>
  <c r="K27" i="1"/>
  <c r="L27" i="1"/>
  <c r="J31" i="1"/>
  <c r="K31" i="1"/>
  <c r="L31" i="1"/>
  <c r="H32" i="1"/>
  <c r="J14" i="1"/>
  <c r="K14" i="1"/>
  <c r="L14" i="1"/>
  <c r="F16" i="1"/>
  <c r="E16" i="1"/>
  <c r="F33" i="1"/>
  <c r="J32" i="1"/>
  <c r="K32" i="1"/>
  <c r="L32" i="1"/>
  <c r="G32" i="1"/>
  <c r="J7" i="1"/>
  <c r="H16" i="1"/>
  <c r="G44" i="1"/>
  <c r="E33" i="1"/>
  <c r="E44" i="1"/>
  <c r="D44" i="1"/>
  <c r="I32" i="1"/>
  <c r="H33" i="1"/>
  <c r="G33" i="1"/>
  <c r="G16" i="1"/>
  <c r="J16" i="1"/>
  <c r="H44" i="1"/>
  <c r="K7" i="1"/>
  <c r="L7" i="1"/>
  <c r="F44" i="1"/>
  <c r="J33" i="1"/>
  <c r="I16" i="1"/>
  <c r="K16" i="1"/>
  <c r="L16" i="1"/>
  <c r="I33" i="1"/>
  <c r="K33" i="1"/>
  <c r="L33" i="1"/>
</calcChain>
</file>

<file path=xl/sharedStrings.xml><?xml version="1.0" encoding="utf-8"?>
<sst xmlns="http://schemas.openxmlformats.org/spreadsheetml/2006/main" count="110" uniqueCount="81">
  <si>
    <t>Regulation</t>
  </si>
  <si>
    <t>Respondent Type</t>
  </si>
  <si>
    <t>Burden Activity</t>
  </si>
  <si>
    <t>Estimated Number of Respondents</t>
  </si>
  <si>
    <t>Estimated Responses per Respondent</t>
  </si>
  <si>
    <t>Estimated Total Annual Responses</t>
  </si>
  <si>
    <t>Estimated Hours per Response</t>
  </si>
  <si>
    <t>Estimated Total Annual Hours</t>
  </si>
  <si>
    <t>Hourly Cost to Respondent</t>
  </si>
  <si>
    <t xml:space="preserve">Fringe Benefits (X 0.33) </t>
  </si>
  <si>
    <t>With Fully Loaded Wages</t>
  </si>
  <si>
    <t>Burden Hours in Use without a Valid OMB Control Number</t>
  </si>
  <si>
    <t>Previously Approved Burden Hours merge from 0605</t>
  </si>
  <si>
    <t>Previously Approved Burden Hours for 0083</t>
  </si>
  <si>
    <t>Difference Due to Adjustments</t>
  </si>
  <si>
    <t>Differences Due to Program Changes</t>
  </si>
  <si>
    <t>REPORTING</t>
  </si>
  <si>
    <t>State Agency Burden</t>
  </si>
  <si>
    <t>272.2, 285.3</t>
  </si>
  <si>
    <t>Plan of Operations</t>
  </si>
  <si>
    <t xml:space="preserve">State gov management analyst </t>
  </si>
  <si>
    <t>https://www.bls.gov/oes/current/oes131111.htm#ind</t>
  </si>
  <si>
    <t>Consolidated Appropriations Act, Section 501(b)</t>
  </si>
  <si>
    <t>Card Skimming Reporting</t>
  </si>
  <si>
    <t>Territory Memorandum of Understanding (MOU) and Puerto Rico Plan of Operations</t>
  </si>
  <si>
    <t>Advance Planning Document (APD)</t>
  </si>
  <si>
    <t>Transmittal Letter for APD</t>
  </si>
  <si>
    <t>Other APD Plan or Update*</t>
  </si>
  <si>
    <t>SNAP Waiver Requests (WIMS)</t>
  </si>
  <si>
    <t>272.14, 273.16</t>
  </si>
  <si>
    <t>Administrative Manager</t>
  </si>
  <si>
    <t>Administrative manager</t>
  </si>
  <si>
    <t>https://www.bls.gov/oes/current/oes113012.htm</t>
  </si>
  <si>
    <t>Eligibility Interviewer</t>
  </si>
  <si>
    <t>eligbility interviewer</t>
  </si>
  <si>
    <t>https://www.bls.gov/oes/current/oes434061.htm</t>
  </si>
  <si>
    <t>State Agency Reporting Total Burden Estimates</t>
  </si>
  <si>
    <t>RECORDKEEPING</t>
  </si>
  <si>
    <t>State agency Recordkeeping</t>
  </si>
  <si>
    <t>Regulations</t>
  </si>
  <si>
    <t>Form Number or Activities</t>
  </si>
  <si>
    <t>Number of Recordkeepers</t>
  </si>
  <si>
    <t>Number of Records per Recordkeeper</t>
  </si>
  <si>
    <t>Estimated Total Annual Records</t>
  </si>
  <si>
    <t>Estimated Hours per Recordkeeper</t>
  </si>
  <si>
    <t>Hourly Cost to Recordkeeper</t>
  </si>
  <si>
    <t>FNS - 366A</t>
  </si>
  <si>
    <t>State Gov Management Analyst</t>
  </si>
  <si>
    <t>https://www.bls.gov/oes/current/oes131111.htm</t>
  </si>
  <si>
    <t>FNS - 366B</t>
  </si>
  <si>
    <t>Plan of Operations Updates</t>
  </si>
  <si>
    <t>Card Skimming Records</t>
  </si>
  <si>
    <t>Territory MOU and Puerto Rico Plan of Operations Updates</t>
  </si>
  <si>
    <t>SF-425/FNS-778</t>
  </si>
  <si>
    <t>Other APD Plan or Update</t>
  </si>
  <si>
    <t xml:space="preserve">7 CFR 272.1(f) </t>
  </si>
  <si>
    <t>eligibility interviewer</t>
  </si>
  <si>
    <t>Recordkeeping Total Estimates</t>
  </si>
  <si>
    <t>Grand Total</t>
  </si>
  <si>
    <t>ESTIMATED ANNUAL REPORTING AND RECORDKEEPING BURDEN</t>
  </si>
  <si>
    <t xml:space="preserve"> Estimated Number of Respondents/Recordkeepers </t>
  </si>
  <si>
    <t>Estimated Frequency of Response</t>
  </si>
  <si>
    <t xml:space="preserve">Estimated  Total Annual Responses </t>
  </si>
  <si>
    <t xml:space="preserve">Estimated Number of Burden Hours Per Response </t>
  </si>
  <si>
    <t xml:space="preserve">Estimated Total Burden Hours </t>
  </si>
  <si>
    <t>Total Annual Cost of Respondent Burden</t>
  </si>
  <si>
    <t>STATES</t>
  </si>
  <si>
    <t>FNS - 388</t>
  </si>
  <si>
    <t>FNS - 388A</t>
  </si>
  <si>
    <t>272.3(c)</t>
  </si>
  <si>
    <t>State Government Management Analyst</t>
  </si>
  <si>
    <t>Estimated Cost to Respondent</t>
  </si>
  <si>
    <r>
      <t xml:space="preserve">Annual Email Reminder from FNS Regional Offices </t>
    </r>
    <r>
      <rPr>
        <b/>
        <i/>
        <sz val="10"/>
        <rFont val="Calibri"/>
        <family val="2"/>
        <scheme val="minor"/>
      </rPr>
      <t>(0605)*</t>
    </r>
  </si>
  <si>
    <r>
      <t xml:space="preserve">Compile Information to Confirm Proper Systems are in Place for Matches </t>
    </r>
    <r>
      <rPr>
        <b/>
        <i/>
        <sz val="10"/>
        <rFont val="Calibri"/>
        <family val="2"/>
        <scheme val="minor"/>
      </rPr>
      <t>(0605)</t>
    </r>
  </si>
  <si>
    <r>
      <t xml:space="preserve">Report Information to FNS via email </t>
    </r>
    <r>
      <rPr>
        <b/>
        <i/>
        <sz val="10"/>
        <rFont val="Calibri"/>
        <family val="2"/>
        <scheme val="minor"/>
      </rPr>
      <t>(0605)*</t>
    </r>
  </si>
  <si>
    <t>Estimated Cost Recordkeeper</t>
  </si>
  <si>
    <r>
      <t xml:space="preserve">Maintain Confirmation of Match Records </t>
    </r>
    <r>
      <rPr>
        <b/>
        <i/>
        <sz val="10"/>
        <rFont val="Calibri"/>
        <family val="2"/>
        <scheme val="minor"/>
      </rPr>
      <t>(0605)</t>
    </r>
  </si>
  <si>
    <t>Report APD to FNS via email</t>
  </si>
  <si>
    <t>Apeendix I Burden Table</t>
  </si>
  <si>
    <t>OMB Control Number 0584-0083</t>
  </si>
  <si>
    <t>Expiration Date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</si>
</sst>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* #,##0.000000000_);_(* \(#,##0.000000000\);_(* &quot;-&quot;??_);_(@_)"/>
    <numFmt numFmtId="167" formatCode="#,##0.000000000"/>
    <numFmt numFmtId="168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8" fillId="0" borderId="0" xfId="2" applyFont="1"/>
    <xf numFmtId="2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0" fillId="6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164" fontId="11" fillId="0" borderId="0" xfId="3" applyNumberFormat="1" applyFont="1" applyFill="1"/>
    <xf numFmtId="164" fontId="4" fillId="5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/>
    <xf numFmtId="3" fontId="4" fillId="0" borderId="1" xfId="0" applyNumberFormat="1" applyFont="1" applyBorder="1"/>
    <xf numFmtId="166" fontId="4" fillId="0" borderId="1" xfId="3" applyNumberFormat="1" applyFont="1" applyFill="1" applyBorder="1"/>
    <xf numFmtId="4" fontId="4" fillId="0" borderId="1" xfId="0" applyNumberFormat="1" applyFont="1" applyBorder="1"/>
    <xf numFmtId="165" fontId="4" fillId="0" borderId="1" xfId="1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2"/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434061.htm" TargetMode="External"/><Relationship Id="rId2" Type="http://schemas.openxmlformats.org/officeDocument/2006/relationships/hyperlink" Target="https://www.bls.gov/oes/current/oes113012.htm" TargetMode="External"/><Relationship Id="rId1" Type="http://schemas.openxmlformats.org/officeDocument/2006/relationships/hyperlink" Target="https://www.bls.gov/oes/current/oes131111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E109-7137-4390-965E-E8791C5291DA}">
  <dimension ref="A1:V44"/>
  <sheetViews>
    <sheetView tabSelected="1" zoomScale="80" zoomScaleNormal="80" workbookViewId="0">
      <pane ySplit="2" topLeftCell="A3" activePane="bottomLeft" state="frozen"/>
      <selection pane="bottomLeft" activeCell="Z10" sqref="Z10"/>
    </sheetView>
  </sheetViews>
  <sheetFormatPr defaultRowHeight="15" x14ac:dyDescent="0.25"/>
  <cols>
    <col min="1" max="2" width="15.5703125" style="4" customWidth="1"/>
    <col min="3" max="3" width="29.28515625" style="4" customWidth="1"/>
    <col min="4" max="4" width="14.28515625" style="4" customWidth="1"/>
    <col min="5" max="5" width="13.42578125" style="4" customWidth="1"/>
    <col min="6" max="6" width="13.28515625" style="4" customWidth="1"/>
    <col min="7" max="7" width="13.140625" style="4" customWidth="1"/>
    <col min="8" max="8" width="13.85546875" style="4" customWidth="1"/>
    <col min="9" max="9" width="11.85546875" style="4" customWidth="1"/>
    <col min="10" max="10" width="13" style="4" customWidth="1"/>
    <col min="11" max="11" width="10.5703125" style="4" customWidth="1"/>
    <col min="12" max="17" width="11.5703125" style="4" customWidth="1"/>
    <col min="18" max="16384" width="9.140625" style="4"/>
  </cols>
  <sheetData>
    <row r="1" spans="1:22" x14ac:dyDescent="0.25">
      <c r="F1" s="52" t="s">
        <v>78</v>
      </c>
      <c r="G1" s="52"/>
      <c r="H1" s="52"/>
      <c r="I1" s="52"/>
      <c r="J1" s="52"/>
      <c r="K1" s="52"/>
    </row>
    <row r="2" spans="1:22" ht="56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71</v>
      </c>
      <c r="K2" s="3" t="s">
        <v>9</v>
      </c>
      <c r="L2" s="1" t="s">
        <v>10</v>
      </c>
      <c r="M2" s="44" t="s">
        <v>11</v>
      </c>
      <c r="N2" s="44" t="s">
        <v>12</v>
      </c>
      <c r="O2" s="44" t="s">
        <v>13</v>
      </c>
      <c r="P2" s="44" t="s">
        <v>14</v>
      </c>
      <c r="Q2" s="44" t="s">
        <v>15</v>
      </c>
      <c r="U2" s="4" t="s">
        <v>79</v>
      </c>
    </row>
    <row r="3" spans="1:22" x14ac:dyDescent="0.25">
      <c r="A3" s="49" t="s">
        <v>16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U3" s="4" t="s">
        <v>80</v>
      </c>
    </row>
    <row r="4" spans="1:22" x14ac:dyDescent="0.25">
      <c r="A4" s="49" t="s">
        <v>17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22" ht="39" x14ac:dyDescent="0.25">
      <c r="A5" s="5" t="s">
        <v>18</v>
      </c>
      <c r="B5" s="6" t="s">
        <v>70</v>
      </c>
      <c r="C5" s="7" t="s">
        <v>19</v>
      </c>
      <c r="D5" s="8">
        <v>53</v>
      </c>
      <c r="E5" s="8">
        <v>1</v>
      </c>
      <c r="F5" s="8">
        <f>D5*E5</f>
        <v>53</v>
      </c>
      <c r="G5" s="8">
        <v>7.5845000000000002</v>
      </c>
      <c r="H5" s="8">
        <f>G5*F5</f>
        <v>401.9785</v>
      </c>
      <c r="I5" s="9">
        <f>(0.5*35.31)</f>
        <v>17.655000000000001</v>
      </c>
      <c r="J5" s="10">
        <f>I5*H5</f>
        <v>7096.9304175000007</v>
      </c>
      <c r="K5" s="10">
        <f>J5*0.33</f>
        <v>2341.9870377750003</v>
      </c>
      <c r="L5" s="10">
        <f>K5+J5</f>
        <v>9438.917455275001</v>
      </c>
      <c r="M5" s="8"/>
      <c r="N5" s="8"/>
      <c r="O5" s="8">
        <v>348.74</v>
      </c>
      <c r="P5" s="8">
        <f>H5-O5</f>
        <v>53.238499999999988</v>
      </c>
      <c r="Q5" s="8"/>
      <c r="S5" s="4" t="s">
        <v>20</v>
      </c>
      <c r="V5" s="11" t="s">
        <v>21</v>
      </c>
    </row>
    <row r="6" spans="1:22" ht="51.75" x14ac:dyDescent="0.25">
      <c r="A6" s="6" t="s">
        <v>22</v>
      </c>
      <c r="B6" s="6" t="s">
        <v>70</v>
      </c>
      <c r="C6" s="7" t="s">
        <v>23</v>
      </c>
      <c r="D6" s="8">
        <v>53</v>
      </c>
      <c r="E6" s="8">
        <v>4</v>
      </c>
      <c r="F6" s="8">
        <f>D6*E6</f>
        <v>212</v>
      </c>
      <c r="G6" s="8">
        <v>1</v>
      </c>
      <c r="H6" s="8">
        <f>F6*G6</f>
        <v>212</v>
      </c>
      <c r="I6" s="9">
        <f t="shared" ref="I6:I12" si="0">(0.5*35.31)</f>
        <v>17.655000000000001</v>
      </c>
      <c r="J6" s="10">
        <f>I6*H6</f>
        <v>3742.86</v>
      </c>
      <c r="K6" s="10">
        <f>J6*0.33</f>
        <v>1235.1438000000001</v>
      </c>
      <c r="L6" s="10">
        <f>K6+J6</f>
        <v>4978.0038000000004</v>
      </c>
      <c r="M6" s="8"/>
      <c r="N6" s="8"/>
      <c r="O6" s="8"/>
      <c r="P6" s="8"/>
      <c r="Q6" s="8">
        <f>H6</f>
        <v>212</v>
      </c>
    </row>
    <row r="7" spans="1:22" ht="39" x14ac:dyDescent="0.25">
      <c r="A7" s="5">
        <v>272.2</v>
      </c>
      <c r="B7" s="6" t="s">
        <v>70</v>
      </c>
      <c r="C7" s="7" t="s">
        <v>24</v>
      </c>
      <c r="D7" s="8">
        <v>3</v>
      </c>
      <c r="E7" s="8">
        <v>1</v>
      </c>
      <c r="F7" s="8">
        <f t="shared" ref="F7:F15" si="1">D7*E7</f>
        <v>3</v>
      </c>
      <c r="G7" s="8">
        <v>6.5845000000000002</v>
      </c>
      <c r="H7" s="8">
        <f>G7*F7</f>
        <v>19.753500000000003</v>
      </c>
      <c r="I7" s="9">
        <f t="shared" si="0"/>
        <v>17.655000000000001</v>
      </c>
      <c r="J7" s="10">
        <f t="shared" ref="J7:J15" si="2">I7*H7</f>
        <v>348.74804250000005</v>
      </c>
      <c r="K7" s="10">
        <f t="shared" ref="K7:K16" si="3">J7*0.33</f>
        <v>115.08685402500002</v>
      </c>
      <c r="L7" s="10">
        <f t="shared" ref="L7:L16" si="4">K7+J7</f>
        <v>463.83489652500009</v>
      </c>
      <c r="M7" s="8">
        <f>H7</f>
        <v>19.753500000000003</v>
      </c>
      <c r="N7" s="8"/>
      <c r="O7" s="8"/>
      <c r="P7" s="8">
        <f>M7</f>
        <v>19.753500000000003</v>
      </c>
      <c r="Q7" s="8"/>
    </row>
    <row r="8" spans="1:22" ht="39" x14ac:dyDescent="0.25">
      <c r="A8" s="5">
        <v>277.18</v>
      </c>
      <c r="B8" s="6" t="s">
        <v>70</v>
      </c>
      <c r="C8" s="7" t="s">
        <v>25</v>
      </c>
      <c r="D8" s="8">
        <v>56</v>
      </c>
      <c r="E8" s="8">
        <v>1</v>
      </c>
      <c r="F8" s="8">
        <f t="shared" si="1"/>
        <v>56</v>
      </c>
      <c r="G8" s="8">
        <v>2.5</v>
      </c>
      <c r="H8" s="8">
        <f t="shared" ref="H8:H15" si="5">G8*F8</f>
        <v>140</v>
      </c>
      <c r="I8" s="9">
        <f t="shared" si="0"/>
        <v>17.655000000000001</v>
      </c>
      <c r="J8" s="10">
        <f t="shared" si="2"/>
        <v>2471.7000000000003</v>
      </c>
      <c r="K8" s="10">
        <f t="shared" si="3"/>
        <v>815.66100000000017</v>
      </c>
      <c r="L8" s="10">
        <f t="shared" si="4"/>
        <v>3287.3610000000003</v>
      </c>
      <c r="M8" s="8">
        <f>H8</f>
        <v>140</v>
      </c>
      <c r="N8" s="8"/>
      <c r="O8" s="8"/>
      <c r="P8" s="8">
        <f t="shared" ref="P8:P10" si="6">M8</f>
        <v>140</v>
      </c>
      <c r="Q8" s="8"/>
    </row>
    <row r="9" spans="1:22" ht="39" x14ac:dyDescent="0.25">
      <c r="A9" s="5">
        <v>277.18</v>
      </c>
      <c r="B9" s="6" t="s">
        <v>70</v>
      </c>
      <c r="C9" s="7" t="s">
        <v>77</v>
      </c>
      <c r="D9" s="8">
        <v>56</v>
      </c>
      <c r="E9" s="8">
        <v>1</v>
      </c>
      <c r="F9" s="8">
        <f t="shared" si="1"/>
        <v>56</v>
      </c>
      <c r="G9" s="8">
        <v>0.5</v>
      </c>
      <c r="H9" s="8">
        <f>G9*F9</f>
        <v>28</v>
      </c>
      <c r="I9" s="9">
        <f t="shared" si="0"/>
        <v>17.655000000000001</v>
      </c>
      <c r="J9" s="10">
        <f>I9*H9</f>
        <v>494.34000000000003</v>
      </c>
      <c r="K9" s="10">
        <f t="shared" si="3"/>
        <v>163.13220000000001</v>
      </c>
      <c r="L9" s="10">
        <f t="shared" si="4"/>
        <v>657.47220000000004</v>
      </c>
      <c r="M9" s="8">
        <f>H9</f>
        <v>28</v>
      </c>
      <c r="N9" s="8"/>
      <c r="O9" s="8"/>
      <c r="P9" s="8">
        <f t="shared" si="6"/>
        <v>28</v>
      </c>
      <c r="Q9" s="8"/>
    </row>
    <row r="10" spans="1:22" ht="39" x14ac:dyDescent="0.25">
      <c r="A10" s="5">
        <v>277.18</v>
      </c>
      <c r="B10" s="6" t="s">
        <v>70</v>
      </c>
      <c r="C10" s="7" t="s">
        <v>26</v>
      </c>
      <c r="D10" s="8">
        <v>56</v>
      </c>
      <c r="E10" s="8">
        <v>1</v>
      </c>
      <c r="F10" s="8">
        <f t="shared" si="1"/>
        <v>56</v>
      </c>
      <c r="G10" s="8">
        <v>0.16700000000000001</v>
      </c>
      <c r="H10" s="8">
        <f>G10*F10</f>
        <v>9.3520000000000003</v>
      </c>
      <c r="I10" s="9">
        <f t="shared" si="0"/>
        <v>17.655000000000001</v>
      </c>
      <c r="J10" s="10">
        <f>I10*H10</f>
        <v>165.10956000000002</v>
      </c>
      <c r="K10" s="10">
        <f t="shared" si="3"/>
        <v>54.486154800000008</v>
      </c>
      <c r="L10" s="10">
        <f t="shared" si="4"/>
        <v>219.59571480000002</v>
      </c>
      <c r="M10" s="8">
        <f>H10</f>
        <v>9.3520000000000003</v>
      </c>
      <c r="N10" s="8"/>
      <c r="O10" s="8"/>
      <c r="P10" s="8">
        <f t="shared" si="6"/>
        <v>9.3520000000000003</v>
      </c>
      <c r="Q10" s="8"/>
    </row>
    <row r="11" spans="1:22" ht="39" x14ac:dyDescent="0.25">
      <c r="A11" s="5">
        <v>277.18</v>
      </c>
      <c r="B11" s="6" t="s">
        <v>70</v>
      </c>
      <c r="C11" s="7" t="s">
        <v>27</v>
      </c>
      <c r="D11" s="8">
        <v>12</v>
      </c>
      <c r="E11" s="8">
        <v>1</v>
      </c>
      <c r="F11" s="8">
        <f t="shared" si="1"/>
        <v>12</v>
      </c>
      <c r="G11" s="8">
        <v>2.5</v>
      </c>
      <c r="H11" s="8">
        <f>G11*F11</f>
        <v>30</v>
      </c>
      <c r="I11" s="9">
        <f t="shared" si="0"/>
        <v>17.655000000000001</v>
      </c>
      <c r="J11" s="10">
        <f>I11*H11</f>
        <v>529.65000000000009</v>
      </c>
      <c r="K11" s="10">
        <f t="shared" si="3"/>
        <v>174.78450000000004</v>
      </c>
      <c r="L11" s="10">
        <f t="shared" si="4"/>
        <v>704.43450000000007</v>
      </c>
      <c r="M11" s="8"/>
      <c r="N11" s="8"/>
      <c r="O11" s="8">
        <v>530</v>
      </c>
      <c r="P11" s="8">
        <f>H11-O11</f>
        <v>-500</v>
      </c>
      <c r="Q11" s="8"/>
    </row>
    <row r="12" spans="1:22" ht="39" x14ac:dyDescent="0.25">
      <c r="A12" s="5" t="s">
        <v>69</v>
      </c>
      <c r="B12" s="6" t="s">
        <v>70</v>
      </c>
      <c r="C12" s="7" t="s">
        <v>28</v>
      </c>
      <c r="D12" s="8">
        <v>45</v>
      </c>
      <c r="E12" s="8">
        <v>4</v>
      </c>
      <c r="F12" s="8">
        <f t="shared" si="1"/>
        <v>180</v>
      </c>
      <c r="G12" s="8">
        <v>1</v>
      </c>
      <c r="H12" s="8">
        <f t="shared" si="5"/>
        <v>180</v>
      </c>
      <c r="I12" s="9">
        <f t="shared" si="0"/>
        <v>17.655000000000001</v>
      </c>
      <c r="J12" s="10">
        <f t="shared" si="2"/>
        <v>3177.9</v>
      </c>
      <c r="K12" s="10">
        <f t="shared" si="3"/>
        <v>1048.7070000000001</v>
      </c>
      <c r="L12" s="10">
        <f t="shared" si="4"/>
        <v>4226.607</v>
      </c>
      <c r="M12" s="8"/>
      <c r="N12" s="8"/>
      <c r="O12" s="8">
        <v>177.3</v>
      </c>
      <c r="P12" s="8">
        <f>H12-O12</f>
        <v>2.6999999999999886</v>
      </c>
      <c r="Q12" s="8"/>
    </row>
    <row r="13" spans="1:22" ht="26.25" x14ac:dyDescent="0.25">
      <c r="A13" s="5" t="s">
        <v>29</v>
      </c>
      <c r="B13" s="6" t="s">
        <v>30</v>
      </c>
      <c r="C13" s="7" t="s">
        <v>72</v>
      </c>
      <c r="D13" s="8">
        <v>54</v>
      </c>
      <c r="E13" s="8">
        <v>1</v>
      </c>
      <c r="F13" s="8">
        <f t="shared" si="1"/>
        <v>54</v>
      </c>
      <c r="G13" s="8">
        <v>0.16700000000000001</v>
      </c>
      <c r="H13" s="8">
        <f t="shared" si="5"/>
        <v>9.0180000000000007</v>
      </c>
      <c r="I13" s="9">
        <f>(0.5*52.56)</f>
        <v>26.28</v>
      </c>
      <c r="J13" s="10">
        <f t="shared" si="2"/>
        <v>236.99304000000004</v>
      </c>
      <c r="K13" s="10">
        <f t="shared" si="3"/>
        <v>78.207703200000012</v>
      </c>
      <c r="L13" s="10">
        <f t="shared" si="4"/>
        <v>315.20074320000003</v>
      </c>
      <c r="M13" s="8">
        <f>(1*G13)</f>
        <v>0.16700000000000001</v>
      </c>
      <c r="N13" s="12">
        <v>8.85</v>
      </c>
      <c r="O13" s="8"/>
      <c r="P13" s="13">
        <f>M13</f>
        <v>0.16700000000000001</v>
      </c>
      <c r="Q13" s="8"/>
      <c r="S13" s="4" t="s">
        <v>31</v>
      </c>
      <c r="V13" s="45" t="s">
        <v>32</v>
      </c>
    </row>
    <row r="14" spans="1:22" ht="38.25" x14ac:dyDescent="0.25">
      <c r="A14" s="5" t="s">
        <v>29</v>
      </c>
      <c r="B14" s="6" t="s">
        <v>33</v>
      </c>
      <c r="C14" s="7" t="s">
        <v>73</v>
      </c>
      <c r="D14" s="8">
        <v>54</v>
      </c>
      <c r="E14" s="8">
        <v>1</v>
      </c>
      <c r="F14" s="8">
        <f t="shared" si="1"/>
        <v>54</v>
      </c>
      <c r="G14" s="8">
        <v>1</v>
      </c>
      <c r="H14" s="8">
        <f t="shared" si="5"/>
        <v>54</v>
      </c>
      <c r="I14" s="9">
        <f>(0.5*22.1)</f>
        <v>11.05</v>
      </c>
      <c r="J14" s="10">
        <f t="shared" si="2"/>
        <v>596.70000000000005</v>
      </c>
      <c r="K14" s="10">
        <f t="shared" si="3"/>
        <v>196.91100000000003</v>
      </c>
      <c r="L14" s="10">
        <f t="shared" si="4"/>
        <v>793.6110000000001</v>
      </c>
      <c r="M14" s="8">
        <f>1*1</f>
        <v>1</v>
      </c>
      <c r="N14" s="8">
        <v>53</v>
      </c>
      <c r="O14" s="8"/>
      <c r="P14" s="14">
        <f t="shared" ref="P14:P15" si="7">M14</f>
        <v>1</v>
      </c>
      <c r="Q14" s="8"/>
    </row>
    <row r="15" spans="1:22" ht="26.25" x14ac:dyDescent="0.25">
      <c r="A15" s="5" t="s">
        <v>29</v>
      </c>
      <c r="B15" s="6" t="s">
        <v>30</v>
      </c>
      <c r="C15" s="7" t="s">
        <v>74</v>
      </c>
      <c r="D15" s="8">
        <v>54</v>
      </c>
      <c r="E15" s="8">
        <v>1</v>
      </c>
      <c r="F15" s="8">
        <f t="shared" si="1"/>
        <v>54</v>
      </c>
      <c r="G15" s="8">
        <v>1</v>
      </c>
      <c r="H15" s="8">
        <f t="shared" si="5"/>
        <v>54</v>
      </c>
      <c r="I15" s="9">
        <f>I13</f>
        <v>26.28</v>
      </c>
      <c r="J15" s="10">
        <f t="shared" si="2"/>
        <v>1419.1200000000001</v>
      </c>
      <c r="K15" s="10">
        <f t="shared" si="3"/>
        <v>468.30960000000005</v>
      </c>
      <c r="L15" s="10">
        <f t="shared" si="4"/>
        <v>1887.4296000000002</v>
      </c>
      <c r="M15" s="8">
        <v>1</v>
      </c>
      <c r="N15" s="8">
        <v>53</v>
      </c>
      <c r="O15" s="8"/>
      <c r="P15" s="14">
        <f t="shared" si="7"/>
        <v>1</v>
      </c>
      <c r="Q15" s="8"/>
      <c r="S15" s="4" t="s">
        <v>34</v>
      </c>
      <c r="V15" s="45" t="s">
        <v>35</v>
      </c>
    </row>
    <row r="16" spans="1:22" x14ac:dyDescent="0.25">
      <c r="A16" s="48" t="s">
        <v>36</v>
      </c>
      <c r="B16" s="48"/>
      <c r="C16" s="48"/>
      <c r="D16" s="15">
        <f>D5+D7+D13+D15</f>
        <v>164</v>
      </c>
      <c r="E16" s="15">
        <f>F16/D16</f>
        <v>4.8170731707317076</v>
      </c>
      <c r="F16" s="15">
        <f>SUM(F5:F15)</f>
        <v>790</v>
      </c>
      <c r="G16" s="15">
        <f>H16/F16</f>
        <v>1.4406354430379744</v>
      </c>
      <c r="H16" s="16">
        <f>SUM(H5:H15)</f>
        <v>1138.1019999999999</v>
      </c>
      <c r="I16" s="17">
        <f>J16/H16</f>
        <v>17.819185855046388</v>
      </c>
      <c r="J16" s="18">
        <f>SUM(J5:J15)</f>
        <v>20280.051060000002</v>
      </c>
      <c r="K16" s="18">
        <f t="shared" si="3"/>
        <v>6692.4168498000008</v>
      </c>
      <c r="L16" s="18">
        <f t="shared" si="4"/>
        <v>26972.467909800002</v>
      </c>
      <c r="M16" s="15">
        <f>SUM(M5:M15)</f>
        <v>199.27250000000001</v>
      </c>
      <c r="N16" s="16">
        <f>SUM(N13:N15)</f>
        <v>114.85</v>
      </c>
      <c r="O16" s="15"/>
      <c r="P16" s="15">
        <f>SUM(P5:P15)</f>
        <v>-244.78900000000002</v>
      </c>
      <c r="Q16" s="15">
        <f>Q6</f>
        <v>212</v>
      </c>
    </row>
    <row r="17" spans="1:22" x14ac:dyDescent="0.25">
      <c r="A17" s="49" t="s">
        <v>37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/>
    </row>
    <row r="18" spans="1:22" x14ac:dyDescent="0.25">
      <c r="A18" s="49" t="s">
        <v>38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22" ht="51" x14ac:dyDescent="0.25">
      <c r="A19" s="19" t="s">
        <v>39</v>
      </c>
      <c r="B19" s="19" t="s">
        <v>1</v>
      </c>
      <c r="C19" s="20" t="s">
        <v>40</v>
      </c>
      <c r="D19" s="20" t="s">
        <v>41</v>
      </c>
      <c r="E19" s="20" t="s">
        <v>42</v>
      </c>
      <c r="F19" s="20" t="s">
        <v>43</v>
      </c>
      <c r="G19" s="20" t="s">
        <v>44</v>
      </c>
      <c r="H19" s="20" t="s">
        <v>7</v>
      </c>
      <c r="I19" s="1" t="s">
        <v>45</v>
      </c>
      <c r="J19" s="3" t="s">
        <v>75</v>
      </c>
      <c r="K19" s="3" t="s">
        <v>9</v>
      </c>
      <c r="L19" s="1" t="s">
        <v>10</v>
      </c>
      <c r="M19" s="1"/>
      <c r="N19" s="1"/>
      <c r="O19" s="1"/>
      <c r="P19" s="1"/>
      <c r="Q19" s="1"/>
    </row>
    <row r="20" spans="1:22" ht="39" x14ac:dyDescent="0.25">
      <c r="A20" s="21"/>
      <c r="B20" s="22" t="s">
        <v>70</v>
      </c>
      <c r="C20" s="8" t="s">
        <v>46</v>
      </c>
      <c r="D20" s="8">
        <v>54</v>
      </c>
      <c r="E20" s="8">
        <v>1</v>
      </c>
      <c r="F20" s="8">
        <f>E20*D20</f>
        <v>54</v>
      </c>
      <c r="G20" s="8">
        <v>5.0099999999999999E-2</v>
      </c>
      <c r="H20" s="8">
        <f>G20*F20</f>
        <v>2.7054</v>
      </c>
      <c r="I20" s="9">
        <f>I5</f>
        <v>17.655000000000001</v>
      </c>
      <c r="J20" s="10">
        <f>I20*H20</f>
        <v>47.763837000000002</v>
      </c>
      <c r="K20" s="10">
        <f>J20*0.33</f>
        <v>15.762066210000002</v>
      </c>
      <c r="L20" s="10">
        <f>K20+J20</f>
        <v>63.525903210000003</v>
      </c>
      <c r="M20" s="8">
        <f>(1*0.0501)</f>
        <v>5.0099999999999999E-2</v>
      </c>
      <c r="N20" s="8"/>
      <c r="O20" s="8">
        <v>2.65</v>
      </c>
      <c r="P20" s="8">
        <f>M20</f>
        <v>5.0099999999999999E-2</v>
      </c>
      <c r="Q20" s="8"/>
      <c r="S20" s="4" t="s">
        <v>47</v>
      </c>
      <c r="V20" s="4" t="s">
        <v>48</v>
      </c>
    </row>
    <row r="21" spans="1:22" ht="39" x14ac:dyDescent="0.25">
      <c r="A21" s="21"/>
      <c r="B21" s="22" t="s">
        <v>70</v>
      </c>
      <c r="C21" s="8" t="s">
        <v>49</v>
      </c>
      <c r="D21" s="8">
        <v>55</v>
      </c>
      <c r="E21" s="8">
        <v>4</v>
      </c>
      <c r="F21" s="8">
        <f t="shared" ref="F21:F30" si="8">E21*D21</f>
        <v>220</v>
      </c>
      <c r="G21" s="8">
        <v>5.0099999999999999E-2</v>
      </c>
      <c r="H21" s="8">
        <f t="shared" ref="H21:H30" si="9">G21*F21</f>
        <v>11.022</v>
      </c>
      <c r="I21" s="9">
        <f t="shared" ref="I21:I27" si="10">I6</f>
        <v>17.655000000000001</v>
      </c>
      <c r="J21" s="10">
        <f t="shared" ref="J21:J30" si="11">I21*H21</f>
        <v>194.59341000000001</v>
      </c>
      <c r="K21" s="10">
        <f t="shared" ref="K21:K30" si="12">J21*0.33</f>
        <v>64.215825300000006</v>
      </c>
      <c r="L21" s="10">
        <f t="shared" ref="L21:L30" si="13">K21+J21</f>
        <v>258.80923530000001</v>
      </c>
      <c r="M21" s="8">
        <f>(2*4)*G21</f>
        <v>0.40079999999999999</v>
      </c>
      <c r="N21" s="8"/>
      <c r="O21" s="8">
        <v>10.6</v>
      </c>
      <c r="P21" s="8">
        <f>M21</f>
        <v>0.40079999999999999</v>
      </c>
      <c r="Q21" s="8"/>
    </row>
    <row r="22" spans="1:22" ht="39" x14ac:dyDescent="0.25">
      <c r="A22" s="21"/>
      <c r="B22" s="22" t="s">
        <v>70</v>
      </c>
      <c r="C22" s="8" t="s">
        <v>67</v>
      </c>
      <c r="D22" s="8">
        <v>56</v>
      </c>
      <c r="E22" s="8">
        <v>12</v>
      </c>
      <c r="F22" s="8">
        <f>E22*D22</f>
        <v>672</v>
      </c>
      <c r="G22" s="8">
        <v>5.0099999999999999E-2</v>
      </c>
      <c r="H22" s="8">
        <f t="shared" si="9"/>
        <v>33.667200000000001</v>
      </c>
      <c r="I22" s="9">
        <f t="shared" si="10"/>
        <v>17.655000000000001</v>
      </c>
      <c r="J22" s="10">
        <f t="shared" si="11"/>
        <v>594.39441600000009</v>
      </c>
      <c r="K22" s="10">
        <f t="shared" si="12"/>
        <v>196.15015728000003</v>
      </c>
      <c r="L22" s="10">
        <f t="shared" si="13"/>
        <v>790.54457328000012</v>
      </c>
      <c r="M22" s="8">
        <f>(3*E22)*G22</f>
        <v>1.8035999999999999</v>
      </c>
      <c r="N22" s="8"/>
      <c r="O22" s="8">
        <v>15.26</v>
      </c>
      <c r="P22" s="8">
        <f>(H22-O22)+M22</f>
        <v>20.210800000000003</v>
      </c>
      <c r="Q22" s="8"/>
    </row>
    <row r="23" spans="1:22" ht="39" x14ac:dyDescent="0.25">
      <c r="A23" s="21"/>
      <c r="B23" s="22" t="s">
        <v>70</v>
      </c>
      <c r="C23" s="8" t="s">
        <v>68</v>
      </c>
      <c r="D23" s="8">
        <v>54</v>
      </c>
      <c r="E23" s="8">
        <v>2</v>
      </c>
      <c r="F23" s="8">
        <f>E23*D23</f>
        <v>108</v>
      </c>
      <c r="G23" s="8">
        <v>5.0099999999999999E-2</v>
      </c>
      <c r="H23" s="8">
        <f t="shared" si="9"/>
        <v>5.4108000000000001</v>
      </c>
      <c r="I23" s="9">
        <f t="shared" si="10"/>
        <v>17.655000000000001</v>
      </c>
      <c r="J23" s="10">
        <f t="shared" si="11"/>
        <v>95.527674000000005</v>
      </c>
      <c r="K23" s="10">
        <f t="shared" si="12"/>
        <v>31.524132420000004</v>
      </c>
      <c r="L23" s="10">
        <f t="shared" si="13"/>
        <v>127.05180642000001</v>
      </c>
      <c r="M23" s="8">
        <f>(1*E23)*G23</f>
        <v>0.1002</v>
      </c>
      <c r="N23" s="8"/>
      <c r="O23" s="8">
        <v>2.54</v>
      </c>
      <c r="P23" s="8">
        <f>(H23-O23)+M23</f>
        <v>2.9710000000000001</v>
      </c>
      <c r="Q23" s="8"/>
    </row>
    <row r="24" spans="1:22" ht="39" x14ac:dyDescent="0.25">
      <c r="A24" s="21"/>
      <c r="B24" s="22" t="s">
        <v>70</v>
      </c>
      <c r="C24" s="8" t="s">
        <v>50</v>
      </c>
      <c r="D24" s="8">
        <v>53</v>
      </c>
      <c r="E24" s="8">
        <v>1</v>
      </c>
      <c r="F24" s="8">
        <f t="shared" si="8"/>
        <v>53</v>
      </c>
      <c r="G24" s="8">
        <v>6.6799999999999998E-2</v>
      </c>
      <c r="H24" s="8">
        <f t="shared" si="9"/>
        <v>3.5404</v>
      </c>
      <c r="I24" s="9">
        <f t="shared" si="10"/>
        <v>17.655000000000001</v>
      </c>
      <c r="J24" s="10">
        <f t="shared" si="11"/>
        <v>62.505762000000004</v>
      </c>
      <c r="K24" s="10">
        <f t="shared" si="12"/>
        <v>20.626901460000003</v>
      </c>
      <c r="L24" s="10">
        <f t="shared" si="13"/>
        <v>83.132663460000003</v>
      </c>
      <c r="M24" s="8"/>
      <c r="N24" s="8"/>
      <c r="O24" s="8">
        <v>3.15</v>
      </c>
      <c r="P24" s="8">
        <f>H24-O24</f>
        <v>0.39040000000000008</v>
      </c>
      <c r="Q24" s="8"/>
    </row>
    <row r="25" spans="1:22" ht="39" x14ac:dyDescent="0.25">
      <c r="A25" s="21"/>
      <c r="B25" s="22" t="s">
        <v>70</v>
      </c>
      <c r="C25" s="8" t="s">
        <v>51</v>
      </c>
      <c r="D25" s="8">
        <v>53</v>
      </c>
      <c r="E25" s="8">
        <v>4</v>
      </c>
      <c r="F25" s="8">
        <f>E25*D25</f>
        <v>212</v>
      </c>
      <c r="G25" s="8">
        <v>6.6799999999999998E-2</v>
      </c>
      <c r="H25" s="8">
        <f>G25*F25</f>
        <v>14.1616</v>
      </c>
      <c r="I25" s="9">
        <f t="shared" si="10"/>
        <v>17.655000000000001</v>
      </c>
      <c r="J25" s="10">
        <f>I25*H25</f>
        <v>250.02304800000002</v>
      </c>
      <c r="K25" s="10">
        <f>J25*0.33</f>
        <v>82.507605840000011</v>
      </c>
      <c r="L25" s="10">
        <f>K25+J25</f>
        <v>332.53065384000001</v>
      </c>
      <c r="M25" s="8"/>
      <c r="N25" s="8"/>
      <c r="O25" s="8"/>
      <c r="P25" s="8"/>
      <c r="Q25" s="8">
        <f>H25</f>
        <v>14.1616</v>
      </c>
    </row>
    <row r="26" spans="1:22" ht="39" x14ac:dyDescent="0.25">
      <c r="A26" s="21"/>
      <c r="B26" s="22" t="s">
        <v>70</v>
      </c>
      <c r="C26" s="7" t="s">
        <v>52</v>
      </c>
      <c r="D26" s="8">
        <v>3</v>
      </c>
      <c r="E26" s="8">
        <v>1</v>
      </c>
      <c r="F26" s="8">
        <f t="shared" si="8"/>
        <v>3</v>
      </c>
      <c r="G26" s="8">
        <v>6.6799999999999998E-2</v>
      </c>
      <c r="H26" s="8">
        <f t="shared" si="9"/>
        <v>0.20039999999999999</v>
      </c>
      <c r="I26" s="9">
        <f t="shared" si="10"/>
        <v>17.655000000000001</v>
      </c>
      <c r="J26" s="10">
        <f t="shared" si="11"/>
        <v>3.538062</v>
      </c>
      <c r="K26" s="10">
        <f t="shared" si="12"/>
        <v>1.16756046</v>
      </c>
      <c r="L26" s="10">
        <f t="shared" si="13"/>
        <v>4.7056224599999998</v>
      </c>
      <c r="M26" s="8">
        <f>H26</f>
        <v>0.20039999999999999</v>
      </c>
      <c r="N26" s="8"/>
      <c r="O26" s="8"/>
      <c r="P26" s="8">
        <f>M26</f>
        <v>0.20039999999999999</v>
      </c>
      <c r="Q26" s="8"/>
    </row>
    <row r="27" spans="1:22" ht="39" x14ac:dyDescent="0.25">
      <c r="A27" s="21"/>
      <c r="B27" s="22" t="s">
        <v>70</v>
      </c>
      <c r="C27" s="8" t="s">
        <v>53</v>
      </c>
      <c r="D27" s="8">
        <v>56</v>
      </c>
      <c r="E27" s="8">
        <v>4</v>
      </c>
      <c r="F27" s="8">
        <f t="shared" si="8"/>
        <v>224</v>
      </c>
      <c r="G27" s="8">
        <v>5.0099999999999999E-2</v>
      </c>
      <c r="H27" s="8">
        <f t="shared" si="9"/>
        <v>11.2224</v>
      </c>
      <c r="I27" s="9">
        <f t="shared" si="10"/>
        <v>17.655000000000001</v>
      </c>
      <c r="J27" s="10">
        <f t="shared" si="11"/>
        <v>198.13147200000003</v>
      </c>
      <c r="K27" s="10">
        <f t="shared" si="12"/>
        <v>65.38338576000001</v>
      </c>
      <c r="L27" s="10">
        <f t="shared" si="13"/>
        <v>263.51485776000004</v>
      </c>
      <c r="M27" s="8">
        <f>(3*E27)*G27</f>
        <v>0.60119999999999996</v>
      </c>
      <c r="N27" s="8"/>
      <c r="O27" s="8">
        <v>10.6</v>
      </c>
      <c r="P27" s="8">
        <f>M27</f>
        <v>0.60119999999999996</v>
      </c>
      <c r="Q27" s="8"/>
    </row>
    <row r="28" spans="1:22" ht="39" x14ac:dyDescent="0.25">
      <c r="A28" s="21"/>
      <c r="B28" s="22" t="s">
        <v>70</v>
      </c>
      <c r="C28" s="8" t="s">
        <v>25</v>
      </c>
      <c r="D28" s="8">
        <v>56</v>
      </c>
      <c r="E28" s="8">
        <v>1</v>
      </c>
      <c r="F28" s="8">
        <f t="shared" si="8"/>
        <v>56</v>
      </c>
      <c r="G28" s="8">
        <v>5.0099999999999999E-2</v>
      </c>
      <c r="H28" s="8">
        <f t="shared" si="9"/>
        <v>2.8056000000000001</v>
      </c>
      <c r="I28" s="9">
        <f>I5</f>
        <v>17.655000000000001</v>
      </c>
      <c r="J28" s="10">
        <f>I28*H28</f>
        <v>49.532868000000008</v>
      </c>
      <c r="K28" s="10">
        <f t="shared" si="12"/>
        <v>16.345846440000003</v>
      </c>
      <c r="L28" s="10">
        <f t="shared" si="13"/>
        <v>65.87871444000001</v>
      </c>
      <c r="M28" s="8">
        <f>H28</f>
        <v>2.8056000000000001</v>
      </c>
      <c r="N28" s="8"/>
      <c r="O28" s="8"/>
      <c r="P28" s="8">
        <f>M28</f>
        <v>2.8056000000000001</v>
      </c>
      <c r="Q28" s="8"/>
    </row>
    <row r="29" spans="1:22" ht="39" x14ac:dyDescent="0.25">
      <c r="A29" s="21"/>
      <c r="B29" s="22" t="s">
        <v>70</v>
      </c>
      <c r="C29" s="8" t="s">
        <v>26</v>
      </c>
      <c r="D29" s="8">
        <v>56</v>
      </c>
      <c r="E29" s="8">
        <v>1</v>
      </c>
      <c r="F29" s="8">
        <f t="shared" si="8"/>
        <v>56</v>
      </c>
      <c r="G29" s="8">
        <v>5.0099999999999999E-2</v>
      </c>
      <c r="H29" s="8">
        <f t="shared" si="9"/>
        <v>2.8056000000000001</v>
      </c>
      <c r="I29" s="9">
        <f>I5</f>
        <v>17.655000000000001</v>
      </c>
      <c r="J29" s="10">
        <f>I29*H29</f>
        <v>49.532868000000008</v>
      </c>
      <c r="K29" s="10">
        <f t="shared" si="12"/>
        <v>16.345846440000003</v>
      </c>
      <c r="L29" s="10">
        <f t="shared" si="13"/>
        <v>65.87871444000001</v>
      </c>
      <c r="M29" s="8">
        <f>H29</f>
        <v>2.8056000000000001</v>
      </c>
      <c r="N29" s="8"/>
      <c r="O29" s="8"/>
      <c r="P29" s="8">
        <f>M29</f>
        <v>2.8056000000000001</v>
      </c>
      <c r="Q29" s="8"/>
    </row>
    <row r="30" spans="1:22" ht="39" x14ac:dyDescent="0.25">
      <c r="A30" s="21"/>
      <c r="B30" s="22" t="s">
        <v>70</v>
      </c>
      <c r="C30" s="8" t="s">
        <v>54</v>
      </c>
      <c r="D30" s="8">
        <v>12</v>
      </c>
      <c r="E30" s="8">
        <v>1</v>
      </c>
      <c r="F30" s="8">
        <f t="shared" si="8"/>
        <v>12</v>
      </c>
      <c r="G30" s="8">
        <v>0.1169</v>
      </c>
      <c r="H30" s="8">
        <f t="shared" si="9"/>
        <v>1.4028</v>
      </c>
      <c r="I30" s="9">
        <f>I5</f>
        <v>17.655000000000001</v>
      </c>
      <c r="J30" s="10">
        <f t="shared" si="11"/>
        <v>24.766434000000004</v>
      </c>
      <c r="K30" s="10">
        <f t="shared" si="12"/>
        <v>8.1729232200000013</v>
      </c>
      <c r="L30" s="10">
        <f t="shared" si="13"/>
        <v>32.939357220000005</v>
      </c>
      <c r="M30" s="8"/>
      <c r="N30" s="8"/>
      <c r="O30" s="8">
        <v>23.32</v>
      </c>
      <c r="P30" s="8">
        <f>H30-O30</f>
        <v>-21.917200000000001</v>
      </c>
      <c r="Q30" s="8"/>
    </row>
    <row r="31" spans="1:22" ht="27" thickBot="1" x14ac:dyDescent="0.3">
      <c r="A31" s="23" t="s">
        <v>55</v>
      </c>
      <c r="B31" s="22" t="s">
        <v>33</v>
      </c>
      <c r="C31" s="7" t="s">
        <v>76</v>
      </c>
      <c r="D31" s="8">
        <v>54</v>
      </c>
      <c r="E31" s="8">
        <v>1</v>
      </c>
      <c r="F31" s="8">
        <f>E31*D31</f>
        <v>54</v>
      </c>
      <c r="G31" s="8">
        <v>8.3500000000000005E-2</v>
      </c>
      <c r="H31" s="12">
        <f>G31*F31</f>
        <v>4.5090000000000003</v>
      </c>
      <c r="I31" s="9">
        <f>I14</f>
        <v>11.05</v>
      </c>
      <c r="J31" s="10">
        <f>I31*H31</f>
        <v>49.824450000000006</v>
      </c>
      <c r="K31" s="10">
        <f>J31*0.33</f>
        <v>16.442068500000001</v>
      </c>
      <c r="L31" s="10">
        <f>K31+J31</f>
        <v>66.266518500000004</v>
      </c>
      <c r="M31" s="8">
        <f>(1*G31)</f>
        <v>8.3500000000000005E-2</v>
      </c>
      <c r="N31" s="8">
        <v>4.4000000000000004</v>
      </c>
      <c r="O31" s="8"/>
      <c r="P31" s="8">
        <f>M31</f>
        <v>8.3500000000000005E-2</v>
      </c>
      <c r="Q31" s="8"/>
      <c r="S31" s="4" t="s">
        <v>56</v>
      </c>
    </row>
    <row r="32" spans="1:22" x14ac:dyDescent="0.25">
      <c r="A32" s="46" t="s">
        <v>57</v>
      </c>
      <c r="B32" s="46"/>
      <c r="C32" s="46"/>
      <c r="D32" s="24">
        <f>D24+D26+D30</f>
        <v>68</v>
      </c>
      <c r="E32" s="24">
        <f>F32/D32</f>
        <v>25.352941176470587</v>
      </c>
      <c r="F32" s="24">
        <f>SUM(F20:F31)</f>
        <v>1724</v>
      </c>
      <c r="G32" s="24">
        <f>H32/F32</f>
        <v>5.4207192575406023E-2</v>
      </c>
      <c r="H32" s="25">
        <f>SUM(H20:H31)</f>
        <v>93.453199999999981</v>
      </c>
      <c r="I32" s="26">
        <f>J32/H32</f>
        <v>17.336317012151547</v>
      </c>
      <c r="J32" s="27">
        <f>SUM(J20:J31)</f>
        <v>1620.1343010000005</v>
      </c>
      <c r="K32" s="26">
        <f>J32*0.33</f>
        <v>534.64431933000014</v>
      </c>
      <c r="L32" s="26">
        <f>K32+J32</f>
        <v>2154.7786203300006</v>
      </c>
      <c r="M32" s="28">
        <f>SUM(M21:M31)</f>
        <v>8.8009000000000004</v>
      </c>
      <c r="N32" s="28"/>
      <c r="O32" s="28"/>
      <c r="P32" s="28">
        <f>SUM(P21:P31)</f>
        <v>8.5520999999999958</v>
      </c>
      <c r="Q32" s="28">
        <f>Q25</f>
        <v>14.1616</v>
      </c>
    </row>
    <row r="33" spans="1:17" x14ac:dyDescent="0.25">
      <c r="A33" s="47" t="s">
        <v>58</v>
      </c>
      <c r="B33" s="47"/>
      <c r="C33" s="47"/>
      <c r="D33" s="24">
        <f>D16+D32</f>
        <v>232</v>
      </c>
      <c r="E33" s="24">
        <f>F33/D33</f>
        <v>10.836206896551724</v>
      </c>
      <c r="F33" s="29">
        <f>F32+F16</f>
        <v>2514</v>
      </c>
      <c r="G33" s="24">
        <f>H33/F33</f>
        <v>0.48987875894988059</v>
      </c>
      <c r="H33" s="25">
        <f>H16+H32</f>
        <v>1231.5551999999998</v>
      </c>
      <c r="I33" s="27">
        <f>J33/H33</f>
        <v>17.782544672784464</v>
      </c>
      <c r="J33" s="27">
        <f>J32+J16</f>
        <v>21900.185361000003</v>
      </c>
      <c r="K33" s="30">
        <f>J33*0.33</f>
        <v>7227.0611691300019</v>
      </c>
      <c r="L33" s="30">
        <f>K33+J33</f>
        <v>29127.246530130004</v>
      </c>
      <c r="M33" s="29"/>
      <c r="N33" s="29"/>
      <c r="O33" s="29"/>
      <c r="P33" s="29"/>
      <c r="Q33" s="29"/>
    </row>
    <row r="34" spans="1:17" x14ac:dyDescent="0.25">
      <c r="I34" s="31"/>
    </row>
    <row r="42" spans="1:17" ht="18.75" x14ac:dyDescent="0.3">
      <c r="A42" s="32" t="s">
        <v>59</v>
      </c>
      <c r="B42" s="32"/>
      <c r="C42" s="33"/>
      <c r="D42" s="32"/>
      <c r="E42" s="32"/>
      <c r="F42" s="34"/>
      <c r="G42" s="32"/>
      <c r="H42" s="32"/>
    </row>
    <row r="43" spans="1:17" ht="60" x14ac:dyDescent="0.25">
      <c r="A43" s="2" t="s">
        <v>1</v>
      </c>
      <c r="B43" s="2"/>
      <c r="C43" s="2" t="s">
        <v>60</v>
      </c>
      <c r="D43" s="2" t="s">
        <v>61</v>
      </c>
      <c r="E43" s="35" t="s">
        <v>62</v>
      </c>
      <c r="F43" s="2" t="s">
        <v>63</v>
      </c>
      <c r="G43" s="2" t="s">
        <v>64</v>
      </c>
      <c r="H43" s="2" t="s">
        <v>65</v>
      </c>
      <c r="I43" s="36"/>
      <c r="J43" s="36"/>
      <c r="K43" s="36"/>
      <c r="L43" s="36"/>
    </row>
    <row r="44" spans="1:17" x14ac:dyDescent="0.25">
      <c r="A44" s="37" t="s">
        <v>66</v>
      </c>
      <c r="B44" s="37"/>
      <c r="C44" s="38">
        <f>D16+D32</f>
        <v>232</v>
      </c>
      <c r="D44" s="39">
        <f>SUM(E44/C44)</f>
        <v>10.836206896551724</v>
      </c>
      <c r="E44" s="40">
        <f>SUM(F33+F39)</f>
        <v>2514</v>
      </c>
      <c r="F44" s="41">
        <f>SUM(G44/E44)</f>
        <v>0.48987875894988059</v>
      </c>
      <c r="G44" s="42">
        <f>SUM(H16+H32)</f>
        <v>1231.5551999999998</v>
      </c>
      <c r="H44" s="43">
        <f>SUM(J16,J32)</f>
        <v>21900.185361000003</v>
      </c>
    </row>
  </sheetData>
  <mergeCells count="8">
    <mergeCell ref="F1:K1"/>
    <mergeCell ref="A32:C32"/>
    <mergeCell ref="A33:C33"/>
    <mergeCell ref="A16:C16"/>
    <mergeCell ref="A3:Q3"/>
    <mergeCell ref="A4:Q4"/>
    <mergeCell ref="A17:Q17"/>
    <mergeCell ref="A18:Q18"/>
  </mergeCells>
  <hyperlinks>
    <hyperlink ref="V5" r:id="rId1" location="ind" xr:uid="{C0BB2598-3093-4021-8CEE-C2EAAE44334B}"/>
    <hyperlink ref="V13" r:id="rId2" xr:uid="{BE110C96-0B4A-4D0C-A925-0B5E72E6BE6D}"/>
    <hyperlink ref="V15" r:id="rId3" xr:uid="{0759C00C-95DB-49E4-A91D-869383CB07B9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2" ma:contentTypeDescription="Create a new document." ma:contentTypeScope="" ma:versionID="2b798f751801442b573ce26e10f917ab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aed123afe5ce0975130b029b491f40c1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cf1bfe-17e0-4717-bd0f-85ffcb5100e8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BCAD2C-63DE-4FDE-929A-BA027BEF746B}">
  <ds:schemaRefs>
    <ds:schemaRef ds:uri="http://schemas.microsoft.com/office/2006/metadata/properties"/>
    <ds:schemaRef ds:uri="http://purl.org/dc/dcmitype/"/>
    <ds:schemaRef ds:uri="df38bbad-0bb0-41a7-b78f-084b382b3af7"/>
    <ds:schemaRef ds:uri="http://schemas.microsoft.com/office/2006/documentManagement/types"/>
    <ds:schemaRef ds:uri="73fb875a-8af9-4255-b008-0995492d31cd"/>
    <ds:schemaRef ds:uri="e9322675-4e6c-4dcb-b08b-f40420b09916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EF5F25-D185-4BB4-B89F-F0887837F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DDF7B-AE27-4523-A6F6-35206D306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Sieradzki</dc:creator>
  <cp:keywords/>
  <dc:description/>
  <cp:lastModifiedBy>Evan Sieradzki</cp:lastModifiedBy>
  <cp:revision/>
  <dcterms:created xsi:type="dcterms:W3CDTF">2022-11-30T15:37:10Z</dcterms:created>
  <dcterms:modified xsi:type="dcterms:W3CDTF">2023-07-17T15:47:16Z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  <property fmtid="{D5CDD505-2E9C-101B-9397-08002B2CF9AE}" pid="3" name="MediaServiceImageTags">
    <vt:lpwstr/>
  </property>
</Properties>
</file>