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schultz_eric_epa_gov/Documents/03 ICR materials/"/>
    </mc:Choice>
  </mc:AlternateContent>
  <xr:revisionPtr revIDLastSave="0" documentId="8_{15AD1F1B-9B21-4950-A671-ABB02D5D6287}" xr6:coauthVersionLast="47" xr6:coauthVersionMax="47" xr10:uidLastSave="{00000000-0000-0000-0000-000000000000}"/>
  <bookViews>
    <workbookView xWindow="-33405" yWindow="900" windowWidth="28770" windowHeight="15450" tabRatio="884" activeTab="4" xr2:uid="{00000000-000D-0000-FFFF-FFFF00000000}"/>
  </bookViews>
  <sheets>
    <sheet name="Year 1 (2021)" sheetId="45" r:id="rId1"/>
    <sheet name="Year 2 (2022)" sheetId="47" r:id="rId2"/>
    <sheet name="Year 3 (2023)" sheetId="48" r:id="rId3"/>
    <sheet name="Populations" sheetId="43" r:id="rId4"/>
    <sheet name="3-yr Average Resp (2021-2023)" sheetId="46" r:id="rId5"/>
    <sheet name="Year 1 Agency (2021)" sheetId="40" r:id="rId6"/>
    <sheet name="Year 2 Agency (2022)" sheetId="50" r:id="rId7"/>
    <sheet name="Year 3 Agency (2023)" sheetId="51" r:id="rId8"/>
    <sheet name="3-yr Average Agency (2021-2023)" sheetId="49" r:id="rId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0" i="45" l="1"/>
  <c r="K55" i="48"/>
  <c r="K55" i="47"/>
  <c r="K55" i="45"/>
  <c r="B27" i="51" l="1"/>
  <c r="B26" i="51"/>
  <c r="B25" i="51"/>
  <c r="D14" i="51"/>
  <c r="D13" i="51"/>
  <c r="D12" i="51"/>
  <c r="B27" i="50"/>
  <c r="B26" i="50"/>
  <c r="B25" i="50"/>
  <c r="D14" i="50"/>
  <c r="D13" i="50"/>
  <c r="D12" i="50"/>
  <c r="G58" i="48" l="1"/>
  <c r="G57" i="48"/>
  <c r="K57" i="48" s="1"/>
  <c r="G55" i="48"/>
  <c r="G54" i="48"/>
  <c r="K54" i="48" s="1"/>
  <c r="G49" i="48"/>
  <c r="G46" i="48"/>
  <c r="G37" i="48"/>
  <c r="G35" i="48"/>
  <c r="G61" i="48" s="1"/>
  <c r="G34" i="48"/>
  <c r="G33" i="48"/>
  <c r="G32" i="48"/>
  <c r="G29" i="48"/>
  <c r="G28" i="48"/>
  <c r="G26" i="48"/>
  <c r="G21" i="48"/>
  <c r="G19" i="48"/>
  <c r="K19" i="48" s="1"/>
  <c r="G18" i="48"/>
  <c r="G15" i="48"/>
  <c r="E12" i="51" s="1"/>
  <c r="F12" i="51" s="1"/>
  <c r="G58" i="47"/>
  <c r="G57" i="47"/>
  <c r="K57" i="47" s="1"/>
  <c r="G55" i="47"/>
  <c r="G59" i="47" s="1"/>
  <c r="K59" i="47" s="1"/>
  <c r="G54" i="47"/>
  <c r="K54" i="47" s="1"/>
  <c r="G49" i="45"/>
  <c r="G49" i="47"/>
  <c r="G46" i="47"/>
  <c r="G37" i="47"/>
  <c r="G35" i="47"/>
  <c r="G34" i="47"/>
  <c r="G33" i="47"/>
  <c r="G32" i="47"/>
  <c r="G29" i="47"/>
  <c r="G28" i="47"/>
  <c r="G26" i="47"/>
  <c r="G21" i="47"/>
  <c r="G22" i="47" s="1"/>
  <c r="K22" i="47" s="1"/>
  <c r="G19" i="47"/>
  <c r="K19" i="47" s="1"/>
  <c r="G18" i="47"/>
  <c r="G15" i="47"/>
  <c r="E12" i="50" s="1"/>
  <c r="F12" i="50" s="1"/>
  <c r="G15" i="45"/>
  <c r="F61" i="48"/>
  <c r="F60" i="48"/>
  <c r="F58" i="48"/>
  <c r="F52" i="48"/>
  <c r="F51" i="48"/>
  <c r="F50" i="48"/>
  <c r="F49" i="48"/>
  <c r="F48" i="48"/>
  <c r="F47" i="48"/>
  <c r="F46" i="48"/>
  <c r="F45" i="48"/>
  <c r="F44" i="48"/>
  <c r="F37" i="48"/>
  <c r="F35" i="48"/>
  <c r="F34" i="48"/>
  <c r="F33" i="48"/>
  <c r="F32" i="48"/>
  <c r="F30" i="48"/>
  <c r="F29" i="48"/>
  <c r="F28" i="48"/>
  <c r="F27" i="48"/>
  <c r="F26" i="48"/>
  <c r="F25" i="48"/>
  <c r="F21" i="48"/>
  <c r="F18" i="48"/>
  <c r="H18" i="48" s="1"/>
  <c r="F15" i="48"/>
  <c r="F14" i="48"/>
  <c r="F12" i="48"/>
  <c r="N5" i="48"/>
  <c r="N4" i="48"/>
  <c r="N3" i="48"/>
  <c r="F61" i="47"/>
  <c r="F60" i="47"/>
  <c r="F58" i="47"/>
  <c r="F52" i="47"/>
  <c r="F51" i="47"/>
  <c r="F50" i="47"/>
  <c r="F49" i="47"/>
  <c r="H49" i="47" s="1"/>
  <c r="F48" i="47"/>
  <c r="F47" i="47"/>
  <c r="F46" i="47"/>
  <c r="F45" i="47"/>
  <c r="F44" i="47"/>
  <c r="F37" i="47"/>
  <c r="F35" i="47"/>
  <c r="F34" i="47"/>
  <c r="F33" i="47"/>
  <c r="F32" i="47"/>
  <c r="F30" i="47"/>
  <c r="F29" i="47"/>
  <c r="F28" i="47"/>
  <c r="F27" i="47"/>
  <c r="F26" i="47"/>
  <c r="F25" i="47"/>
  <c r="F21" i="47"/>
  <c r="F18" i="47"/>
  <c r="F15" i="47"/>
  <c r="F14" i="47"/>
  <c r="F12" i="47"/>
  <c r="N5" i="47"/>
  <c r="N4" i="47"/>
  <c r="N3" i="47"/>
  <c r="I8" i="46" l="1"/>
  <c r="H34" i="48"/>
  <c r="H58" i="48"/>
  <c r="J58" i="48" s="1"/>
  <c r="H12" i="51"/>
  <c r="G12" i="51"/>
  <c r="H21" i="48"/>
  <c r="H29" i="48"/>
  <c r="I29" i="48" s="1"/>
  <c r="H46" i="48"/>
  <c r="J46" i="48" s="1"/>
  <c r="H32" i="48"/>
  <c r="I32" i="48" s="1"/>
  <c r="H37" i="48"/>
  <c r="J37" i="48" s="1"/>
  <c r="E14" i="51"/>
  <c r="F14" i="51" s="1"/>
  <c r="H26" i="47"/>
  <c r="I26" i="47" s="1"/>
  <c r="H32" i="47"/>
  <c r="J32" i="47" s="1"/>
  <c r="H37" i="47"/>
  <c r="J37" i="47" s="1"/>
  <c r="H15" i="47"/>
  <c r="J15" i="47" s="1"/>
  <c r="G12" i="50"/>
  <c r="H12" i="50"/>
  <c r="H58" i="47"/>
  <c r="J58" i="47" s="1"/>
  <c r="H35" i="47"/>
  <c r="I35" i="47" s="1"/>
  <c r="G60" i="47"/>
  <c r="H60" i="47" s="1"/>
  <c r="I60" i="47" s="1"/>
  <c r="E14" i="50"/>
  <c r="F14" i="50" s="1"/>
  <c r="H28" i="47"/>
  <c r="J28" i="47" s="1"/>
  <c r="H33" i="47"/>
  <c r="J33" i="47" s="1"/>
  <c r="E12" i="40"/>
  <c r="L8" i="46"/>
  <c r="N8" i="46" s="1"/>
  <c r="G59" i="48"/>
  <c r="K59" i="48" s="1"/>
  <c r="H49" i="48"/>
  <c r="J49" i="48" s="1"/>
  <c r="G60" i="48"/>
  <c r="H60" i="48" s="1"/>
  <c r="J60" i="48" s="1"/>
  <c r="H35" i="48"/>
  <c r="I35" i="48" s="1"/>
  <c r="H33" i="48"/>
  <c r="J33" i="48" s="1"/>
  <c r="H28" i="48"/>
  <c r="I28" i="48" s="1"/>
  <c r="H26" i="48"/>
  <c r="I26" i="48" s="1"/>
  <c r="G22" i="48"/>
  <c r="K22" i="48" s="1"/>
  <c r="I9" i="46" s="1"/>
  <c r="H15" i="48"/>
  <c r="I15" i="48" s="1"/>
  <c r="H46" i="47"/>
  <c r="J46" i="47" s="1"/>
  <c r="H34" i="47"/>
  <c r="I34" i="47" s="1"/>
  <c r="H29" i="47"/>
  <c r="I29" i="47" s="1"/>
  <c r="H21" i="47"/>
  <c r="I21" i="47" s="1"/>
  <c r="H18" i="47"/>
  <c r="J18" i="47" s="1"/>
  <c r="J26" i="48"/>
  <c r="I33" i="48"/>
  <c r="J15" i="48"/>
  <c r="H61" i="48"/>
  <c r="I21" i="48"/>
  <c r="I34" i="48"/>
  <c r="J18" i="48"/>
  <c r="J21" i="48"/>
  <c r="J34" i="48"/>
  <c r="I18" i="48"/>
  <c r="I37" i="47"/>
  <c r="J49" i="47"/>
  <c r="I49" i="47"/>
  <c r="I33" i="47"/>
  <c r="G61" i="47"/>
  <c r="H61" i="47" s="1"/>
  <c r="G28" i="45"/>
  <c r="J26" i="47" l="1"/>
  <c r="I18" i="47"/>
  <c r="J29" i="48"/>
  <c r="J21" i="47"/>
  <c r="K21" i="47" s="1"/>
  <c r="I37" i="48"/>
  <c r="J35" i="47"/>
  <c r="K35" i="47" s="1"/>
  <c r="I49" i="48"/>
  <c r="K49" i="48" s="1"/>
  <c r="J28" i="48"/>
  <c r="I58" i="48"/>
  <c r="K58" i="48" s="1"/>
  <c r="J60" i="47"/>
  <c r="J29" i="47"/>
  <c r="K29" i="47" s="1"/>
  <c r="I32" i="47"/>
  <c r="K32" i="47" s="1"/>
  <c r="K37" i="47"/>
  <c r="K33" i="47"/>
  <c r="I46" i="48"/>
  <c r="K46" i="48" s="1"/>
  <c r="K18" i="48"/>
  <c r="J32" i="48"/>
  <c r="K32" i="48" s="1"/>
  <c r="I12" i="51"/>
  <c r="K15" i="48"/>
  <c r="I60" i="48"/>
  <c r="K60" i="48" s="1"/>
  <c r="J35" i="48"/>
  <c r="K35" i="48" s="1"/>
  <c r="K26" i="48"/>
  <c r="K21" i="48"/>
  <c r="K28" i="48"/>
  <c r="K37" i="48"/>
  <c r="G14" i="51"/>
  <c r="H14" i="51"/>
  <c r="J34" i="47"/>
  <c r="K34" i="47" s="1"/>
  <c r="K18" i="47"/>
  <c r="I12" i="50"/>
  <c r="I58" i="47"/>
  <c r="K58" i="47" s="1"/>
  <c r="I46" i="47"/>
  <c r="K46" i="47" s="1"/>
  <c r="I15" i="47"/>
  <c r="K15" i="47" s="1"/>
  <c r="I28" i="47"/>
  <c r="K28" i="47" s="1"/>
  <c r="K49" i="47"/>
  <c r="K60" i="47"/>
  <c r="G14" i="50"/>
  <c r="H14" i="50"/>
  <c r="K34" i="48"/>
  <c r="K33" i="48"/>
  <c r="K29" i="48"/>
  <c r="K26" i="47"/>
  <c r="J61" i="48"/>
  <c r="I61" i="48"/>
  <c r="J61" i="47"/>
  <c r="I61" i="47"/>
  <c r="L27" i="43"/>
  <c r="L28" i="43" s="1"/>
  <c r="K27" i="43"/>
  <c r="K28" i="43" s="1"/>
  <c r="J27" i="43"/>
  <c r="J28" i="43" s="1"/>
  <c r="I27" i="43"/>
  <c r="I28" i="43" s="1"/>
  <c r="H27" i="43"/>
  <c r="H28" i="43" s="1"/>
  <c r="G27" i="43"/>
  <c r="G28" i="43" s="1"/>
  <c r="F27" i="43"/>
  <c r="F28" i="43" s="1"/>
  <c r="E27" i="43"/>
  <c r="E28" i="43" s="1"/>
  <c r="D27" i="43"/>
  <c r="D28" i="43" s="1"/>
  <c r="C27" i="43"/>
  <c r="C28" i="43" s="1"/>
  <c r="B27" i="43"/>
  <c r="B28" i="43" s="1"/>
  <c r="L24" i="43"/>
  <c r="L25" i="43" s="1"/>
  <c r="K24" i="43"/>
  <c r="K25" i="43" s="1"/>
  <c r="J24" i="43"/>
  <c r="J25" i="43" s="1"/>
  <c r="I24" i="43"/>
  <c r="H24" i="43"/>
  <c r="H25" i="43" s="1"/>
  <c r="G24" i="43"/>
  <c r="G25" i="43" s="1"/>
  <c r="F24" i="43"/>
  <c r="F25" i="43" s="1"/>
  <c r="E24" i="43"/>
  <c r="E25" i="43" s="1"/>
  <c r="D24" i="43"/>
  <c r="D25" i="43" s="1"/>
  <c r="C24" i="43"/>
  <c r="C25" i="43" s="1"/>
  <c r="G55" i="45"/>
  <c r="G59" i="45" s="1"/>
  <c r="G34" i="45"/>
  <c r="F34" i="45"/>
  <c r="I25" i="43" l="1"/>
  <c r="B24" i="43"/>
  <c r="G27" i="48"/>
  <c r="H27" i="48" s="1"/>
  <c r="G27" i="47"/>
  <c r="H27" i="47" s="1"/>
  <c r="G27" i="45"/>
  <c r="I14" i="51"/>
  <c r="I14" i="50"/>
  <c r="K61" i="47"/>
  <c r="K61" i="48"/>
  <c r="H34" i="45"/>
  <c r="J34" i="45" s="1"/>
  <c r="G58" i="45"/>
  <c r="G47" i="47" l="1"/>
  <c r="H47" i="47" s="1"/>
  <c r="G47" i="48"/>
  <c r="H47" i="48" s="1"/>
  <c r="G47" i="45"/>
  <c r="I27" i="47"/>
  <c r="J27" i="47"/>
  <c r="I27" i="48"/>
  <c r="J27" i="48"/>
  <c r="B25" i="43"/>
  <c r="I34" i="45"/>
  <c r="G33" i="45"/>
  <c r="K27" i="47" l="1"/>
  <c r="G48" i="48"/>
  <c r="H48" i="48" s="1"/>
  <c r="G48" i="47"/>
  <c r="H48" i="47" s="1"/>
  <c r="G48" i="45"/>
  <c r="K27" i="48"/>
  <c r="J47" i="48"/>
  <c r="I47" i="48"/>
  <c r="K47" i="48" s="1"/>
  <c r="J47" i="47"/>
  <c r="I47" i="47"/>
  <c r="L15" i="43"/>
  <c r="K15" i="43"/>
  <c r="J15" i="43"/>
  <c r="G44" i="48" s="1"/>
  <c r="H44" i="48" s="1"/>
  <c r="I15" i="43"/>
  <c r="G44" i="47" s="1"/>
  <c r="H44" i="47" s="1"/>
  <c r="H15" i="43"/>
  <c r="G44" i="45" s="1"/>
  <c r="G15" i="43"/>
  <c r="F15" i="43"/>
  <c r="E15" i="43"/>
  <c r="D15" i="43"/>
  <c r="C15" i="43"/>
  <c r="B15" i="43"/>
  <c r="L14" i="43"/>
  <c r="K14" i="43"/>
  <c r="J14" i="43"/>
  <c r="G45" i="48" s="1"/>
  <c r="H45" i="48" s="1"/>
  <c r="I14" i="43"/>
  <c r="G45" i="47" s="1"/>
  <c r="H45" i="47" s="1"/>
  <c r="H14" i="43"/>
  <c r="G45" i="45" s="1"/>
  <c r="G14" i="43"/>
  <c r="F14" i="43"/>
  <c r="E14" i="43"/>
  <c r="D14" i="43"/>
  <c r="C14" i="43"/>
  <c r="B14" i="43"/>
  <c r="L4" i="43"/>
  <c r="K4" i="43"/>
  <c r="J4" i="43"/>
  <c r="I4" i="43"/>
  <c r="H4" i="43"/>
  <c r="G12" i="45" s="1"/>
  <c r="B7" i="46" s="1"/>
  <c r="G4" i="43"/>
  <c r="F4" i="43"/>
  <c r="E4" i="43"/>
  <c r="D4" i="43"/>
  <c r="C4" i="43"/>
  <c r="B4" i="43"/>
  <c r="K47" i="47" l="1"/>
  <c r="I44" i="47"/>
  <c r="J44" i="47"/>
  <c r="J45" i="47"/>
  <c r="I45" i="47"/>
  <c r="I44" i="48"/>
  <c r="J44" i="48"/>
  <c r="G12" i="47"/>
  <c r="G14" i="47"/>
  <c r="I45" i="48"/>
  <c r="J45" i="48"/>
  <c r="I48" i="47"/>
  <c r="J48" i="47"/>
  <c r="G12" i="48"/>
  <c r="G14" i="48"/>
  <c r="I48" i="48"/>
  <c r="J48" i="48"/>
  <c r="F58" i="45"/>
  <c r="H58" i="45" s="1"/>
  <c r="K48" i="48" l="1"/>
  <c r="K45" i="47"/>
  <c r="K45" i="48"/>
  <c r="B9" i="46"/>
  <c r="E13" i="51"/>
  <c r="F13" i="51" s="1"/>
  <c r="H12" i="48"/>
  <c r="K48" i="47"/>
  <c r="G25" i="47"/>
  <c r="H25" i="47" s="1"/>
  <c r="H14" i="47"/>
  <c r="K44" i="48"/>
  <c r="K44" i="47"/>
  <c r="G25" i="48"/>
  <c r="H25" i="48" s="1"/>
  <c r="H14" i="48"/>
  <c r="B8" i="46"/>
  <c r="E13" i="50"/>
  <c r="F13" i="50" s="1"/>
  <c r="H12" i="47"/>
  <c r="J58" i="45"/>
  <c r="I58" i="45"/>
  <c r="G57" i="45"/>
  <c r="K57" i="45" s="1"/>
  <c r="G32" i="45"/>
  <c r="F33" i="45"/>
  <c r="H33" i="45" s="1"/>
  <c r="I14" i="47" l="1"/>
  <c r="J14" i="47"/>
  <c r="F15" i="50"/>
  <c r="H13" i="50"/>
  <c r="H15" i="50" s="1"/>
  <c r="C8" i="49" s="1"/>
  <c r="G13" i="50"/>
  <c r="G15" i="50" s="1"/>
  <c r="D8" i="49" s="1"/>
  <c r="J25" i="47"/>
  <c r="I25" i="47"/>
  <c r="K25" i="47" s="1"/>
  <c r="J12" i="48"/>
  <c r="I12" i="48"/>
  <c r="I25" i="48"/>
  <c r="J25" i="48"/>
  <c r="B10" i="46"/>
  <c r="B11" i="46"/>
  <c r="H13" i="51"/>
  <c r="H15" i="51" s="1"/>
  <c r="C9" i="49" s="1"/>
  <c r="G13" i="51"/>
  <c r="G15" i="51" s="1"/>
  <c r="D9" i="49" s="1"/>
  <c r="F15" i="51"/>
  <c r="I12" i="47"/>
  <c r="J12" i="47"/>
  <c r="I14" i="48"/>
  <c r="J14" i="48"/>
  <c r="I33" i="45"/>
  <c r="J33" i="45"/>
  <c r="K14" i="48" l="1"/>
  <c r="K25" i="48"/>
  <c r="K12" i="48"/>
  <c r="B8" i="49"/>
  <c r="E8" i="49" s="1"/>
  <c r="F16" i="50"/>
  <c r="I13" i="51"/>
  <c r="I15" i="51" s="1"/>
  <c r="F9" i="49" s="1"/>
  <c r="I13" i="50"/>
  <c r="I15" i="50" s="1"/>
  <c r="F8" i="49" s="1"/>
  <c r="K12" i="47"/>
  <c r="B9" i="49"/>
  <c r="F16" i="51"/>
  <c r="K14" i="47"/>
  <c r="G19" i="45"/>
  <c r="G18" i="45"/>
  <c r="G54" i="45" l="1"/>
  <c r="G37" i="45"/>
  <c r="G35" i="45"/>
  <c r="G29" i="45"/>
  <c r="B30" i="43"/>
  <c r="B19" i="43"/>
  <c r="L10" i="46" l="1"/>
  <c r="N10" i="46" s="1"/>
  <c r="E14" i="40"/>
  <c r="E13" i="40"/>
  <c r="L9" i="46"/>
  <c r="N9" i="46" s="1"/>
  <c r="B20" i="43"/>
  <c r="G14" i="45" l="1"/>
  <c r="C30" i="43"/>
  <c r="J30" i="43"/>
  <c r="I30" i="43"/>
  <c r="H30" i="43"/>
  <c r="G30" i="43"/>
  <c r="F30" i="43"/>
  <c r="E30" i="43"/>
  <c r="K30" i="43"/>
  <c r="L30" i="43"/>
  <c r="K54" i="45"/>
  <c r="G46" i="45"/>
  <c r="G60" i="45"/>
  <c r="G26" i="45"/>
  <c r="G21" i="45"/>
  <c r="G22" i="45" s="1"/>
  <c r="K22" i="45" s="1"/>
  <c r="F61" i="45"/>
  <c r="F60" i="45"/>
  <c r="F52" i="45"/>
  <c r="F51" i="45"/>
  <c r="F50" i="45"/>
  <c r="F49" i="45"/>
  <c r="H49" i="45" s="1"/>
  <c r="J49" i="45" s="1"/>
  <c r="F48" i="45"/>
  <c r="F47" i="45"/>
  <c r="F46" i="45"/>
  <c r="F45" i="45"/>
  <c r="F44" i="45"/>
  <c r="F37" i="45"/>
  <c r="H37" i="45" s="1"/>
  <c r="J37" i="45" s="1"/>
  <c r="F35" i="45"/>
  <c r="H35" i="45" s="1"/>
  <c r="J35" i="45" s="1"/>
  <c r="F32" i="45"/>
  <c r="H32" i="45" s="1"/>
  <c r="F30" i="45"/>
  <c r="F29" i="45"/>
  <c r="H29" i="45" s="1"/>
  <c r="F28" i="45"/>
  <c r="H28" i="45" s="1"/>
  <c r="F27" i="45"/>
  <c r="H27" i="45" s="1"/>
  <c r="J27" i="45" s="1"/>
  <c r="F26" i="45"/>
  <c r="F25" i="45"/>
  <c r="F21" i="45"/>
  <c r="F18" i="45"/>
  <c r="F15" i="45"/>
  <c r="F14" i="45"/>
  <c r="F12" i="45"/>
  <c r="N5" i="45"/>
  <c r="N4" i="45"/>
  <c r="N3" i="45"/>
  <c r="L19" i="43"/>
  <c r="L20" i="43" s="1"/>
  <c r="K19" i="43"/>
  <c r="K20" i="43" s="1"/>
  <c r="J19" i="43"/>
  <c r="J20" i="43"/>
  <c r="I19" i="43"/>
  <c r="I20" i="43" s="1"/>
  <c r="H19" i="43"/>
  <c r="H20" i="43" s="1"/>
  <c r="G19" i="43"/>
  <c r="G20" i="43" s="1"/>
  <c r="F19" i="43"/>
  <c r="F20" i="43" s="1"/>
  <c r="E19" i="43"/>
  <c r="E20" i="43" s="1"/>
  <c r="D19" i="43"/>
  <c r="D20" i="43" s="1"/>
  <c r="C19" i="43"/>
  <c r="G61" i="45"/>
  <c r="B27" i="40"/>
  <c r="B26" i="40"/>
  <c r="B25" i="40"/>
  <c r="D14" i="40"/>
  <c r="D13" i="40"/>
  <c r="D12" i="40"/>
  <c r="F12" i="40" s="1"/>
  <c r="H61" i="45" l="1"/>
  <c r="G52" i="47"/>
  <c r="H52" i="47" s="1"/>
  <c r="G30" i="48"/>
  <c r="H30" i="48" s="1"/>
  <c r="G52" i="48"/>
  <c r="H52" i="48" s="1"/>
  <c r="G30" i="47"/>
  <c r="H30" i="47" s="1"/>
  <c r="G51" i="48"/>
  <c r="H51" i="48" s="1"/>
  <c r="G51" i="47"/>
  <c r="H51" i="47" s="1"/>
  <c r="K34" i="45"/>
  <c r="K58" i="45"/>
  <c r="K33" i="45"/>
  <c r="G25" i="45"/>
  <c r="H25" i="45" s="1"/>
  <c r="J25" i="45" s="1"/>
  <c r="L7" i="46"/>
  <c r="N7" i="46" s="1"/>
  <c r="N11" i="46" s="1"/>
  <c r="H14" i="45"/>
  <c r="J14" i="45" s="1"/>
  <c r="H12" i="45"/>
  <c r="I12" i="45" s="1"/>
  <c r="H21" i="45"/>
  <c r="I21" i="45" s="1"/>
  <c r="I37" i="45"/>
  <c r="K37" i="45" s="1"/>
  <c r="H15" i="45"/>
  <c r="I15" i="45" s="1"/>
  <c r="H26" i="45"/>
  <c r="J26" i="45" s="1"/>
  <c r="J32" i="45"/>
  <c r="I32" i="45"/>
  <c r="H44" i="45"/>
  <c r="J44" i="45" s="1"/>
  <c r="H46" i="45"/>
  <c r="I46" i="45" s="1"/>
  <c r="G12" i="40"/>
  <c r="H12" i="40"/>
  <c r="J28" i="45"/>
  <c r="I28" i="45"/>
  <c r="G51" i="45"/>
  <c r="H51" i="45" s="1"/>
  <c r="H60" i="45"/>
  <c r="J60" i="45" s="1"/>
  <c r="H47" i="45"/>
  <c r="J47" i="45" s="1"/>
  <c r="G52" i="45"/>
  <c r="H52" i="45" s="1"/>
  <c r="I52" i="45" s="1"/>
  <c r="G30" i="45"/>
  <c r="H30" i="45" s="1"/>
  <c r="J30" i="45" s="1"/>
  <c r="I35" i="45"/>
  <c r="K35" i="45" s="1"/>
  <c r="C20" i="43"/>
  <c r="F13" i="40"/>
  <c r="G13" i="40" s="1"/>
  <c r="H45" i="45"/>
  <c r="I45" i="45" s="1"/>
  <c r="F14" i="40"/>
  <c r="I27" i="45"/>
  <c r="K27" i="45" s="1"/>
  <c r="J61" i="45"/>
  <c r="I61" i="45"/>
  <c r="J29" i="45"/>
  <c r="I29" i="45"/>
  <c r="K59" i="45"/>
  <c r="K19" i="45"/>
  <c r="H18" i="45"/>
  <c r="I49" i="45"/>
  <c r="K49" i="45" s="1"/>
  <c r="I7" i="46" l="1"/>
  <c r="J51" i="47"/>
  <c r="I51" i="47"/>
  <c r="J52" i="47"/>
  <c r="I52" i="47"/>
  <c r="J51" i="48"/>
  <c r="I51" i="48"/>
  <c r="I30" i="47"/>
  <c r="I38" i="47" s="1"/>
  <c r="J30" i="47"/>
  <c r="J38" i="47" s="1"/>
  <c r="H38" i="47"/>
  <c r="J30" i="48"/>
  <c r="J38" i="48" s="1"/>
  <c r="I30" i="48"/>
  <c r="I38" i="48" s="1"/>
  <c r="H38" i="48"/>
  <c r="G50" i="47"/>
  <c r="H50" i="47" s="1"/>
  <c r="G50" i="48"/>
  <c r="H50" i="48" s="1"/>
  <c r="J52" i="48"/>
  <c r="I52" i="48"/>
  <c r="I12" i="40"/>
  <c r="J15" i="45"/>
  <c r="K15" i="45" s="1"/>
  <c r="I26" i="45"/>
  <c r="K26" i="45" s="1"/>
  <c r="I14" i="45"/>
  <c r="K14" i="45" s="1"/>
  <c r="J12" i="45"/>
  <c r="K12" i="45" s="1"/>
  <c r="J21" i="45"/>
  <c r="K21" i="45" s="1"/>
  <c r="I47" i="45"/>
  <c r="K47" i="45" s="1"/>
  <c r="I30" i="45"/>
  <c r="K30" i="45" s="1"/>
  <c r="K28" i="45"/>
  <c r="K29" i="45"/>
  <c r="H13" i="40"/>
  <c r="I13" i="40" s="1"/>
  <c r="F15" i="40"/>
  <c r="B7" i="49" s="1"/>
  <c r="J46" i="45"/>
  <c r="K46" i="45" s="1"/>
  <c r="K32" i="45"/>
  <c r="I44" i="45"/>
  <c r="K44" i="45" s="1"/>
  <c r="I60" i="45"/>
  <c r="K60" i="45" s="1"/>
  <c r="I25" i="45"/>
  <c r="K25" i="45" s="1"/>
  <c r="J45" i="45"/>
  <c r="K45" i="45" s="1"/>
  <c r="J51" i="45"/>
  <c r="I51" i="45"/>
  <c r="J52" i="45"/>
  <c r="K52" i="45" s="1"/>
  <c r="H48" i="45"/>
  <c r="H14" i="40"/>
  <c r="G14" i="40"/>
  <c r="G15" i="40" s="1"/>
  <c r="D7" i="49" s="1"/>
  <c r="G50" i="45"/>
  <c r="H50" i="45" s="1"/>
  <c r="K61" i="45"/>
  <c r="I18" i="45"/>
  <c r="J18" i="45"/>
  <c r="H38" i="45"/>
  <c r="K51" i="47" l="1"/>
  <c r="K51" i="48"/>
  <c r="I50" i="48"/>
  <c r="I67" i="48" s="1"/>
  <c r="I69" i="48" s="1"/>
  <c r="D9" i="46" s="1"/>
  <c r="J50" i="48"/>
  <c r="J67" i="48" s="1"/>
  <c r="J69" i="48" s="1"/>
  <c r="E9" i="46" s="1"/>
  <c r="H67" i="48"/>
  <c r="J50" i="47"/>
  <c r="J67" i="47" s="1"/>
  <c r="J69" i="47" s="1"/>
  <c r="E8" i="46" s="1"/>
  <c r="I50" i="47"/>
  <c r="I67" i="47" s="1"/>
  <c r="I69" i="47" s="1"/>
  <c r="D8" i="46" s="1"/>
  <c r="H67" i="47"/>
  <c r="H69" i="47" s="1"/>
  <c r="K52" i="47"/>
  <c r="H39" i="48"/>
  <c r="H39" i="47"/>
  <c r="K52" i="48"/>
  <c r="K30" i="48"/>
  <c r="K30" i="47"/>
  <c r="I11" i="46"/>
  <c r="I10" i="46"/>
  <c r="H15" i="40"/>
  <c r="C7" i="49" s="1"/>
  <c r="E7" i="49" s="1"/>
  <c r="K51" i="45"/>
  <c r="I14" i="40"/>
  <c r="I15" i="40" s="1"/>
  <c r="F7" i="49" s="1"/>
  <c r="K18" i="45"/>
  <c r="M39" i="45" s="1"/>
  <c r="I38" i="45"/>
  <c r="J38" i="45"/>
  <c r="I50" i="45"/>
  <c r="J50" i="45"/>
  <c r="J48" i="45"/>
  <c r="I48" i="45"/>
  <c r="H67" i="45"/>
  <c r="H69" i="45" s="1"/>
  <c r="C7" i="46" s="1"/>
  <c r="K50" i="48" l="1"/>
  <c r="H68" i="48"/>
  <c r="K50" i="47"/>
  <c r="K67" i="47" s="1"/>
  <c r="K38" i="48"/>
  <c r="M70" i="48"/>
  <c r="M39" i="48"/>
  <c r="C8" i="46"/>
  <c r="F8" i="46" s="1"/>
  <c r="H70" i="47"/>
  <c r="K67" i="48"/>
  <c r="M39" i="47"/>
  <c r="K38" i="47"/>
  <c r="K69" i="47" s="1"/>
  <c r="G8" i="46" s="1"/>
  <c r="H69" i="48"/>
  <c r="H68" i="47"/>
  <c r="B11" i="49"/>
  <c r="B10" i="49"/>
  <c r="D10" i="49"/>
  <c r="D11" i="49"/>
  <c r="F16" i="40"/>
  <c r="H39" i="45"/>
  <c r="K38" i="45"/>
  <c r="J67" i="45"/>
  <c r="J69" i="45" s="1"/>
  <c r="K48" i="45"/>
  <c r="I67" i="45"/>
  <c r="K50" i="45"/>
  <c r="M70" i="47" l="1"/>
  <c r="K69" i="48"/>
  <c r="G9" i="46" s="1"/>
  <c r="C9" i="46"/>
  <c r="F9" i="46" s="1"/>
  <c r="H70" i="48"/>
  <c r="C11" i="49"/>
  <c r="C10" i="49"/>
  <c r="F11" i="49"/>
  <c r="F10" i="49"/>
  <c r="E9" i="49"/>
  <c r="E7" i="46"/>
  <c r="K67" i="45"/>
  <c r="K69" i="45" s="1"/>
  <c r="H68" i="45"/>
  <c r="I69" i="45"/>
  <c r="D7" i="46" s="1"/>
  <c r="C11" i="46" l="1"/>
  <c r="C10" i="46"/>
  <c r="E11" i="49"/>
  <c r="E10" i="49"/>
  <c r="D10" i="46"/>
  <c r="D11" i="46"/>
  <c r="F7" i="46"/>
  <c r="E10" i="46"/>
  <c r="E11" i="46"/>
  <c r="G7" i="46"/>
  <c r="H70" i="45"/>
  <c r="G10" i="46" l="1"/>
  <c r="G11" i="46"/>
  <c r="F10" i="46"/>
  <c r="F11" i="46"/>
  <c r="N13" i="46" s="1"/>
</calcChain>
</file>

<file path=xl/sharedStrings.xml><?xml version="1.0" encoding="utf-8"?>
<sst xmlns="http://schemas.openxmlformats.org/spreadsheetml/2006/main" count="625" uniqueCount="216">
  <si>
    <t>Policy + Technical Amendments to 2016 NSPS OOOOa</t>
  </si>
  <si>
    <t>Table 1a.  Year 1 Respondent Burden of Reporting and Recordkeeping Requirements</t>
  </si>
  <si>
    <t>Labor Rates</t>
  </si>
  <si>
    <t>2016 Dollars</t>
  </si>
  <si>
    <t>Standards of Performance for Crude Oil and Natural Gas Facilities for which Construction, Modification, or Reconstruction Commenced</t>
  </si>
  <si>
    <t>Technical</t>
  </si>
  <si>
    <t xml:space="preserve">Plant and System Operators 51-8000 ($28.84 +110%) </t>
  </si>
  <si>
    <t>after September 18, 2015 (40 CFR part 60, subpart OOOOa)</t>
  </si>
  <si>
    <t>Managerial</t>
  </si>
  <si>
    <t xml:space="preserve">General and Operations Managers 11-1021 ($58.70 +110%) </t>
  </si>
  <si>
    <t xml:space="preserve">Year </t>
  </si>
  <si>
    <t>(A)</t>
  </si>
  <si>
    <t>(B)</t>
  </si>
  <si>
    <t xml:space="preserve">(C) </t>
  </si>
  <si>
    <t>(D)</t>
  </si>
  <si>
    <t>(E)</t>
  </si>
  <si>
    <t>(F)</t>
  </si>
  <si>
    <t>(G)</t>
  </si>
  <si>
    <t>(H)</t>
  </si>
  <si>
    <t>Clerical</t>
  </si>
  <si>
    <t xml:space="preserve">Secretaries and Administrative Assistants 43-6010 ($19.39 + 110%) </t>
  </si>
  <si>
    <t>Person-Hours per Occurrence</t>
  </si>
  <si>
    <t>Number of Occurrences per Respondent per Year</t>
  </si>
  <si>
    <t>Person-Hours per Respondent per Year (A*B)</t>
  </si>
  <si>
    <t>Respondents per Year</t>
  </si>
  <si>
    <t>Technical Person-Hours per Year   (C*D)</t>
  </si>
  <si>
    <t>Managerial Person-Hours per Year (0.05*E)</t>
  </si>
  <si>
    <t>Clerical Person-Hours per Year (0.10*E)</t>
  </si>
  <si>
    <t>Cost per Year</t>
  </si>
  <si>
    <t>Subpart OOOOa Requirement</t>
  </si>
  <si>
    <t>1. APPLICATIONS (Not Applicable)</t>
  </si>
  <si>
    <t>2. SURVEY AND STUDIES (Not Applicable)</t>
  </si>
  <si>
    <t>3. ACQUISITION, INSTALLATION, AND UTILIZATION OF TECHNOLOGY AND SYSTEMS (Not Applicable)</t>
  </si>
  <si>
    <t>4. REPORT REQUIREMENTS</t>
  </si>
  <si>
    <t>A. Read Instructions</t>
  </si>
  <si>
    <t>New Affected Facilities</t>
  </si>
  <si>
    <t>B. Required Activities</t>
  </si>
  <si>
    <t>Notification of Well Completion/Recompletion</t>
  </si>
  <si>
    <t>§60.5420a(a)(2)</t>
  </si>
  <si>
    <t>Notification of Construction/Reconstruction/Modification</t>
  </si>
  <si>
    <t>C. Create Information</t>
  </si>
  <si>
    <t>Fugitives - Non-Low Production Well Sites</t>
  </si>
  <si>
    <t>Company-Wide Monitoring Plan - 60.5397a(c)</t>
  </si>
  <si>
    <t>Recordkeeping Database System Set-up Fee</t>
  </si>
  <si>
    <t>Fugitives - Gathering &amp; Boosting Compressor Stations</t>
  </si>
  <si>
    <t>Company-Wide Monitoring Plan</t>
  </si>
  <si>
    <t>D. Gather Existing Information (Included in 5C)</t>
  </si>
  <si>
    <t>E. Annual Reports</t>
  </si>
  <si>
    <t>Well Completion/Recompletion</t>
  </si>
  <si>
    <t>§60.5420a(b)(1), (b)(2)</t>
  </si>
  <si>
    <t>Centrifugal Compressor (Wet seal) (at Production &amp; Processing Facilities)</t>
  </si>
  <si>
    <t>§60.5420a(b)(1), (b)(3)</t>
  </si>
  <si>
    <t>Reciprocating Compressor (at Production &amp; Processing Facilities)</t>
  </si>
  <si>
    <t>§60.5420a(b)(1), (b)(4)</t>
  </si>
  <si>
    <t>Pneumatic Controllers (at Production &amp; Processing Facilities)</t>
  </si>
  <si>
    <t>§60.5420a(b)(1), (b)(5)</t>
  </si>
  <si>
    <t>Pneumatic Pumps</t>
  </si>
  <si>
    <t>§60.5420a(b)(1), (b)(8)</t>
  </si>
  <si>
    <t>Storage Vessels</t>
  </si>
  <si>
    <t>§60.5420a(b)(1), (b)(6)</t>
  </si>
  <si>
    <t>Fugitives - Well Sites</t>
  </si>
  <si>
    <t>Non-Low Production</t>
  </si>
  <si>
    <t>§60.5420a(b)(1), (b)(7)</t>
  </si>
  <si>
    <t>Low Production</t>
  </si>
  <si>
    <t>Sweetening Unit</t>
  </si>
  <si>
    <t>§60.5410a(g), §60.5423(b)</t>
  </si>
  <si>
    <t>F. Semiannual Reports</t>
  </si>
  <si>
    <t>Gas Processing Plant</t>
  </si>
  <si>
    <t>§60.5400a(e), §60.5422a</t>
  </si>
  <si>
    <t>Reporting Requirement Subtotal</t>
  </si>
  <si>
    <t>5. RECORDKEEPING REQUIREMENTS</t>
  </si>
  <si>
    <t>A. Read Instructions (Included in 4A)</t>
  </si>
  <si>
    <t>B. Plan Activities (Included in 4B)</t>
  </si>
  <si>
    <t xml:space="preserve">C. Implement Activities </t>
  </si>
  <si>
    <t>Maintain completion log records</t>
  </si>
  <si>
    <t>§60.5375a(b); 60.5410a(a); 60.5415a(a); 60.5420a(c)(1)</t>
  </si>
  <si>
    <t>Maintain 300 GOR exemption records</t>
  </si>
  <si>
    <t>§60.5375a(g)(2); 60.5420a(c)(1)(vi)</t>
  </si>
  <si>
    <t>§60.5380a(d); 60.5410a(b)(8); 60.5411a(a)(3)(i)(A); 60.5411a(d); 60.5412a(c) &amp; (d); 60.5413a(d) &amp; (e); 60.5415a(b); 60.5416a(a) &amp; (b); 60.5417a(c), (e), &amp; (f); 60.5420a(c)(2) &amp; (c)(17)</t>
  </si>
  <si>
    <t>Reciprocating Compressor (Rod Packing Change) (at Production &amp; Processing Facilities)</t>
  </si>
  <si>
    <t>§60.5385a(d); 60.5410a(c)(4); 60.5415a(c); 60.5420a(c)(3)</t>
  </si>
  <si>
    <t>Reciprocating Compressor (Route to Control Device) (at Production &amp; Processing Facilities)</t>
  </si>
  <si>
    <t>§60.5390a(a), (b)(2), (c)(2) &amp; (f); 60.5410a(d)(4) &amp; (6); 60.5413a(d)(3); 60.5420a(c)(4)</t>
  </si>
  <si>
    <t>Pneumatic pumps (uncontrolled)</t>
  </si>
  <si>
    <t>§60.5393a(b)(3)-(5); 60.5393a(e); 60.5410a(e)(8); 60.5420a(c)(16)</t>
  </si>
  <si>
    <t>Pneumatic pumps (controlled)</t>
  </si>
  <si>
    <t>§60.5393a(e); 60.5410a(e)(8); 60.5420a(c)(16); 60.5411a(a)(3)(i)(A); 60.5411a(d); 60.5416a(a) &amp; (b)(13); 60.5420a(c)(16) &amp; (17)</t>
  </si>
  <si>
    <t>§60.5395a(d)(3); 60.5411a(c)(3)(i)(A); 60.5411a(d); 60.5412a(c) &amp; (d); 60.5413a(d) &amp; (e); 60.5416a(c); 60.5417a(h); 60.5420a(c)(12), (13), (14) &amp; (17)</t>
  </si>
  <si>
    <t>Fugitives - Recordkeeping Database Maintenance/License Fee</t>
  </si>
  <si>
    <t>Non-Low Production Well Sites (Semiannual Monitoring)</t>
  </si>
  <si>
    <t xml:space="preserve">Fugitives - Additional recordkeeping/data management costs </t>
  </si>
  <si>
    <t>Non-Low Production Well Sites</t>
  </si>
  <si>
    <t>Low Production Well Sites</t>
  </si>
  <si>
    <t xml:space="preserve">Gathering &amp; Boosting Compressor Stations </t>
  </si>
  <si>
    <t>Processing Plants</t>
  </si>
  <si>
    <t>§60.5400a(a); 60.482-1a(b) &amp; (d); 60.482-7a; 60.482-10a</t>
  </si>
  <si>
    <t>Sweetening Units</t>
  </si>
  <si>
    <t>§60.5407a(a); 60.5423a</t>
  </si>
  <si>
    <t>D. Record Data (Included in 5C)</t>
  </si>
  <si>
    <t>E. Time to Transmit or Disclose Information</t>
  </si>
  <si>
    <t>Records required by standards (Included in 4E)</t>
  </si>
  <si>
    <t>F. Train Personnel (Included in 5C)</t>
  </si>
  <si>
    <t>G. Time for Audits (Not Applicable)</t>
  </si>
  <si>
    <t>Recordkeeping Requirement Subtotal</t>
  </si>
  <si>
    <t>TOTAL REPORTING AND RECORDKEEPING LABOR AND COST</t>
  </si>
  <si>
    <t xml:space="preserve">Assumptions:  </t>
  </si>
  <si>
    <t xml:space="preserve">• 10,134 new wellsites in 2021 (2020 Annual Energy Outlook).
</t>
  </si>
  <si>
    <t xml:space="preserve">• Each company assumed to own 22 well sites.
</t>
  </si>
  <si>
    <t xml:space="preserve">• 250 new compressor stations per year (212 G&amp;B (7 G&amp;B stations per company) and 38 T&amp;S)
</t>
  </si>
  <si>
    <t>• 7 new processing plants per year.</t>
  </si>
  <si>
    <t>• 1 new sweetening facility per year.</t>
  </si>
  <si>
    <t>• 0 new centrifugal compressors equipped with wet seals per year (2017 Compliance Reports).</t>
  </si>
  <si>
    <t>• 72 reciprocating compressors in production &amp; processing per year. (2018, GHGI, 2018 TSD and 2017 Compliance Reports). 10% route to a control device, 90% rod packing changeout.</t>
  </si>
  <si>
    <t>• 1,234 new pneumatic controllers in production &amp; processing per year (2018 GHGI).</t>
  </si>
  <si>
    <t>• 663 new pneumatic pumps per year (2017 Compliance Reports). 50% are diaphragm pumps and affected facilities and 75% will be controlled (2018 TSD, page 92-93).</t>
  </si>
  <si>
    <t xml:space="preserve">• 1,074 new storage vessels in 2021 (based on numbers from 2017 Compliance Reports and scaled using the number of well completions per year).
</t>
  </si>
  <si>
    <t>Table 1b.  Year 2 Respondent Burden of Reporting and Recordkeeping Requirements</t>
  </si>
  <si>
    <t xml:space="preserve">• 10,635 new wellsites in 2022 (2020 Annual Energy Outlook).
</t>
  </si>
  <si>
    <t xml:space="preserve">• 1,127 new storage vessels in 2022 (based on numbers from 2017 Compliance Reports and scaled using the number of well completions per year).
</t>
  </si>
  <si>
    <t>Table 1c.  Year 3 Respondent Burden of Reporting and Recordkeeping Requirements</t>
  </si>
  <si>
    <t xml:space="preserve">• 10,964 new wellsites in 2023 (2020 Annual Energy Outlook).
</t>
  </si>
  <si>
    <t xml:space="preserve">• 1,162 new storage vessels in 2023 (based on numbers from 2017 Compliance Reports and scaled using the number of well completions per year).
</t>
  </si>
  <si>
    <t>Number of New Sources</t>
  </si>
  <si>
    <t>Source</t>
  </si>
  <si>
    <t>Well Completions</t>
  </si>
  <si>
    <t xml:space="preserve">     Non-Low Production Sites</t>
  </si>
  <si>
    <t>Gas Well Sites  </t>
  </si>
  <si>
    <t>Oil Well Sites (GOR &gt; 300)</t>
  </si>
  <si>
    <t xml:space="preserve">Oil Well Sites (GOR &lt; 300) </t>
  </si>
  <si>
    <t xml:space="preserve">     Low Production Sites</t>
  </si>
  <si>
    <t xml:space="preserve">     GOR &lt; 300</t>
  </si>
  <si>
    <t xml:space="preserve">     Gas and GOR &gt; 300</t>
  </si>
  <si>
    <t>Pneumatic Devices</t>
  </si>
  <si>
    <t>Producing &amp; Processing</t>
  </si>
  <si>
    <t xml:space="preserve">     Controlled</t>
  </si>
  <si>
    <t xml:space="preserve">     Not Controlled</t>
  </si>
  <si>
    <t>Reciprocating Compressors</t>
  </si>
  <si>
    <t>Compressor Stations</t>
  </si>
  <si>
    <t>Rod Packing Changeout</t>
  </si>
  <si>
    <t>Routed to Control</t>
  </si>
  <si>
    <t>Gas Processing Plants</t>
  </si>
  <si>
    <t>Centrifugal Compressors</t>
  </si>
  <si>
    <t>Fugitives - Compressor Stations</t>
  </si>
  <si>
    <t>Gathering and Boosting</t>
  </si>
  <si>
    <t>Natural Gas Processing Plants</t>
  </si>
  <si>
    <t>Table 1d.  Three-Year Average Respondent Burden of Reporting and Recordkeeping Requirements</t>
  </si>
  <si>
    <t>Standards of Performance for Crude Oil and Natural Gas Facilities for which Construction, Modification,</t>
  </si>
  <si>
    <t>or Reconstruction Commenced after September 18, 2015 (40 CFR part 60, subpart OOOOa)</t>
  </si>
  <si>
    <t>Total Annual Responses</t>
  </si>
  <si>
    <t>Year</t>
  </si>
  <si>
    <t>Total Respondents</t>
  </si>
  <si>
    <t>Technical Hours</t>
  </si>
  <si>
    <t>Clerical Hours</t>
  </si>
  <si>
    <t>Management Hours</t>
  </si>
  <si>
    <t>Total Labor Hours</t>
  </si>
  <si>
    <t>Labor Cost</t>
  </si>
  <si>
    <t>Capital Cost</t>
  </si>
  <si>
    <t>Information Collection Activity</t>
  </si>
  <si>
    <t>Number of Respondents</t>
  </si>
  <si>
    <t>Number of Responses</t>
  </si>
  <si>
    <t>Total Annual Reports</t>
  </si>
  <si>
    <t>1 (2021)</t>
  </si>
  <si>
    <t>Notification of well completions/recompletions</t>
  </si>
  <si>
    <t>2 (2022)</t>
  </si>
  <si>
    <t>Notification of construction/reconstruction/modification</t>
  </si>
  <si>
    <t>3 (2023)</t>
  </si>
  <si>
    <t>Annual Compliance Reports</t>
  </si>
  <si>
    <t xml:space="preserve">Total  </t>
  </si>
  <si>
    <t>Semiannual Compliance Reports</t>
  </si>
  <si>
    <t>Average</t>
  </si>
  <si>
    <t>Total</t>
  </si>
  <si>
    <t>hours/response</t>
  </si>
  <si>
    <t>Table 2a.  Year 1 Annual Burden and Cost to the Federal Government</t>
  </si>
  <si>
    <t>(C)</t>
  </si>
  <si>
    <t>EPA person-</t>
  </si>
  <si>
    <t>No. of</t>
  </si>
  <si>
    <t>Responses</t>
  </si>
  <si>
    <t>Management</t>
  </si>
  <si>
    <t>Cost,$ (a)</t>
  </si>
  <si>
    <t>hours per</t>
  </si>
  <si>
    <t>occurrences</t>
  </si>
  <si>
    <t>per</t>
  </si>
  <si>
    <t>person-hours</t>
  </si>
  <si>
    <t>person-</t>
  </si>
  <si>
    <t>occurrence</t>
  </si>
  <si>
    <t>per plant</t>
  </si>
  <si>
    <t>plant per</t>
  </si>
  <si>
    <t>year (a)</t>
  </si>
  <si>
    <t>per year</t>
  </si>
  <si>
    <t>year</t>
  </si>
  <si>
    <t>(E=CxD)</t>
  </si>
  <si>
    <t>(Ex0.05)</t>
  </si>
  <si>
    <t>Activity</t>
  </si>
  <si>
    <t>(C=AxB)</t>
  </si>
  <si>
    <t>(Ex0.1)</t>
  </si>
  <si>
    <t>Report Review</t>
  </si>
  <si>
    <t xml:space="preserve">   Notification of Construction/Reconstruction/Modification</t>
  </si>
  <si>
    <t>Annual Report</t>
  </si>
  <si>
    <t>Semiannual Report</t>
  </si>
  <si>
    <t>TOTAL ANNUAL BURDEN</t>
  </si>
  <si>
    <t xml:space="preserve"> </t>
  </si>
  <si>
    <r>
      <rPr>
        <vertAlign val="superscript"/>
        <sz val="10"/>
        <rFont val="Times New Roman"/>
        <family val="1"/>
      </rPr>
      <t xml:space="preserve">a </t>
    </r>
    <r>
      <rPr>
        <sz val="10"/>
        <rFont val="Times New Roman"/>
        <family val="1"/>
      </rPr>
      <t>The cost is based on the following labor rate which incorporates a 1.6 benefits multiplication factor to account for government overhead expenses.  Managerial rates of $64.16 (GS-13, Step 5, $40.10 × 1.6), Technical rate of $47.62 (GS-12, Step 1, $29.76 × 1.6), and Clerical rate of $25.76 (GS-6, Step 3, $16.10 × 1.6).  These rates are from the Office of Personnel Management (OPM), 2016 General Schedule, which excludes locality rates of pay.</t>
    </r>
  </si>
  <si>
    <t>Labor category -- Agency</t>
  </si>
  <si>
    <t>$/hr</t>
  </si>
  <si>
    <t>Description from Reference 1.</t>
  </si>
  <si>
    <t xml:space="preserve">   Technical</t>
  </si>
  <si>
    <t>GS-12, Step 1, $29.76 + 60%</t>
  </si>
  <si>
    <t xml:space="preserve">    Management</t>
  </si>
  <si>
    <t>GS-13, Step 5, $40.10 + 60%</t>
  </si>
  <si>
    <t xml:space="preserve">    Clerical</t>
  </si>
  <si>
    <t>GS-6, Step 3, $16.10 + 60%</t>
  </si>
  <si>
    <t>Ref. 1: Office of Personnel Management (OPM) 2016 General Schedule, Salary Table 2016-GS</t>
  </si>
  <si>
    <t>Table 2b.  Year 2 Annual Burden and Cost to the Federal Government</t>
  </si>
  <si>
    <t>Table 2c.  Year 3 Annual Burden and Cost to the Federal Government</t>
  </si>
  <si>
    <t>Table 2d.  Three-Year Average Annual Burden and Cost to the Federal Government</t>
  </si>
  <si>
    <t>Gathering &amp; Boosting Compressor Stations (Semiannual Monitoring)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</si>
</sst>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_);_(* \(#,##0\);_(* &quot;-&quot;??_);_(@_)"/>
  </numFmts>
  <fonts count="15" x14ac:knownFonts="1"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sz val="12"/>
      <name val="Arial"/>
      <family val="2"/>
    </font>
    <font>
      <b/>
      <sz val="10"/>
      <color rgb="FFFF0000"/>
      <name val="Times New Roman"/>
      <family val="1"/>
    </font>
    <font>
      <i/>
      <sz val="10"/>
      <name val="Times New Roman"/>
      <family val="1"/>
    </font>
    <font>
      <sz val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0" fillId="0" borderId="0"/>
  </cellStyleXfs>
  <cellXfs count="18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quotePrefix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1" fillId="0" borderId="0" xfId="3"/>
    <xf numFmtId="169" fontId="1" fillId="0" borderId="0" xfId="3" applyNumberFormat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9" fontId="0" fillId="0" borderId="13" xfId="1" applyNumberFormat="1" applyFont="1" applyBorder="1"/>
    <xf numFmtId="169" fontId="0" fillId="0" borderId="14" xfId="1" applyNumberFormat="1" applyFont="1" applyBorder="1"/>
    <xf numFmtId="165" fontId="0" fillId="0" borderId="14" xfId="1" applyNumberFormat="1" applyFont="1" applyBorder="1"/>
    <xf numFmtId="165" fontId="0" fillId="0" borderId="13" xfId="1" applyNumberFormat="1" applyFont="1" applyBorder="1"/>
    <xf numFmtId="166" fontId="0" fillId="0" borderId="19" xfId="2" applyNumberFormat="1" applyFont="1" applyBorder="1"/>
    <xf numFmtId="0" fontId="0" fillId="0" borderId="20" xfId="0" applyBorder="1" applyAlignment="1">
      <alignment vertical="center"/>
    </xf>
    <xf numFmtId="0" fontId="0" fillId="0" borderId="22" xfId="0" applyBorder="1" applyAlignment="1">
      <alignment horizontal="left" vertical="center" indent="1"/>
    </xf>
    <xf numFmtId="0" fontId="5" fillId="2" borderId="2" xfId="0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3" fontId="5" fillId="2" borderId="23" xfId="0" applyNumberFormat="1" applyFont="1" applyFill="1" applyBorder="1" applyAlignment="1">
      <alignment vertical="center"/>
    </xf>
    <xf numFmtId="0" fontId="7" fillId="0" borderId="0" xfId="3" applyFont="1"/>
    <xf numFmtId="4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0" fontId="3" fillId="0" borderId="0" xfId="0" applyFont="1" applyAlignment="1">
      <alignment vertical="center"/>
    </xf>
    <xf numFmtId="3" fontId="1" fillId="0" borderId="0" xfId="3" applyNumberFormat="1"/>
    <xf numFmtId="166" fontId="1" fillId="0" borderId="0" xfId="3" applyNumberFormat="1"/>
    <xf numFmtId="0" fontId="1" fillId="0" borderId="24" xfId="0" applyFont="1" applyBorder="1"/>
    <xf numFmtId="0" fontId="1" fillId="0" borderId="24" xfId="0" applyFont="1" applyBorder="1" applyAlignment="1">
      <alignment horizontal="center"/>
    </xf>
    <xf numFmtId="167" fontId="1" fillId="0" borderId="24" xfId="0" applyNumberFormat="1" applyFont="1" applyBorder="1"/>
    <xf numFmtId="0" fontId="1" fillId="0" borderId="0" xfId="0" applyFont="1"/>
    <xf numFmtId="167" fontId="1" fillId="0" borderId="0" xfId="0" applyNumberFormat="1" applyFont="1" applyAlignment="1">
      <alignment horizontal="right"/>
    </xf>
    <xf numFmtId="2" fontId="0" fillId="0" borderId="0" xfId="0" applyNumberFormat="1" applyAlignment="1">
      <alignment horizontal="left"/>
    </xf>
    <xf numFmtId="0" fontId="4" fillId="0" borderId="1" xfId="3" applyFont="1" applyBorder="1" applyAlignment="1">
      <alignment horizontal="center" wrapText="1"/>
    </xf>
    <xf numFmtId="0" fontId="4" fillId="0" borderId="1" xfId="3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166" fontId="4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3" fontId="5" fillId="0" borderId="1" xfId="3" applyNumberFormat="1" applyFont="1" applyBorder="1" applyAlignment="1">
      <alignment horizontal="center" vertical="center"/>
    </xf>
    <xf numFmtId="166" fontId="5" fillId="0" borderId="1" xfId="3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5" fontId="0" fillId="0" borderId="21" xfId="2" applyNumberFormat="1" applyFont="1" applyBorder="1" applyAlignment="1">
      <alignment horizontal="center"/>
    </xf>
    <xf numFmtId="164" fontId="5" fillId="2" borderId="5" xfId="0" applyNumberFormat="1" applyFont="1" applyFill="1" applyBorder="1" applyAlignment="1">
      <alignment horizontal="center" vertical="center"/>
    </xf>
    <xf numFmtId="168" fontId="5" fillId="2" borderId="5" xfId="2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/>
    </xf>
    <xf numFmtId="3" fontId="8" fillId="2" borderId="23" xfId="2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4" fontId="4" fillId="0" borderId="25" xfId="1" applyNumberFormat="1" applyFont="1" applyBorder="1" applyAlignment="1">
      <alignment horizontal="center"/>
    </xf>
    <xf numFmtId="0" fontId="4" fillId="0" borderId="0" xfId="3" applyFont="1"/>
    <xf numFmtId="0" fontId="1" fillId="0" borderId="0" xfId="3" applyFont="1"/>
    <xf numFmtId="0" fontId="1" fillId="0" borderId="0" xfId="3" applyFont="1" applyAlignment="1">
      <alignment horizontal="left"/>
    </xf>
    <xf numFmtId="3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 indent="2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3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12" fillId="0" borderId="1" xfId="5" applyNumberFormat="1" applyFont="1" applyBorder="1" applyAlignment="1">
      <alignment horizontal="center"/>
    </xf>
    <xf numFmtId="1" fontId="11" fillId="4" borderId="9" xfId="5" applyNumberFormat="1" applyFont="1" applyFill="1" applyBorder="1" applyAlignment="1">
      <alignment horizontal="center" vertical="center"/>
    </xf>
    <xf numFmtId="0" fontId="11" fillId="4" borderId="9" xfId="5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0" xfId="0" applyFill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" fontId="5" fillId="0" borderId="1" xfId="3" applyNumberFormat="1" applyFont="1" applyBorder="1" applyAlignment="1">
      <alignment horizontal="center"/>
    </xf>
    <xf numFmtId="0" fontId="4" fillId="0" borderId="1" xfId="3" applyFont="1" applyBorder="1" applyAlignment="1">
      <alignment horizontal="left" wrapText="1"/>
    </xf>
    <xf numFmtId="3" fontId="4" fillId="0" borderId="1" xfId="3" applyNumberFormat="1" applyFont="1" applyBorder="1" applyAlignment="1">
      <alignment horizontal="center" wrapText="1"/>
    </xf>
    <xf numFmtId="3" fontId="0" fillId="0" borderId="1" xfId="3" applyNumberFormat="1" applyFont="1" applyBorder="1" applyAlignment="1">
      <alignment horizontal="center" wrapText="1"/>
    </xf>
    <xf numFmtId="1" fontId="4" fillId="0" borderId="0" xfId="3" applyNumberFormat="1" applyFont="1" applyAlignment="1">
      <alignment horizontal="center"/>
    </xf>
    <xf numFmtId="0" fontId="0" fillId="0" borderId="3" xfId="0" applyFont="1" applyFill="1" applyBorder="1" applyAlignment="1">
      <alignment horizontal="left" vertical="center" wrapText="1" indent="2"/>
    </xf>
    <xf numFmtId="0" fontId="0" fillId="0" borderId="32" xfId="0" applyBorder="1" applyAlignment="1">
      <alignment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66" fontId="0" fillId="0" borderId="0" xfId="0" applyNumberFormat="1" applyFill="1" applyAlignment="1">
      <alignment horizontal="center"/>
    </xf>
    <xf numFmtId="3" fontId="11" fillId="0" borderId="1" xfId="5" applyNumberFormat="1" applyFont="1" applyBorder="1" applyAlignment="1">
      <alignment horizontal="center"/>
    </xf>
    <xf numFmtId="3" fontId="13" fillId="0" borderId="1" xfId="5" applyNumberFormat="1" applyFont="1" applyBorder="1" applyAlignment="1">
      <alignment horizontal="center"/>
    </xf>
    <xf numFmtId="3" fontId="13" fillId="0" borderId="21" xfId="5" applyNumberFormat="1" applyFont="1" applyBorder="1" applyAlignment="1">
      <alignment horizontal="center"/>
    </xf>
    <xf numFmtId="0" fontId="12" fillId="0" borderId="20" xfId="5" applyFont="1" applyBorder="1" applyAlignment="1">
      <alignment horizontal="left" vertical="center" wrapText="1" indent="3"/>
    </xf>
    <xf numFmtId="3" fontId="12" fillId="0" borderId="1" xfId="5" applyNumberFormat="1" applyFont="1" applyBorder="1" applyAlignment="1">
      <alignment horizontal="left" indent="2"/>
    </xf>
    <xf numFmtId="3" fontId="12" fillId="0" borderId="21" xfId="5" applyNumberFormat="1" applyFont="1" applyBorder="1" applyAlignment="1">
      <alignment horizontal="left" indent="2"/>
    </xf>
    <xf numFmtId="3" fontId="12" fillId="0" borderId="21" xfId="5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Fill="1" applyBorder="1" applyAlignment="1">
      <alignment vertical="center" wrapText="1"/>
    </xf>
    <xf numFmtId="0" fontId="0" fillId="0" borderId="0" xfId="0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" fontId="11" fillId="4" borderId="33" xfId="5" applyNumberFormat="1" applyFont="1" applyFill="1" applyBorder="1" applyAlignment="1">
      <alignment horizontal="left" vertical="center"/>
    </xf>
    <xf numFmtId="0" fontId="11" fillId="4" borderId="11" xfId="5" applyFont="1" applyFill="1" applyBorder="1" applyAlignment="1">
      <alignment horizontal="center" vertical="center"/>
    </xf>
    <xf numFmtId="0" fontId="5" fillId="0" borderId="20" xfId="0" applyFont="1" applyBorder="1"/>
    <xf numFmtId="3" fontId="11" fillId="0" borderId="21" xfId="5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0" fontId="0" fillId="0" borderId="20" xfId="0" applyBorder="1" applyAlignment="1">
      <alignment horizontal="left" indent="2"/>
    </xf>
    <xf numFmtId="0" fontId="5" fillId="0" borderId="21" xfId="0" applyFont="1" applyBorder="1" applyAlignment="1">
      <alignment horizontal="center"/>
    </xf>
    <xf numFmtId="0" fontId="0" fillId="0" borderId="20" xfId="0" applyBorder="1"/>
    <xf numFmtId="0" fontId="4" fillId="0" borderId="21" xfId="0" applyFont="1" applyBorder="1" applyAlignment="1">
      <alignment horizontal="center"/>
    </xf>
    <xf numFmtId="0" fontId="5" fillId="0" borderId="20" xfId="0" applyFont="1" applyFill="1" applyBorder="1"/>
    <xf numFmtId="0" fontId="14" fillId="0" borderId="20" xfId="0" applyFont="1" applyFill="1" applyBorder="1" applyAlignment="1">
      <alignment horizontal="left" indent="1"/>
    </xf>
    <xf numFmtId="0" fontId="0" fillId="0" borderId="20" xfId="0" applyFill="1" applyBorder="1" applyAlignment="1">
      <alignment horizontal="left" indent="2"/>
    </xf>
    <xf numFmtId="0" fontId="14" fillId="0" borderId="20" xfId="0" applyFont="1" applyFill="1" applyBorder="1" applyAlignment="1">
      <alignment horizontal="left" indent="3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0" xfId="0" applyBorder="1" applyAlignment="1">
      <alignment horizontal="left" indent="1"/>
    </xf>
    <xf numFmtId="0" fontId="5" fillId="0" borderId="34" xfId="0" applyFont="1" applyBorder="1"/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0" xfId="3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0" fillId="0" borderId="31" xfId="3" applyFont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3" fillId="0" borderId="0" xfId="3" applyFont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5" fontId="5" fillId="2" borderId="19" xfId="2" applyNumberFormat="1" applyFont="1" applyFill="1" applyBorder="1" applyAlignment="1">
      <alignment horizontal="center" vertical="center"/>
    </xf>
    <xf numFmtId="5" fontId="5" fillId="2" borderId="27" xfId="2" applyNumberFormat="1" applyFont="1" applyFill="1" applyBorder="1" applyAlignment="1">
      <alignment horizontal="center" vertical="center"/>
    </xf>
    <xf numFmtId="3" fontId="5" fillId="2" borderId="28" xfId="1" applyNumberFormat="1" applyFont="1" applyFill="1" applyBorder="1" applyAlignment="1">
      <alignment horizontal="center" vertical="center"/>
    </xf>
    <xf numFmtId="0" fontId="5" fillId="2" borderId="29" xfId="1" applyNumberFormat="1" applyFont="1" applyFill="1" applyBorder="1" applyAlignment="1">
      <alignment horizontal="center" vertical="center"/>
    </xf>
    <xf numFmtId="0" fontId="5" fillId="2" borderId="30" xfId="1" applyNumberFormat="1" applyFont="1" applyFill="1" applyBorder="1" applyAlignment="1">
      <alignment horizontal="center" vertical="center"/>
    </xf>
    <xf numFmtId="168" fontId="1" fillId="0" borderId="0" xfId="2" applyNumberFormat="1"/>
  </cellXfs>
  <cellStyles count="6">
    <cellStyle name="Comma" xfId="1" builtinId="3"/>
    <cellStyle name="Currency" xfId="2" builtinId="4"/>
    <cellStyle name="Normal" xfId="0" builtinId="0" customBuiltin="1"/>
    <cellStyle name="Normal 10" xfId="5" xr:uid="{24B059EB-43A9-4FB4-956D-52150E82D120}"/>
    <cellStyle name="Normal 2" xfId="3" xr:uid="{00000000-0005-0000-0000-000003000000}"/>
    <cellStyle name="Normal 2 2" xfId="4" xr:uid="{00000000-0005-0000-0000-000004000000}"/>
  </cellStyles>
  <dxfs count="0"/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5E3F-02C9-4D83-B5DD-B0270F62F40F}">
  <sheetPr>
    <pageSetUpPr fitToPage="1"/>
  </sheetPr>
  <dimension ref="A1:AL87"/>
  <sheetViews>
    <sheetView topLeftCell="A24" zoomScale="75" zoomScaleNormal="75" workbookViewId="0">
      <selection activeCell="M71" sqref="M71"/>
    </sheetView>
  </sheetViews>
  <sheetFormatPr defaultRowHeight="12.75" x14ac:dyDescent="0.2"/>
  <cols>
    <col min="1" max="2" width="3.83203125" customWidth="1"/>
    <col min="3" max="3" width="77.33203125" customWidth="1"/>
    <col min="4" max="4" width="15.5" customWidth="1"/>
    <col min="5" max="5" width="18.33203125" customWidth="1"/>
    <col min="6" max="6" width="16.33203125" customWidth="1"/>
    <col min="7" max="7" width="16" customWidth="1"/>
    <col min="8" max="8" width="15.5" customWidth="1"/>
    <col min="9" max="9" width="15.33203125" customWidth="1"/>
    <col min="10" max="10" width="12.83203125" customWidth="1"/>
    <col min="11" max="11" width="15.1640625" customWidth="1"/>
    <col min="12" max="12" width="16.83203125" style="75" customWidth="1"/>
    <col min="13" max="16" width="16.83203125" customWidth="1"/>
  </cols>
  <sheetData>
    <row r="1" spans="1:38" ht="15.75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37"/>
    </row>
    <row r="2" spans="1:38" ht="15.75" x14ac:dyDescent="0.2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37"/>
      <c r="M2" t="s">
        <v>2</v>
      </c>
      <c r="N2" t="s">
        <v>3</v>
      </c>
    </row>
    <row r="3" spans="1:38" ht="15.75" x14ac:dyDescent="0.2">
      <c r="A3" s="157" t="s">
        <v>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37"/>
      <c r="M3" t="s">
        <v>5</v>
      </c>
      <c r="N3" s="47">
        <f>28.84*2.1</f>
        <v>60.564</v>
      </c>
      <c r="O3" t="s">
        <v>6</v>
      </c>
    </row>
    <row r="4" spans="1:38" ht="15.75" x14ac:dyDescent="0.2">
      <c r="A4" s="158" t="s">
        <v>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37"/>
      <c r="M4" t="s">
        <v>8</v>
      </c>
      <c r="N4" s="47">
        <f>58.7*2.1</f>
        <v>123.27000000000001</v>
      </c>
      <c r="O4" t="s">
        <v>9</v>
      </c>
    </row>
    <row r="5" spans="1:38" x14ac:dyDescent="0.2">
      <c r="A5" s="159" t="s">
        <v>10</v>
      </c>
      <c r="B5" s="160"/>
      <c r="C5" s="160"/>
      <c r="D5" s="132" t="s">
        <v>11</v>
      </c>
      <c r="E5" s="132" t="s">
        <v>12</v>
      </c>
      <c r="F5" s="3" t="s">
        <v>13</v>
      </c>
      <c r="G5" s="132" t="s">
        <v>14</v>
      </c>
      <c r="H5" s="132" t="s">
        <v>15</v>
      </c>
      <c r="I5" s="132" t="s">
        <v>16</v>
      </c>
      <c r="J5" s="132" t="s">
        <v>17</v>
      </c>
      <c r="K5" s="132" t="s">
        <v>18</v>
      </c>
      <c r="L5" s="137"/>
      <c r="M5" s="2" t="s">
        <v>19</v>
      </c>
      <c r="N5" s="47">
        <f>19.39*2.1</f>
        <v>40.719000000000001</v>
      </c>
      <c r="O5" t="s">
        <v>20</v>
      </c>
      <c r="P5" s="137"/>
    </row>
    <row r="6" spans="1:38" ht="51" x14ac:dyDescent="0.2">
      <c r="A6" s="160"/>
      <c r="B6" s="160"/>
      <c r="C6" s="160"/>
      <c r="D6" s="134" t="s">
        <v>21</v>
      </c>
      <c r="E6" s="134" t="s">
        <v>22</v>
      </c>
      <c r="F6" s="134" t="s">
        <v>23</v>
      </c>
      <c r="G6" s="134" t="s">
        <v>24</v>
      </c>
      <c r="H6" s="134" t="s">
        <v>25</v>
      </c>
      <c r="I6" s="134" t="s">
        <v>26</v>
      </c>
      <c r="J6" s="134" t="s">
        <v>27</v>
      </c>
      <c r="K6" s="134" t="s">
        <v>28</v>
      </c>
      <c r="L6" s="1"/>
      <c r="M6" s="1" t="s">
        <v>29</v>
      </c>
      <c r="N6" s="1"/>
      <c r="O6" s="1"/>
      <c r="P6" s="1"/>
    </row>
    <row r="7" spans="1:38" ht="15" customHeight="1" x14ac:dyDescent="0.2">
      <c r="A7" s="145" t="s">
        <v>30</v>
      </c>
      <c r="B7" s="146"/>
      <c r="C7" s="146"/>
      <c r="D7" s="146"/>
      <c r="E7" s="146"/>
      <c r="F7" s="146"/>
      <c r="G7" s="146"/>
      <c r="H7" s="146"/>
      <c r="I7" s="146"/>
      <c r="J7" s="146"/>
      <c r="K7" s="147"/>
      <c r="L7" s="137"/>
    </row>
    <row r="8" spans="1:38" ht="15" customHeight="1" x14ac:dyDescent="0.2">
      <c r="A8" s="145" t="s">
        <v>31</v>
      </c>
      <c r="B8" s="146"/>
      <c r="C8" s="146"/>
      <c r="D8" s="146"/>
      <c r="E8" s="146"/>
      <c r="F8" s="146"/>
      <c r="G8" s="146"/>
      <c r="H8" s="146"/>
      <c r="I8" s="146"/>
      <c r="J8" s="146"/>
      <c r="K8" s="147"/>
      <c r="L8" s="137"/>
    </row>
    <row r="9" spans="1:38" ht="15" customHeight="1" x14ac:dyDescent="0.2">
      <c r="A9" s="155" t="s">
        <v>32</v>
      </c>
      <c r="B9" s="156"/>
      <c r="C9" s="156"/>
      <c r="D9" s="146"/>
      <c r="E9" s="146"/>
      <c r="F9" s="146"/>
      <c r="G9" s="146"/>
      <c r="H9" s="146"/>
      <c r="I9" s="146"/>
      <c r="J9" s="146"/>
      <c r="K9" s="147"/>
      <c r="L9" s="137"/>
    </row>
    <row r="10" spans="1:38" ht="15" customHeight="1" x14ac:dyDescent="0.2">
      <c r="A10" s="145" t="s">
        <v>33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7"/>
      <c r="L10" s="83"/>
    </row>
    <row r="11" spans="1:38" ht="15" customHeight="1" x14ac:dyDescent="0.2">
      <c r="A11" s="128"/>
      <c r="B11" s="130" t="s">
        <v>34</v>
      </c>
      <c r="C11" s="135"/>
      <c r="D11" s="132"/>
      <c r="E11" s="132"/>
      <c r="F11" s="132"/>
      <c r="G11" s="132"/>
      <c r="H11" s="133"/>
      <c r="I11" s="133"/>
      <c r="J11" s="133"/>
      <c r="K11" s="132"/>
      <c r="L11" s="83"/>
    </row>
    <row r="12" spans="1:38" ht="15" customHeight="1" x14ac:dyDescent="0.2">
      <c r="A12" s="128"/>
      <c r="B12" s="129"/>
      <c r="C12" s="130" t="s">
        <v>35</v>
      </c>
      <c r="D12" s="68">
        <v>4</v>
      </c>
      <c r="E12" s="133">
        <v>1</v>
      </c>
      <c r="F12" s="133">
        <f>D12*E12</f>
        <v>4</v>
      </c>
      <c r="G12" s="74">
        <f>ROUND(Populations!H4/22+Populations!H32/7+Populations!H33+Populations!H34,0)</f>
        <v>499</v>
      </c>
      <c r="H12" s="133">
        <f>F12*G12</f>
        <v>1996</v>
      </c>
      <c r="I12" s="133">
        <f>H12*0.05</f>
        <v>99.800000000000011</v>
      </c>
      <c r="J12" s="133">
        <f>H12*0.1</f>
        <v>199.60000000000002</v>
      </c>
      <c r="K12" s="131">
        <f>(H12*N$3)+(I12*N$4)+(J12*N$5)</f>
        <v>141315.6024</v>
      </c>
      <c r="L12" s="84"/>
    </row>
    <row r="13" spans="1:38" ht="15" customHeight="1" x14ac:dyDescent="0.2">
      <c r="A13" s="128"/>
      <c r="B13" s="130" t="s">
        <v>36</v>
      </c>
      <c r="C13" s="135"/>
      <c r="D13" s="133"/>
      <c r="E13" s="133"/>
      <c r="F13" s="133"/>
      <c r="G13" s="133"/>
      <c r="H13" s="133"/>
      <c r="I13" s="133"/>
      <c r="J13" s="133"/>
      <c r="K13" s="132"/>
      <c r="L13" s="85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</row>
    <row r="14" spans="1:38" x14ac:dyDescent="0.2">
      <c r="A14" s="128"/>
      <c r="B14" s="129"/>
      <c r="C14" s="6" t="s">
        <v>37</v>
      </c>
      <c r="D14" s="37">
        <v>0.25</v>
      </c>
      <c r="E14" s="68">
        <v>1</v>
      </c>
      <c r="F14" s="4">
        <f>D14*E14</f>
        <v>0.25</v>
      </c>
      <c r="G14" s="68">
        <f>ROUND(Populations!H4,0)</f>
        <v>10134</v>
      </c>
      <c r="H14" s="133">
        <f>F14*G14</f>
        <v>2533.5</v>
      </c>
      <c r="I14" s="133">
        <f>H14*0.05</f>
        <v>126.67500000000001</v>
      </c>
      <c r="J14" s="133">
        <f>H14*0.1</f>
        <v>253.35000000000002</v>
      </c>
      <c r="K14" s="131">
        <f>(H14*N$3)+(I14*N$4)+(J14*N$5)</f>
        <v>179370.27989999999</v>
      </c>
      <c r="L14" s="86"/>
      <c r="M14" t="s">
        <v>38</v>
      </c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</row>
    <row r="15" spans="1:38" x14ac:dyDescent="0.2">
      <c r="A15" s="128"/>
      <c r="B15" s="129"/>
      <c r="C15" s="6" t="s">
        <v>39</v>
      </c>
      <c r="D15" s="4">
        <v>0.5</v>
      </c>
      <c r="E15" s="133">
        <v>1</v>
      </c>
      <c r="F15" s="4">
        <f>D15*E15</f>
        <v>0.5</v>
      </c>
      <c r="G15" s="68">
        <f>Populations!H33+Populations!H34</f>
        <v>8</v>
      </c>
      <c r="H15" s="133">
        <f>F15*G15</f>
        <v>4</v>
      </c>
      <c r="I15" s="133">
        <f>H15*0.05</f>
        <v>0.2</v>
      </c>
      <c r="J15" s="133">
        <f>H15*0.1</f>
        <v>0.4</v>
      </c>
      <c r="K15" s="131">
        <f>(H15*N$3)+(I15*N$4)+(J15*N$5)</f>
        <v>283.19760000000002</v>
      </c>
      <c r="L15" s="85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</row>
    <row r="16" spans="1:38" ht="15" customHeight="1" x14ac:dyDescent="0.2">
      <c r="A16" s="128"/>
      <c r="B16" s="98" t="s">
        <v>40</v>
      </c>
      <c r="C16" s="135"/>
      <c r="D16" s="133"/>
      <c r="E16" s="133"/>
      <c r="F16" s="133"/>
      <c r="G16" s="68"/>
      <c r="H16" s="133"/>
      <c r="I16" s="133"/>
      <c r="J16" s="133"/>
      <c r="K16" s="132"/>
      <c r="L16" s="85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</row>
    <row r="17" spans="1:38" ht="15" customHeight="1" x14ac:dyDescent="0.2">
      <c r="A17" s="128"/>
      <c r="B17" s="129"/>
      <c r="C17" s="73" t="s">
        <v>41</v>
      </c>
      <c r="D17" s="133"/>
      <c r="E17" s="133"/>
      <c r="F17" s="133"/>
      <c r="G17" s="68"/>
      <c r="H17" s="133"/>
      <c r="I17" s="133"/>
      <c r="J17" s="133"/>
      <c r="K17" s="132"/>
      <c r="L17" s="85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</row>
    <row r="18" spans="1:38" ht="13.9" customHeight="1" x14ac:dyDescent="0.2">
      <c r="A18" s="128"/>
      <c r="B18" s="129"/>
      <c r="C18" s="97" t="s">
        <v>42</v>
      </c>
      <c r="D18" s="68">
        <v>40</v>
      </c>
      <c r="E18" s="68">
        <v>1</v>
      </c>
      <c r="F18" s="68">
        <f t="shared" ref="F18" si="0">D18*E18</f>
        <v>40</v>
      </c>
      <c r="G18" s="68">
        <f>ROUND(Populations!H6/22,0)</f>
        <v>380</v>
      </c>
      <c r="H18" s="68">
        <f t="shared" ref="H18" si="1">F18*G18</f>
        <v>15200</v>
      </c>
      <c r="I18" s="68">
        <f t="shared" ref="I18" si="2">H18*0.05</f>
        <v>760</v>
      </c>
      <c r="J18" s="68">
        <f t="shared" ref="J18" si="3">H18*0.1</f>
        <v>1520</v>
      </c>
      <c r="K18" s="69">
        <f t="shared" ref="K18" si="4">(H18*N$3)+(I18*N$4)+(J18*N$5)</f>
        <v>1076150.8799999999</v>
      </c>
      <c r="L18" s="82"/>
      <c r="M18" s="82"/>
      <c r="N18" s="82"/>
      <c r="O18" s="82"/>
      <c r="P18" s="82"/>
      <c r="Q18" s="82"/>
      <c r="R18" s="82"/>
      <c r="S18" s="82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</row>
    <row r="19" spans="1:38" ht="15" customHeight="1" x14ac:dyDescent="0.2">
      <c r="A19" s="128"/>
      <c r="B19" s="129"/>
      <c r="C19" s="71" t="s">
        <v>43</v>
      </c>
      <c r="D19" s="68"/>
      <c r="E19" s="68"/>
      <c r="F19" s="68"/>
      <c r="G19" s="68">
        <f>ROUND(Populations!H6/22,0)</f>
        <v>380</v>
      </c>
      <c r="H19" s="68"/>
      <c r="I19" s="68"/>
      <c r="J19" s="68"/>
      <c r="K19" s="69">
        <f>846*G19</f>
        <v>321480</v>
      </c>
      <c r="L19" s="82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</row>
    <row r="20" spans="1:38" ht="15" customHeight="1" x14ac:dyDescent="0.2">
      <c r="A20" s="128"/>
      <c r="B20" s="129"/>
      <c r="C20" s="73" t="s">
        <v>44</v>
      </c>
      <c r="D20" s="68"/>
      <c r="E20" s="68"/>
      <c r="F20" s="68"/>
      <c r="G20" s="68"/>
      <c r="H20" s="68"/>
      <c r="I20" s="68"/>
      <c r="J20" s="68"/>
      <c r="K20" s="69"/>
      <c r="L20" s="85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</row>
    <row r="21" spans="1:38" ht="15" customHeight="1" x14ac:dyDescent="0.2">
      <c r="A21" s="128"/>
      <c r="B21" s="129"/>
      <c r="C21" s="71" t="s">
        <v>45</v>
      </c>
      <c r="D21" s="68">
        <v>25</v>
      </c>
      <c r="E21" s="68">
        <v>1</v>
      </c>
      <c r="F21" s="68">
        <f t="shared" ref="F21" si="5">D21*E21</f>
        <v>25</v>
      </c>
      <c r="G21" s="68">
        <f>ROUND(Populations!H32/7,0)</f>
        <v>30</v>
      </c>
      <c r="H21" s="68">
        <f t="shared" ref="H21" si="6">F21*G21</f>
        <v>750</v>
      </c>
      <c r="I21" s="68">
        <f t="shared" ref="I21" si="7">H21*0.05</f>
        <v>37.5</v>
      </c>
      <c r="J21" s="68">
        <f t="shared" ref="J21" si="8">H21*0.1</f>
        <v>75</v>
      </c>
      <c r="K21" s="69">
        <f t="shared" ref="K21" si="9">(H21*N$3)+(I21*N$4)+(J21*N$5)</f>
        <v>53099.55</v>
      </c>
      <c r="L21" s="82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</row>
    <row r="22" spans="1:38" ht="15" customHeight="1" x14ac:dyDescent="0.2">
      <c r="A22" s="128"/>
      <c r="B22" s="88"/>
      <c r="C22" s="71" t="s">
        <v>43</v>
      </c>
      <c r="D22" s="70"/>
      <c r="E22" s="68"/>
      <c r="F22" s="70"/>
      <c r="G22" s="68">
        <f>G21</f>
        <v>30</v>
      </c>
      <c r="H22" s="68"/>
      <c r="I22" s="68"/>
      <c r="J22" s="68"/>
      <c r="K22" s="69">
        <f>G22*18607</f>
        <v>558210</v>
      </c>
      <c r="L22" s="82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</row>
    <row r="23" spans="1:38" ht="15" customHeight="1" x14ac:dyDescent="0.2">
      <c r="A23" s="128"/>
      <c r="B23" s="129" t="s">
        <v>46</v>
      </c>
      <c r="C23" s="135"/>
      <c r="D23" s="133"/>
      <c r="E23" s="133"/>
      <c r="F23" s="133"/>
      <c r="G23" s="133"/>
      <c r="H23" s="133"/>
      <c r="I23" s="133"/>
      <c r="J23" s="133"/>
      <c r="K23" s="132"/>
      <c r="L23" s="101"/>
    </row>
    <row r="24" spans="1:38" ht="15" customHeight="1" x14ac:dyDescent="0.2">
      <c r="A24" s="128"/>
      <c r="B24" s="129" t="s">
        <v>47</v>
      </c>
      <c r="C24" s="135"/>
      <c r="D24" s="133"/>
      <c r="E24" s="133"/>
      <c r="F24" s="133"/>
      <c r="G24" s="133"/>
      <c r="H24" s="133"/>
      <c r="I24" s="133"/>
      <c r="J24" s="133"/>
      <c r="K24" s="132"/>
      <c r="L24" s="83"/>
      <c r="M24" s="89"/>
    </row>
    <row r="25" spans="1:38" ht="15" customHeight="1" x14ac:dyDescent="0.2">
      <c r="A25" s="128"/>
      <c r="B25" s="129"/>
      <c r="C25" s="6" t="s">
        <v>48</v>
      </c>
      <c r="D25" s="133">
        <v>1</v>
      </c>
      <c r="E25" s="133">
        <v>1</v>
      </c>
      <c r="F25" s="133">
        <f t="shared" ref="F25:F35" si="10">D25*E25</f>
        <v>1</v>
      </c>
      <c r="G25" s="68">
        <f>G14</f>
        <v>10134</v>
      </c>
      <c r="H25" s="133">
        <f t="shared" ref="H25:H35" si="11">F25*G25</f>
        <v>10134</v>
      </c>
      <c r="I25" s="133">
        <f t="shared" ref="I25:I37" si="12">H25*0.05</f>
        <v>506.70000000000005</v>
      </c>
      <c r="J25" s="133">
        <f t="shared" ref="J25:J35" si="13">H25*0.1</f>
        <v>1013.4000000000001</v>
      </c>
      <c r="K25" s="131">
        <f t="shared" ref="K25:K35" si="14">(H25*N$3)+(I25*N$4)+(J25*N$5)</f>
        <v>717481.11959999998</v>
      </c>
      <c r="L25" s="84"/>
      <c r="M25" s="89" t="s">
        <v>49</v>
      </c>
    </row>
    <row r="26" spans="1:38" ht="15" customHeight="1" x14ac:dyDescent="0.2">
      <c r="A26" s="128"/>
      <c r="B26" s="129"/>
      <c r="C26" s="6" t="s">
        <v>50</v>
      </c>
      <c r="D26" s="133">
        <v>3</v>
      </c>
      <c r="E26" s="133">
        <v>1</v>
      </c>
      <c r="F26" s="133">
        <f>D26*E26</f>
        <v>3</v>
      </c>
      <c r="G26" s="68">
        <f>Populations!H29</f>
        <v>0</v>
      </c>
      <c r="H26" s="133">
        <f>F26*G26</f>
        <v>0</v>
      </c>
      <c r="I26" s="133">
        <f>H26*0.05</f>
        <v>0</v>
      </c>
      <c r="J26" s="133">
        <f>H26*0.1</f>
        <v>0</v>
      </c>
      <c r="K26" s="131">
        <f>(H26*N$3)+(I26*N$4)+(J26*N$5)</f>
        <v>0</v>
      </c>
      <c r="L26" s="83"/>
      <c r="M26" s="89" t="s">
        <v>51</v>
      </c>
    </row>
    <row r="27" spans="1:38" ht="15" customHeight="1" x14ac:dyDescent="0.2">
      <c r="A27" s="128"/>
      <c r="B27" s="129"/>
      <c r="C27" s="110" t="s">
        <v>52</v>
      </c>
      <c r="D27" s="4">
        <v>1.5</v>
      </c>
      <c r="E27" s="133">
        <v>1</v>
      </c>
      <c r="F27" s="133">
        <f t="shared" si="10"/>
        <v>1.5</v>
      </c>
      <c r="G27" s="68">
        <f>SUM(Populations!B23:H23)+SUM(Populations!B26:H26)</f>
        <v>728</v>
      </c>
      <c r="H27" s="133">
        <f t="shared" si="11"/>
        <v>1092</v>
      </c>
      <c r="I27" s="133">
        <f t="shared" si="12"/>
        <v>54.6</v>
      </c>
      <c r="J27" s="133">
        <f t="shared" si="13"/>
        <v>109.2</v>
      </c>
      <c r="K27" s="131">
        <f t="shared" si="14"/>
        <v>77312.944800000012</v>
      </c>
      <c r="L27" s="83"/>
      <c r="M27" s="89" t="s">
        <v>53</v>
      </c>
    </row>
    <row r="28" spans="1:38" ht="15" customHeight="1" x14ac:dyDescent="0.2">
      <c r="A28" s="128"/>
      <c r="B28" s="88"/>
      <c r="C28" s="6" t="s">
        <v>54</v>
      </c>
      <c r="D28" s="133">
        <v>1</v>
      </c>
      <c r="E28" s="133">
        <v>1</v>
      </c>
      <c r="F28" s="133">
        <f t="shared" si="10"/>
        <v>1</v>
      </c>
      <c r="G28" s="133">
        <f>Populations!H17</f>
        <v>1234</v>
      </c>
      <c r="H28" s="133">
        <f t="shared" si="11"/>
        <v>1234</v>
      </c>
      <c r="I28" s="133">
        <f t="shared" si="12"/>
        <v>61.7</v>
      </c>
      <c r="J28" s="133">
        <f t="shared" si="13"/>
        <v>123.4</v>
      </c>
      <c r="K28" s="131">
        <f t="shared" si="14"/>
        <v>87366.459600000002</v>
      </c>
      <c r="L28" s="83"/>
      <c r="M28" s="89" t="s">
        <v>55</v>
      </c>
    </row>
    <row r="29" spans="1:38" ht="15" customHeight="1" x14ac:dyDescent="0.2">
      <c r="A29" s="128"/>
      <c r="B29" s="88"/>
      <c r="C29" s="6" t="s">
        <v>56</v>
      </c>
      <c r="D29" s="133">
        <v>2</v>
      </c>
      <c r="E29" s="133">
        <v>1</v>
      </c>
      <c r="F29" s="133">
        <f>D29*E29</f>
        <v>2</v>
      </c>
      <c r="G29" s="68">
        <f>SUM(Populations!B18:H18)</f>
        <v>4641</v>
      </c>
      <c r="H29" s="133">
        <f>F29*G29</f>
        <v>9282</v>
      </c>
      <c r="I29" s="133">
        <f>H29*0.05</f>
        <v>464.1</v>
      </c>
      <c r="J29" s="133">
        <f>H29*0.1</f>
        <v>928.2</v>
      </c>
      <c r="K29" s="131">
        <f>(H29*N$3)+(I29*N$4)+(J29*N$5)</f>
        <v>657160.03079999995</v>
      </c>
      <c r="L29" s="83"/>
      <c r="M29" s="89" t="s">
        <v>57</v>
      </c>
    </row>
    <row r="30" spans="1:38" ht="15" customHeight="1" x14ac:dyDescent="0.2">
      <c r="A30" s="128"/>
      <c r="B30" s="129"/>
      <c r="C30" s="6" t="s">
        <v>58</v>
      </c>
      <c r="D30" s="133">
        <v>2</v>
      </c>
      <c r="E30" s="133">
        <v>1</v>
      </c>
      <c r="F30" s="133">
        <f t="shared" si="10"/>
        <v>2</v>
      </c>
      <c r="G30" s="68">
        <f>SUM(Populations!B30:H30)</f>
        <v>6372</v>
      </c>
      <c r="H30" s="133">
        <f t="shared" si="11"/>
        <v>12744</v>
      </c>
      <c r="I30" s="133">
        <f t="shared" si="12"/>
        <v>637.20000000000005</v>
      </c>
      <c r="J30" s="133">
        <f t="shared" si="13"/>
        <v>1274.4000000000001</v>
      </c>
      <c r="K30" s="131">
        <f t="shared" si="14"/>
        <v>902267.55359999998</v>
      </c>
      <c r="L30" s="83"/>
      <c r="M30" s="89" t="s">
        <v>59</v>
      </c>
    </row>
    <row r="31" spans="1:38" ht="15" customHeight="1" x14ac:dyDescent="0.2">
      <c r="A31" s="128"/>
      <c r="B31" s="129"/>
      <c r="C31" s="73" t="s">
        <v>60</v>
      </c>
      <c r="D31" s="133"/>
      <c r="E31" s="133"/>
      <c r="F31" s="133"/>
      <c r="G31" s="68"/>
      <c r="H31" s="133"/>
      <c r="I31" s="133"/>
      <c r="J31" s="133"/>
      <c r="K31" s="131"/>
      <c r="L31" s="83"/>
      <c r="M31" s="89"/>
    </row>
    <row r="32" spans="1:38" s="89" customFormat="1" ht="15" customHeight="1" x14ac:dyDescent="0.2">
      <c r="A32" s="87"/>
      <c r="B32" s="88"/>
      <c r="C32" s="97" t="s">
        <v>61</v>
      </c>
      <c r="D32" s="68">
        <v>3</v>
      </c>
      <c r="E32" s="68">
        <v>1</v>
      </c>
      <c r="F32" s="68">
        <f>D32*E32</f>
        <v>3</v>
      </c>
      <c r="G32" s="68">
        <f>ROUND(SUM(Populations!B6:H6),0)</f>
        <v>49580</v>
      </c>
      <c r="H32" s="68">
        <f>F32*G32</f>
        <v>148740</v>
      </c>
      <c r="I32" s="68">
        <f>H32*0.05</f>
        <v>7437</v>
      </c>
      <c r="J32" s="68">
        <f>H32*0.1</f>
        <v>14874</v>
      </c>
      <c r="K32" s="69">
        <f>(H32*N$3)+(I32*N$4)+(J32*N$5)</f>
        <v>10530702.755999999</v>
      </c>
      <c r="L32" s="83"/>
      <c r="M32" s="89" t="s">
        <v>62</v>
      </c>
    </row>
    <row r="33" spans="1:13" s="89" customFormat="1" ht="15" customHeight="1" x14ac:dyDescent="0.2">
      <c r="A33" s="87"/>
      <c r="B33" s="88"/>
      <c r="C33" s="97" t="s">
        <v>63</v>
      </c>
      <c r="D33" s="68">
        <v>1</v>
      </c>
      <c r="E33" s="68">
        <v>1</v>
      </c>
      <c r="F33" s="68">
        <f>D33*E33</f>
        <v>1</v>
      </c>
      <c r="G33" s="68">
        <f>ROUND(SUM(Populations!B10:H10),0)</f>
        <v>10566</v>
      </c>
      <c r="H33" s="68">
        <f>F33*G33</f>
        <v>10566</v>
      </c>
      <c r="I33" s="68">
        <f>H33*0.05</f>
        <v>528.30000000000007</v>
      </c>
      <c r="J33" s="68">
        <f>H33*0.1</f>
        <v>1056.6000000000001</v>
      </c>
      <c r="K33" s="69">
        <f>(H33*N$3)+(I33*N$4)+(J33*N$5)</f>
        <v>748066.46039999998</v>
      </c>
      <c r="L33" s="83"/>
      <c r="M33" s="89" t="s">
        <v>62</v>
      </c>
    </row>
    <row r="34" spans="1:13" s="89" customFormat="1" ht="16.149999999999999" customHeight="1" x14ac:dyDescent="0.2">
      <c r="A34" s="87"/>
      <c r="B34" s="88"/>
      <c r="C34" s="73" t="s">
        <v>44</v>
      </c>
      <c r="D34" s="68">
        <v>3</v>
      </c>
      <c r="E34" s="68">
        <v>1</v>
      </c>
      <c r="F34" s="68">
        <f>D34*E34</f>
        <v>3</v>
      </c>
      <c r="G34" s="68">
        <f>(SUM(Populations!B32:H32))/7</f>
        <v>212</v>
      </c>
      <c r="H34" s="68">
        <f>F34*G34</f>
        <v>636</v>
      </c>
      <c r="I34" s="68">
        <f>H34*0.05</f>
        <v>31.8</v>
      </c>
      <c r="J34" s="68">
        <f>H34*0.1</f>
        <v>63.6</v>
      </c>
      <c r="K34" s="69">
        <f>(H34*N$3)+(I34*N$4)+(J34*N$5)</f>
        <v>45028.418399999995</v>
      </c>
      <c r="L34" s="83"/>
    </row>
    <row r="35" spans="1:13" ht="15" customHeight="1" x14ac:dyDescent="0.2">
      <c r="A35" s="128"/>
      <c r="B35" s="129"/>
      <c r="C35" s="6" t="s">
        <v>64</v>
      </c>
      <c r="D35" s="133">
        <v>4</v>
      </c>
      <c r="E35" s="133">
        <v>1</v>
      </c>
      <c r="F35" s="133">
        <f t="shared" si="10"/>
        <v>4</v>
      </c>
      <c r="G35" s="133">
        <f>SUM(Populations!B34:H34)</f>
        <v>7</v>
      </c>
      <c r="H35" s="133">
        <f t="shared" si="11"/>
        <v>28</v>
      </c>
      <c r="I35" s="133">
        <f t="shared" si="12"/>
        <v>1.4000000000000001</v>
      </c>
      <c r="J35" s="133">
        <f t="shared" si="13"/>
        <v>2.8000000000000003</v>
      </c>
      <c r="K35" s="131">
        <f t="shared" si="14"/>
        <v>1982.3832</v>
      </c>
      <c r="L35" s="83"/>
      <c r="M35" s="89" t="s">
        <v>65</v>
      </c>
    </row>
    <row r="36" spans="1:13" ht="15" customHeight="1" x14ac:dyDescent="0.2">
      <c r="A36" s="128"/>
      <c r="B36" s="130" t="s">
        <v>66</v>
      </c>
      <c r="C36" s="135"/>
      <c r="D36" s="133"/>
      <c r="E36" s="133"/>
      <c r="F36" s="133"/>
      <c r="G36" s="133"/>
      <c r="H36" s="133"/>
      <c r="I36" s="133"/>
      <c r="J36" s="133"/>
      <c r="K36" s="131"/>
      <c r="L36" s="83"/>
      <c r="M36" s="89"/>
    </row>
    <row r="37" spans="1:13" ht="15" customHeight="1" x14ac:dyDescent="0.2">
      <c r="A37" s="128"/>
      <c r="B37" s="129"/>
      <c r="C37" s="6" t="s">
        <v>67</v>
      </c>
      <c r="D37" s="133">
        <v>24</v>
      </c>
      <c r="E37" s="133">
        <v>2</v>
      </c>
      <c r="F37" s="133">
        <f>D37*E37</f>
        <v>48</v>
      </c>
      <c r="G37" s="133">
        <f>SUM(Populations!B33:H33)</f>
        <v>49</v>
      </c>
      <c r="H37" s="133">
        <f>F37*G37</f>
        <v>2352</v>
      </c>
      <c r="I37" s="133">
        <f t="shared" si="12"/>
        <v>117.60000000000001</v>
      </c>
      <c r="J37" s="133">
        <f>H37*0.1</f>
        <v>235.20000000000002</v>
      </c>
      <c r="K37" s="131">
        <f>(H37*N$3)+(I37*N$4)+(J37*N$5)</f>
        <v>166520.1888</v>
      </c>
      <c r="L37" s="83"/>
      <c r="M37" s="89" t="s">
        <v>68</v>
      </c>
    </row>
    <row r="38" spans="1:13" ht="15" customHeight="1" x14ac:dyDescent="0.2">
      <c r="A38" s="7"/>
      <c r="B38" s="148" t="s">
        <v>69</v>
      </c>
      <c r="C38" s="149"/>
      <c r="D38" s="149"/>
      <c r="E38" s="149"/>
      <c r="F38" s="149"/>
      <c r="G38" s="149"/>
      <c r="H38" s="133">
        <f>SUM(H12:H37)</f>
        <v>217291.5</v>
      </c>
      <c r="I38" s="133">
        <f>SUM(I12:I37)</f>
        <v>10864.574999999999</v>
      </c>
      <c r="J38" s="133">
        <f>SUM(J12:J37)</f>
        <v>21729.149999999998</v>
      </c>
      <c r="K38" s="150">
        <f>SUM(K14:K37)</f>
        <v>16122482.222699998</v>
      </c>
      <c r="L38" s="83"/>
    </row>
    <row r="39" spans="1:13" ht="15" customHeight="1" x14ac:dyDescent="0.2">
      <c r="A39" s="5"/>
      <c r="B39" s="148"/>
      <c r="C39" s="149"/>
      <c r="D39" s="149"/>
      <c r="E39" s="149"/>
      <c r="F39" s="149"/>
      <c r="G39" s="149"/>
      <c r="H39" s="152">
        <f>SUM(H38:J38)</f>
        <v>249885.22500000001</v>
      </c>
      <c r="I39" s="151"/>
      <c r="J39" s="151"/>
      <c r="K39" s="151"/>
      <c r="L39" s="83"/>
      <c r="M39" s="38">
        <f>SUM(K14:K30,K35:K37)</f>
        <v>4798684.5878999997</v>
      </c>
    </row>
    <row r="40" spans="1:13" ht="15" customHeight="1" x14ac:dyDescent="0.2">
      <c r="A40" s="145" t="s">
        <v>70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7"/>
      <c r="L40" s="83"/>
    </row>
    <row r="41" spans="1:13" ht="15" customHeight="1" x14ac:dyDescent="0.2">
      <c r="A41" s="128"/>
      <c r="B41" s="130" t="s">
        <v>71</v>
      </c>
      <c r="C41" s="135"/>
      <c r="D41" s="132"/>
      <c r="E41" s="132"/>
      <c r="F41" s="132"/>
      <c r="G41" s="132"/>
      <c r="H41" s="133"/>
      <c r="I41" s="132"/>
      <c r="J41" s="132"/>
      <c r="K41" s="132"/>
      <c r="L41" s="83"/>
    </row>
    <row r="42" spans="1:13" ht="15" customHeight="1" x14ac:dyDescent="0.2">
      <c r="A42" s="128"/>
      <c r="B42" s="130" t="s">
        <v>72</v>
      </c>
      <c r="C42" s="135"/>
      <c r="D42" s="132"/>
      <c r="E42" s="132"/>
      <c r="F42" s="132"/>
      <c r="G42" s="132"/>
      <c r="H42" s="133"/>
      <c r="I42" s="132"/>
      <c r="J42" s="132"/>
      <c r="K42" s="132"/>
      <c r="L42" s="83"/>
    </row>
    <row r="43" spans="1:13" ht="15" customHeight="1" x14ac:dyDescent="0.2">
      <c r="A43" s="128"/>
      <c r="B43" s="130" t="s">
        <v>73</v>
      </c>
      <c r="C43" s="135"/>
      <c r="D43" s="132"/>
      <c r="E43" s="132"/>
      <c r="F43" s="132"/>
      <c r="G43" s="132"/>
      <c r="H43" s="133"/>
      <c r="I43" s="132"/>
      <c r="J43" s="132"/>
      <c r="K43" s="132"/>
      <c r="L43" s="83"/>
    </row>
    <row r="44" spans="1:13" ht="15" customHeight="1" x14ac:dyDescent="0.2">
      <c r="A44" s="128"/>
      <c r="B44" s="129"/>
      <c r="C44" s="6" t="s">
        <v>74</v>
      </c>
      <c r="D44" s="4">
        <v>0.5</v>
      </c>
      <c r="E44" s="68">
        <v>1</v>
      </c>
      <c r="F44" s="133">
        <f t="shared" ref="F44:F52" si="15">D44*E44</f>
        <v>0.5</v>
      </c>
      <c r="G44" s="68">
        <f>ROUND(Populations!H15,0)</f>
        <v>7716</v>
      </c>
      <c r="H44" s="133">
        <f t="shared" ref="H44:H52" si="16">F44*G44</f>
        <v>3858</v>
      </c>
      <c r="I44" s="133">
        <f t="shared" ref="I44:I52" si="17">H44*0.05</f>
        <v>192.9</v>
      </c>
      <c r="J44" s="133">
        <f t="shared" ref="J44:J52" si="18">H44*0.1</f>
        <v>385.8</v>
      </c>
      <c r="K44" s="131">
        <f t="shared" ref="K44:K52" si="19">(H44*N$3)+(I44*N$4)+(J44*N$5)</f>
        <v>273144.08520000003</v>
      </c>
      <c r="L44" s="84"/>
      <c r="M44" t="s">
        <v>75</v>
      </c>
    </row>
    <row r="45" spans="1:13" ht="15" customHeight="1" x14ac:dyDescent="0.2">
      <c r="A45" s="128"/>
      <c r="B45" s="129"/>
      <c r="C45" s="6" t="s">
        <v>76</v>
      </c>
      <c r="D45" s="133">
        <v>1</v>
      </c>
      <c r="E45" s="133">
        <v>1</v>
      </c>
      <c r="F45" s="133">
        <f t="shared" si="15"/>
        <v>1</v>
      </c>
      <c r="G45" s="68">
        <f>ROUND(Populations!H14,0)</f>
        <v>2418</v>
      </c>
      <c r="H45" s="133">
        <f t="shared" si="16"/>
        <v>2418</v>
      </c>
      <c r="I45" s="133">
        <f t="shared" si="17"/>
        <v>120.9</v>
      </c>
      <c r="J45" s="133">
        <f t="shared" si="18"/>
        <v>241.8</v>
      </c>
      <c r="K45" s="131">
        <f t="shared" si="19"/>
        <v>171192.9492</v>
      </c>
      <c r="L45" s="84"/>
      <c r="M45" t="s">
        <v>77</v>
      </c>
    </row>
    <row r="46" spans="1:13" ht="15" customHeight="1" x14ac:dyDescent="0.2">
      <c r="A46" s="128"/>
      <c r="B46" s="129"/>
      <c r="C46" s="6" t="s">
        <v>50</v>
      </c>
      <c r="D46" s="133">
        <v>4</v>
      </c>
      <c r="E46" s="133">
        <v>1</v>
      </c>
      <c r="F46" s="133">
        <f t="shared" si="15"/>
        <v>4</v>
      </c>
      <c r="G46" s="68">
        <f>Populations!H29</f>
        <v>0</v>
      </c>
      <c r="H46" s="133">
        <f t="shared" si="16"/>
        <v>0</v>
      </c>
      <c r="I46" s="133">
        <f t="shared" si="17"/>
        <v>0</v>
      </c>
      <c r="J46" s="133">
        <f t="shared" si="18"/>
        <v>0</v>
      </c>
      <c r="K46" s="131">
        <f t="shared" si="19"/>
        <v>0</v>
      </c>
      <c r="L46" s="83"/>
      <c r="M46" t="s">
        <v>78</v>
      </c>
    </row>
    <row r="47" spans="1:13" ht="15" customHeight="1" x14ac:dyDescent="0.2">
      <c r="A47" s="128"/>
      <c r="B47" s="129"/>
      <c r="C47" s="6" t="s">
        <v>79</v>
      </c>
      <c r="D47" s="133">
        <v>1</v>
      </c>
      <c r="E47" s="133">
        <v>1</v>
      </c>
      <c r="F47" s="133">
        <f t="shared" si="15"/>
        <v>1</v>
      </c>
      <c r="G47" s="68">
        <f>SUM(Populations!B24:H24)+SUM(Populations!B27:H27)</f>
        <v>658</v>
      </c>
      <c r="H47" s="133">
        <f t="shared" si="16"/>
        <v>658</v>
      </c>
      <c r="I47" s="133">
        <f t="shared" si="17"/>
        <v>32.9</v>
      </c>
      <c r="J47" s="133">
        <f t="shared" si="18"/>
        <v>65.8</v>
      </c>
      <c r="K47" s="131">
        <f t="shared" si="19"/>
        <v>46586.0052</v>
      </c>
      <c r="L47" s="83"/>
      <c r="M47" t="s">
        <v>80</v>
      </c>
    </row>
    <row r="48" spans="1:13" ht="15" customHeight="1" x14ac:dyDescent="0.2">
      <c r="A48" s="128"/>
      <c r="B48" s="129"/>
      <c r="C48" s="6" t="s">
        <v>81</v>
      </c>
      <c r="D48" s="133">
        <v>2</v>
      </c>
      <c r="E48" s="133">
        <v>1</v>
      </c>
      <c r="F48" s="133">
        <f t="shared" si="15"/>
        <v>2</v>
      </c>
      <c r="G48" s="68">
        <f>SUM(Populations!B25:H25)+SUM(Populations!B28:H28)</f>
        <v>70</v>
      </c>
      <c r="H48" s="133">
        <f t="shared" si="16"/>
        <v>140</v>
      </c>
      <c r="I48" s="133">
        <f t="shared" si="17"/>
        <v>7</v>
      </c>
      <c r="J48" s="133">
        <f t="shared" si="18"/>
        <v>14</v>
      </c>
      <c r="K48" s="131">
        <f t="shared" si="19"/>
        <v>9911.9159999999993</v>
      </c>
      <c r="L48" s="83"/>
      <c r="M48" t="s">
        <v>80</v>
      </c>
    </row>
    <row r="49" spans="1:13" ht="15" customHeight="1" x14ac:dyDescent="0.2">
      <c r="A49" s="128"/>
      <c r="B49" s="129"/>
      <c r="C49" s="6" t="s">
        <v>54</v>
      </c>
      <c r="D49" s="133">
        <v>4</v>
      </c>
      <c r="E49" s="133">
        <v>1</v>
      </c>
      <c r="F49" s="133">
        <f t="shared" si="15"/>
        <v>4</v>
      </c>
      <c r="G49" s="68">
        <f>Populations!H17</f>
        <v>1234</v>
      </c>
      <c r="H49" s="133">
        <f t="shared" si="16"/>
        <v>4936</v>
      </c>
      <c r="I49" s="133">
        <f t="shared" si="17"/>
        <v>246.8</v>
      </c>
      <c r="J49" s="133">
        <f t="shared" si="18"/>
        <v>493.6</v>
      </c>
      <c r="K49" s="131">
        <f t="shared" si="19"/>
        <v>349465.83840000001</v>
      </c>
      <c r="L49" s="83"/>
      <c r="M49" t="s">
        <v>82</v>
      </c>
    </row>
    <row r="50" spans="1:13" ht="15" customHeight="1" x14ac:dyDescent="0.2">
      <c r="A50" s="128"/>
      <c r="B50" s="129"/>
      <c r="C50" s="6" t="s">
        <v>83</v>
      </c>
      <c r="D50" s="133">
        <v>1</v>
      </c>
      <c r="E50" s="133">
        <v>1</v>
      </c>
      <c r="F50" s="133">
        <f t="shared" si="15"/>
        <v>1</v>
      </c>
      <c r="G50" s="68">
        <f>SUM(Populations!B20:H20)</f>
        <v>1162</v>
      </c>
      <c r="H50" s="133">
        <f t="shared" si="16"/>
        <v>1162</v>
      </c>
      <c r="I50" s="133">
        <f t="shared" si="17"/>
        <v>58.1</v>
      </c>
      <c r="J50" s="133">
        <f t="shared" si="18"/>
        <v>116.2</v>
      </c>
      <c r="K50" s="131">
        <f t="shared" si="19"/>
        <v>82268.902800000011</v>
      </c>
      <c r="L50" s="84"/>
      <c r="M50" t="s">
        <v>84</v>
      </c>
    </row>
    <row r="51" spans="1:13" ht="15" customHeight="1" x14ac:dyDescent="0.2">
      <c r="A51" s="128"/>
      <c r="B51" s="129"/>
      <c r="C51" s="6" t="s">
        <v>85</v>
      </c>
      <c r="D51" s="133">
        <v>8</v>
      </c>
      <c r="E51" s="133">
        <v>1</v>
      </c>
      <c r="F51" s="133">
        <f t="shared" si="15"/>
        <v>8</v>
      </c>
      <c r="G51" s="68">
        <f>SUM(Populations!B19:H19)</f>
        <v>3479</v>
      </c>
      <c r="H51" s="133">
        <f t="shared" si="16"/>
        <v>27832</v>
      </c>
      <c r="I51" s="133">
        <f t="shared" si="17"/>
        <v>1391.6000000000001</v>
      </c>
      <c r="J51" s="133">
        <f t="shared" si="18"/>
        <v>2783.2000000000003</v>
      </c>
      <c r="K51" s="131">
        <f t="shared" si="19"/>
        <v>1970488.9007999999</v>
      </c>
      <c r="L51" s="84"/>
      <c r="M51" t="s">
        <v>86</v>
      </c>
    </row>
    <row r="52" spans="1:13" ht="15" customHeight="1" x14ac:dyDescent="0.2">
      <c r="A52" s="128"/>
      <c r="B52" s="129"/>
      <c r="C52" s="6" t="s">
        <v>58</v>
      </c>
      <c r="D52" s="133">
        <v>2</v>
      </c>
      <c r="E52" s="133">
        <v>1</v>
      </c>
      <c r="F52" s="133">
        <f t="shared" si="15"/>
        <v>2</v>
      </c>
      <c r="G52" s="68">
        <f>SUM(Populations!B30:H30)</f>
        <v>6372</v>
      </c>
      <c r="H52" s="133">
        <f t="shared" si="16"/>
        <v>12744</v>
      </c>
      <c r="I52" s="133">
        <f t="shared" si="17"/>
        <v>637.20000000000005</v>
      </c>
      <c r="J52" s="133">
        <f t="shared" si="18"/>
        <v>1274.4000000000001</v>
      </c>
      <c r="K52" s="131">
        <f t="shared" si="19"/>
        <v>902267.55359999998</v>
      </c>
      <c r="L52" s="83"/>
      <c r="M52" t="s">
        <v>87</v>
      </c>
    </row>
    <row r="53" spans="1:13" ht="15" customHeight="1" x14ac:dyDescent="0.2">
      <c r="A53" s="128"/>
      <c r="B53" s="129"/>
      <c r="C53" s="73" t="s">
        <v>88</v>
      </c>
      <c r="D53" s="133"/>
      <c r="E53" s="133"/>
      <c r="F53" s="133"/>
      <c r="G53" s="68"/>
      <c r="H53" s="133"/>
      <c r="I53" s="133"/>
      <c r="J53" s="133"/>
      <c r="K53" s="131"/>
      <c r="L53" s="83"/>
    </row>
    <row r="54" spans="1:13" ht="15" customHeight="1" x14ac:dyDescent="0.2">
      <c r="A54" s="128"/>
      <c r="B54" s="129"/>
      <c r="C54" s="71" t="s">
        <v>89</v>
      </c>
      <c r="D54" s="133"/>
      <c r="E54" s="133"/>
      <c r="F54" s="133"/>
      <c r="G54" s="68">
        <f>ROUND(SUM(Populations!B6:H6),0)</f>
        <v>49580</v>
      </c>
      <c r="H54" s="133"/>
      <c r="I54" s="133"/>
      <c r="J54" s="133"/>
      <c r="K54" s="69">
        <f>G54*469</f>
        <v>23253020</v>
      </c>
      <c r="L54" s="83"/>
    </row>
    <row r="55" spans="1:13" ht="15" customHeight="1" x14ac:dyDescent="0.2">
      <c r="A55" s="128"/>
      <c r="B55" s="129"/>
      <c r="C55" s="71" t="s">
        <v>215</v>
      </c>
      <c r="D55" s="133"/>
      <c r="E55" s="133"/>
      <c r="F55" s="133"/>
      <c r="G55" s="68">
        <f>SUM(Populations!B32:H32)</f>
        <v>1484</v>
      </c>
      <c r="H55" s="133"/>
      <c r="I55" s="133"/>
      <c r="J55" s="133"/>
      <c r="K55" s="69">
        <f>G55*459</f>
        <v>681156</v>
      </c>
      <c r="L55" s="83"/>
    </row>
    <row r="56" spans="1:13" ht="15" customHeight="1" x14ac:dyDescent="0.2">
      <c r="A56" s="128"/>
      <c r="B56" s="129"/>
      <c r="C56" s="72" t="s">
        <v>90</v>
      </c>
      <c r="D56" s="68"/>
      <c r="E56" s="68"/>
      <c r="F56" s="68"/>
      <c r="G56" s="68"/>
      <c r="H56" s="68"/>
      <c r="I56" s="68"/>
      <c r="J56" s="68"/>
      <c r="K56" s="69"/>
      <c r="L56" s="83"/>
    </row>
    <row r="57" spans="1:13" ht="15" customHeight="1" x14ac:dyDescent="0.2">
      <c r="A57" s="128"/>
      <c r="B57" s="129"/>
      <c r="C57" s="71" t="s">
        <v>91</v>
      </c>
      <c r="D57" s="68"/>
      <c r="E57" s="68"/>
      <c r="F57" s="68"/>
      <c r="G57" s="68">
        <f>ROUND(SUM(Populations!B6:H6),0)</f>
        <v>49580</v>
      </c>
      <c r="H57" s="68"/>
      <c r="I57" s="68"/>
      <c r="J57" s="68"/>
      <c r="K57" s="69">
        <f>G57*430*0.75</f>
        <v>15989550</v>
      </c>
      <c r="L57" s="83"/>
    </row>
    <row r="58" spans="1:13" s="89" customFormat="1" ht="12.6" customHeight="1" x14ac:dyDescent="0.2">
      <c r="A58" s="87"/>
      <c r="B58" s="88"/>
      <c r="C58" s="71" t="s">
        <v>92</v>
      </c>
      <c r="D58" s="68">
        <v>1</v>
      </c>
      <c r="E58" s="68">
        <v>1</v>
      </c>
      <c r="F58" s="68">
        <f>D58*E58</f>
        <v>1</v>
      </c>
      <c r="G58" s="68">
        <f>ROUND(SUM(Populations!B10:H10),0)</f>
        <v>10566</v>
      </c>
      <c r="H58" s="68">
        <f>F58*G58</f>
        <v>10566</v>
      </c>
      <c r="I58" s="68">
        <f>H58*0.05</f>
        <v>528.30000000000007</v>
      </c>
      <c r="J58" s="68">
        <f>H58*0.1</f>
        <v>1056.6000000000001</v>
      </c>
      <c r="K58" s="69">
        <f>(H58*N$3)+(I58*N$4)+(J58*N$5)</f>
        <v>748066.46039999998</v>
      </c>
      <c r="L58" s="83"/>
    </row>
    <row r="59" spans="1:13" s="89" customFormat="1" ht="15.6" customHeight="1" x14ac:dyDescent="0.2">
      <c r="A59" s="87"/>
      <c r="B59" s="88"/>
      <c r="C59" s="71" t="s">
        <v>93</v>
      </c>
      <c r="D59" s="68"/>
      <c r="E59" s="68"/>
      <c r="F59" s="68"/>
      <c r="G59" s="68">
        <f>G55</f>
        <v>1484</v>
      </c>
      <c r="H59" s="68"/>
      <c r="I59" s="68"/>
      <c r="J59" s="68"/>
      <c r="K59" s="69">
        <f>G59*430*0.75*2</f>
        <v>957180</v>
      </c>
      <c r="L59" s="83"/>
    </row>
    <row r="60" spans="1:13" ht="15" customHeight="1" x14ac:dyDescent="0.2">
      <c r="A60" s="128"/>
      <c r="B60" s="129"/>
      <c r="C60" s="6" t="s">
        <v>94</v>
      </c>
      <c r="D60" s="133">
        <v>8</v>
      </c>
      <c r="E60" s="133">
        <v>4</v>
      </c>
      <c r="F60" s="133">
        <f>D60*E60</f>
        <v>32</v>
      </c>
      <c r="G60" s="133">
        <f>G37</f>
        <v>49</v>
      </c>
      <c r="H60" s="133">
        <f>F60*G60</f>
        <v>1568</v>
      </c>
      <c r="I60" s="133">
        <f>H60*0.05</f>
        <v>78.400000000000006</v>
      </c>
      <c r="J60" s="133">
        <f>H60*0.1</f>
        <v>156.80000000000001</v>
      </c>
      <c r="K60" s="131">
        <f>(H60*N$3)+(I60*N$4)+(J60*N$5)</f>
        <v>111013.4592</v>
      </c>
      <c r="L60" s="83"/>
      <c r="M60" t="s">
        <v>95</v>
      </c>
    </row>
    <row r="61" spans="1:13" ht="15" customHeight="1" x14ac:dyDescent="0.2">
      <c r="A61" s="128"/>
      <c r="B61" s="129"/>
      <c r="C61" s="6" t="s">
        <v>96</v>
      </c>
      <c r="D61" s="133">
        <v>4</v>
      </c>
      <c r="E61" s="133">
        <v>1</v>
      </c>
      <c r="F61" s="133">
        <f>D61*E61</f>
        <v>4</v>
      </c>
      <c r="G61" s="133">
        <f>G35</f>
        <v>7</v>
      </c>
      <c r="H61" s="133">
        <f>F61*G61</f>
        <v>28</v>
      </c>
      <c r="I61" s="133">
        <f>H61*0.05</f>
        <v>1.4000000000000001</v>
      </c>
      <c r="J61" s="133">
        <f>H61*0.1</f>
        <v>2.8000000000000003</v>
      </c>
      <c r="K61" s="131">
        <f>(H61*N$3)+(I61*N$4)+(J61*N$5)</f>
        <v>1982.3832</v>
      </c>
      <c r="L61" s="83"/>
      <c r="M61" t="s">
        <v>97</v>
      </c>
    </row>
    <row r="62" spans="1:13" ht="15" customHeight="1" x14ac:dyDescent="0.2">
      <c r="A62" s="128"/>
      <c r="B62" s="130" t="s">
        <v>98</v>
      </c>
      <c r="C62" s="135"/>
      <c r="D62" s="132"/>
      <c r="E62" s="132"/>
      <c r="F62" s="132"/>
      <c r="G62" s="132"/>
      <c r="H62" s="133"/>
      <c r="I62" s="132"/>
      <c r="J62" s="132"/>
      <c r="K62" s="132"/>
      <c r="L62" s="83"/>
    </row>
    <row r="63" spans="1:13" ht="15" customHeight="1" x14ac:dyDescent="0.2">
      <c r="A63" s="128"/>
      <c r="B63" s="130" t="s">
        <v>99</v>
      </c>
      <c r="C63" s="135"/>
      <c r="D63" s="132"/>
      <c r="E63" s="132"/>
      <c r="F63" s="132"/>
      <c r="G63" s="132"/>
      <c r="H63" s="133"/>
      <c r="I63" s="132"/>
      <c r="J63" s="132"/>
      <c r="K63" s="132"/>
      <c r="L63" s="83"/>
    </row>
    <row r="64" spans="1:13" ht="15" customHeight="1" x14ac:dyDescent="0.2">
      <c r="A64" s="128"/>
      <c r="B64" s="129"/>
      <c r="C64" s="6" t="s">
        <v>100</v>
      </c>
      <c r="D64" s="132"/>
      <c r="E64" s="132"/>
      <c r="F64" s="132"/>
      <c r="G64" s="132"/>
      <c r="H64" s="133"/>
      <c r="I64" s="132"/>
      <c r="J64" s="132"/>
      <c r="K64" s="132"/>
      <c r="L64" s="83"/>
    </row>
    <row r="65" spans="1:13" ht="15" customHeight="1" x14ac:dyDescent="0.2">
      <c r="A65" s="128"/>
      <c r="B65" s="130" t="s">
        <v>101</v>
      </c>
      <c r="C65" s="135"/>
      <c r="D65" s="132"/>
      <c r="E65" s="132"/>
      <c r="F65" s="132"/>
      <c r="G65" s="132"/>
      <c r="H65" s="133"/>
      <c r="I65" s="132"/>
      <c r="J65" s="132"/>
      <c r="K65" s="132"/>
      <c r="L65" s="83"/>
    </row>
    <row r="66" spans="1:13" ht="15" customHeight="1" x14ac:dyDescent="0.2">
      <c r="A66" s="128"/>
      <c r="B66" s="130" t="s">
        <v>102</v>
      </c>
      <c r="C66" s="135"/>
      <c r="D66" s="132"/>
      <c r="E66" s="132"/>
      <c r="F66" s="132"/>
      <c r="G66" s="132"/>
      <c r="H66" s="133"/>
      <c r="I66" s="132"/>
      <c r="J66" s="132"/>
      <c r="K66" s="132"/>
      <c r="L66" s="83"/>
    </row>
    <row r="67" spans="1:13" ht="15" customHeight="1" x14ac:dyDescent="0.2">
      <c r="A67" s="7"/>
      <c r="B67" s="148" t="s">
        <v>103</v>
      </c>
      <c r="C67" s="149"/>
      <c r="D67" s="149"/>
      <c r="E67" s="149"/>
      <c r="F67" s="149"/>
      <c r="G67" s="149"/>
      <c r="H67" s="133">
        <f>SUM(H41:H66)</f>
        <v>65910</v>
      </c>
      <c r="I67" s="133">
        <f t="shared" ref="I67:J67" si="20">SUM(I41:I66)</f>
        <v>3295.5000000000009</v>
      </c>
      <c r="J67" s="133">
        <f t="shared" si="20"/>
        <v>6591.0000000000018</v>
      </c>
      <c r="K67" s="150">
        <f>SUM(K41:K66)</f>
        <v>45547294.453999996</v>
      </c>
      <c r="L67" s="83"/>
    </row>
    <row r="68" spans="1:13" ht="15" customHeight="1" x14ac:dyDescent="0.2">
      <c r="A68" s="5"/>
      <c r="B68" s="148"/>
      <c r="C68" s="149"/>
      <c r="D68" s="149"/>
      <c r="E68" s="149"/>
      <c r="F68" s="149"/>
      <c r="G68" s="149"/>
      <c r="H68" s="152">
        <f>SUM(H67:J67)</f>
        <v>75796.5</v>
      </c>
      <c r="I68" s="151"/>
      <c r="J68" s="151"/>
      <c r="K68" s="151"/>
      <c r="L68" s="83"/>
    </row>
    <row r="69" spans="1:13" ht="15" customHeight="1" x14ac:dyDescent="0.2">
      <c r="A69" s="153" t="s">
        <v>104</v>
      </c>
      <c r="B69" s="153"/>
      <c r="C69" s="153"/>
      <c r="D69" s="153"/>
      <c r="E69" s="153"/>
      <c r="F69" s="153"/>
      <c r="G69" s="153"/>
      <c r="H69" s="133">
        <f>SUM(H38,H67)</f>
        <v>283201.5</v>
      </c>
      <c r="I69" s="133">
        <f>SUM(I38,I67)</f>
        <v>14160.075000000001</v>
      </c>
      <c r="J69" s="133">
        <f>SUM(J38,J67)</f>
        <v>28320.15</v>
      </c>
      <c r="K69" s="150">
        <f>SUM(K38,K67)</f>
        <v>61669776.676699996</v>
      </c>
      <c r="L69" s="83"/>
    </row>
    <row r="70" spans="1:13" ht="15" customHeight="1" x14ac:dyDescent="0.2">
      <c r="A70" s="153"/>
      <c r="B70" s="153"/>
      <c r="C70" s="153"/>
      <c r="D70" s="153"/>
      <c r="E70" s="153"/>
      <c r="F70" s="153"/>
      <c r="G70" s="153"/>
      <c r="H70" s="152">
        <f>SUM(H69:J69)</f>
        <v>325681.72500000003</v>
      </c>
      <c r="I70" s="151"/>
      <c r="J70" s="151"/>
      <c r="K70" s="151"/>
      <c r="L70" s="83"/>
      <c r="M70" s="38">
        <f>SUM(K14:K30,K35:K37,K44:K52,K60:K61)</f>
        <v>8717006.5814999975</v>
      </c>
    </row>
    <row r="71" spans="1:13" x14ac:dyDescent="0.2">
      <c r="A71" s="154" t="s">
        <v>105</v>
      </c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83"/>
    </row>
    <row r="72" spans="1:13" ht="15.6" customHeight="1" x14ac:dyDescent="0.2">
      <c r="A72" s="141" t="s">
        <v>106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83"/>
    </row>
    <row r="73" spans="1:13" ht="15.6" customHeight="1" x14ac:dyDescent="0.2">
      <c r="A73" s="141" t="s">
        <v>107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83"/>
    </row>
    <row r="74" spans="1:13" ht="15.6" customHeight="1" x14ac:dyDescent="0.2">
      <c r="A74" s="141" t="s">
        <v>108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83"/>
    </row>
    <row r="75" spans="1:13" ht="15.6" customHeight="1" x14ac:dyDescent="0.2">
      <c r="A75" s="143" t="s">
        <v>109</v>
      </c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37"/>
    </row>
    <row r="76" spans="1:13" ht="15.6" customHeight="1" x14ac:dyDescent="0.2">
      <c r="A76" s="143" t="s">
        <v>110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37"/>
    </row>
    <row r="77" spans="1:13" x14ac:dyDescent="0.2">
      <c r="A77" s="143" t="s">
        <v>111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37"/>
    </row>
    <row r="78" spans="1:13" x14ac:dyDescent="0.2">
      <c r="A78" s="143" t="s">
        <v>112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37"/>
    </row>
    <row r="79" spans="1:13" x14ac:dyDescent="0.2">
      <c r="A79" s="143" t="s">
        <v>113</v>
      </c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37"/>
    </row>
    <row r="80" spans="1:13" ht="13.15" customHeight="1" x14ac:dyDescent="0.2">
      <c r="A80" s="144" t="s">
        <v>114</v>
      </c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37"/>
    </row>
    <row r="81" spans="1:12" ht="15.6" customHeight="1" x14ac:dyDescent="0.2">
      <c r="A81" s="141" t="s">
        <v>115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37"/>
    </row>
    <row r="82" spans="1:12" ht="15.75" x14ac:dyDescent="0.2">
      <c r="A82" s="141"/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37"/>
    </row>
    <row r="83" spans="1:12" x14ac:dyDescent="0.2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37"/>
    </row>
    <row r="84" spans="1:12" x14ac:dyDescent="0.2">
      <c r="C84" s="138"/>
      <c r="L84" s="137"/>
    </row>
    <row r="85" spans="1:12" x14ac:dyDescent="0.2">
      <c r="C85" s="138"/>
      <c r="L85" s="137"/>
    </row>
    <row r="86" spans="1:12" x14ac:dyDescent="0.2">
      <c r="L86" s="137"/>
    </row>
    <row r="87" spans="1:12" x14ac:dyDescent="0.2">
      <c r="L87" s="137"/>
    </row>
  </sheetData>
  <mergeCells count="32">
    <mergeCell ref="A7:K7"/>
    <mergeCell ref="A1:K1"/>
    <mergeCell ref="A2:K2"/>
    <mergeCell ref="A3:K3"/>
    <mergeCell ref="A4:K4"/>
    <mergeCell ref="A5:C6"/>
    <mergeCell ref="A8:K8"/>
    <mergeCell ref="A9:K9"/>
    <mergeCell ref="A10:K10"/>
    <mergeCell ref="B38:G39"/>
    <mergeCell ref="K38:K39"/>
    <mergeCell ref="H39:J39"/>
    <mergeCell ref="A76:K76"/>
    <mergeCell ref="A40:K40"/>
    <mergeCell ref="B67:G68"/>
    <mergeCell ref="K67:K68"/>
    <mergeCell ref="H68:J68"/>
    <mergeCell ref="A69:G70"/>
    <mergeCell ref="K69:K70"/>
    <mergeCell ref="H70:J70"/>
    <mergeCell ref="A71:K71"/>
    <mergeCell ref="A72:K72"/>
    <mergeCell ref="A73:K73"/>
    <mergeCell ref="A74:K74"/>
    <mergeCell ref="A75:K75"/>
    <mergeCell ref="A82:K82"/>
    <mergeCell ref="A83:K83"/>
    <mergeCell ref="A77:K77"/>
    <mergeCell ref="A78:K78"/>
    <mergeCell ref="A79:K79"/>
    <mergeCell ref="A80:K80"/>
    <mergeCell ref="A81:K81"/>
  </mergeCells>
  <pageMargins left="0.7" right="0.7" top="0.75" bottom="0.75" header="0.3" footer="0.3"/>
  <pageSetup scale="2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2B82E-5057-47CF-BB45-0081C95D03A4}">
  <dimension ref="A1:AL85"/>
  <sheetViews>
    <sheetView topLeftCell="A40" zoomScale="75" zoomScaleNormal="75" workbookViewId="0">
      <selection activeCell="A55" sqref="A55:XFD55"/>
    </sheetView>
  </sheetViews>
  <sheetFormatPr defaultRowHeight="12.75" x14ac:dyDescent="0.2"/>
  <cols>
    <col min="1" max="2" width="3.83203125" customWidth="1"/>
    <col min="3" max="3" width="73.83203125" customWidth="1"/>
    <col min="4" max="4" width="15.5" customWidth="1"/>
    <col min="5" max="5" width="18.33203125" customWidth="1"/>
    <col min="6" max="6" width="16.33203125" customWidth="1"/>
    <col min="7" max="7" width="16" customWidth="1"/>
    <col min="8" max="8" width="15.5" customWidth="1"/>
    <col min="9" max="9" width="15.33203125" customWidth="1"/>
    <col min="10" max="10" width="12.83203125" customWidth="1"/>
    <col min="11" max="11" width="15.1640625" customWidth="1"/>
    <col min="12" max="12" width="16.83203125" style="111" customWidth="1"/>
    <col min="13" max="16" width="16.83203125" customWidth="1"/>
  </cols>
  <sheetData>
    <row r="1" spans="1:38" ht="15.75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37"/>
    </row>
    <row r="2" spans="1:38" ht="15.75" x14ac:dyDescent="0.2">
      <c r="A2" s="157" t="s">
        <v>116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37"/>
      <c r="M2" t="s">
        <v>2</v>
      </c>
      <c r="N2" t="s">
        <v>3</v>
      </c>
    </row>
    <row r="3" spans="1:38" ht="15.75" x14ac:dyDescent="0.2">
      <c r="A3" s="157" t="s">
        <v>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37"/>
      <c r="M3" t="s">
        <v>5</v>
      </c>
      <c r="N3" s="47">
        <f>28.84*2.1</f>
        <v>60.564</v>
      </c>
      <c r="O3" t="s">
        <v>6</v>
      </c>
    </row>
    <row r="4" spans="1:38" ht="15.75" x14ac:dyDescent="0.2">
      <c r="A4" s="158" t="s">
        <v>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37"/>
      <c r="M4" t="s">
        <v>8</v>
      </c>
      <c r="N4" s="47">
        <f>58.7*2.1</f>
        <v>123.27000000000001</v>
      </c>
      <c r="O4" t="s">
        <v>9</v>
      </c>
    </row>
    <row r="5" spans="1:38" x14ac:dyDescent="0.2">
      <c r="A5" s="159" t="s">
        <v>10</v>
      </c>
      <c r="B5" s="160"/>
      <c r="C5" s="160"/>
      <c r="D5" s="132" t="s">
        <v>11</v>
      </c>
      <c r="E5" s="132" t="s">
        <v>12</v>
      </c>
      <c r="F5" s="3" t="s">
        <v>13</v>
      </c>
      <c r="G5" s="132" t="s">
        <v>14</v>
      </c>
      <c r="H5" s="132" t="s">
        <v>15</v>
      </c>
      <c r="I5" s="132" t="s">
        <v>16</v>
      </c>
      <c r="J5" s="132" t="s">
        <v>17</v>
      </c>
      <c r="K5" s="132" t="s">
        <v>18</v>
      </c>
      <c r="L5" s="137"/>
      <c r="M5" s="2" t="s">
        <v>19</v>
      </c>
      <c r="N5" s="47">
        <f>19.39*2.1</f>
        <v>40.719000000000001</v>
      </c>
      <c r="O5" t="s">
        <v>20</v>
      </c>
      <c r="P5" s="137"/>
    </row>
    <row r="6" spans="1:38" ht="51" x14ac:dyDescent="0.2">
      <c r="A6" s="160"/>
      <c r="B6" s="160"/>
      <c r="C6" s="160"/>
      <c r="D6" s="134" t="s">
        <v>21</v>
      </c>
      <c r="E6" s="134" t="s">
        <v>22</v>
      </c>
      <c r="F6" s="134" t="s">
        <v>23</v>
      </c>
      <c r="G6" s="134" t="s">
        <v>24</v>
      </c>
      <c r="H6" s="134" t="s">
        <v>25</v>
      </c>
      <c r="I6" s="134" t="s">
        <v>26</v>
      </c>
      <c r="J6" s="134" t="s">
        <v>27</v>
      </c>
      <c r="K6" s="134" t="s">
        <v>28</v>
      </c>
      <c r="L6" s="1"/>
      <c r="M6" s="1" t="s">
        <v>29</v>
      </c>
      <c r="N6" s="1"/>
      <c r="O6" s="1"/>
      <c r="P6" s="1"/>
    </row>
    <row r="7" spans="1:38" ht="15" customHeight="1" x14ac:dyDescent="0.2">
      <c r="A7" s="145" t="s">
        <v>30</v>
      </c>
      <c r="B7" s="146"/>
      <c r="C7" s="146"/>
      <c r="D7" s="146"/>
      <c r="E7" s="146"/>
      <c r="F7" s="146"/>
      <c r="G7" s="146"/>
      <c r="H7" s="146"/>
      <c r="I7" s="146"/>
      <c r="J7" s="146"/>
      <c r="K7" s="147"/>
      <c r="L7" s="137"/>
    </row>
    <row r="8" spans="1:38" ht="15" customHeight="1" x14ac:dyDescent="0.2">
      <c r="A8" s="145" t="s">
        <v>31</v>
      </c>
      <c r="B8" s="146"/>
      <c r="C8" s="146"/>
      <c r="D8" s="146"/>
      <c r="E8" s="146"/>
      <c r="F8" s="146"/>
      <c r="G8" s="146"/>
      <c r="H8" s="146"/>
      <c r="I8" s="146"/>
      <c r="J8" s="146"/>
      <c r="K8" s="147"/>
      <c r="L8" s="137"/>
    </row>
    <row r="9" spans="1:38" ht="15" customHeight="1" x14ac:dyDescent="0.2">
      <c r="A9" s="155" t="s">
        <v>32</v>
      </c>
      <c r="B9" s="156"/>
      <c r="C9" s="156"/>
      <c r="D9" s="146"/>
      <c r="E9" s="146"/>
      <c r="F9" s="146"/>
      <c r="G9" s="146"/>
      <c r="H9" s="146"/>
      <c r="I9" s="146"/>
      <c r="J9" s="146"/>
      <c r="K9" s="147"/>
      <c r="L9" s="137"/>
    </row>
    <row r="10" spans="1:38" ht="15" customHeight="1" x14ac:dyDescent="0.2">
      <c r="A10" s="145" t="s">
        <v>33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7"/>
      <c r="L10" s="83"/>
    </row>
    <row r="11" spans="1:38" ht="15" customHeight="1" x14ac:dyDescent="0.2">
      <c r="A11" s="128"/>
      <c r="B11" s="130" t="s">
        <v>34</v>
      </c>
      <c r="C11" s="135"/>
      <c r="D11" s="132"/>
      <c r="E11" s="132"/>
      <c r="F11" s="132"/>
      <c r="G11" s="132"/>
      <c r="H11" s="133"/>
      <c r="I11" s="133"/>
      <c r="J11" s="133"/>
      <c r="K11" s="132"/>
      <c r="L11" s="83"/>
    </row>
    <row r="12" spans="1:38" ht="15" customHeight="1" x14ac:dyDescent="0.2">
      <c r="A12" s="128"/>
      <c r="B12" s="129"/>
      <c r="C12" s="130" t="s">
        <v>35</v>
      </c>
      <c r="D12" s="68">
        <v>4</v>
      </c>
      <c r="E12" s="133">
        <v>1</v>
      </c>
      <c r="F12" s="133">
        <f>D12*E12</f>
        <v>4</v>
      </c>
      <c r="G12" s="74">
        <f>ROUND(Populations!I4/22+Populations!I32/7+Populations!I33+Populations!I34,0)</f>
        <v>522</v>
      </c>
      <c r="H12" s="133">
        <f>F12*G12</f>
        <v>2088</v>
      </c>
      <c r="I12" s="133">
        <f>H12*0.05</f>
        <v>104.4</v>
      </c>
      <c r="J12" s="133">
        <f>H12*0.1</f>
        <v>208.8</v>
      </c>
      <c r="K12" s="131">
        <f>(H12*N$3)+(I12*N$4)+(J12*N$5)</f>
        <v>147829.14719999998</v>
      </c>
      <c r="L12" s="84"/>
    </row>
    <row r="13" spans="1:38" ht="15" customHeight="1" x14ac:dyDescent="0.2">
      <c r="A13" s="128"/>
      <c r="B13" s="130" t="s">
        <v>36</v>
      </c>
      <c r="C13" s="135"/>
      <c r="D13" s="133"/>
      <c r="E13" s="133"/>
      <c r="F13" s="133"/>
      <c r="G13" s="133"/>
      <c r="H13" s="133"/>
      <c r="I13" s="133"/>
      <c r="J13" s="133"/>
      <c r="K13" s="132"/>
      <c r="L13" s="85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</row>
    <row r="14" spans="1:38" x14ac:dyDescent="0.2">
      <c r="A14" s="128"/>
      <c r="B14" s="129"/>
      <c r="C14" s="6" t="s">
        <v>37</v>
      </c>
      <c r="D14" s="37">
        <v>0.25</v>
      </c>
      <c r="E14" s="68">
        <v>1</v>
      </c>
      <c r="F14" s="4">
        <f>D14*E14</f>
        <v>0.25</v>
      </c>
      <c r="G14" s="68">
        <f>ROUND(Populations!I4,0)</f>
        <v>10635</v>
      </c>
      <c r="H14" s="133">
        <f>F14*G14</f>
        <v>2658.75</v>
      </c>
      <c r="I14" s="133">
        <f>H14*0.05</f>
        <v>132.9375</v>
      </c>
      <c r="J14" s="133">
        <f>H14*0.1</f>
        <v>265.875</v>
      </c>
      <c r="K14" s="131">
        <f>(H14*N$3)+(I14*N$4)+(J14*N$5)</f>
        <v>188237.90475000002</v>
      </c>
      <c r="L14" s="86"/>
      <c r="M14" t="s">
        <v>38</v>
      </c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</row>
    <row r="15" spans="1:38" x14ac:dyDescent="0.2">
      <c r="A15" s="128"/>
      <c r="B15" s="129"/>
      <c r="C15" s="6" t="s">
        <v>39</v>
      </c>
      <c r="D15" s="4">
        <v>0.5</v>
      </c>
      <c r="E15" s="133">
        <v>1</v>
      </c>
      <c r="F15" s="4">
        <f>D15*E15</f>
        <v>0.5</v>
      </c>
      <c r="G15" s="68">
        <f>Populations!I33+Populations!I34</f>
        <v>8</v>
      </c>
      <c r="H15" s="133">
        <f>F15*G15</f>
        <v>4</v>
      </c>
      <c r="I15" s="133">
        <f>H15*0.05</f>
        <v>0.2</v>
      </c>
      <c r="J15" s="133">
        <f>H15*0.1</f>
        <v>0.4</v>
      </c>
      <c r="K15" s="131">
        <f>(H15*N$3)+(I15*N$4)+(J15*N$5)</f>
        <v>283.19760000000002</v>
      </c>
      <c r="L15" s="85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</row>
    <row r="16" spans="1:38" ht="15" customHeight="1" x14ac:dyDescent="0.2">
      <c r="A16" s="128"/>
      <c r="B16" s="98" t="s">
        <v>40</v>
      </c>
      <c r="C16" s="135"/>
      <c r="D16" s="133"/>
      <c r="E16" s="133"/>
      <c r="F16" s="133"/>
      <c r="G16" s="68"/>
      <c r="H16" s="133"/>
      <c r="I16" s="133"/>
      <c r="J16" s="133"/>
      <c r="K16" s="132"/>
      <c r="L16" s="85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</row>
    <row r="17" spans="1:38" ht="15" customHeight="1" x14ac:dyDescent="0.2">
      <c r="A17" s="128"/>
      <c r="B17" s="129"/>
      <c r="C17" s="73" t="s">
        <v>41</v>
      </c>
      <c r="D17" s="133"/>
      <c r="E17" s="133"/>
      <c r="F17" s="133"/>
      <c r="G17" s="68"/>
      <c r="H17" s="133"/>
      <c r="I17" s="133"/>
      <c r="J17" s="133"/>
      <c r="K17" s="132"/>
      <c r="L17" s="85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</row>
    <row r="18" spans="1:38" ht="13.9" customHeight="1" x14ac:dyDescent="0.2">
      <c r="A18" s="128"/>
      <c r="B18" s="129"/>
      <c r="C18" s="97" t="s">
        <v>42</v>
      </c>
      <c r="D18" s="68">
        <v>40</v>
      </c>
      <c r="E18" s="68">
        <v>1</v>
      </c>
      <c r="F18" s="68">
        <f t="shared" ref="F18" si="0">D18*E18</f>
        <v>40</v>
      </c>
      <c r="G18" s="68">
        <f>ROUND(Populations!I6/22,0)</f>
        <v>399</v>
      </c>
      <c r="H18" s="68">
        <f t="shared" ref="H18" si="1">F18*G18</f>
        <v>15960</v>
      </c>
      <c r="I18" s="68">
        <f t="shared" ref="I18" si="2">H18*0.05</f>
        <v>798</v>
      </c>
      <c r="J18" s="68">
        <f t="shared" ref="J18" si="3">H18*0.1</f>
        <v>1596</v>
      </c>
      <c r="K18" s="69">
        <f t="shared" ref="K18" si="4">(H18*N$3)+(I18*N$4)+(J18*N$5)</f>
        <v>1129958.4239999999</v>
      </c>
      <c r="L18" s="82"/>
      <c r="M18" s="82"/>
      <c r="N18" s="82"/>
      <c r="O18" s="82"/>
      <c r="P18" s="82"/>
      <c r="Q18" s="82"/>
      <c r="R18" s="82"/>
      <c r="S18" s="82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</row>
    <row r="19" spans="1:38" ht="15" customHeight="1" x14ac:dyDescent="0.2">
      <c r="A19" s="128"/>
      <c r="B19" s="129"/>
      <c r="C19" s="71" t="s">
        <v>43</v>
      </c>
      <c r="D19" s="68"/>
      <c r="E19" s="68"/>
      <c r="F19" s="68"/>
      <c r="G19" s="68">
        <f>ROUND(Populations!I6/22,0)</f>
        <v>399</v>
      </c>
      <c r="H19" s="68"/>
      <c r="I19" s="68"/>
      <c r="J19" s="68"/>
      <c r="K19" s="69">
        <f>846*G19</f>
        <v>337554</v>
      </c>
      <c r="L19" s="82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</row>
    <row r="20" spans="1:38" ht="15" customHeight="1" x14ac:dyDescent="0.2">
      <c r="A20" s="128"/>
      <c r="B20" s="129"/>
      <c r="C20" s="73" t="s">
        <v>44</v>
      </c>
      <c r="D20" s="68"/>
      <c r="E20" s="68"/>
      <c r="F20" s="68"/>
      <c r="G20" s="68"/>
      <c r="H20" s="68"/>
      <c r="I20" s="68"/>
      <c r="J20" s="68"/>
      <c r="K20" s="69"/>
      <c r="L20" s="85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</row>
    <row r="21" spans="1:38" ht="15" customHeight="1" x14ac:dyDescent="0.2">
      <c r="A21" s="128"/>
      <c r="B21" s="129"/>
      <c r="C21" s="71" t="s">
        <v>45</v>
      </c>
      <c r="D21" s="68">
        <v>25</v>
      </c>
      <c r="E21" s="68">
        <v>1</v>
      </c>
      <c r="F21" s="68">
        <f t="shared" ref="F21" si="5">D21*E21</f>
        <v>25</v>
      </c>
      <c r="G21" s="68">
        <f>ROUND(Populations!I32/7,0)</f>
        <v>30</v>
      </c>
      <c r="H21" s="68">
        <f t="shared" ref="H21" si="6">F21*G21</f>
        <v>750</v>
      </c>
      <c r="I21" s="68">
        <f t="shared" ref="I21" si="7">H21*0.05</f>
        <v>37.5</v>
      </c>
      <c r="J21" s="68">
        <f t="shared" ref="J21" si="8">H21*0.1</f>
        <v>75</v>
      </c>
      <c r="K21" s="69">
        <f t="shared" ref="K21" si="9">(H21*N$3)+(I21*N$4)+(J21*N$5)</f>
        <v>53099.55</v>
      </c>
      <c r="L21" s="82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</row>
    <row r="22" spans="1:38" ht="15" customHeight="1" x14ac:dyDescent="0.2">
      <c r="A22" s="128"/>
      <c r="B22" s="88"/>
      <c r="C22" s="71" t="s">
        <v>43</v>
      </c>
      <c r="D22" s="70"/>
      <c r="E22" s="68"/>
      <c r="F22" s="70"/>
      <c r="G22" s="68">
        <f>G21</f>
        <v>30</v>
      </c>
      <c r="H22" s="68"/>
      <c r="I22" s="68"/>
      <c r="J22" s="68"/>
      <c r="K22" s="69">
        <f>G22*18607</f>
        <v>558210</v>
      </c>
      <c r="L22" s="82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</row>
    <row r="23" spans="1:38" ht="15" customHeight="1" x14ac:dyDescent="0.2">
      <c r="A23" s="128"/>
      <c r="B23" s="129" t="s">
        <v>46</v>
      </c>
      <c r="C23" s="135"/>
      <c r="D23" s="133"/>
      <c r="E23" s="133"/>
      <c r="F23" s="133"/>
      <c r="G23" s="133"/>
      <c r="H23" s="133"/>
      <c r="I23" s="133"/>
      <c r="J23" s="133"/>
      <c r="K23" s="132"/>
      <c r="L23" s="101"/>
    </row>
    <row r="24" spans="1:38" ht="15" customHeight="1" x14ac:dyDescent="0.2">
      <c r="A24" s="128"/>
      <c r="B24" s="129" t="s">
        <v>47</v>
      </c>
      <c r="C24" s="135"/>
      <c r="D24" s="133"/>
      <c r="E24" s="133"/>
      <c r="F24" s="133"/>
      <c r="G24" s="133"/>
      <c r="H24" s="133"/>
      <c r="I24" s="133"/>
      <c r="J24" s="133"/>
      <c r="K24" s="132"/>
      <c r="L24" s="83"/>
      <c r="M24" s="89"/>
    </row>
    <row r="25" spans="1:38" ht="15" customHeight="1" x14ac:dyDescent="0.2">
      <c r="A25" s="128"/>
      <c r="B25" s="129"/>
      <c r="C25" s="6" t="s">
        <v>48</v>
      </c>
      <c r="D25" s="133">
        <v>1</v>
      </c>
      <c r="E25" s="133">
        <v>1</v>
      </c>
      <c r="F25" s="133">
        <f t="shared" ref="F25:F35" si="10">D25*E25</f>
        <v>1</v>
      </c>
      <c r="G25" s="68">
        <f>G14</f>
        <v>10635</v>
      </c>
      <c r="H25" s="133">
        <f t="shared" ref="H25:H35" si="11">F25*G25</f>
        <v>10635</v>
      </c>
      <c r="I25" s="133">
        <f t="shared" ref="I25:I37" si="12">H25*0.05</f>
        <v>531.75</v>
      </c>
      <c r="J25" s="133">
        <f t="shared" ref="J25:J35" si="13">H25*0.1</f>
        <v>1063.5</v>
      </c>
      <c r="K25" s="131">
        <f t="shared" ref="K25:K35" si="14">(H25*N$3)+(I25*N$4)+(J25*N$5)</f>
        <v>752951.61900000006</v>
      </c>
      <c r="L25" s="84"/>
      <c r="M25" s="89" t="s">
        <v>49</v>
      </c>
    </row>
    <row r="26" spans="1:38" ht="15" customHeight="1" x14ac:dyDescent="0.2">
      <c r="A26" s="128"/>
      <c r="B26" s="129"/>
      <c r="C26" s="6" t="s">
        <v>50</v>
      </c>
      <c r="D26" s="133">
        <v>3</v>
      </c>
      <c r="E26" s="133">
        <v>1</v>
      </c>
      <c r="F26" s="133">
        <f>D26*E26</f>
        <v>3</v>
      </c>
      <c r="G26" s="68">
        <f>Populations!I29</f>
        <v>0</v>
      </c>
      <c r="H26" s="133">
        <f>F26*G26</f>
        <v>0</v>
      </c>
      <c r="I26" s="133">
        <f>H26*0.05</f>
        <v>0</v>
      </c>
      <c r="J26" s="133">
        <f>H26*0.1</f>
        <v>0</v>
      </c>
      <c r="K26" s="131">
        <f>(H26*N$3)+(I26*N$4)+(J26*N$5)</f>
        <v>0</v>
      </c>
      <c r="L26" s="83"/>
      <c r="M26" s="89" t="s">
        <v>51</v>
      </c>
    </row>
    <row r="27" spans="1:38" ht="15" customHeight="1" x14ac:dyDescent="0.2">
      <c r="A27" s="128"/>
      <c r="B27" s="129"/>
      <c r="C27" s="110" t="s">
        <v>52</v>
      </c>
      <c r="D27" s="4">
        <v>1.5</v>
      </c>
      <c r="E27" s="133">
        <v>1</v>
      </c>
      <c r="F27" s="133">
        <f t="shared" si="10"/>
        <v>1.5</v>
      </c>
      <c r="G27" s="68">
        <f>SUM(Populations!B23:I23)+SUM(Populations!B26:I26)</f>
        <v>832</v>
      </c>
      <c r="H27" s="133">
        <f t="shared" si="11"/>
        <v>1248</v>
      </c>
      <c r="I27" s="133">
        <f t="shared" si="12"/>
        <v>62.400000000000006</v>
      </c>
      <c r="J27" s="133">
        <f t="shared" si="13"/>
        <v>124.80000000000001</v>
      </c>
      <c r="K27" s="131">
        <f t="shared" si="14"/>
        <v>88357.651199999993</v>
      </c>
      <c r="L27" s="83"/>
      <c r="M27" s="89" t="s">
        <v>53</v>
      </c>
    </row>
    <row r="28" spans="1:38" ht="15" customHeight="1" x14ac:dyDescent="0.2">
      <c r="A28" s="128"/>
      <c r="B28" s="88"/>
      <c r="C28" s="6" t="s">
        <v>54</v>
      </c>
      <c r="D28" s="133">
        <v>1</v>
      </c>
      <c r="E28" s="133">
        <v>1</v>
      </c>
      <c r="F28" s="133">
        <f t="shared" si="10"/>
        <v>1</v>
      </c>
      <c r="G28" s="133">
        <f>Populations!I17</f>
        <v>1234</v>
      </c>
      <c r="H28" s="133">
        <f t="shared" si="11"/>
        <v>1234</v>
      </c>
      <c r="I28" s="133">
        <f t="shared" si="12"/>
        <v>61.7</v>
      </c>
      <c r="J28" s="133">
        <f t="shared" si="13"/>
        <v>123.4</v>
      </c>
      <c r="K28" s="131">
        <f t="shared" si="14"/>
        <v>87366.459600000002</v>
      </c>
      <c r="L28" s="83"/>
      <c r="M28" s="89" t="s">
        <v>55</v>
      </c>
    </row>
    <row r="29" spans="1:38" ht="15" customHeight="1" x14ac:dyDescent="0.2">
      <c r="A29" s="128"/>
      <c r="B29" s="88"/>
      <c r="C29" s="6" t="s">
        <v>56</v>
      </c>
      <c r="D29" s="133">
        <v>2</v>
      </c>
      <c r="E29" s="133">
        <v>1</v>
      </c>
      <c r="F29" s="133">
        <f>D29*E29</f>
        <v>2</v>
      </c>
      <c r="G29" s="68">
        <f>SUM(Populations!B18:I18)</f>
        <v>5304</v>
      </c>
      <c r="H29" s="133">
        <f>F29*G29</f>
        <v>10608</v>
      </c>
      <c r="I29" s="133">
        <f>H29*0.05</f>
        <v>530.4</v>
      </c>
      <c r="J29" s="133">
        <f>H29*0.1</f>
        <v>1060.8</v>
      </c>
      <c r="K29" s="131">
        <f>(H29*N$3)+(I29*N$4)+(J29*N$5)</f>
        <v>751040.03520000004</v>
      </c>
      <c r="L29" s="83"/>
      <c r="M29" s="89" t="s">
        <v>57</v>
      </c>
    </row>
    <row r="30" spans="1:38" ht="15" customHeight="1" x14ac:dyDescent="0.2">
      <c r="A30" s="128"/>
      <c r="B30" s="129"/>
      <c r="C30" s="6" t="s">
        <v>58</v>
      </c>
      <c r="D30" s="133">
        <v>2</v>
      </c>
      <c r="E30" s="133">
        <v>1</v>
      </c>
      <c r="F30" s="133">
        <f t="shared" si="10"/>
        <v>2</v>
      </c>
      <c r="G30" s="68">
        <f>SUM(Populations!B30:I30)</f>
        <v>7499</v>
      </c>
      <c r="H30" s="133">
        <f t="shared" si="11"/>
        <v>14998</v>
      </c>
      <c r="I30" s="133">
        <f t="shared" si="12"/>
        <v>749.90000000000009</v>
      </c>
      <c r="J30" s="133">
        <f t="shared" si="13"/>
        <v>1499.8000000000002</v>
      </c>
      <c r="K30" s="131">
        <f t="shared" si="14"/>
        <v>1061849.4012</v>
      </c>
      <c r="L30" s="83"/>
      <c r="M30" s="89" t="s">
        <v>59</v>
      </c>
    </row>
    <row r="31" spans="1:38" ht="15" customHeight="1" x14ac:dyDescent="0.2">
      <c r="A31" s="128"/>
      <c r="B31" s="129"/>
      <c r="C31" s="73" t="s">
        <v>60</v>
      </c>
      <c r="D31" s="133"/>
      <c r="E31" s="133"/>
      <c r="F31" s="133"/>
      <c r="G31" s="68"/>
      <c r="H31" s="133"/>
      <c r="I31" s="133"/>
      <c r="J31" s="133"/>
      <c r="K31" s="131"/>
      <c r="L31" s="83"/>
      <c r="M31" s="89"/>
    </row>
    <row r="32" spans="1:38" s="89" customFormat="1" ht="15" customHeight="1" x14ac:dyDescent="0.2">
      <c r="A32" s="87"/>
      <c r="B32" s="88"/>
      <c r="C32" s="97" t="s">
        <v>61</v>
      </c>
      <c r="D32" s="68">
        <v>3</v>
      </c>
      <c r="E32" s="68">
        <v>1</v>
      </c>
      <c r="F32" s="68">
        <f>D32*E32</f>
        <v>3</v>
      </c>
      <c r="G32" s="68">
        <f>ROUND(SUM(Populations!B6:I6),0)</f>
        <v>58347</v>
      </c>
      <c r="H32" s="68">
        <f>F32*G32</f>
        <v>175041</v>
      </c>
      <c r="I32" s="68">
        <f>H32*0.05</f>
        <v>8752.0500000000011</v>
      </c>
      <c r="J32" s="68">
        <f>H32*0.1</f>
        <v>17504.100000000002</v>
      </c>
      <c r="K32" s="69">
        <f>(H32*N$3)+(I32*N$4)+(J32*N$5)</f>
        <v>12392797.775400002</v>
      </c>
      <c r="L32" s="83"/>
      <c r="M32" s="89" t="s">
        <v>62</v>
      </c>
    </row>
    <row r="33" spans="1:13" s="89" customFormat="1" ht="15" customHeight="1" x14ac:dyDescent="0.2">
      <c r="A33" s="87"/>
      <c r="B33" s="88"/>
      <c r="C33" s="97" t="s">
        <v>63</v>
      </c>
      <c r="D33" s="68">
        <v>1</v>
      </c>
      <c r="E33" s="68">
        <v>1</v>
      </c>
      <c r="F33" s="68">
        <f>D33*E33</f>
        <v>1</v>
      </c>
      <c r="G33" s="68">
        <f>ROUND(SUM(Populations!B10:I10),0)</f>
        <v>12434</v>
      </c>
      <c r="H33" s="68">
        <f>F33*G33</f>
        <v>12434</v>
      </c>
      <c r="I33" s="68">
        <f>H33*0.05</f>
        <v>621.70000000000005</v>
      </c>
      <c r="J33" s="68">
        <f>H33*0.1</f>
        <v>1243.4000000000001</v>
      </c>
      <c r="K33" s="69">
        <f>(H33*N$3)+(I33*N$4)+(J33*N$5)</f>
        <v>880319.73959999997</v>
      </c>
      <c r="L33" s="83"/>
      <c r="M33" s="89" t="s">
        <v>62</v>
      </c>
    </row>
    <row r="34" spans="1:13" s="89" customFormat="1" ht="16.149999999999999" customHeight="1" x14ac:dyDescent="0.2">
      <c r="A34" s="87"/>
      <c r="B34" s="88"/>
      <c r="C34" s="73" t="s">
        <v>44</v>
      </c>
      <c r="D34" s="68">
        <v>3</v>
      </c>
      <c r="E34" s="68">
        <v>1</v>
      </c>
      <c r="F34" s="68">
        <f>D34*E34</f>
        <v>3</v>
      </c>
      <c r="G34" s="68">
        <f>(SUM(Populations!B32:I32))/7</f>
        <v>242.28571428571428</v>
      </c>
      <c r="H34" s="68">
        <f>F34*G34</f>
        <v>726.85714285714289</v>
      </c>
      <c r="I34" s="68">
        <f>H34*0.05</f>
        <v>36.342857142857149</v>
      </c>
      <c r="J34" s="68">
        <f>H34*0.1</f>
        <v>72.685714285714297</v>
      </c>
      <c r="K34" s="69">
        <f>(H34*N$3)+(I34*N$4)+(J34*N$5)</f>
        <v>51461.049600000006</v>
      </c>
      <c r="L34" s="83"/>
    </row>
    <row r="35" spans="1:13" ht="15" customHeight="1" x14ac:dyDescent="0.2">
      <c r="A35" s="128"/>
      <c r="B35" s="129"/>
      <c r="C35" s="6" t="s">
        <v>64</v>
      </c>
      <c r="D35" s="133">
        <v>4</v>
      </c>
      <c r="E35" s="133">
        <v>1</v>
      </c>
      <c r="F35" s="133">
        <f t="shared" si="10"/>
        <v>4</v>
      </c>
      <c r="G35" s="133">
        <f>SUM(Populations!B34:I34)</f>
        <v>8</v>
      </c>
      <c r="H35" s="133">
        <f t="shared" si="11"/>
        <v>32</v>
      </c>
      <c r="I35" s="133">
        <f t="shared" si="12"/>
        <v>1.6</v>
      </c>
      <c r="J35" s="133">
        <f t="shared" si="13"/>
        <v>3.2</v>
      </c>
      <c r="K35" s="131">
        <f t="shared" si="14"/>
        <v>2265.5808000000002</v>
      </c>
      <c r="L35" s="83"/>
      <c r="M35" s="89" t="s">
        <v>65</v>
      </c>
    </row>
    <row r="36" spans="1:13" ht="15" customHeight="1" x14ac:dyDescent="0.2">
      <c r="A36" s="128"/>
      <c r="B36" s="130" t="s">
        <v>66</v>
      </c>
      <c r="C36" s="135"/>
      <c r="D36" s="133"/>
      <c r="E36" s="133"/>
      <c r="F36" s="133"/>
      <c r="G36" s="133"/>
      <c r="H36" s="133"/>
      <c r="I36" s="133"/>
      <c r="J36" s="133"/>
      <c r="K36" s="131"/>
      <c r="L36" s="83"/>
      <c r="M36" s="89"/>
    </row>
    <row r="37" spans="1:13" ht="15" customHeight="1" x14ac:dyDescent="0.2">
      <c r="A37" s="128"/>
      <c r="B37" s="129"/>
      <c r="C37" s="6" t="s">
        <v>67</v>
      </c>
      <c r="D37" s="133">
        <v>24</v>
      </c>
      <c r="E37" s="133">
        <v>2</v>
      </c>
      <c r="F37" s="133">
        <f>D37*E37</f>
        <v>48</v>
      </c>
      <c r="G37" s="133">
        <f>SUM(Populations!B33:I33)</f>
        <v>56</v>
      </c>
      <c r="H37" s="133">
        <f>F37*G37</f>
        <v>2688</v>
      </c>
      <c r="I37" s="133">
        <f t="shared" si="12"/>
        <v>134.4</v>
      </c>
      <c r="J37" s="133">
        <f>H37*0.1</f>
        <v>268.8</v>
      </c>
      <c r="K37" s="131">
        <f>(H37*N$3)+(I37*N$4)+(J37*N$5)</f>
        <v>190308.78720000002</v>
      </c>
      <c r="L37" s="83"/>
      <c r="M37" s="89" t="s">
        <v>68</v>
      </c>
    </row>
    <row r="38" spans="1:13" ht="15" customHeight="1" x14ac:dyDescent="0.2">
      <c r="A38" s="7"/>
      <c r="B38" s="148" t="s">
        <v>69</v>
      </c>
      <c r="C38" s="149"/>
      <c r="D38" s="149"/>
      <c r="E38" s="149"/>
      <c r="F38" s="149"/>
      <c r="G38" s="149"/>
      <c r="H38" s="133">
        <f>SUM(H12:H37)</f>
        <v>251105.60714285713</v>
      </c>
      <c r="I38" s="133">
        <f>SUM(I12:I37)</f>
        <v>12555.280357142859</v>
      </c>
      <c r="J38" s="133">
        <f>SUM(J12:J37)</f>
        <v>25110.560714285719</v>
      </c>
      <c r="K38" s="150">
        <f>SUM(K14:K37)</f>
        <v>18526061.175150003</v>
      </c>
      <c r="L38" s="83"/>
    </row>
    <row r="39" spans="1:13" ht="15" customHeight="1" x14ac:dyDescent="0.2">
      <c r="A39" s="5"/>
      <c r="B39" s="148"/>
      <c r="C39" s="149"/>
      <c r="D39" s="149"/>
      <c r="E39" s="149"/>
      <c r="F39" s="149"/>
      <c r="G39" s="149"/>
      <c r="H39" s="152">
        <f>SUM(H38:J38)</f>
        <v>288771.44821428572</v>
      </c>
      <c r="I39" s="151"/>
      <c r="J39" s="151"/>
      <c r="K39" s="151"/>
      <c r="L39" s="83"/>
      <c r="M39" s="38">
        <f>SUM(K14:K30,K35:K37)</f>
        <v>5201482.6105500003</v>
      </c>
    </row>
    <row r="40" spans="1:13" ht="15" customHeight="1" x14ac:dyDescent="0.2">
      <c r="A40" s="145" t="s">
        <v>70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7"/>
      <c r="L40" s="83"/>
    </row>
    <row r="41" spans="1:13" ht="15" customHeight="1" x14ac:dyDescent="0.2">
      <c r="A41" s="128"/>
      <c r="B41" s="130" t="s">
        <v>71</v>
      </c>
      <c r="C41" s="135"/>
      <c r="D41" s="132"/>
      <c r="E41" s="132"/>
      <c r="F41" s="132"/>
      <c r="G41" s="132"/>
      <c r="H41" s="133"/>
      <c r="I41" s="132"/>
      <c r="J41" s="132"/>
      <c r="K41" s="132"/>
      <c r="L41" s="83"/>
    </row>
    <row r="42" spans="1:13" ht="15" customHeight="1" x14ac:dyDescent="0.2">
      <c r="A42" s="128"/>
      <c r="B42" s="130" t="s">
        <v>72</v>
      </c>
      <c r="C42" s="135"/>
      <c r="D42" s="132"/>
      <c r="E42" s="132"/>
      <c r="F42" s="132"/>
      <c r="G42" s="132"/>
      <c r="H42" s="133"/>
      <c r="I42" s="132"/>
      <c r="J42" s="132"/>
      <c r="K42" s="132"/>
      <c r="L42" s="83"/>
    </row>
    <row r="43" spans="1:13" ht="15" customHeight="1" x14ac:dyDescent="0.2">
      <c r="A43" s="128"/>
      <c r="B43" s="130" t="s">
        <v>73</v>
      </c>
      <c r="C43" s="135"/>
      <c r="D43" s="132"/>
      <c r="E43" s="132"/>
      <c r="F43" s="132"/>
      <c r="G43" s="132"/>
      <c r="H43" s="133"/>
      <c r="I43" s="132"/>
      <c r="J43" s="132"/>
      <c r="K43" s="132"/>
      <c r="L43" s="83"/>
    </row>
    <row r="44" spans="1:13" ht="15" customHeight="1" x14ac:dyDescent="0.2">
      <c r="A44" s="128"/>
      <c r="B44" s="129"/>
      <c r="C44" s="6" t="s">
        <v>74</v>
      </c>
      <c r="D44" s="4">
        <v>0.5</v>
      </c>
      <c r="E44" s="68">
        <v>1</v>
      </c>
      <c r="F44" s="133">
        <f t="shared" ref="F44:F52" si="15">D44*E44</f>
        <v>0.5</v>
      </c>
      <c r="G44" s="68">
        <f>ROUND(Populations!I15,0)</f>
        <v>8097</v>
      </c>
      <c r="H44" s="133">
        <f t="shared" ref="H44:H52" si="16">F44*G44</f>
        <v>4048.5</v>
      </c>
      <c r="I44" s="133">
        <f t="shared" ref="I44:I52" si="17">H44*0.05</f>
        <v>202.42500000000001</v>
      </c>
      <c r="J44" s="133">
        <f t="shared" ref="J44:J52" si="18">H44*0.1</f>
        <v>404.85</v>
      </c>
      <c r="K44" s="131">
        <f t="shared" ref="K44:K52" si="19">(H44*N$3)+(I44*N$4)+(J44*N$5)</f>
        <v>286631.37089999998</v>
      </c>
      <c r="L44" s="84"/>
      <c r="M44" t="s">
        <v>75</v>
      </c>
    </row>
    <row r="45" spans="1:13" ht="15" customHeight="1" x14ac:dyDescent="0.2">
      <c r="A45" s="128"/>
      <c r="B45" s="129"/>
      <c r="C45" s="6" t="s">
        <v>76</v>
      </c>
      <c r="D45" s="133">
        <v>1</v>
      </c>
      <c r="E45" s="133">
        <v>1</v>
      </c>
      <c r="F45" s="133">
        <f t="shared" si="15"/>
        <v>1</v>
      </c>
      <c r="G45" s="68">
        <f>ROUND(Populations!I14,0)</f>
        <v>2538</v>
      </c>
      <c r="H45" s="133">
        <f t="shared" si="16"/>
        <v>2538</v>
      </c>
      <c r="I45" s="133">
        <f t="shared" si="17"/>
        <v>126.9</v>
      </c>
      <c r="J45" s="133">
        <f t="shared" si="18"/>
        <v>253.8</v>
      </c>
      <c r="K45" s="131">
        <f t="shared" si="19"/>
        <v>179688.87719999999</v>
      </c>
      <c r="L45" s="84"/>
      <c r="M45" t="s">
        <v>77</v>
      </c>
    </row>
    <row r="46" spans="1:13" ht="15" customHeight="1" x14ac:dyDescent="0.2">
      <c r="A46" s="128"/>
      <c r="B46" s="129"/>
      <c r="C46" s="6" t="s">
        <v>50</v>
      </c>
      <c r="D46" s="133">
        <v>4</v>
      </c>
      <c r="E46" s="133">
        <v>1</v>
      </c>
      <c r="F46" s="133">
        <f t="shared" si="15"/>
        <v>4</v>
      </c>
      <c r="G46" s="68">
        <f>Populations!I29</f>
        <v>0</v>
      </c>
      <c r="H46" s="133">
        <f t="shared" si="16"/>
        <v>0</v>
      </c>
      <c r="I46" s="133">
        <f t="shared" si="17"/>
        <v>0</v>
      </c>
      <c r="J46" s="133">
        <f t="shared" si="18"/>
        <v>0</v>
      </c>
      <c r="K46" s="131">
        <f t="shared" si="19"/>
        <v>0</v>
      </c>
      <c r="L46" s="83"/>
      <c r="M46" t="s">
        <v>78</v>
      </c>
    </row>
    <row r="47" spans="1:13" ht="15" customHeight="1" x14ac:dyDescent="0.2">
      <c r="A47" s="128"/>
      <c r="B47" s="129"/>
      <c r="C47" s="6" t="s">
        <v>79</v>
      </c>
      <c r="D47" s="133">
        <v>1</v>
      </c>
      <c r="E47" s="133">
        <v>1</v>
      </c>
      <c r="F47" s="133">
        <f t="shared" si="15"/>
        <v>1</v>
      </c>
      <c r="G47" s="68">
        <f>SUM(Populations!B24:I24)+SUM(Populations!B27:I27)</f>
        <v>752</v>
      </c>
      <c r="H47" s="133">
        <f t="shared" si="16"/>
        <v>752</v>
      </c>
      <c r="I47" s="133">
        <f t="shared" si="17"/>
        <v>37.6</v>
      </c>
      <c r="J47" s="133">
        <f t="shared" si="18"/>
        <v>75.2</v>
      </c>
      <c r="K47" s="131">
        <f t="shared" si="19"/>
        <v>53241.148799999995</v>
      </c>
      <c r="L47" s="83"/>
      <c r="M47" t="s">
        <v>80</v>
      </c>
    </row>
    <row r="48" spans="1:13" ht="15" customHeight="1" x14ac:dyDescent="0.2">
      <c r="A48" s="128"/>
      <c r="B48" s="129"/>
      <c r="C48" s="6" t="s">
        <v>81</v>
      </c>
      <c r="D48" s="133">
        <v>2</v>
      </c>
      <c r="E48" s="133">
        <v>1</v>
      </c>
      <c r="F48" s="133">
        <f t="shared" si="15"/>
        <v>2</v>
      </c>
      <c r="G48" s="68">
        <f>SUM(Populations!B25:I25)+SUM(Populations!B28:I28)</f>
        <v>80</v>
      </c>
      <c r="H48" s="133">
        <f t="shared" si="16"/>
        <v>160</v>
      </c>
      <c r="I48" s="133">
        <f t="shared" si="17"/>
        <v>8</v>
      </c>
      <c r="J48" s="133">
        <f t="shared" si="18"/>
        <v>16</v>
      </c>
      <c r="K48" s="131">
        <f t="shared" si="19"/>
        <v>11327.904</v>
      </c>
      <c r="L48" s="83"/>
      <c r="M48" t="s">
        <v>80</v>
      </c>
    </row>
    <row r="49" spans="1:13" ht="15" customHeight="1" x14ac:dyDescent="0.2">
      <c r="A49" s="128"/>
      <c r="B49" s="129"/>
      <c r="C49" s="6" t="s">
        <v>54</v>
      </c>
      <c r="D49" s="133">
        <v>4</v>
      </c>
      <c r="E49" s="133">
        <v>1</v>
      </c>
      <c r="F49" s="133">
        <f t="shared" si="15"/>
        <v>4</v>
      </c>
      <c r="G49" s="68">
        <f>Populations!I17</f>
        <v>1234</v>
      </c>
      <c r="H49" s="133">
        <f t="shared" si="16"/>
        <v>4936</v>
      </c>
      <c r="I49" s="133">
        <f t="shared" si="17"/>
        <v>246.8</v>
      </c>
      <c r="J49" s="133">
        <f t="shared" si="18"/>
        <v>493.6</v>
      </c>
      <c r="K49" s="131">
        <f t="shared" si="19"/>
        <v>349465.83840000001</v>
      </c>
      <c r="L49" s="83"/>
      <c r="M49" t="s">
        <v>82</v>
      </c>
    </row>
    <row r="50" spans="1:13" ht="15" customHeight="1" x14ac:dyDescent="0.2">
      <c r="A50" s="128"/>
      <c r="B50" s="129"/>
      <c r="C50" s="6" t="s">
        <v>83</v>
      </c>
      <c r="D50" s="133">
        <v>1</v>
      </c>
      <c r="E50" s="133">
        <v>1</v>
      </c>
      <c r="F50" s="133">
        <f t="shared" si="15"/>
        <v>1</v>
      </c>
      <c r="G50" s="68">
        <f>SUM(Populations!B20:I20)</f>
        <v>1328</v>
      </c>
      <c r="H50" s="133">
        <f t="shared" si="16"/>
        <v>1328</v>
      </c>
      <c r="I50" s="133">
        <f t="shared" si="17"/>
        <v>66.400000000000006</v>
      </c>
      <c r="J50" s="133">
        <f t="shared" si="18"/>
        <v>132.80000000000001</v>
      </c>
      <c r="K50" s="131">
        <f t="shared" si="19"/>
        <v>94021.603199999998</v>
      </c>
      <c r="L50" s="84"/>
      <c r="M50" t="s">
        <v>84</v>
      </c>
    </row>
    <row r="51" spans="1:13" ht="15" customHeight="1" x14ac:dyDescent="0.2">
      <c r="A51" s="128"/>
      <c r="B51" s="129"/>
      <c r="C51" s="6" t="s">
        <v>85</v>
      </c>
      <c r="D51" s="133">
        <v>8</v>
      </c>
      <c r="E51" s="133">
        <v>1</v>
      </c>
      <c r="F51" s="133">
        <f t="shared" si="15"/>
        <v>8</v>
      </c>
      <c r="G51" s="68">
        <f>SUM(Populations!B19:I19)</f>
        <v>3976</v>
      </c>
      <c r="H51" s="133">
        <f t="shared" si="16"/>
        <v>31808</v>
      </c>
      <c r="I51" s="133">
        <f t="shared" si="17"/>
        <v>1590.4</v>
      </c>
      <c r="J51" s="133">
        <f t="shared" si="18"/>
        <v>3180.8</v>
      </c>
      <c r="K51" s="131">
        <f t="shared" si="19"/>
        <v>2251987.3152000001</v>
      </c>
      <c r="L51" s="84"/>
      <c r="M51" t="s">
        <v>86</v>
      </c>
    </row>
    <row r="52" spans="1:13" ht="15" customHeight="1" x14ac:dyDescent="0.2">
      <c r="A52" s="128"/>
      <c r="B52" s="129"/>
      <c r="C52" s="6" t="s">
        <v>58</v>
      </c>
      <c r="D52" s="133">
        <v>2</v>
      </c>
      <c r="E52" s="133">
        <v>1</v>
      </c>
      <c r="F52" s="133">
        <f t="shared" si="15"/>
        <v>2</v>
      </c>
      <c r="G52" s="68">
        <f>SUM(Populations!B30:I30)</f>
        <v>7499</v>
      </c>
      <c r="H52" s="133">
        <f t="shared" si="16"/>
        <v>14998</v>
      </c>
      <c r="I52" s="133">
        <f t="shared" si="17"/>
        <v>749.90000000000009</v>
      </c>
      <c r="J52" s="133">
        <f t="shared" si="18"/>
        <v>1499.8000000000002</v>
      </c>
      <c r="K52" s="131">
        <f t="shared" si="19"/>
        <v>1061849.4012</v>
      </c>
      <c r="L52" s="83"/>
      <c r="M52" t="s">
        <v>87</v>
      </c>
    </row>
    <row r="53" spans="1:13" ht="15" customHeight="1" x14ac:dyDescent="0.2">
      <c r="A53" s="128"/>
      <c r="B53" s="129"/>
      <c r="C53" s="73" t="s">
        <v>88</v>
      </c>
      <c r="D53" s="133"/>
      <c r="E53" s="133"/>
      <c r="F53" s="133"/>
      <c r="G53" s="68"/>
      <c r="H53" s="133"/>
      <c r="I53" s="133"/>
      <c r="J53" s="133"/>
      <c r="K53" s="131"/>
      <c r="L53" s="83"/>
    </row>
    <row r="54" spans="1:13" ht="15" customHeight="1" x14ac:dyDescent="0.2">
      <c r="A54" s="128"/>
      <c r="B54" s="129"/>
      <c r="C54" s="71" t="s">
        <v>89</v>
      </c>
      <c r="D54" s="133"/>
      <c r="E54" s="133"/>
      <c r="F54" s="133"/>
      <c r="G54" s="68">
        <f>ROUND(SUM(Populations!B6:I6),0)</f>
        <v>58347</v>
      </c>
      <c r="H54" s="133"/>
      <c r="I54" s="133"/>
      <c r="J54" s="133"/>
      <c r="K54" s="69">
        <f>G54*469</f>
        <v>27364743</v>
      </c>
      <c r="L54" s="83"/>
    </row>
    <row r="55" spans="1:13" s="89" customFormat="1" ht="15" customHeight="1" x14ac:dyDescent="0.2">
      <c r="A55" s="87"/>
      <c r="B55" s="88"/>
      <c r="C55" s="71" t="s">
        <v>215</v>
      </c>
      <c r="D55" s="68"/>
      <c r="E55" s="68"/>
      <c r="F55" s="68"/>
      <c r="G55" s="68">
        <f>SUM(Populations!B32:I32)</f>
        <v>1696</v>
      </c>
      <c r="H55" s="68"/>
      <c r="I55" s="68"/>
      <c r="J55" s="68"/>
      <c r="K55" s="69">
        <f>G55*459</f>
        <v>778464</v>
      </c>
      <c r="L55" s="83"/>
    </row>
    <row r="56" spans="1:13" ht="15" customHeight="1" x14ac:dyDescent="0.2">
      <c r="A56" s="128"/>
      <c r="B56" s="129"/>
      <c r="C56" s="72" t="s">
        <v>90</v>
      </c>
      <c r="D56" s="68"/>
      <c r="E56" s="68"/>
      <c r="F56" s="68"/>
      <c r="G56" s="68"/>
      <c r="H56" s="68"/>
      <c r="I56" s="68"/>
      <c r="J56" s="68"/>
      <c r="K56" s="69"/>
      <c r="L56" s="83"/>
    </row>
    <row r="57" spans="1:13" ht="15" customHeight="1" x14ac:dyDescent="0.2">
      <c r="A57" s="128"/>
      <c r="B57" s="129"/>
      <c r="C57" s="71" t="s">
        <v>91</v>
      </c>
      <c r="D57" s="68"/>
      <c r="E57" s="68"/>
      <c r="F57" s="68"/>
      <c r="G57" s="68">
        <f>ROUND(SUM(Populations!B6:I6),0)</f>
        <v>58347</v>
      </c>
      <c r="H57" s="68"/>
      <c r="I57" s="68"/>
      <c r="J57" s="68"/>
      <c r="K57" s="69">
        <f>G57*430*0.75</f>
        <v>18816907.5</v>
      </c>
      <c r="L57" s="83"/>
    </row>
    <row r="58" spans="1:13" s="89" customFormat="1" ht="12.6" customHeight="1" x14ac:dyDescent="0.2">
      <c r="A58" s="87"/>
      <c r="B58" s="88"/>
      <c r="C58" s="71" t="s">
        <v>92</v>
      </c>
      <c r="D58" s="68">
        <v>1</v>
      </c>
      <c r="E58" s="68">
        <v>1</v>
      </c>
      <c r="F58" s="68">
        <f>D58*E58</f>
        <v>1</v>
      </c>
      <c r="G58" s="68">
        <f>ROUND(SUM(Populations!B10:I10),0)</f>
        <v>12434</v>
      </c>
      <c r="H58" s="68">
        <f>F58*G58</f>
        <v>12434</v>
      </c>
      <c r="I58" s="68">
        <f>H58*0.05</f>
        <v>621.70000000000005</v>
      </c>
      <c r="J58" s="68">
        <f>H58*0.1</f>
        <v>1243.4000000000001</v>
      </c>
      <c r="K58" s="69">
        <f>(H58*N$3)+(I58*N$4)+(J58*N$5)</f>
        <v>880319.73959999997</v>
      </c>
      <c r="L58" s="83"/>
    </row>
    <row r="59" spans="1:13" s="89" customFormat="1" ht="15.6" customHeight="1" x14ac:dyDescent="0.2">
      <c r="A59" s="87"/>
      <c r="B59" s="88"/>
      <c r="C59" s="71" t="s">
        <v>93</v>
      </c>
      <c r="D59" s="68"/>
      <c r="E59" s="68"/>
      <c r="F59" s="68"/>
      <c r="G59" s="68">
        <f>G55</f>
        <v>1696</v>
      </c>
      <c r="H59" s="68"/>
      <c r="I59" s="68"/>
      <c r="J59" s="68"/>
      <c r="K59" s="69">
        <f>G59*430*0.75*2</f>
        <v>1093920</v>
      </c>
      <c r="L59" s="83"/>
    </row>
    <row r="60" spans="1:13" ht="15" customHeight="1" x14ac:dyDescent="0.2">
      <c r="A60" s="128"/>
      <c r="B60" s="129"/>
      <c r="C60" s="6" t="s">
        <v>94</v>
      </c>
      <c r="D60" s="133">
        <v>8</v>
      </c>
      <c r="E60" s="133">
        <v>4</v>
      </c>
      <c r="F60" s="133">
        <f>D60*E60</f>
        <v>32</v>
      </c>
      <c r="G60" s="133">
        <f>G37</f>
        <v>56</v>
      </c>
      <c r="H60" s="133">
        <f>F60*G60</f>
        <v>1792</v>
      </c>
      <c r="I60" s="133">
        <f>H60*0.05</f>
        <v>89.600000000000009</v>
      </c>
      <c r="J60" s="133">
        <f>H60*0.1</f>
        <v>179.20000000000002</v>
      </c>
      <c r="K60" s="131">
        <f>(H60*N$3)+(I60*N$4)+(J60*N$5)</f>
        <v>126872.5248</v>
      </c>
      <c r="L60" s="83"/>
      <c r="M60" t="s">
        <v>95</v>
      </c>
    </row>
    <row r="61" spans="1:13" ht="15" customHeight="1" x14ac:dyDescent="0.2">
      <c r="A61" s="128"/>
      <c r="B61" s="129"/>
      <c r="C61" s="6" t="s">
        <v>96</v>
      </c>
      <c r="D61" s="133">
        <v>4</v>
      </c>
      <c r="E61" s="133">
        <v>1</v>
      </c>
      <c r="F61" s="133">
        <f>D61*E61</f>
        <v>4</v>
      </c>
      <c r="G61" s="133">
        <f>G35</f>
        <v>8</v>
      </c>
      <c r="H61" s="133">
        <f>F61*G61</f>
        <v>32</v>
      </c>
      <c r="I61" s="133">
        <f>H61*0.05</f>
        <v>1.6</v>
      </c>
      <c r="J61" s="133">
        <f>H61*0.1</f>
        <v>3.2</v>
      </c>
      <c r="K61" s="131">
        <f>(H61*N$3)+(I61*N$4)+(J61*N$5)</f>
        <v>2265.5808000000002</v>
      </c>
      <c r="L61" s="83"/>
      <c r="M61" t="s">
        <v>97</v>
      </c>
    </row>
    <row r="62" spans="1:13" ht="15" customHeight="1" x14ac:dyDescent="0.2">
      <c r="A62" s="128"/>
      <c r="B62" s="130" t="s">
        <v>98</v>
      </c>
      <c r="C62" s="135"/>
      <c r="D62" s="132"/>
      <c r="E62" s="132"/>
      <c r="F62" s="132"/>
      <c r="G62" s="132"/>
      <c r="H62" s="133"/>
      <c r="I62" s="132"/>
      <c r="J62" s="132"/>
      <c r="K62" s="132"/>
      <c r="L62" s="83"/>
    </row>
    <row r="63" spans="1:13" ht="15" customHeight="1" x14ac:dyDescent="0.2">
      <c r="A63" s="128"/>
      <c r="B63" s="130" t="s">
        <v>99</v>
      </c>
      <c r="C63" s="135"/>
      <c r="D63" s="132"/>
      <c r="E63" s="132"/>
      <c r="F63" s="132"/>
      <c r="G63" s="132"/>
      <c r="H63" s="133"/>
      <c r="I63" s="132"/>
      <c r="J63" s="132"/>
      <c r="K63" s="132"/>
      <c r="L63" s="83"/>
    </row>
    <row r="64" spans="1:13" ht="15" customHeight="1" x14ac:dyDescent="0.2">
      <c r="A64" s="128"/>
      <c r="B64" s="129"/>
      <c r="C64" s="6" t="s">
        <v>100</v>
      </c>
      <c r="D64" s="132"/>
      <c r="E64" s="132"/>
      <c r="F64" s="132"/>
      <c r="G64" s="132"/>
      <c r="H64" s="133"/>
      <c r="I64" s="132"/>
      <c r="J64" s="132"/>
      <c r="K64" s="132"/>
      <c r="L64" s="83"/>
    </row>
    <row r="65" spans="1:13" ht="15" customHeight="1" x14ac:dyDescent="0.2">
      <c r="A65" s="128"/>
      <c r="B65" s="130" t="s">
        <v>101</v>
      </c>
      <c r="C65" s="135"/>
      <c r="D65" s="132"/>
      <c r="E65" s="132"/>
      <c r="F65" s="132"/>
      <c r="G65" s="132"/>
      <c r="H65" s="133"/>
      <c r="I65" s="132"/>
      <c r="J65" s="132"/>
      <c r="K65" s="132"/>
      <c r="L65" s="83"/>
    </row>
    <row r="66" spans="1:13" ht="15" customHeight="1" x14ac:dyDescent="0.2">
      <c r="A66" s="128"/>
      <c r="B66" s="130" t="s">
        <v>102</v>
      </c>
      <c r="C66" s="135"/>
      <c r="D66" s="132"/>
      <c r="E66" s="132"/>
      <c r="F66" s="132"/>
      <c r="G66" s="132"/>
      <c r="H66" s="133"/>
      <c r="I66" s="132"/>
      <c r="J66" s="132"/>
      <c r="K66" s="132"/>
      <c r="L66" s="83"/>
    </row>
    <row r="67" spans="1:13" ht="15" customHeight="1" x14ac:dyDescent="0.2">
      <c r="A67" s="7"/>
      <c r="B67" s="148" t="s">
        <v>103</v>
      </c>
      <c r="C67" s="149"/>
      <c r="D67" s="149"/>
      <c r="E67" s="149"/>
      <c r="F67" s="149"/>
      <c r="G67" s="149"/>
      <c r="H67" s="133">
        <f>SUM(H41:H66)</f>
        <v>74826.5</v>
      </c>
      <c r="I67" s="133">
        <f t="shared" ref="I67:J67" si="20">SUM(I41:I66)</f>
        <v>3741.3249999999998</v>
      </c>
      <c r="J67" s="133">
        <f t="shared" si="20"/>
        <v>7482.65</v>
      </c>
      <c r="K67" s="150">
        <f>SUM(K41:K66)</f>
        <v>53351705.804100007</v>
      </c>
      <c r="L67" s="83"/>
    </row>
    <row r="68" spans="1:13" ht="15" customHeight="1" x14ac:dyDescent="0.2">
      <c r="A68" s="5"/>
      <c r="B68" s="148"/>
      <c r="C68" s="149"/>
      <c r="D68" s="149"/>
      <c r="E68" s="149"/>
      <c r="F68" s="149"/>
      <c r="G68" s="149"/>
      <c r="H68" s="152">
        <f>SUM(H67:J67)</f>
        <v>86050.474999999991</v>
      </c>
      <c r="I68" s="151"/>
      <c r="J68" s="151"/>
      <c r="K68" s="151"/>
      <c r="L68" s="83"/>
    </row>
    <row r="69" spans="1:13" ht="15" customHeight="1" x14ac:dyDescent="0.2">
      <c r="A69" s="153" t="s">
        <v>104</v>
      </c>
      <c r="B69" s="153"/>
      <c r="C69" s="153"/>
      <c r="D69" s="153"/>
      <c r="E69" s="153"/>
      <c r="F69" s="153"/>
      <c r="G69" s="153"/>
      <c r="H69" s="133">
        <f>SUM(H38,H67)</f>
        <v>325932.10714285716</v>
      </c>
      <c r="I69" s="133">
        <f>SUM(I38,I67)</f>
        <v>16296.60535714286</v>
      </c>
      <c r="J69" s="133">
        <f>SUM(J38,J67)</f>
        <v>32593.21071428572</v>
      </c>
      <c r="K69" s="150">
        <f>SUM(K38,K67)</f>
        <v>71877766.979250014</v>
      </c>
      <c r="L69" s="83"/>
    </row>
    <row r="70" spans="1:13" ht="15" customHeight="1" x14ac:dyDescent="0.2">
      <c r="A70" s="153"/>
      <c r="B70" s="153"/>
      <c r="C70" s="153"/>
      <c r="D70" s="153"/>
      <c r="E70" s="153"/>
      <c r="F70" s="153"/>
      <c r="G70" s="153"/>
      <c r="H70" s="152">
        <f>SUM(H69:J69)</f>
        <v>374821.92321428575</v>
      </c>
      <c r="I70" s="151"/>
      <c r="J70" s="151"/>
      <c r="K70" s="151"/>
      <c r="L70" s="83"/>
      <c r="M70" s="38">
        <f>SUM(K14:K30,K35:K37,K44:K52,K60:K61)</f>
        <v>9618834.1750500016</v>
      </c>
    </row>
    <row r="71" spans="1:13" x14ac:dyDescent="0.2">
      <c r="A71" s="154" t="s">
        <v>105</v>
      </c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83"/>
    </row>
    <row r="72" spans="1:13" ht="15.6" customHeight="1" x14ac:dyDescent="0.2">
      <c r="A72" s="141" t="s">
        <v>117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83"/>
    </row>
    <row r="73" spans="1:13" ht="15.6" customHeight="1" x14ac:dyDescent="0.2">
      <c r="A73" s="141" t="s">
        <v>107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83"/>
    </row>
    <row r="74" spans="1:13" ht="15.6" customHeight="1" x14ac:dyDescent="0.2">
      <c r="A74" s="141" t="s">
        <v>108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83"/>
    </row>
    <row r="75" spans="1:13" ht="15.6" customHeight="1" x14ac:dyDescent="0.2">
      <c r="A75" s="143" t="s">
        <v>109</v>
      </c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37"/>
    </row>
    <row r="76" spans="1:13" ht="15.6" customHeight="1" x14ac:dyDescent="0.2">
      <c r="A76" s="143" t="s">
        <v>110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37"/>
    </row>
    <row r="77" spans="1:13" x14ac:dyDescent="0.2">
      <c r="A77" s="143" t="s">
        <v>111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37"/>
    </row>
    <row r="78" spans="1:13" x14ac:dyDescent="0.2">
      <c r="A78" s="143" t="s">
        <v>112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37"/>
    </row>
    <row r="79" spans="1:13" x14ac:dyDescent="0.2">
      <c r="A79" s="143" t="s">
        <v>113</v>
      </c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37"/>
    </row>
    <row r="80" spans="1:13" ht="13.15" customHeight="1" x14ac:dyDescent="0.2">
      <c r="A80" s="144" t="s">
        <v>114</v>
      </c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37"/>
    </row>
    <row r="81" spans="1:11" ht="15.6" customHeight="1" x14ac:dyDescent="0.2">
      <c r="A81" s="141" t="s">
        <v>118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</row>
    <row r="82" spans="1:11" ht="15.75" x14ac:dyDescent="0.2">
      <c r="A82" s="141"/>
      <c r="B82" s="142"/>
      <c r="C82" s="142"/>
      <c r="D82" s="142"/>
      <c r="E82" s="142"/>
      <c r="F82" s="142"/>
      <c r="G82" s="142"/>
      <c r="H82" s="142"/>
      <c r="I82" s="142"/>
      <c r="J82" s="142"/>
      <c r="K82" s="142"/>
    </row>
    <row r="83" spans="1:11" x14ac:dyDescent="0.2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</row>
    <row r="84" spans="1:11" x14ac:dyDescent="0.2">
      <c r="C84" s="138"/>
    </row>
    <row r="85" spans="1:11" x14ac:dyDescent="0.2">
      <c r="C85" s="138"/>
    </row>
  </sheetData>
  <mergeCells count="32">
    <mergeCell ref="B38:G39"/>
    <mergeCell ref="K38:K39"/>
    <mergeCell ref="H39:J39"/>
    <mergeCell ref="A1:K1"/>
    <mergeCell ref="A2:K2"/>
    <mergeCell ref="A3:K3"/>
    <mergeCell ref="A4:K4"/>
    <mergeCell ref="A5:C6"/>
    <mergeCell ref="A7:K7"/>
    <mergeCell ref="A8:K8"/>
    <mergeCell ref="A9:K9"/>
    <mergeCell ref="A10:K10"/>
    <mergeCell ref="A76:K76"/>
    <mergeCell ref="A40:K40"/>
    <mergeCell ref="B67:G68"/>
    <mergeCell ref="K67:K68"/>
    <mergeCell ref="H68:J68"/>
    <mergeCell ref="A69:G70"/>
    <mergeCell ref="K69:K70"/>
    <mergeCell ref="H70:J70"/>
    <mergeCell ref="A71:K71"/>
    <mergeCell ref="A72:K72"/>
    <mergeCell ref="A73:K73"/>
    <mergeCell ref="A74:K74"/>
    <mergeCell ref="A75:K75"/>
    <mergeCell ref="A83:K83"/>
    <mergeCell ref="A77:K77"/>
    <mergeCell ref="A78:K78"/>
    <mergeCell ref="A79:K79"/>
    <mergeCell ref="A80:K80"/>
    <mergeCell ref="A81:K81"/>
    <mergeCell ref="A82:K8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42C1-E802-4038-A461-1E20CC83BC45}">
  <dimension ref="A1:AL85"/>
  <sheetViews>
    <sheetView topLeftCell="A25" zoomScale="75" zoomScaleNormal="75" workbookViewId="0">
      <selection activeCell="K66" activeCellId="1" sqref="K12:K37 K44:K66"/>
    </sheetView>
  </sheetViews>
  <sheetFormatPr defaultRowHeight="12.75" x14ac:dyDescent="0.2"/>
  <cols>
    <col min="1" max="2" width="3.83203125" customWidth="1"/>
    <col min="3" max="3" width="75.1640625" customWidth="1"/>
    <col min="4" max="4" width="15.5" customWidth="1"/>
    <col min="5" max="5" width="18.33203125" customWidth="1"/>
    <col min="6" max="6" width="16.33203125" customWidth="1"/>
    <col min="7" max="7" width="16" customWidth="1"/>
    <col min="8" max="8" width="15.5" customWidth="1"/>
    <col min="9" max="9" width="15.33203125" customWidth="1"/>
    <col min="10" max="10" width="12.83203125" customWidth="1"/>
    <col min="11" max="11" width="15.1640625" customWidth="1"/>
    <col min="12" max="12" width="16.83203125" style="111" customWidth="1"/>
    <col min="13" max="16" width="16.83203125" customWidth="1"/>
  </cols>
  <sheetData>
    <row r="1" spans="1:38" ht="15.75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37"/>
    </row>
    <row r="2" spans="1:38" ht="15.75" x14ac:dyDescent="0.2">
      <c r="A2" s="157" t="s">
        <v>119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37"/>
      <c r="M2" t="s">
        <v>2</v>
      </c>
      <c r="N2" t="s">
        <v>3</v>
      </c>
    </row>
    <row r="3" spans="1:38" ht="15.75" x14ac:dyDescent="0.2">
      <c r="A3" s="157" t="s">
        <v>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37"/>
      <c r="M3" t="s">
        <v>5</v>
      </c>
      <c r="N3" s="47">
        <f>28.84*2.1</f>
        <v>60.564</v>
      </c>
      <c r="O3" t="s">
        <v>6</v>
      </c>
    </row>
    <row r="4" spans="1:38" ht="15.75" x14ac:dyDescent="0.2">
      <c r="A4" s="158" t="s">
        <v>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37"/>
      <c r="M4" t="s">
        <v>8</v>
      </c>
      <c r="N4" s="47">
        <f>58.7*2.1</f>
        <v>123.27000000000001</v>
      </c>
      <c r="O4" t="s">
        <v>9</v>
      </c>
    </row>
    <row r="5" spans="1:38" x14ac:dyDescent="0.2">
      <c r="A5" s="159" t="s">
        <v>10</v>
      </c>
      <c r="B5" s="160"/>
      <c r="C5" s="160"/>
      <c r="D5" s="132" t="s">
        <v>11</v>
      </c>
      <c r="E5" s="132" t="s">
        <v>12</v>
      </c>
      <c r="F5" s="3" t="s">
        <v>13</v>
      </c>
      <c r="G5" s="132" t="s">
        <v>14</v>
      </c>
      <c r="H5" s="132" t="s">
        <v>15</v>
      </c>
      <c r="I5" s="132" t="s">
        <v>16</v>
      </c>
      <c r="J5" s="132" t="s">
        <v>17</v>
      </c>
      <c r="K5" s="132" t="s">
        <v>18</v>
      </c>
      <c r="L5" s="137"/>
      <c r="M5" s="2" t="s">
        <v>19</v>
      </c>
      <c r="N5" s="47">
        <f>19.39*2.1</f>
        <v>40.719000000000001</v>
      </c>
      <c r="O5" t="s">
        <v>20</v>
      </c>
      <c r="P5" s="137"/>
    </row>
    <row r="6" spans="1:38" ht="51" x14ac:dyDescent="0.2">
      <c r="A6" s="160"/>
      <c r="B6" s="160"/>
      <c r="C6" s="160"/>
      <c r="D6" s="134" t="s">
        <v>21</v>
      </c>
      <c r="E6" s="134" t="s">
        <v>22</v>
      </c>
      <c r="F6" s="134" t="s">
        <v>23</v>
      </c>
      <c r="G6" s="134" t="s">
        <v>24</v>
      </c>
      <c r="H6" s="134" t="s">
        <v>25</v>
      </c>
      <c r="I6" s="134" t="s">
        <v>26</v>
      </c>
      <c r="J6" s="134" t="s">
        <v>27</v>
      </c>
      <c r="K6" s="134" t="s">
        <v>28</v>
      </c>
      <c r="L6" s="1"/>
      <c r="M6" s="1" t="s">
        <v>29</v>
      </c>
      <c r="N6" s="1"/>
      <c r="O6" s="1"/>
      <c r="P6" s="1"/>
    </row>
    <row r="7" spans="1:38" ht="15" customHeight="1" x14ac:dyDescent="0.2">
      <c r="A7" s="145" t="s">
        <v>30</v>
      </c>
      <c r="B7" s="146"/>
      <c r="C7" s="146"/>
      <c r="D7" s="146"/>
      <c r="E7" s="146"/>
      <c r="F7" s="146"/>
      <c r="G7" s="146"/>
      <c r="H7" s="146"/>
      <c r="I7" s="146"/>
      <c r="J7" s="146"/>
      <c r="K7" s="147"/>
      <c r="L7" s="137"/>
    </row>
    <row r="8" spans="1:38" ht="15" customHeight="1" x14ac:dyDescent="0.2">
      <c r="A8" s="145" t="s">
        <v>31</v>
      </c>
      <c r="B8" s="146"/>
      <c r="C8" s="146"/>
      <c r="D8" s="146"/>
      <c r="E8" s="146"/>
      <c r="F8" s="146"/>
      <c r="G8" s="146"/>
      <c r="H8" s="146"/>
      <c r="I8" s="146"/>
      <c r="J8" s="146"/>
      <c r="K8" s="147"/>
      <c r="L8" s="137"/>
    </row>
    <row r="9" spans="1:38" ht="15" customHeight="1" x14ac:dyDescent="0.2">
      <c r="A9" s="155" t="s">
        <v>32</v>
      </c>
      <c r="B9" s="156"/>
      <c r="C9" s="156"/>
      <c r="D9" s="146"/>
      <c r="E9" s="146"/>
      <c r="F9" s="146"/>
      <c r="G9" s="146"/>
      <c r="H9" s="146"/>
      <c r="I9" s="146"/>
      <c r="J9" s="146"/>
      <c r="K9" s="147"/>
      <c r="L9" s="137"/>
    </row>
    <row r="10" spans="1:38" ht="15" customHeight="1" x14ac:dyDescent="0.2">
      <c r="A10" s="145" t="s">
        <v>33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7"/>
      <c r="L10" s="83"/>
    </row>
    <row r="11" spans="1:38" ht="15" customHeight="1" x14ac:dyDescent="0.2">
      <c r="A11" s="128"/>
      <c r="B11" s="130" t="s">
        <v>34</v>
      </c>
      <c r="C11" s="135"/>
      <c r="D11" s="132"/>
      <c r="E11" s="132"/>
      <c r="F11" s="132"/>
      <c r="G11" s="132"/>
      <c r="H11" s="133"/>
      <c r="I11" s="133"/>
      <c r="J11" s="133"/>
      <c r="K11" s="132"/>
      <c r="L11" s="83"/>
    </row>
    <row r="12" spans="1:38" ht="15" customHeight="1" x14ac:dyDescent="0.2">
      <c r="A12" s="128"/>
      <c r="B12" s="129"/>
      <c r="C12" s="130" t="s">
        <v>35</v>
      </c>
      <c r="D12" s="68">
        <v>4</v>
      </c>
      <c r="E12" s="133">
        <v>1</v>
      </c>
      <c r="F12" s="133">
        <f>D12*E12</f>
        <v>4</v>
      </c>
      <c r="G12" s="74">
        <f>ROUND(Populations!J4/22+Populations!J32/7+Populations!J33+Populations!J34,0)</f>
        <v>537</v>
      </c>
      <c r="H12" s="133">
        <f>F12*G12</f>
        <v>2148</v>
      </c>
      <c r="I12" s="133">
        <f>H12*0.05</f>
        <v>107.4</v>
      </c>
      <c r="J12" s="133">
        <f>H12*0.1</f>
        <v>214.8</v>
      </c>
      <c r="K12" s="131">
        <f>(H12*N$3)+(I12*N$4)+(J12*N$5)</f>
        <v>152077.11119999998</v>
      </c>
      <c r="L12" s="84"/>
    </row>
    <row r="13" spans="1:38" ht="15" customHeight="1" x14ac:dyDescent="0.2">
      <c r="A13" s="128"/>
      <c r="B13" s="130" t="s">
        <v>36</v>
      </c>
      <c r="C13" s="135"/>
      <c r="D13" s="133"/>
      <c r="E13" s="133"/>
      <c r="F13" s="133"/>
      <c r="G13" s="133"/>
      <c r="H13" s="133"/>
      <c r="I13" s="133"/>
      <c r="J13" s="133"/>
      <c r="K13" s="132"/>
      <c r="L13" s="85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</row>
    <row r="14" spans="1:38" x14ac:dyDescent="0.2">
      <c r="A14" s="128"/>
      <c r="B14" s="129"/>
      <c r="C14" s="6" t="s">
        <v>37</v>
      </c>
      <c r="D14" s="37">
        <v>0.25</v>
      </c>
      <c r="E14" s="68">
        <v>1</v>
      </c>
      <c r="F14" s="4">
        <f>D14*E14</f>
        <v>0.25</v>
      </c>
      <c r="G14" s="68">
        <f>ROUND(Populations!J4,0)</f>
        <v>10964</v>
      </c>
      <c r="H14" s="133">
        <f>F14*G14</f>
        <v>2741</v>
      </c>
      <c r="I14" s="133">
        <f>H14*0.05</f>
        <v>137.05000000000001</v>
      </c>
      <c r="J14" s="133">
        <f>H14*0.1</f>
        <v>274.10000000000002</v>
      </c>
      <c r="K14" s="131">
        <f>(H14*N$3)+(I14*N$4)+(J14*N$5)</f>
        <v>194061.15540000002</v>
      </c>
      <c r="L14" s="86"/>
      <c r="M14" t="s">
        <v>38</v>
      </c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</row>
    <row r="15" spans="1:38" x14ac:dyDescent="0.2">
      <c r="A15" s="128"/>
      <c r="B15" s="129"/>
      <c r="C15" s="6" t="s">
        <v>39</v>
      </c>
      <c r="D15" s="4">
        <v>0.5</v>
      </c>
      <c r="E15" s="133">
        <v>1</v>
      </c>
      <c r="F15" s="4">
        <f>D15*E15</f>
        <v>0.5</v>
      </c>
      <c r="G15" s="68">
        <f>Populations!J33+Populations!J34</f>
        <v>8</v>
      </c>
      <c r="H15" s="133">
        <f>F15*G15</f>
        <v>4</v>
      </c>
      <c r="I15" s="133">
        <f>H15*0.05</f>
        <v>0.2</v>
      </c>
      <c r="J15" s="133">
        <f>H15*0.1</f>
        <v>0.4</v>
      </c>
      <c r="K15" s="131">
        <f>(H15*N$3)+(I15*N$4)+(J15*N$5)</f>
        <v>283.19760000000002</v>
      </c>
      <c r="L15" s="85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</row>
    <row r="16" spans="1:38" ht="15" customHeight="1" x14ac:dyDescent="0.2">
      <c r="A16" s="128"/>
      <c r="B16" s="98" t="s">
        <v>40</v>
      </c>
      <c r="C16" s="135"/>
      <c r="D16" s="133"/>
      <c r="E16" s="133"/>
      <c r="F16" s="133"/>
      <c r="G16" s="68"/>
      <c r="H16" s="133"/>
      <c r="I16" s="133"/>
      <c r="J16" s="133"/>
      <c r="K16" s="132"/>
      <c r="L16" s="85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</row>
    <row r="17" spans="1:38" ht="15" customHeight="1" x14ac:dyDescent="0.2">
      <c r="A17" s="128"/>
      <c r="B17" s="129"/>
      <c r="C17" s="73" t="s">
        <v>41</v>
      </c>
      <c r="D17" s="133"/>
      <c r="E17" s="133"/>
      <c r="F17" s="133"/>
      <c r="G17" s="68"/>
      <c r="H17" s="133"/>
      <c r="I17" s="133"/>
      <c r="J17" s="133"/>
      <c r="K17" s="132"/>
      <c r="L17" s="85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</row>
    <row r="18" spans="1:38" ht="13.9" customHeight="1" x14ac:dyDescent="0.2">
      <c r="A18" s="128"/>
      <c r="B18" s="129"/>
      <c r="C18" s="97" t="s">
        <v>42</v>
      </c>
      <c r="D18" s="68">
        <v>40</v>
      </c>
      <c r="E18" s="68">
        <v>1</v>
      </c>
      <c r="F18" s="68">
        <f t="shared" ref="F18" si="0">D18*E18</f>
        <v>40</v>
      </c>
      <c r="G18" s="68">
        <f>ROUND(Populations!J6/22,0)</f>
        <v>411</v>
      </c>
      <c r="H18" s="68">
        <f t="shared" ref="H18" si="1">F18*G18</f>
        <v>16440</v>
      </c>
      <c r="I18" s="68">
        <f t="shared" ref="I18" si="2">H18*0.05</f>
        <v>822</v>
      </c>
      <c r="J18" s="68">
        <f t="shared" ref="J18" si="3">H18*0.1</f>
        <v>1644</v>
      </c>
      <c r="K18" s="69">
        <f t="shared" ref="K18" si="4">(H18*N$3)+(I18*N$4)+(J18*N$5)</f>
        <v>1163942.1360000002</v>
      </c>
      <c r="L18" s="82"/>
      <c r="M18" s="82"/>
      <c r="N18" s="82"/>
      <c r="O18" s="82"/>
      <c r="P18" s="82"/>
      <c r="Q18" s="82"/>
      <c r="R18" s="82"/>
      <c r="S18" s="82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</row>
    <row r="19" spans="1:38" ht="15" customHeight="1" x14ac:dyDescent="0.2">
      <c r="A19" s="128"/>
      <c r="B19" s="129"/>
      <c r="C19" s="71" t="s">
        <v>43</v>
      </c>
      <c r="D19" s="68"/>
      <c r="E19" s="68"/>
      <c r="F19" s="68"/>
      <c r="G19" s="68">
        <f>ROUND(Populations!J6/22,0)</f>
        <v>411</v>
      </c>
      <c r="H19" s="68"/>
      <c r="I19" s="68"/>
      <c r="J19" s="68"/>
      <c r="K19" s="69">
        <f>846*G19</f>
        <v>347706</v>
      </c>
      <c r="L19" s="82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</row>
    <row r="20" spans="1:38" ht="15" customHeight="1" x14ac:dyDescent="0.2">
      <c r="A20" s="128"/>
      <c r="B20" s="129"/>
      <c r="C20" s="73" t="s">
        <v>44</v>
      </c>
      <c r="D20" s="68"/>
      <c r="E20" s="68"/>
      <c r="F20" s="68"/>
      <c r="G20" s="68"/>
      <c r="H20" s="68"/>
      <c r="I20" s="68"/>
      <c r="J20" s="68"/>
      <c r="K20" s="69"/>
      <c r="L20" s="85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</row>
    <row r="21" spans="1:38" ht="15" customHeight="1" x14ac:dyDescent="0.2">
      <c r="A21" s="128"/>
      <c r="B21" s="129"/>
      <c r="C21" s="71" t="s">
        <v>45</v>
      </c>
      <c r="D21" s="68">
        <v>25</v>
      </c>
      <c r="E21" s="68">
        <v>1</v>
      </c>
      <c r="F21" s="68">
        <f t="shared" ref="F21" si="5">D21*E21</f>
        <v>25</v>
      </c>
      <c r="G21" s="68">
        <f>ROUND(Populations!J32/7,0)</f>
        <v>30</v>
      </c>
      <c r="H21" s="68">
        <f t="shared" ref="H21" si="6">F21*G21</f>
        <v>750</v>
      </c>
      <c r="I21" s="68">
        <f t="shared" ref="I21" si="7">H21*0.05</f>
        <v>37.5</v>
      </c>
      <c r="J21" s="68">
        <f t="shared" ref="J21" si="8">H21*0.1</f>
        <v>75</v>
      </c>
      <c r="K21" s="69">
        <f t="shared" ref="K21" si="9">(H21*N$3)+(I21*N$4)+(J21*N$5)</f>
        <v>53099.55</v>
      </c>
      <c r="L21" s="82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</row>
    <row r="22" spans="1:38" ht="15" customHeight="1" x14ac:dyDescent="0.2">
      <c r="A22" s="128"/>
      <c r="B22" s="88"/>
      <c r="C22" s="71" t="s">
        <v>43</v>
      </c>
      <c r="D22" s="70"/>
      <c r="E22" s="68"/>
      <c r="F22" s="70"/>
      <c r="G22" s="68">
        <f>G21</f>
        <v>30</v>
      </c>
      <c r="H22" s="68"/>
      <c r="I22" s="68"/>
      <c r="J22" s="68"/>
      <c r="K22" s="69">
        <f>G22*18607</f>
        <v>558210</v>
      </c>
      <c r="L22" s="82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</row>
    <row r="23" spans="1:38" ht="15" customHeight="1" x14ac:dyDescent="0.2">
      <c r="A23" s="128"/>
      <c r="B23" s="129" t="s">
        <v>46</v>
      </c>
      <c r="C23" s="135"/>
      <c r="D23" s="133"/>
      <c r="E23" s="133"/>
      <c r="F23" s="133"/>
      <c r="G23" s="133"/>
      <c r="H23" s="133"/>
      <c r="I23" s="133"/>
      <c r="J23" s="133"/>
      <c r="K23" s="132"/>
      <c r="L23" s="101"/>
    </row>
    <row r="24" spans="1:38" ht="15" customHeight="1" x14ac:dyDescent="0.2">
      <c r="A24" s="128"/>
      <c r="B24" s="129" t="s">
        <v>47</v>
      </c>
      <c r="C24" s="135"/>
      <c r="D24" s="133"/>
      <c r="E24" s="133"/>
      <c r="F24" s="133"/>
      <c r="G24" s="133"/>
      <c r="H24" s="133"/>
      <c r="I24" s="133"/>
      <c r="J24" s="133"/>
      <c r="K24" s="132"/>
      <c r="L24" s="83"/>
      <c r="M24" s="89"/>
    </row>
    <row r="25" spans="1:38" ht="15" customHeight="1" x14ac:dyDescent="0.2">
      <c r="A25" s="128"/>
      <c r="B25" s="129"/>
      <c r="C25" s="6" t="s">
        <v>48</v>
      </c>
      <c r="D25" s="133">
        <v>1</v>
      </c>
      <c r="E25" s="133">
        <v>1</v>
      </c>
      <c r="F25" s="133">
        <f t="shared" ref="F25:F35" si="10">D25*E25</f>
        <v>1</v>
      </c>
      <c r="G25" s="68">
        <f>G14</f>
        <v>10964</v>
      </c>
      <c r="H25" s="133">
        <f t="shared" ref="H25:H35" si="11">F25*G25</f>
        <v>10964</v>
      </c>
      <c r="I25" s="133">
        <f t="shared" ref="I25:I37" si="12">H25*0.05</f>
        <v>548.20000000000005</v>
      </c>
      <c r="J25" s="133">
        <f t="shared" ref="J25:J35" si="13">H25*0.1</f>
        <v>1096.4000000000001</v>
      </c>
      <c r="K25" s="131">
        <f t="shared" ref="K25:K35" si="14">(H25*N$3)+(I25*N$4)+(J25*N$5)</f>
        <v>776244.62160000007</v>
      </c>
      <c r="L25" s="84"/>
      <c r="M25" s="89" t="s">
        <v>49</v>
      </c>
    </row>
    <row r="26" spans="1:38" ht="15" customHeight="1" x14ac:dyDescent="0.2">
      <c r="A26" s="128"/>
      <c r="B26" s="129"/>
      <c r="C26" s="6" t="s">
        <v>50</v>
      </c>
      <c r="D26" s="133">
        <v>3</v>
      </c>
      <c r="E26" s="133">
        <v>1</v>
      </c>
      <c r="F26" s="133">
        <f>D26*E26</f>
        <v>3</v>
      </c>
      <c r="G26" s="68">
        <f>Populations!J29</f>
        <v>0</v>
      </c>
      <c r="H26" s="133">
        <f>F26*G26</f>
        <v>0</v>
      </c>
      <c r="I26" s="133">
        <f>H26*0.05</f>
        <v>0</v>
      </c>
      <c r="J26" s="133">
        <f>H26*0.1</f>
        <v>0</v>
      </c>
      <c r="K26" s="131">
        <f>(H26*N$3)+(I26*N$4)+(J26*N$5)</f>
        <v>0</v>
      </c>
      <c r="L26" s="83"/>
      <c r="M26" s="89" t="s">
        <v>51</v>
      </c>
    </row>
    <row r="27" spans="1:38" ht="15" customHeight="1" x14ac:dyDescent="0.2">
      <c r="A27" s="128"/>
      <c r="B27" s="129"/>
      <c r="C27" s="110" t="s">
        <v>52</v>
      </c>
      <c r="D27" s="4">
        <v>1.5</v>
      </c>
      <c r="E27" s="133">
        <v>1</v>
      </c>
      <c r="F27" s="133">
        <f t="shared" si="10"/>
        <v>1.5</v>
      </c>
      <c r="G27" s="68">
        <f>SUM(Populations!B23:J23)+SUM(Populations!B26:J26)</f>
        <v>936</v>
      </c>
      <c r="H27" s="133">
        <f t="shared" si="11"/>
        <v>1404</v>
      </c>
      <c r="I27" s="133">
        <f t="shared" si="12"/>
        <v>70.2</v>
      </c>
      <c r="J27" s="133">
        <f t="shared" si="13"/>
        <v>140.4</v>
      </c>
      <c r="K27" s="131">
        <f t="shared" si="14"/>
        <v>99402.357600000003</v>
      </c>
      <c r="L27" s="83"/>
      <c r="M27" s="89" t="s">
        <v>53</v>
      </c>
    </row>
    <row r="28" spans="1:38" ht="15" customHeight="1" x14ac:dyDescent="0.2">
      <c r="A28" s="128"/>
      <c r="B28" s="88"/>
      <c r="C28" s="6" t="s">
        <v>54</v>
      </c>
      <c r="D28" s="133">
        <v>1</v>
      </c>
      <c r="E28" s="133">
        <v>1</v>
      </c>
      <c r="F28" s="133">
        <f t="shared" si="10"/>
        <v>1</v>
      </c>
      <c r="G28" s="133">
        <f>Populations!J17</f>
        <v>1234</v>
      </c>
      <c r="H28" s="133">
        <f t="shared" si="11"/>
        <v>1234</v>
      </c>
      <c r="I28" s="133">
        <f t="shared" si="12"/>
        <v>61.7</v>
      </c>
      <c r="J28" s="133">
        <f t="shared" si="13"/>
        <v>123.4</v>
      </c>
      <c r="K28" s="131">
        <f t="shared" si="14"/>
        <v>87366.459600000002</v>
      </c>
      <c r="L28" s="83"/>
      <c r="M28" s="89" t="s">
        <v>55</v>
      </c>
    </row>
    <row r="29" spans="1:38" ht="15" customHeight="1" x14ac:dyDescent="0.2">
      <c r="A29" s="128"/>
      <c r="B29" s="88"/>
      <c r="C29" s="6" t="s">
        <v>56</v>
      </c>
      <c r="D29" s="133">
        <v>2</v>
      </c>
      <c r="E29" s="133">
        <v>1</v>
      </c>
      <c r="F29" s="133">
        <f>D29*E29</f>
        <v>2</v>
      </c>
      <c r="G29" s="68">
        <f>SUM(Populations!B18:J18)</f>
        <v>5967</v>
      </c>
      <c r="H29" s="133">
        <f>F29*G29</f>
        <v>11934</v>
      </c>
      <c r="I29" s="133">
        <f>H29*0.05</f>
        <v>596.70000000000005</v>
      </c>
      <c r="J29" s="133">
        <f>H29*0.1</f>
        <v>1193.4000000000001</v>
      </c>
      <c r="K29" s="131">
        <f>(H29*N$3)+(I29*N$4)+(J29*N$5)</f>
        <v>844920.03960000002</v>
      </c>
      <c r="L29" s="83"/>
      <c r="M29" s="89" t="s">
        <v>57</v>
      </c>
    </row>
    <row r="30" spans="1:38" ht="15" customHeight="1" x14ac:dyDescent="0.2">
      <c r="A30" s="128"/>
      <c r="B30" s="129"/>
      <c r="C30" s="6" t="s">
        <v>58</v>
      </c>
      <c r="D30" s="133">
        <v>2</v>
      </c>
      <c r="E30" s="133">
        <v>1</v>
      </c>
      <c r="F30" s="133">
        <f t="shared" si="10"/>
        <v>2</v>
      </c>
      <c r="G30" s="68">
        <f>SUM(Populations!B30:J30)</f>
        <v>8661</v>
      </c>
      <c r="H30" s="133">
        <f t="shared" si="11"/>
        <v>17322</v>
      </c>
      <c r="I30" s="133">
        <f t="shared" si="12"/>
        <v>866.1</v>
      </c>
      <c r="J30" s="133">
        <f t="shared" si="13"/>
        <v>1732.2</v>
      </c>
      <c r="K30" s="131">
        <f t="shared" si="14"/>
        <v>1226387.2068</v>
      </c>
      <c r="L30" s="83"/>
      <c r="M30" s="89" t="s">
        <v>59</v>
      </c>
    </row>
    <row r="31" spans="1:38" ht="15" customHeight="1" x14ac:dyDescent="0.2">
      <c r="A31" s="128"/>
      <c r="B31" s="129"/>
      <c r="C31" s="73" t="s">
        <v>60</v>
      </c>
      <c r="D31" s="133"/>
      <c r="E31" s="133"/>
      <c r="F31" s="133"/>
      <c r="G31" s="68"/>
      <c r="H31" s="133"/>
      <c r="I31" s="133"/>
      <c r="J31" s="133"/>
      <c r="K31" s="131"/>
      <c r="L31" s="83"/>
      <c r="M31" s="89"/>
    </row>
    <row r="32" spans="1:38" s="89" customFormat="1" ht="15" customHeight="1" x14ac:dyDescent="0.2">
      <c r="A32" s="87"/>
      <c r="B32" s="88"/>
      <c r="C32" s="97" t="s">
        <v>61</v>
      </c>
      <c r="D32" s="68">
        <v>3</v>
      </c>
      <c r="E32" s="68">
        <v>1</v>
      </c>
      <c r="F32" s="68">
        <f>D32*E32</f>
        <v>3</v>
      </c>
      <c r="G32" s="68">
        <f>ROUND(SUM(Populations!B6:J6),0)</f>
        <v>67385</v>
      </c>
      <c r="H32" s="68">
        <f>F32*G32</f>
        <v>202155</v>
      </c>
      <c r="I32" s="68">
        <f>H32*0.05</f>
        <v>10107.75</v>
      </c>
      <c r="J32" s="68">
        <f>H32*0.1</f>
        <v>20215.5</v>
      </c>
      <c r="K32" s="69">
        <f>(H32*N$3)+(I32*N$4)+(J32*N$5)</f>
        <v>14312452.706999999</v>
      </c>
      <c r="L32" s="83"/>
      <c r="M32" s="89" t="s">
        <v>62</v>
      </c>
    </row>
    <row r="33" spans="1:13" s="89" customFormat="1" ht="15" customHeight="1" x14ac:dyDescent="0.2">
      <c r="A33" s="87"/>
      <c r="B33" s="88"/>
      <c r="C33" s="97" t="s">
        <v>63</v>
      </c>
      <c r="D33" s="68">
        <v>1</v>
      </c>
      <c r="E33" s="68">
        <v>1</v>
      </c>
      <c r="F33" s="68">
        <f>D33*E33</f>
        <v>1</v>
      </c>
      <c r="G33" s="68">
        <f>ROUND(SUM(Populations!B10:J10),0)</f>
        <v>14360</v>
      </c>
      <c r="H33" s="68">
        <f>F33*G33</f>
        <v>14360</v>
      </c>
      <c r="I33" s="68">
        <f>H33*0.05</f>
        <v>718</v>
      </c>
      <c r="J33" s="68">
        <f>H33*0.1</f>
        <v>1436</v>
      </c>
      <c r="K33" s="69">
        <f>(H33*N$3)+(I33*N$4)+(J33*N$5)</f>
        <v>1016679.3840000001</v>
      </c>
      <c r="L33" s="83"/>
      <c r="M33" s="89" t="s">
        <v>62</v>
      </c>
    </row>
    <row r="34" spans="1:13" s="89" customFormat="1" ht="16.149999999999999" customHeight="1" x14ac:dyDescent="0.2">
      <c r="A34" s="87"/>
      <c r="B34" s="88"/>
      <c r="C34" s="73" t="s">
        <v>44</v>
      </c>
      <c r="D34" s="68">
        <v>3</v>
      </c>
      <c r="E34" s="68">
        <v>1</v>
      </c>
      <c r="F34" s="68">
        <f>D34*E34</f>
        <v>3</v>
      </c>
      <c r="G34" s="68">
        <f>(SUM(Populations!B32:J32))/7</f>
        <v>272.57142857142856</v>
      </c>
      <c r="H34" s="68">
        <f>F34*G34</f>
        <v>817.71428571428567</v>
      </c>
      <c r="I34" s="68">
        <f>H34*0.05</f>
        <v>40.885714285714286</v>
      </c>
      <c r="J34" s="68">
        <f>H34*0.1</f>
        <v>81.771428571428572</v>
      </c>
      <c r="K34" s="69">
        <f>(H34*N$3)+(I34*N$4)+(J34*N$5)</f>
        <v>57893.680800000002</v>
      </c>
      <c r="L34" s="83"/>
    </row>
    <row r="35" spans="1:13" ht="15" customHeight="1" x14ac:dyDescent="0.2">
      <c r="A35" s="128"/>
      <c r="B35" s="129"/>
      <c r="C35" s="6" t="s">
        <v>64</v>
      </c>
      <c r="D35" s="133">
        <v>4</v>
      </c>
      <c r="E35" s="133">
        <v>1</v>
      </c>
      <c r="F35" s="133">
        <f t="shared" si="10"/>
        <v>4</v>
      </c>
      <c r="G35" s="133">
        <f>SUM(Populations!B34:J34)</f>
        <v>9</v>
      </c>
      <c r="H35" s="133">
        <f t="shared" si="11"/>
        <v>36</v>
      </c>
      <c r="I35" s="133">
        <f t="shared" si="12"/>
        <v>1.8</v>
      </c>
      <c r="J35" s="133">
        <f t="shared" si="13"/>
        <v>3.6</v>
      </c>
      <c r="K35" s="131">
        <f t="shared" si="14"/>
        <v>2548.7784000000001</v>
      </c>
      <c r="L35" s="83"/>
      <c r="M35" s="89" t="s">
        <v>65</v>
      </c>
    </row>
    <row r="36" spans="1:13" ht="15" customHeight="1" x14ac:dyDescent="0.2">
      <c r="A36" s="128"/>
      <c r="B36" s="130" t="s">
        <v>66</v>
      </c>
      <c r="C36" s="135"/>
      <c r="D36" s="133"/>
      <c r="E36" s="133"/>
      <c r="F36" s="133"/>
      <c r="G36" s="133"/>
      <c r="H36" s="133"/>
      <c r="I36" s="133"/>
      <c r="J36" s="133"/>
      <c r="K36" s="131"/>
      <c r="L36" s="83"/>
      <c r="M36" s="89"/>
    </row>
    <row r="37" spans="1:13" ht="15" customHeight="1" x14ac:dyDescent="0.2">
      <c r="A37" s="128"/>
      <c r="B37" s="129"/>
      <c r="C37" s="6" t="s">
        <v>67</v>
      </c>
      <c r="D37" s="133">
        <v>24</v>
      </c>
      <c r="E37" s="133">
        <v>2</v>
      </c>
      <c r="F37" s="133">
        <f>D37*E37</f>
        <v>48</v>
      </c>
      <c r="G37" s="133">
        <f>SUM(Populations!B33:J33)</f>
        <v>63</v>
      </c>
      <c r="H37" s="133">
        <f>F37*G37</f>
        <v>3024</v>
      </c>
      <c r="I37" s="133">
        <f t="shared" si="12"/>
        <v>151.20000000000002</v>
      </c>
      <c r="J37" s="133">
        <f>H37*0.1</f>
        <v>302.40000000000003</v>
      </c>
      <c r="K37" s="131">
        <f>(H37*N$3)+(I37*N$4)+(J37*N$5)</f>
        <v>214097.38559999998</v>
      </c>
      <c r="L37" s="83"/>
      <c r="M37" s="89" t="s">
        <v>68</v>
      </c>
    </row>
    <row r="38" spans="1:13" ht="15" customHeight="1" x14ac:dyDescent="0.2">
      <c r="A38" s="7"/>
      <c r="B38" s="148" t="s">
        <v>69</v>
      </c>
      <c r="C38" s="149"/>
      <c r="D38" s="149"/>
      <c r="E38" s="149"/>
      <c r="F38" s="149"/>
      <c r="G38" s="149"/>
      <c r="H38" s="133">
        <f>SUM(H12:H37)</f>
        <v>285333.71428571426</v>
      </c>
      <c r="I38" s="133">
        <f>SUM(I12:I37)</f>
        <v>14266.685714285713</v>
      </c>
      <c r="J38" s="133">
        <f>SUM(J12:J37)</f>
        <v>28533.371428571427</v>
      </c>
      <c r="K38" s="150">
        <f>SUM(K14:K37)</f>
        <v>20955294.659999996</v>
      </c>
      <c r="L38" s="83"/>
    </row>
    <row r="39" spans="1:13" ht="15" customHeight="1" x14ac:dyDescent="0.2">
      <c r="A39" s="5"/>
      <c r="B39" s="148"/>
      <c r="C39" s="149"/>
      <c r="D39" s="149"/>
      <c r="E39" s="149"/>
      <c r="F39" s="149"/>
      <c r="G39" s="149"/>
      <c r="H39" s="152">
        <f>SUM(H38:J38)</f>
        <v>328133.77142857137</v>
      </c>
      <c r="I39" s="151"/>
      <c r="J39" s="151"/>
      <c r="K39" s="151"/>
      <c r="L39" s="83"/>
      <c r="M39" s="38">
        <f>SUM(K14:K30,K35:K37)</f>
        <v>5568268.8882000009</v>
      </c>
    </row>
    <row r="40" spans="1:13" ht="15" customHeight="1" x14ac:dyDescent="0.2">
      <c r="A40" s="145" t="s">
        <v>70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7"/>
      <c r="L40" s="83"/>
    </row>
    <row r="41" spans="1:13" ht="15" customHeight="1" x14ac:dyDescent="0.2">
      <c r="A41" s="128"/>
      <c r="B41" s="130" t="s">
        <v>71</v>
      </c>
      <c r="C41" s="135"/>
      <c r="D41" s="132"/>
      <c r="E41" s="132"/>
      <c r="F41" s="132"/>
      <c r="G41" s="132"/>
      <c r="H41" s="133"/>
      <c r="I41" s="132"/>
      <c r="J41" s="132"/>
      <c r="K41" s="132"/>
      <c r="L41" s="83"/>
    </row>
    <row r="42" spans="1:13" ht="15" customHeight="1" x14ac:dyDescent="0.2">
      <c r="A42" s="128"/>
      <c r="B42" s="130" t="s">
        <v>72</v>
      </c>
      <c r="C42" s="135"/>
      <c r="D42" s="132"/>
      <c r="E42" s="132"/>
      <c r="F42" s="132"/>
      <c r="G42" s="132"/>
      <c r="H42" s="133"/>
      <c r="I42" s="132"/>
      <c r="J42" s="132"/>
      <c r="K42" s="132"/>
      <c r="L42" s="83"/>
    </row>
    <row r="43" spans="1:13" ht="15" customHeight="1" x14ac:dyDescent="0.2">
      <c r="A43" s="128"/>
      <c r="B43" s="130" t="s">
        <v>73</v>
      </c>
      <c r="C43" s="135"/>
      <c r="D43" s="132"/>
      <c r="E43" s="132"/>
      <c r="F43" s="132"/>
      <c r="G43" s="132"/>
      <c r="H43" s="133"/>
      <c r="I43" s="132"/>
      <c r="J43" s="132"/>
      <c r="K43" s="132"/>
      <c r="L43" s="83"/>
    </row>
    <row r="44" spans="1:13" ht="15" customHeight="1" x14ac:dyDescent="0.2">
      <c r="A44" s="128"/>
      <c r="B44" s="129"/>
      <c r="C44" s="6" t="s">
        <v>74</v>
      </c>
      <c r="D44" s="4">
        <v>0.5</v>
      </c>
      <c r="E44" s="68">
        <v>1</v>
      </c>
      <c r="F44" s="133">
        <f t="shared" ref="F44:F52" si="15">D44*E44</f>
        <v>0.5</v>
      </c>
      <c r="G44" s="68">
        <f>ROUND(Populations!J15,0)</f>
        <v>8347</v>
      </c>
      <c r="H44" s="133">
        <f t="shared" ref="H44:H52" si="16">F44*G44</f>
        <v>4173.5</v>
      </c>
      <c r="I44" s="133">
        <f t="shared" ref="I44:I52" si="17">H44*0.05</f>
        <v>208.67500000000001</v>
      </c>
      <c r="J44" s="133">
        <f t="shared" ref="J44:J52" si="18">H44*0.1</f>
        <v>417.35</v>
      </c>
      <c r="K44" s="131">
        <f t="shared" ref="K44:K52" si="19">(H44*N$3)+(I44*N$4)+(J44*N$5)</f>
        <v>295481.29590000003</v>
      </c>
      <c r="L44" s="84"/>
      <c r="M44" t="s">
        <v>75</v>
      </c>
    </row>
    <row r="45" spans="1:13" ht="15" customHeight="1" x14ac:dyDescent="0.2">
      <c r="A45" s="128"/>
      <c r="B45" s="129"/>
      <c r="C45" s="6" t="s">
        <v>76</v>
      </c>
      <c r="D45" s="133">
        <v>1</v>
      </c>
      <c r="E45" s="133">
        <v>1</v>
      </c>
      <c r="F45" s="133">
        <f t="shared" si="15"/>
        <v>1</v>
      </c>
      <c r="G45" s="68">
        <f>ROUND(Populations!J14,0)</f>
        <v>2616</v>
      </c>
      <c r="H45" s="133">
        <f t="shared" si="16"/>
        <v>2616</v>
      </c>
      <c r="I45" s="133">
        <f t="shared" si="17"/>
        <v>130.80000000000001</v>
      </c>
      <c r="J45" s="133">
        <f t="shared" si="18"/>
        <v>261.60000000000002</v>
      </c>
      <c r="K45" s="131">
        <f t="shared" si="19"/>
        <v>185211.2304</v>
      </c>
      <c r="L45" s="84"/>
      <c r="M45" t="s">
        <v>77</v>
      </c>
    </row>
    <row r="46" spans="1:13" ht="15" customHeight="1" x14ac:dyDescent="0.2">
      <c r="A46" s="128"/>
      <c r="B46" s="129"/>
      <c r="C46" s="6" t="s">
        <v>50</v>
      </c>
      <c r="D46" s="133">
        <v>4</v>
      </c>
      <c r="E46" s="133">
        <v>1</v>
      </c>
      <c r="F46" s="133">
        <f t="shared" si="15"/>
        <v>4</v>
      </c>
      <c r="G46" s="68">
        <f>Populations!J29</f>
        <v>0</v>
      </c>
      <c r="H46" s="133">
        <f t="shared" si="16"/>
        <v>0</v>
      </c>
      <c r="I46" s="133">
        <f t="shared" si="17"/>
        <v>0</v>
      </c>
      <c r="J46" s="133">
        <f t="shared" si="18"/>
        <v>0</v>
      </c>
      <c r="K46" s="131">
        <f t="shared" si="19"/>
        <v>0</v>
      </c>
      <c r="L46" s="83"/>
      <c r="M46" t="s">
        <v>78</v>
      </c>
    </row>
    <row r="47" spans="1:13" ht="15" customHeight="1" x14ac:dyDescent="0.2">
      <c r="A47" s="128"/>
      <c r="B47" s="129"/>
      <c r="C47" s="6" t="s">
        <v>79</v>
      </c>
      <c r="D47" s="133">
        <v>1</v>
      </c>
      <c r="E47" s="133">
        <v>1</v>
      </c>
      <c r="F47" s="133">
        <f t="shared" si="15"/>
        <v>1</v>
      </c>
      <c r="G47" s="68">
        <f>SUM(Populations!B24:J24)+SUM(Populations!B27:J27)</f>
        <v>846</v>
      </c>
      <c r="H47" s="133">
        <f t="shared" si="16"/>
        <v>846</v>
      </c>
      <c r="I47" s="133">
        <f t="shared" si="17"/>
        <v>42.300000000000004</v>
      </c>
      <c r="J47" s="133">
        <f t="shared" si="18"/>
        <v>84.600000000000009</v>
      </c>
      <c r="K47" s="131">
        <f t="shared" si="19"/>
        <v>59896.292400000006</v>
      </c>
      <c r="L47" s="83"/>
      <c r="M47" t="s">
        <v>80</v>
      </c>
    </row>
    <row r="48" spans="1:13" ht="15" customHeight="1" x14ac:dyDescent="0.2">
      <c r="A48" s="128"/>
      <c r="B48" s="129"/>
      <c r="C48" s="6" t="s">
        <v>81</v>
      </c>
      <c r="D48" s="133">
        <v>2</v>
      </c>
      <c r="E48" s="133">
        <v>1</v>
      </c>
      <c r="F48" s="133">
        <f t="shared" si="15"/>
        <v>2</v>
      </c>
      <c r="G48" s="68">
        <f>SUM(Populations!B25:J25)+SUM(Populations!B28:J28)</f>
        <v>90</v>
      </c>
      <c r="H48" s="133">
        <f t="shared" si="16"/>
        <v>180</v>
      </c>
      <c r="I48" s="133">
        <f t="shared" si="17"/>
        <v>9</v>
      </c>
      <c r="J48" s="133">
        <f t="shared" si="18"/>
        <v>18</v>
      </c>
      <c r="K48" s="131">
        <f t="shared" si="19"/>
        <v>12743.892</v>
      </c>
      <c r="L48" s="83"/>
      <c r="M48" t="s">
        <v>80</v>
      </c>
    </row>
    <row r="49" spans="1:13" ht="15" customHeight="1" x14ac:dyDescent="0.2">
      <c r="A49" s="128"/>
      <c r="B49" s="129"/>
      <c r="C49" s="6" t="s">
        <v>54</v>
      </c>
      <c r="D49" s="133">
        <v>4</v>
      </c>
      <c r="E49" s="133">
        <v>1</v>
      </c>
      <c r="F49" s="133">
        <f t="shared" si="15"/>
        <v>4</v>
      </c>
      <c r="G49" s="68">
        <f>Populations!J17</f>
        <v>1234</v>
      </c>
      <c r="H49" s="133">
        <f t="shared" si="16"/>
        <v>4936</v>
      </c>
      <c r="I49" s="133">
        <f t="shared" si="17"/>
        <v>246.8</v>
      </c>
      <c r="J49" s="133">
        <f t="shared" si="18"/>
        <v>493.6</v>
      </c>
      <c r="K49" s="131">
        <f t="shared" si="19"/>
        <v>349465.83840000001</v>
      </c>
      <c r="L49" s="83"/>
      <c r="M49" t="s">
        <v>82</v>
      </c>
    </row>
    <row r="50" spans="1:13" ht="15" customHeight="1" x14ac:dyDescent="0.2">
      <c r="A50" s="128"/>
      <c r="B50" s="129"/>
      <c r="C50" s="6" t="s">
        <v>83</v>
      </c>
      <c r="D50" s="133">
        <v>1</v>
      </c>
      <c r="E50" s="133">
        <v>1</v>
      </c>
      <c r="F50" s="133">
        <f t="shared" si="15"/>
        <v>1</v>
      </c>
      <c r="G50" s="68">
        <f>SUM(Populations!B20:J20)</f>
        <v>1494</v>
      </c>
      <c r="H50" s="133">
        <f t="shared" si="16"/>
        <v>1494</v>
      </c>
      <c r="I50" s="133">
        <f t="shared" si="17"/>
        <v>74.7</v>
      </c>
      <c r="J50" s="133">
        <f t="shared" si="18"/>
        <v>149.4</v>
      </c>
      <c r="K50" s="131">
        <f t="shared" si="19"/>
        <v>105774.3036</v>
      </c>
      <c r="L50" s="84"/>
      <c r="M50" t="s">
        <v>84</v>
      </c>
    </row>
    <row r="51" spans="1:13" ht="15" customHeight="1" x14ac:dyDescent="0.2">
      <c r="A51" s="128"/>
      <c r="B51" s="129"/>
      <c r="C51" s="6" t="s">
        <v>85</v>
      </c>
      <c r="D51" s="133">
        <v>8</v>
      </c>
      <c r="E51" s="133">
        <v>1</v>
      </c>
      <c r="F51" s="133">
        <f t="shared" si="15"/>
        <v>8</v>
      </c>
      <c r="G51" s="68">
        <f>SUM(Populations!B19:J19)</f>
        <v>4473</v>
      </c>
      <c r="H51" s="133">
        <f t="shared" si="16"/>
        <v>35784</v>
      </c>
      <c r="I51" s="133">
        <f t="shared" si="17"/>
        <v>1789.2</v>
      </c>
      <c r="J51" s="133">
        <f t="shared" si="18"/>
        <v>3578.4</v>
      </c>
      <c r="K51" s="131">
        <f t="shared" si="19"/>
        <v>2533485.7295999997</v>
      </c>
      <c r="L51" s="84"/>
      <c r="M51" t="s">
        <v>86</v>
      </c>
    </row>
    <row r="52" spans="1:13" ht="15" customHeight="1" x14ac:dyDescent="0.2">
      <c r="A52" s="128"/>
      <c r="B52" s="129"/>
      <c r="C52" s="6" t="s">
        <v>58</v>
      </c>
      <c r="D52" s="133">
        <v>2</v>
      </c>
      <c r="E52" s="133">
        <v>1</v>
      </c>
      <c r="F52" s="133">
        <f t="shared" si="15"/>
        <v>2</v>
      </c>
      <c r="G52" s="68">
        <f>SUM(Populations!B30:J30)</f>
        <v>8661</v>
      </c>
      <c r="H52" s="133">
        <f t="shared" si="16"/>
        <v>17322</v>
      </c>
      <c r="I52" s="133">
        <f t="shared" si="17"/>
        <v>866.1</v>
      </c>
      <c r="J52" s="133">
        <f t="shared" si="18"/>
        <v>1732.2</v>
      </c>
      <c r="K52" s="131">
        <f t="shared" si="19"/>
        <v>1226387.2068</v>
      </c>
      <c r="L52" s="83"/>
      <c r="M52" t="s">
        <v>87</v>
      </c>
    </row>
    <row r="53" spans="1:13" ht="15" customHeight="1" x14ac:dyDescent="0.2">
      <c r="A53" s="128"/>
      <c r="B53" s="129"/>
      <c r="C53" s="73" t="s">
        <v>88</v>
      </c>
      <c r="D53" s="133"/>
      <c r="E53" s="133"/>
      <c r="F53" s="133"/>
      <c r="G53" s="68"/>
      <c r="H53" s="133"/>
      <c r="I53" s="133"/>
      <c r="J53" s="133"/>
      <c r="K53" s="131"/>
      <c r="L53" s="83"/>
    </row>
    <row r="54" spans="1:13" ht="15" customHeight="1" x14ac:dyDescent="0.2">
      <c r="A54" s="128"/>
      <c r="B54" s="129"/>
      <c r="C54" s="71" t="s">
        <v>89</v>
      </c>
      <c r="D54" s="133"/>
      <c r="E54" s="133"/>
      <c r="F54" s="133"/>
      <c r="G54" s="68">
        <f>ROUND(SUM(Populations!B6:J6),0)</f>
        <v>67385</v>
      </c>
      <c r="H54" s="133"/>
      <c r="I54" s="133"/>
      <c r="J54" s="133"/>
      <c r="K54" s="69">
        <f>G54*469</f>
        <v>31603565</v>
      </c>
      <c r="L54" s="83"/>
    </row>
    <row r="55" spans="1:13" s="89" customFormat="1" ht="15" customHeight="1" x14ac:dyDescent="0.2">
      <c r="A55" s="87"/>
      <c r="B55" s="88"/>
      <c r="C55" s="71" t="s">
        <v>215</v>
      </c>
      <c r="D55" s="68"/>
      <c r="E55" s="68"/>
      <c r="F55" s="68"/>
      <c r="G55" s="68">
        <f>SUM(Populations!B32:J32)</f>
        <v>1908</v>
      </c>
      <c r="H55" s="68"/>
      <c r="I55" s="68"/>
      <c r="J55" s="68"/>
      <c r="K55" s="69">
        <f>G55*459</f>
        <v>875772</v>
      </c>
      <c r="L55" s="83"/>
    </row>
    <row r="56" spans="1:13" ht="15" customHeight="1" x14ac:dyDescent="0.2">
      <c r="A56" s="128"/>
      <c r="B56" s="129"/>
      <c r="C56" s="72" t="s">
        <v>90</v>
      </c>
      <c r="D56" s="68"/>
      <c r="E56" s="68"/>
      <c r="F56" s="68"/>
      <c r="G56" s="68"/>
      <c r="H56" s="68"/>
      <c r="I56" s="68"/>
      <c r="J56" s="68"/>
      <c r="K56" s="69"/>
      <c r="L56" s="83"/>
    </row>
    <row r="57" spans="1:13" ht="15" customHeight="1" x14ac:dyDescent="0.2">
      <c r="A57" s="128"/>
      <c r="B57" s="129"/>
      <c r="C57" s="71" t="s">
        <v>91</v>
      </c>
      <c r="D57" s="68"/>
      <c r="E57" s="68"/>
      <c r="F57" s="68"/>
      <c r="G57" s="68">
        <f>ROUND(SUM(Populations!B6:J6),0)</f>
        <v>67385</v>
      </c>
      <c r="H57" s="68"/>
      <c r="I57" s="68"/>
      <c r="J57" s="68"/>
      <c r="K57" s="69">
        <f>G57*430*0.75</f>
        <v>21731662.5</v>
      </c>
      <c r="L57" s="83"/>
    </row>
    <row r="58" spans="1:13" s="89" customFormat="1" ht="12.6" customHeight="1" x14ac:dyDescent="0.2">
      <c r="A58" s="87"/>
      <c r="B58" s="88"/>
      <c r="C58" s="71" t="s">
        <v>92</v>
      </c>
      <c r="D58" s="68">
        <v>1</v>
      </c>
      <c r="E58" s="68">
        <v>1</v>
      </c>
      <c r="F58" s="68">
        <f>D58*E58</f>
        <v>1</v>
      </c>
      <c r="G58" s="68">
        <f>ROUND(SUM(Populations!B10:J10),0)</f>
        <v>14360</v>
      </c>
      <c r="H58" s="68">
        <f>F58*G58</f>
        <v>14360</v>
      </c>
      <c r="I58" s="68">
        <f>H58*0.05</f>
        <v>718</v>
      </c>
      <c r="J58" s="68">
        <f>H58*0.1</f>
        <v>1436</v>
      </c>
      <c r="K58" s="69">
        <f>(H58*N$3)+(I58*N$4)+(J58*N$5)</f>
        <v>1016679.3840000001</v>
      </c>
      <c r="L58" s="83"/>
    </row>
    <row r="59" spans="1:13" s="89" customFormat="1" ht="15.6" customHeight="1" x14ac:dyDescent="0.2">
      <c r="A59" s="87"/>
      <c r="B59" s="88"/>
      <c r="C59" s="71" t="s">
        <v>93</v>
      </c>
      <c r="D59" s="68"/>
      <c r="E59" s="68"/>
      <c r="F59" s="68"/>
      <c r="G59" s="68">
        <f>G55</f>
        <v>1908</v>
      </c>
      <c r="H59" s="68"/>
      <c r="I59" s="68"/>
      <c r="J59" s="68"/>
      <c r="K59" s="69">
        <f>G59*430*0.75*2</f>
        <v>1230660</v>
      </c>
      <c r="L59" s="83"/>
    </row>
    <row r="60" spans="1:13" ht="15" customHeight="1" x14ac:dyDescent="0.2">
      <c r="A60" s="128"/>
      <c r="B60" s="129"/>
      <c r="C60" s="6" t="s">
        <v>94</v>
      </c>
      <c r="D60" s="133">
        <v>8</v>
      </c>
      <c r="E60" s="133">
        <v>4</v>
      </c>
      <c r="F60" s="133">
        <f>D60*E60</f>
        <v>32</v>
      </c>
      <c r="G60" s="133">
        <f>G37</f>
        <v>63</v>
      </c>
      <c r="H60" s="133">
        <f>F60*G60</f>
        <v>2016</v>
      </c>
      <c r="I60" s="133">
        <f>H60*0.05</f>
        <v>100.80000000000001</v>
      </c>
      <c r="J60" s="133">
        <f>H60*0.1</f>
        <v>201.60000000000002</v>
      </c>
      <c r="K60" s="131">
        <f>(H60*N$3)+(I60*N$4)+(J60*N$5)</f>
        <v>142731.59040000002</v>
      </c>
      <c r="L60" s="83"/>
      <c r="M60" t="s">
        <v>95</v>
      </c>
    </row>
    <row r="61" spans="1:13" ht="15" customHeight="1" x14ac:dyDescent="0.2">
      <c r="A61" s="128"/>
      <c r="B61" s="129"/>
      <c r="C61" s="6" t="s">
        <v>96</v>
      </c>
      <c r="D61" s="133">
        <v>4</v>
      </c>
      <c r="E61" s="133">
        <v>1</v>
      </c>
      <c r="F61" s="133">
        <f>D61*E61</f>
        <v>4</v>
      </c>
      <c r="G61" s="133">
        <f>G35</f>
        <v>9</v>
      </c>
      <c r="H61" s="133">
        <f>F61*G61</f>
        <v>36</v>
      </c>
      <c r="I61" s="133">
        <f>H61*0.05</f>
        <v>1.8</v>
      </c>
      <c r="J61" s="133">
        <f>H61*0.1</f>
        <v>3.6</v>
      </c>
      <c r="K61" s="131">
        <f>(H61*N$3)+(I61*N$4)+(J61*N$5)</f>
        <v>2548.7784000000001</v>
      </c>
      <c r="L61" s="83"/>
      <c r="M61" t="s">
        <v>97</v>
      </c>
    </row>
    <row r="62" spans="1:13" ht="15" customHeight="1" x14ac:dyDescent="0.2">
      <c r="A62" s="128"/>
      <c r="B62" s="130" t="s">
        <v>98</v>
      </c>
      <c r="C62" s="135"/>
      <c r="D62" s="132"/>
      <c r="E62" s="132"/>
      <c r="F62" s="132"/>
      <c r="G62" s="132"/>
      <c r="H62" s="133"/>
      <c r="I62" s="132"/>
      <c r="J62" s="132"/>
      <c r="K62" s="132"/>
      <c r="L62" s="83"/>
    </row>
    <row r="63" spans="1:13" ht="15" customHeight="1" x14ac:dyDescent="0.2">
      <c r="A63" s="128"/>
      <c r="B63" s="130" t="s">
        <v>99</v>
      </c>
      <c r="C63" s="135"/>
      <c r="D63" s="132"/>
      <c r="E63" s="132"/>
      <c r="F63" s="132"/>
      <c r="G63" s="132"/>
      <c r="H63" s="133"/>
      <c r="I63" s="132"/>
      <c r="J63" s="132"/>
      <c r="K63" s="132"/>
      <c r="L63" s="83"/>
    </row>
    <row r="64" spans="1:13" ht="15" customHeight="1" x14ac:dyDescent="0.2">
      <c r="A64" s="128"/>
      <c r="B64" s="129"/>
      <c r="C64" s="6" t="s">
        <v>100</v>
      </c>
      <c r="D64" s="132"/>
      <c r="E64" s="132"/>
      <c r="F64" s="132"/>
      <c r="G64" s="132"/>
      <c r="H64" s="133"/>
      <c r="I64" s="132"/>
      <c r="J64" s="132"/>
      <c r="K64" s="132"/>
      <c r="L64" s="83"/>
    </row>
    <row r="65" spans="1:13" ht="15" customHeight="1" x14ac:dyDescent="0.2">
      <c r="A65" s="128"/>
      <c r="B65" s="130" t="s">
        <v>101</v>
      </c>
      <c r="C65" s="135"/>
      <c r="D65" s="132"/>
      <c r="E65" s="132"/>
      <c r="F65" s="132"/>
      <c r="G65" s="132"/>
      <c r="H65" s="133"/>
      <c r="I65" s="132"/>
      <c r="J65" s="132"/>
      <c r="K65" s="132"/>
      <c r="L65" s="83"/>
    </row>
    <row r="66" spans="1:13" ht="15" customHeight="1" x14ac:dyDescent="0.2">
      <c r="A66" s="128"/>
      <c r="B66" s="130" t="s">
        <v>102</v>
      </c>
      <c r="C66" s="135"/>
      <c r="D66" s="132"/>
      <c r="E66" s="132"/>
      <c r="F66" s="132"/>
      <c r="G66" s="132"/>
      <c r="H66" s="133"/>
      <c r="I66" s="132"/>
      <c r="J66" s="132"/>
      <c r="K66" s="132"/>
      <c r="L66" s="83"/>
    </row>
    <row r="67" spans="1:13" ht="15" customHeight="1" x14ac:dyDescent="0.2">
      <c r="A67" s="7"/>
      <c r="B67" s="148" t="s">
        <v>103</v>
      </c>
      <c r="C67" s="149"/>
      <c r="D67" s="149"/>
      <c r="E67" s="149"/>
      <c r="F67" s="149"/>
      <c r="G67" s="149"/>
      <c r="H67" s="133">
        <f>SUM(H41:H66)</f>
        <v>83763.5</v>
      </c>
      <c r="I67" s="133">
        <f t="shared" ref="I67:J67" si="20">SUM(I41:I66)</f>
        <v>4188.1750000000002</v>
      </c>
      <c r="J67" s="133">
        <f t="shared" si="20"/>
        <v>8376.35</v>
      </c>
      <c r="K67" s="150">
        <f>SUM(K41:K66)</f>
        <v>61372065.041900001</v>
      </c>
      <c r="L67" s="83"/>
    </row>
    <row r="68" spans="1:13" ht="15" customHeight="1" x14ac:dyDescent="0.2">
      <c r="A68" s="5"/>
      <c r="B68" s="148"/>
      <c r="C68" s="149"/>
      <c r="D68" s="149"/>
      <c r="E68" s="149"/>
      <c r="F68" s="149"/>
      <c r="G68" s="149"/>
      <c r="H68" s="152">
        <f>SUM(H67:J67)</f>
        <v>96328.025000000009</v>
      </c>
      <c r="I68" s="151"/>
      <c r="J68" s="151"/>
      <c r="K68" s="151"/>
      <c r="L68" s="83"/>
    </row>
    <row r="69" spans="1:13" ht="15" customHeight="1" x14ac:dyDescent="0.2">
      <c r="A69" s="153" t="s">
        <v>104</v>
      </c>
      <c r="B69" s="153"/>
      <c r="C69" s="153"/>
      <c r="D69" s="153"/>
      <c r="E69" s="153"/>
      <c r="F69" s="153"/>
      <c r="G69" s="153"/>
      <c r="H69" s="133">
        <f>SUM(H38,H67)</f>
        <v>369097.21428571426</v>
      </c>
      <c r="I69" s="133">
        <f>SUM(I38,I67)</f>
        <v>18454.860714285714</v>
      </c>
      <c r="J69" s="133">
        <f>SUM(J38,J67)</f>
        <v>36909.721428571429</v>
      </c>
      <c r="K69" s="150">
        <f>SUM(K38,K67)</f>
        <v>82327359.701900005</v>
      </c>
      <c r="L69" s="83"/>
    </row>
    <row r="70" spans="1:13" ht="15" customHeight="1" x14ac:dyDescent="0.2">
      <c r="A70" s="153"/>
      <c r="B70" s="153"/>
      <c r="C70" s="153"/>
      <c r="D70" s="153"/>
      <c r="E70" s="153"/>
      <c r="F70" s="153"/>
      <c r="G70" s="153"/>
      <c r="H70" s="152">
        <f>SUM(H69:J69)</f>
        <v>424461.7964285714</v>
      </c>
      <c r="I70" s="151"/>
      <c r="J70" s="151"/>
      <c r="K70" s="151"/>
      <c r="L70" s="83"/>
      <c r="M70" s="38">
        <f>SUM(K14:K30,K35:K37,K44:K52,K60:K61)</f>
        <v>10481995.0461</v>
      </c>
    </row>
    <row r="71" spans="1:13" x14ac:dyDescent="0.2">
      <c r="A71" s="154" t="s">
        <v>105</v>
      </c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83"/>
    </row>
    <row r="72" spans="1:13" ht="15.6" customHeight="1" x14ac:dyDescent="0.2">
      <c r="A72" s="141" t="s">
        <v>120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83"/>
    </row>
    <row r="73" spans="1:13" ht="15.6" customHeight="1" x14ac:dyDescent="0.2">
      <c r="A73" s="141" t="s">
        <v>107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83"/>
    </row>
    <row r="74" spans="1:13" ht="15.6" customHeight="1" x14ac:dyDescent="0.2">
      <c r="A74" s="141" t="s">
        <v>108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83"/>
    </row>
    <row r="75" spans="1:13" ht="15.6" customHeight="1" x14ac:dyDescent="0.2">
      <c r="A75" s="143" t="s">
        <v>109</v>
      </c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37"/>
    </row>
    <row r="76" spans="1:13" ht="15.6" customHeight="1" x14ac:dyDescent="0.2">
      <c r="A76" s="143" t="s">
        <v>110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37"/>
    </row>
    <row r="77" spans="1:13" x14ac:dyDescent="0.2">
      <c r="A77" s="143" t="s">
        <v>111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37"/>
    </row>
    <row r="78" spans="1:13" x14ac:dyDescent="0.2">
      <c r="A78" s="143" t="s">
        <v>112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37"/>
    </row>
    <row r="79" spans="1:13" x14ac:dyDescent="0.2">
      <c r="A79" s="143" t="s">
        <v>113</v>
      </c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37"/>
    </row>
    <row r="80" spans="1:13" ht="13.15" customHeight="1" x14ac:dyDescent="0.2">
      <c r="A80" s="144" t="s">
        <v>114</v>
      </c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37"/>
    </row>
    <row r="81" spans="1:11" ht="15.6" customHeight="1" x14ac:dyDescent="0.2">
      <c r="A81" s="141" t="s">
        <v>121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</row>
    <row r="82" spans="1:11" ht="15.75" x14ac:dyDescent="0.2">
      <c r="A82" s="141"/>
      <c r="B82" s="142"/>
      <c r="C82" s="142"/>
      <c r="D82" s="142"/>
      <c r="E82" s="142"/>
      <c r="F82" s="142"/>
      <c r="G82" s="142"/>
      <c r="H82" s="142"/>
      <c r="I82" s="142"/>
      <c r="J82" s="142"/>
      <c r="K82" s="142"/>
    </row>
    <row r="83" spans="1:11" x14ac:dyDescent="0.2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</row>
    <row r="84" spans="1:11" x14ac:dyDescent="0.2">
      <c r="C84" s="138"/>
    </row>
    <row r="85" spans="1:11" x14ac:dyDescent="0.2">
      <c r="C85" s="138"/>
    </row>
  </sheetData>
  <mergeCells count="32">
    <mergeCell ref="B38:G39"/>
    <mergeCell ref="K38:K39"/>
    <mergeCell ref="H39:J39"/>
    <mergeCell ref="A1:K1"/>
    <mergeCell ref="A2:K2"/>
    <mergeCell ref="A3:K3"/>
    <mergeCell ref="A4:K4"/>
    <mergeCell ref="A5:C6"/>
    <mergeCell ref="A7:K7"/>
    <mergeCell ref="A8:K8"/>
    <mergeCell ref="A9:K9"/>
    <mergeCell ref="A10:K10"/>
    <mergeCell ref="A76:K76"/>
    <mergeCell ref="A40:K40"/>
    <mergeCell ref="B67:G68"/>
    <mergeCell ref="K67:K68"/>
    <mergeCell ref="H68:J68"/>
    <mergeCell ref="A69:G70"/>
    <mergeCell ref="K69:K70"/>
    <mergeCell ref="H70:J70"/>
    <mergeCell ref="A71:K71"/>
    <mergeCell ref="A72:K72"/>
    <mergeCell ref="A73:K73"/>
    <mergeCell ref="A74:K74"/>
    <mergeCell ref="A75:K75"/>
    <mergeCell ref="A83:K83"/>
    <mergeCell ref="A77:K77"/>
    <mergeCell ref="A78:K78"/>
    <mergeCell ref="A79:K79"/>
    <mergeCell ref="A80:K80"/>
    <mergeCell ref="A81:K81"/>
    <mergeCell ref="A82:K8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3758-D9C4-4A01-A755-879BAF3601C0}">
  <sheetPr>
    <pageSetUpPr fitToPage="1"/>
  </sheetPr>
  <dimension ref="A1:L36"/>
  <sheetViews>
    <sheetView zoomScaleNormal="100" workbookViewId="0">
      <selection activeCell="A36" sqref="A36"/>
    </sheetView>
  </sheetViews>
  <sheetFormatPr defaultRowHeight="12.75" x14ac:dyDescent="0.2"/>
  <cols>
    <col min="1" max="1" width="36.5" customWidth="1"/>
    <col min="2" max="2" width="9.83203125" customWidth="1"/>
    <col min="3" max="5" width="8.83203125" style="75" customWidth="1"/>
    <col min="6" max="7" width="9.33203125" style="75"/>
  </cols>
  <sheetData>
    <row r="1" spans="1:12" x14ac:dyDescent="0.2">
      <c r="A1" t="s">
        <v>122</v>
      </c>
      <c r="C1" s="137"/>
      <c r="D1" s="137"/>
      <c r="E1" s="137"/>
      <c r="F1" s="137"/>
      <c r="G1" s="137"/>
    </row>
    <row r="2" spans="1:12" ht="13.5" thickBot="1" x14ac:dyDescent="0.25">
      <c r="B2" s="99"/>
      <c r="C2" s="100"/>
      <c r="D2" s="100"/>
      <c r="E2" s="137"/>
      <c r="F2" s="137"/>
      <c r="G2" s="137"/>
    </row>
    <row r="3" spans="1:12" x14ac:dyDescent="0.2">
      <c r="A3" s="113" t="s">
        <v>123</v>
      </c>
      <c r="B3" s="77">
        <v>2015</v>
      </c>
      <c r="C3" s="77">
        <v>2016</v>
      </c>
      <c r="D3" s="77">
        <v>2017</v>
      </c>
      <c r="E3" s="77">
        <v>2018</v>
      </c>
      <c r="F3" s="77">
        <v>2019</v>
      </c>
      <c r="G3" s="77">
        <v>2020</v>
      </c>
      <c r="H3" s="78">
        <v>2021</v>
      </c>
      <c r="I3" s="78">
        <v>2022</v>
      </c>
      <c r="J3" s="78">
        <v>2023</v>
      </c>
      <c r="K3" s="78">
        <v>2024</v>
      </c>
      <c r="L3" s="114">
        <v>2025</v>
      </c>
    </row>
    <row r="4" spans="1:12" x14ac:dyDescent="0.2">
      <c r="A4" s="115" t="s">
        <v>124</v>
      </c>
      <c r="B4" s="102">
        <f>B6+B10</f>
        <v>10791</v>
      </c>
      <c r="C4" s="102">
        <f t="shared" ref="C4:L4" si="0">C6+C10</f>
        <v>5108</v>
      </c>
      <c r="D4" s="102">
        <f t="shared" si="0"/>
        <v>6579</v>
      </c>
      <c r="E4" s="102">
        <f t="shared" si="0"/>
        <v>8766</v>
      </c>
      <c r="F4" s="102">
        <f t="shared" si="0"/>
        <v>9084</v>
      </c>
      <c r="G4" s="102">
        <f t="shared" si="0"/>
        <v>9684</v>
      </c>
      <c r="H4" s="102">
        <f t="shared" si="0"/>
        <v>10134</v>
      </c>
      <c r="I4" s="102">
        <f t="shared" si="0"/>
        <v>10635</v>
      </c>
      <c r="J4" s="102">
        <f t="shared" si="0"/>
        <v>10964</v>
      </c>
      <c r="K4" s="102">
        <f t="shared" si="0"/>
        <v>11152</v>
      </c>
      <c r="L4" s="116">
        <f t="shared" si="0"/>
        <v>11266</v>
      </c>
    </row>
    <row r="5" spans="1:12" x14ac:dyDescent="0.2">
      <c r="A5" s="115" t="s">
        <v>60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16"/>
    </row>
    <row r="6" spans="1:12" ht="14.25" x14ac:dyDescent="0.2">
      <c r="A6" s="115" t="s">
        <v>125</v>
      </c>
      <c r="B6" s="103">
        <v>8895</v>
      </c>
      <c r="C6" s="103">
        <v>4211</v>
      </c>
      <c r="D6" s="103">
        <v>5423</v>
      </c>
      <c r="E6" s="103">
        <v>7226</v>
      </c>
      <c r="F6" s="103">
        <v>7488</v>
      </c>
      <c r="G6" s="103">
        <v>7983</v>
      </c>
      <c r="H6" s="103">
        <v>8354</v>
      </c>
      <c r="I6" s="103">
        <v>8767</v>
      </c>
      <c r="J6" s="103">
        <v>9038</v>
      </c>
      <c r="K6" s="103">
        <v>9193</v>
      </c>
      <c r="L6" s="104">
        <v>9287</v>
      </c>
    </row>
    <row r="7" spans="1:12" x14ac:dyDescent="0.2">
      <c r="A7" s="105" t="s">
        <v>126</v>
      </c>
      <c r="B7" s="106">
        <v>1338</v>
      </c>
      <c r="C7" s="106">
        <v>633</v>
      </c>
      <c r="D7" s="106">
        <v>816</v>
      </c>
      <c r="E7" s="106">
        <v>1087</v>
      </c>
      <c r="F7" s="106">
        <v>1126</v>
      </c>
      <c r="G7" s="106">
        <v>1201</v>
      </c>
      <c r="H7" s="106">
        <v>1257</v>
      </c>
      <c r="I7" s="106">
        <v>1319</v>
      </c>
      <c r="J7" s="106">
        <v>1359</v>
      </c>
      <c r="K7" s="106">
        <v>1383</v>
      </c>
      <c r="L7" s="107">
        <v>1397</v>
      </c>
    </row>
    <row r="8" spans="1:12" x14ac:dyDescent="0.2">
      <c r="A8" s="105" t="s">
        <v>127</v>
      </c>
      <c r="B8" s="106">
        <v>6066</v>
      </c>
      <c r="C8" s="106">
        <v>2871</v>
      </c>
      <c r="D8" s="106">
        <v>3698</v>
      </c>
      <c r="E8" s="106">
        <v>4928</v>
      </c>
      <c r="F8" s="106">
        <v>5106</v>
      </c>
      <c r="G8" s="106">
        <v>5443</v>
      </c>
      <c r="H8" s="106">
        <v>5697</v>
      </c>
      <c r="I8" s="106">
        <v>5978</v>
      </c>
      <c r="J8" s="106">
        <v>6163</v>
      </c>
      <c r="K8" s="106">
        <v>6269</v>
      </c>
      <c r="L8" s="107">
        <v>6333</v>
      </c>
    </row>
    <row r="9" spans="1:12" x14ac:dyDescent="0.2">
      <c r="A9" s="105" t="s">
        <v>128</v>
      </c>
      <c r="B9" s="106">
        <v>1492</v>
      </c>
      <c r="C9" s="106">
        <v>706</v>
      </c>
      <c r="D9" s="106">
        <v>909</v>
      </c>
      <c r="E9" s="106">
        <v>1212</v>
      </c>
      <c r="F9" s="106">
        <v>1255</v>
      </c>
      <c r="G9" s="106">
        <v>1339</v>
      </c>
      <c r="H9" s="106">
        <v>1401</v>
      </c>
      <c r="I9" s="106">
        <v>1470</v>
      </c>
      <c r="J9" s="106">
        <v>1515</v>
      </c>
      <c r="K9" s="106">
        <v>1541</v>
      </c>
      <c r="L9" s="107">
        <v>1557</v>
      </c>
    </row>
    <row r="10" spans="1:12" ht="14.25" x14ac:dyDescent="0.2">
      <c r="A10" s="115" t="s">
        <v>129</v>
      </c>
      <c r="B10" s="103">
        <v>1896</v>
      </c>
      <c r="C10" s="103">
        <v>897</v>
      </c>
      <c r="D10" s="103">
        <v>1156</v>
      </c>
      <c r="E10" s="103">
        <v>1540</v>
      </c>
      <c r="F10" s="103">
        <v>1596</v>
      </c>
      <c r="G10" s="103">
        <v>1701</v>
      </c>
      <c r="H10" s="103">
        <v>1780</v>
      </c>
      <c r="I10" s="103">
        <v>1868</v>
      </c>
      <c r="J10" s="103">
        <v>1926</v>
      </c>
      <c r="K10" s="103">
        <v>1959</v>
      </c>
      <c r="L10" s="104">
        <v>1979</v>
      </c>
    </row>
    <row r="11" spans="1:12" x14ac:dyDescent="0.2">
      <c r="A11" s="105" t="s">
        <v>126</v>
      </c>
      <c r="B11" s="76">
        <v>206</v>
      </c>
      <c r="C11" s="76">
        <v>98</v>
      </c>
      <c r="D11" s="76">
        <v>126</v>
      </c>
      <c r="E11" s="76">
        <v>167</v>
      </c>
      <c r="F11" s="76">
        <v>173</v>
      </c>
      <c r="G11" s="76">
        <v>185</v>
      </c>
      <c r="H11" s="76">
        <v>193</v>
      </c>
      <c r="I11" s="76">
        <v>203</v>
      </c>
      <c r="J11" s="76">
        <v>209</v>
      </c>
      <c r="K11" s="76">
        <v>213</v>
      </c>
      <c r="L11" s="108">
        <v>215</v>
      </c>
    </row>
    <row r="12" spans="1:12" x14ac:dyDescent="0.2">
      <c r="A12" s="105" t="s">
        <v>127</v>
      </c>
      <c r="B12" s="76">
        <v>606</v>
      </c>
      <c r="C12" s="76">
        <v>287</v>
      </c>
      <c r="D12" s="76">
        <v>370</v>
      </c>
      <c r="E12" s="76">
        <v>492</v>
      </c>
      <c r="F12" s="76">
        <v>510</v>
      </c>
      <c r="G12" s="76">
        <v>544</v>
      </c>
      <c r="H12" s="76">
        <v>569</v>
      </c>
      <c r="I12" s="76">
        <v>597</v>
      </c>
      <c r="J12" s="76">
        <v>616</v>
      </c>
      <c r="K12" s="76">
        <v>627</v>
      </c>
      <c r="L12" s="108">
        <v>633</v>
      </c>
    </row>
    <row r="13" spans="1:12" x14ac:dyDescent="0.2">
      <c r="A13" s="105" t="s">
        <v>128</v>
      </c>
      <c r="B13" s="76">
        <v>1083</v>
      </c>
      <c r="C13" s="76">
        <v>513</v>
      </c>
      <c r="D13" s="76">
        <v>660</v>
      </c>
      <c r="E13" s="76">
        <v>880</v>
      </c>
      <c r="F13" s="76">
        <v>912</v>
      </c>
      <c r="G13" s="76">
        <v>972</v>
      </c>
      <c r="H13" s="76">
        <v>1017</v>
      </c>
      <c r="I13" s="76">
        <v>1068</v>
      </c>
      <c r="J13" s="76">
        <v>1101</v>
      </c>
      <c r="K13" s="76">
        <v>1120</v>
      </c>
      <c r="L13" s="108">
        <v>1131</v>
      </c>
    </row>
    <row r="14" spans="1:12" x14ac:dyDescent="0.2">
      <c r="A14" s="115" t="s">
        <v>130</v>
      </c>
      <c r="B14" s="102">
        <f>B9+B13</f>
        <v>2575</v>
      </c>
      <c r="C14" s="102">
        <f t="shared" ref="C14:L14" si="1">C9+C13</f>
        <v>1219</v>
      </c>
      <c r="D14" s="102">
        <f t="shared" si="1"/>
        <v>1569</v>
      </c>
      <c r="E14" s="102">
        <f t="shared" si="1"/>
        <v>2092</v>
      </c>
      <c r="F14" s="102">
        <f t="shared" si="1"/>
        <v>2167</v>
      </c>
      <c r="G14" s="102">
        <f t="shared" si="1"/>
        <v>2311</v>
      </c>
      <c r="H14" s="102">
        <f t="shared" si="1"/>
        <v>2418</v>
      </c>
      <c r="I14" s="102">
        <f t="shared" si="1"/>
        <v>2538</v>
      </c>
      <c r="J14" s="102">
        <f t="shared" si="1"/>
        <v>2616</v>
      </c>
      <c r="K14" s="102">
        <f t="shared" si="1"/>
        <v>2661</v>
      </c>
      <c r="L14" s="116">
        <f t="shared" si="1"/>
        <v>2688</v>
      </c>
    </row>
    <row r="15" spans="1:12" x14ac:dyDescent="0.2">
      <c r="A15" s="115" t="s">
        <v>131</v>
      </c>
      <c r="B15" s="102">
        <f>B7+B8+B11+B12</f>
        <v>8216</v>
      </c>
      <c r="C15" s="102">
        <f t="shared" ref="C15:L15" si="2">C7+C8+C11+C12</f>
        <v>3889</v>
      </c>
      <c r="D15" s="102">
        <f t="shared" si="2"/>
        <v>5010</v>
      </c>
      <c r="E15" s="102">
        <f t="shared" si="2"/>
        <v>6674</v>
      </c>
      <c r="F15" s="102">
        <f t="shared" si="2"/>
        <v>6915</v>
      </c>
      <c r="G15" s="102">
        <f t="shared" si="2"/>
        <v>7373</v>
      </c>
      <c r="H15" s="102">
        <f t="shared" si="2"/>
        <v>7716</v>
      </c>
      <c r="I15" s="102">
        <f t="shared" si="2"/>
        <v>8097</v>
      </c>
      <c r="J15" s="102">
        <f t="shared" si="2"/>
        <v>8347</v>
      </c>
      <c r="K15" s="102">
        <f t="shared" si="2"/>
        <v>8492</v>
      </c>
      <c r="L15" s="116">
        <f t="shared" si="2"/>
        <v>8578</v>
      </c>
    </row>
    <row r="16" spans="1:12" x14ac:dyDescent="0.2">
      <c r="A16" s="115" t="s">
        <v>132</v>
      </c>
      <c r="B16" s="79">
        <v>1542</v>
      </c>
      <c r="C16" s="79">
        <v>1542</v>
      </c>
      <c r="D16" s="79">
        <v>1542</v>
      </c>
      <c r="E16" s="79">
        <v>1542</v>
      </c>
      <c r="F16" s="79">
        <v>1542</v>
      </c>
      <c r="G16" s="79">
        <v>1542</v>
      </c>
      <c r="H16" s="79">
        <v>1542</v>
      </c>
      <c r="I16" s="79">
        <v>1542</v>
      </c>
      <c r="J16" s="79">
        <v>1542</v>
      </c>
      <c r="K16" s="79">
        <v>1542</v>
      </c>
      <c r="L16" s="117">
        <v>1542</v>
      </c>
    </row>
    <row r="17" spans="1:12" x14ac:dyDescent="0.2">
      <c r="A17" s="118" t="s">
        <v>133</v>
      </c>
      <c r="B17" s="79">
        <v>1234</v>
      </c>
      <c r="C17" s="79">
        <v>1234</v>
      </c>
      <c r="D17" s="79">
        <v>1234</v>
      </c>
      <c r="E17" s="79">
        <v>1234</v>
      </c>
      <c r="F17" s="79">
        <v>1234</v>
      </c>
      <c r="G17" s="79">
        <v>1234</v>
      </c>
      <c r="H17" s="79">
        <v>1234</v>
      </c>
      <c r="I17" s="79">
        <v>1234</v>
      </c>
      <c r="J17" s="79">
        <v>1234</v>
      </c>
      <c r="K17" s="79">
        <v>1234</v>
      </c>
      <c r="L17" s="117">
        <v>1234</v>
      </c>
    </row>
    <row r="18" spans="1:12" x14ac:dyDescent="0.2">
      <c r="A18" s="115" t="s">
        <v>56</v>
      </c>
      <c r="B18" s="109">
        <v>663</v>
      </c>
      <c r="C18" s="109">
        <v>663</v>
      </c>
      <c r="D18" s="109">
        <v>663</v>
      </c>
      <c r="E18" s="109">
        <v>663</v>
      </c>
      <c r="F18" s="109">
        <v>663</v>
      </c>
      <c r="G18" s="109">
        <v>663</v>
      </c>
      <c r="H18" s="109">
        <v>663</v>
      </c>
      <c r="I18" s="109">
        <v>663</v>
      </c>
      <c r="J18" s="109">
        <v>663</v>
      </c>
      <c r="K18" s="109">
        <v>663</v>
      </c>
      <c r="L18" s="119">
        <v>663</v>
      </c>
    </row>
    <row r="19" spans="1:12" x14ac:dyDescent="0.2">
      <c r="A19" s="120" t="s">
        <v>134</v>
      </c>
      <c r="B19" s="80">
        <f t="shared" ref="B19" si="3">ROUND((B18*0.75),0)</f>
        <v>497</v>
      </c>
      <c r="C19" s="80">
        <f t="shared" ref="C19:L19" si="4">ROUND((C18*0.75),0)</f>
        <v>497</v>
      </c>
      <c r="D19" s="80">
        <f t="shared" si="4"/>
        <v>497</v>
      </c>
      <c r="E19" s="80">
        <f t="shared" si="4"/>
        <v>497</v>
      </c>
      <c r="F19" s="80">
        <f t="shared" si="4"/>
        <v>497</v>
      </c>
      <c r="G19" s="80">
        <f t="shared" si="4"/>
        <v>497</v>
      </c>
      <c r="H19" s="80">
        <f t="shared" si="4"/>
        <v>497</v>
      </c>
      <c r="I19" s="80">
        <f t="shared" si="4"/>
        <v>497</v>
      </c>
      <c r="J19" s="80">
        <f t="shared" si="4"/>
        <v>497</v>
      </c>
      <c r="K19" s="80">
        <f t="shared" si="4"/>
        <v>497</v>
      </c>
      <c r="L19" s="121">
        <f t="shared" si="4"/>
        <v>497</v>
      </c>
    </row>
    <row r="20" spans="1:12" x14ac:dyDescent="0.2">
      <c r="A20" s="120" t="s">
        <v>135</v>
      </c>
      <c r="B20" s="80">
        <f t="shared" ref="B20" si="5">B18-B19</f>
        <v>166</v>
      </c>
      <c r="C20" s="80">
        <f t="shared" ref="C20:L20" si="6">C18-C19</f>
        <v>166</v>
      </c>
      <c r="D20" s="80">
        <f t="shared" si="6"/>
        <v>166</v>
      </c>
      <c r="E20" s="80">
        <f t="shared" si="6"/>
        <v>166</v>
      </c>
      <c r="F20" s="80">
        <f t="shared" si="6"/>
        <v>166</v>
      </c>
      <c r="G20" s="80">
        <f t="shared" si="6"/>
        <v>166</v>
      </c>
      <c r="H20" s="80">
        <f t="shared" si="6"/>
        <v>166</v>
      </c>
      <c r="I20" s="80">
        <f t="shared" si="6"/>
        <v>166</v>
      </c>
      <c r="J20" s="80">
        <f t="shared" si="6"/>
        <v>166</v>
      </c>
      <c r="K20" s="80">
        <f t="shared" si="6"/>
        <v>166</v>
      </c>
      <c r="L20" s="121">
        <f t="shared" si="6"/>
        <v>166</v>
      </c>
    </row>
    <row r="21" spans="1:12" x14ac:dyDescent="0.2">
      <c r="A21" s="122" t="s">
        <v>136</v>
      </c>
      <c r="B21" s="109">
        <v>180</v>
      </c>
      <c r="C21" s="109">
        <v>180</v>
      </c>
      <c r="D21" s="109">
        <v>180</v>
      </c>
      <c r="E21" s="109">
        <v>180</v>
      </c>
      <c r="F21" s="109">
        <v>180</v>
      </c>
      <c r="G21" s="109">
        <v>180</v>
      </c>
      <c r="H21" s="109">
        <v>180</v>
      </c>
      <c r="I21" s="109">
        <v>180</v>
      </c>
      <c r="J21" s="109">
        <v>180</v>
      </c>
      <c r="K21" s="109">
        <v>180</v>
      </c>
      <c r="L21" s="119">
        <v>180</v>
      </c>
    </row>
    <row r="22" spans="1:12" ht="13.5" x14ac:dyDescent="0.25">
      <c r="A22" s="123" t="s">
        <v>137</v>
      </c>
      <c r="B22" s="80">
        <v>148</v>
      </c>
      <c r="C22" s="80">
        <v>148</v>
      </c>
      <c r="D22" s="80">
        <v>148</v>
      </c>
      <c r="E22" s="80">
        <v>148</v>
      </c>
      <c r="F22" s="80">
        <v>148</v>
      </c>
      <c r="G22" s="80">
        <v>148</v>
      </c>
      <c r="H22" s="80">
        <v>148</v>
      </c>
      <c r="I22" s="80">
        <v>148</v>
      </c>
      <c r="J22" s="80">
        <v>148</v>
      </c>
      <c r="K22" s="80">
        <v>148</v>
      </c>
      <c r="L22" s="121">
        <v>148</v>
      </c>
    </row>
    <row r="23" spans="1:12" x14ac:dyDescent="0.2">
      <c r="A23" s="124" t="s">
        <v>133</v>
      </c>
      <c r="B23" s="80">
        <v>72</v>
      </c>
      <c r="C23" s="80">
        <v>72</v>
      </c>
      <c r="D23" s="80">
        <v>72</v>
      </c>
      <c r="E23" s="80">
        <v>72</v>
      </c>
      <c r="F23" s="80">
        <v>72</v>
      </c>
      <c r="G23" s="80">
        <v>72</v>
      </c>
      <c r="H23" s="80">
        <v>72</v>
      </c>
      <c r="I23" s="80">
        <v>72</v>
      </c>
      <c r="J23" s="80">
        <v>72</v>
      </c>
      <c r="K23" s="80">
        <v>72</v>
      </c>
      <c r="L23" s="121">
        <v>72</v>
      </c>
    </row>
    <row r="24" spans="1:12" ht="13.5" x14ac:dyDescent="0.25">
      <c r="A24" s="125" t="s">
        <v>138</v>
      </c>
      <c r="B24" s="80">
        <f>ROUND((B23*0.9),0)</f>
        <v>65</v>
      </c>
      <c r="C24" s="80">
        <f t="shared" ref="C24:L24" si="7">ROUND((C23*0.9),0)</f>
        <v>65</v>
      </c>
      <c r="D24" s="80">
        <f t="shared" si="7"/>
        <v>65</v>
      </c>
      <c r="E24" s="80">
        <f t="shared" si="7"/>
        <v>65</v>
      </c>
      <c r="F24" s="80">
        <f t="shared" si="7"/>
        <v>65</v>
      </c>
      <c r="G24" s="80">
        <f t="shared" si="7"/>
        <v>65</v>
      </c>
      <c r="H24" s="80">
        <f t="shared" si="7"/>
        <v>65</v>
      </c>
      <c r="I24" s="80">
        <f t="shared" si="7"/>
        <v>65</v>
      </c>
      <c r="J24" s="80">
        <f t="shared" si="7"/>
        <v>65</v>
      </c>
      <c r="K24" s="80">
        <f t="shared" si="7"/>
        <v>65</v>
      </c>
      <c r="L24" s="121">
        <f t="shared" si="7"/>
        <v>65</v>
      </c>
    </row>
    <row r="25" spans="1:12" ht="13.5" x14ac:dyDescent="0.25">
      <c r="A25" s="125" t="s">
        <v>139</v>
      </c>
      <c r="B25" s="80">
        <f>B23-B24</f>
        <v>7</v>
      </c>
      <c r="C25" s="80">
        <f t="shared" ref="C25:L25" si="8">C23-C24</f>
        <v>7</v>
      </c>
      <c r="D25" s="80">
        <f t="shared" si="8"/>
        <v>7</v>
      </c>
      <c r="E25" s="80">
        <f t="shared" si="8"/>
        <v>7</v>
      </c>
      <c r="F25" s="80">
        <f t="shared" si="8"/>
        <v>7</v>
      </c>
      <c r="G25" s="80">
        <f t="shared" si="8"/>
        <v>7</v>
      </c>
      <c r="H25" s="80">
        <f t="shared" si="8"/>
        <v>7</v>
      </c>
      <c r="I25" s="80">
        <f t="shared" si="8"/>
        <v>7</v>
      </c>
      <c r="J25" s="80">
        <f t="shared" si="8"/>
        <v>7</v>
      </c>
      <c r="K25" s="80">
        <f t="shared" si="8"/>
        <v>7</v>
      </c>
      <c r="L25" s="121">
        <f t="shared" si="8"/>
        <v>7</v>
      </c>
    </row>
    <row r="26" spans="1:12" ht="13.5" x14ac:dyDescent="0.25">
      <c r="A26" s="123" t="s">
        <v>140</v>
      </c>
      <c r="B26" s="80">
        <v>32</v>
      </c>
      <c r="C26" s="80">
        <v>32</v>
      </c>
      <c r="D26" s="80">
        <v>32</v>
      </c>
      <c r="E26" s="80">
        <v>32</v>
      </c>
      <c r="F26" s="80">
        <v>32</v>
      </c>
      <c r="G26" s="80">
        <v>32</v>
      </c>
      <c r="H26" s="80">
        <v>32</v>
      </c>
      <c r="I26" s="80">
        <v>32</v>
      </c>
      <c r="J26" s="80">
        <v>32</v>
      </c>
      <c r="K26" s="80">
        <v>32</v>
      </c>
      <c r="L26" s="121">
        <v>32</v>
      </c>
    </row>
    <row r="27" spans="1:12" ht="13.5" x14ac:dyDescent="0.25">
      <c r="A27" s="125" t="s">
        <v>138</v>
      </c>
      <c r="B27" s="80">
        <f>ROUND((B26*0.9),0)</f>
        <v>29</v>
      </c>
      <c r="C27" s="80">
        <f t="shared" ref="C27:L27" si="9">ROUND((C26*0.9),0)</f>
        <v>29</v>
      </c>
      <c r="D27" s="80">
        <f t="shared" si="9"/>
        <v>29</v>
      </c>
      <c r="E27" s="80">
        <f t="shared" si="9"/>
        <v>29</v>
      </c>
      <c r="F27" s="80">
        <f t="shared" si="9"/>
        <v>29</v>
      </c>
      <c r="G27" s="80">
        <f t="shared" si="9"/>
        <v>29</v>
      </c>
      <c r="H27" s="80">
        <f t="shared" si="9"/>
        <v>29</v>
      </c>
      <c r="I27" s="80">
        <f t="shared" si="9"/>
        <v>29</v>
      </c>
      <c r="J27" s="80">
        <f t="shared" si="9"/>
        <v>29</v>
      </c>
      <c r="K27" s="80">
        <f t="shared" si="9"/>
        <v>29</v>
      </c>
      <c r="L27" s="121">
        <f t="shared" si="9"/>
        <v>29</v>
      </c>
    </row>
    <row r="28" spans="1:12" ht="13.5" x14ac:dyDescent="0.25">
      <c r="A28" s="125" t="s">
        <v>139</v>
      </c>
      <c r="B28" s="80">
        <f>B26-B27</f>
        <v>3</v>
      </c>
      <c r="C28" s="80">
        <f t="shared" ref="C28:L28" si="10">C26-C27</f>
        <v>3</v>
      </c>
      <c r="D28" s="80">
        <f t="shared" si="10"/>
        <v>3</v>
      </c>
      <c r="E28" s="80">
        <f t="shared" si="10"/>
        <v>3</v>
      </c>
      <c r="F28" s="80">
        <f t="shared" si="10"/>
        <v>3</v>
      </c>
      <c r="G28" s="80">
        <f t="shared" si="10"/>
        <v>3</v>
      </c>
      <c r="H28" s="80">
        <f t="shared" si="10"/>
        <v>3</v>
      </c>
      <c r="I28" s="80">
        <f t="shared" si="10"/>
        <v>3</v>
      </c>
      <c r="J28" s="80">
        <f t="shared" si="10"/>
        <v>3</v>
      </c>
      <c r="K28" s="80">
        <f t="shared" si="10"/>
        <v>3</v>
      </c>
      <c r="L28" s="121">
        <f t="shared" si="10"/>
        <v>3</v>
      </c>
    </row>
    <row r="29" spans="1:12" x14ac:dyDescent="0.2">
      <c r="A29" s="115" t="s">
        <v>141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121">
        <v>0</v>
      </c>
    </row>
    <row r="30" spans="1:12" x14ac:dyDescent="0.2">
      <c r="A30" s="115" t="s">
        <v>58</v>
      </c>
      <c r="B30" s="79">
        <f>ROUND($D$30*B$4/$D$4,0)</f>
        <v>1143</v>
      </c>
      <c r="C30" s="79">
        <f>ROUND($D$30*C$4/$D$4,0)</f>
        <v>541</v>
      </c>
      <c r="D30" s="112">
        <v>697</v>
      </c>
      <c r="E30" s="79">
        <f t="shared" ref="E30:L30" si="11">ROUND($D$30*E$4/$D$4,0)</f>
        <v>929</v>
      </c>
      <c r="F30" s="79">
        <f t="shared" si="11"/>
        <v>962</v>
      </c>
      <c r="G30" s="79">
        <f t="shared" si="11"/>
        <v>1026</v>
      </c>
      <c r="H30" s="79">
        <f t="shared" si="11"/>
        <v>1074</v>
      </c>
      <c r="I30" s="79">
        <f t="shared" si="11"/>
        <v>1127</v>
      </c>
      <c r="J30" s="79">
        <f t="shared" si="11"/>
        <v>1162</v>
      </c>
      <c r="K30" s="79">
        <f t="shared" si="11"/>
        <v>1181</v>
      </c>
      <c r="L30" s="117">
        <f t="shared" si="11"/>
        <v>1194</v>
      </c>
    </row>
    <row r="31" spans="1:12" x14ac:dyDescent="0.2">
      <c r="A31" s="115" t="s">
        <v>142</v>
      </c>
      <c r="B31" s="79"/>
      <c r="C31" s="79"/>
      <c r="D31" s="112"/>
      <c r="E31" s="79"/>
      <c r="F31" s="79"/>
      <c r="G31" s="79"/>
      <c r="H31" s="79"/>
      <c r="I31" s="79"/>
      <c r="J31" s="79"/>
      <c r="K31" s="79"/>
      <c r="L31" s="117"/>
    </row>
    <row r="32" spans="1:12" x14ac:dyDescent="0.2">
      <c r="A32" s="139" t="s">
        <v>143</v>
      </c>
      <c r="B32" s="80">
        <v>212</v>
      </c>
      <c r="C32" s="80">
        <v>212</v>
      </c>
      <c r="D32" s="80">
        <v>212</v>
      </c>
      <c r="E32" s="80">
        <v>212</v>
      </c>
      <c r="F32" s="80">
        <v>212</v>
      </c>
      <c r="G32" s="80">
        <v>212</v>
      </c>
      <c r="H32" s="80">
        <v>212</v>
      </c>
      <c r="I32" s="80">
        <v>212</v>
      </c>
      <c r="J32" s="80">
        <v>212</v>
      </c>
      <c r="K32" s="80">
        <v>212</v>
      </c>
      <c r="L32" s="121">
        <v>212</v>
      </c>
    </row>
    <row r="33" spans="1:12" x14ac:dyDescent="0.2">
      <c r="A33" s="115" t="s">
        <v>144</v>
      </c>
      <c r="B33" s="80">
        <v>7</v>
      </c>
      <c r="C33" s="80">
        <v>7</v>
      </c>
      <c r="D33" s="80">
        <v>7</v>
      </c>
      <c r="E33" s="80">
        <v>7</v>
      </c>
      <c r="F33" s="80">
        <v>7</v>
      </c>
      <c r="G33" s="80">
        <v>7</v>
      </c>
      <c r="H33" s="80">
        <v>7</v>
      </c>
      <c r="I33" s="80">
        <v>7</v>
      </c>
      <c r="J33" s="80">
        <v>7</v>
      </c>
      <c r="K33" s="80">
        <v>7</v>
      </c>
      <c r="L33" s="121">
        <v>7</v>
      </c>
    </row>
    <row r="34" spans="1:12" ht="13.5" thickBot="1" x14ac:dyDescent="0.25">
      <c r="A34" s="140" t="s">
        <v>96</v>
      </c>
      <c r="B34" s="126">
        <v>1</v>
      </c>
      <c r="C34" s="126">
        <v>1</v>
      </c>
      <c r="D34" s="126">
        <v>1</v>
      </c>
      <c r="E34" s="126">
        <v>1</v>
      </c>
      <c r="F34" s="126">
        <v>1</v>
      </c>
      <c r="G34" s="126">
        <v>1</v>
      </c>
      <c r="H34" s="126">
        <v>1</v>
      </c>
      <c r="I34" s="126">
        <v>1</v>
      </c>
      <c r="J34" s="126">
        <v>1</v>
      </c>
      <c r="K34" s="126">
        <v>1</v>
      </c>
      <c r="L34" s="127">
        <v>1</v>
      </c>
    </row>
    <row r="36" spans="1:12" x14ac:dyDescent="0.2">
      <c r="C36" s="137"/>
      <c r="D36" s="137"/>
      <c r="E36" s="137"/>
      <c r="F36" s="137"/>
      <c r="G36" s="137"/>
      <c r="H36" s="137"/>
      <c r="I36" s="137"/>
      <c r="J36" s="137"/>
      <c r="K36" s="137"/>
      <c r="L36" s="137"/>
    </row>
  </sheetData>
  <pageMargins left="0.7" right="0.7" top="0.75" bottom="0.75" header="0.3" footer="0.3"/>
  <pageSetup scale="99" fitToHeight="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44CA-8A1B-4EF5-8046-B89AB94385C9}">
  <dimension ref="A1:O24"/>
  <sheetViews>
    <sheetView showGridLines="0" tabSelected="1" zoomScale="85" zoomScaleNormal="85" workbookViewId="0">
      <selection activeCell="K26" sqref="K26"/>
    </sheetView>
  </sheetViews>
  <sheetFormatPr defaultColWidth="9.33203125" defaultRowHeight="12.75" x14ac:dyDescent="0.2"/>
  <cols>
    <col min="1" max="1" width="17.1640625" style="8" customWidth="1"/>
    <col min="2" max="2" width="15.83203125" style="8" customWidth="1"/>
    <col min="3" max="3" width="15" style="8" customWidth="1"/>
    <col min="4" max="7" width="17.1640625" style="8" customWidth="1"/>
    <col min="8" max="8" width="13.83203125" style="8" customWidth="1"/>
    <col min="9" max="9" width="16.83203125" style="8" customWidth="1"/>
    <col min="10" max="10" width="5.1640625" style="8" customWidth="1"/>
    <col min="11" max="11" width="46.1640625" style="8" customWidth="1"/>
    <col min="12" max="15" width="16.83203125" style="8" customWidth="1"/>
    <col min="16" max="16384" width="9.33203125" style="8"/>
  </cols>
  <sheetData>
    <row r="1" spans="1:15" customFormat="1" ht="15.6" customHeight="1" x14ac:dyDescent="0.2">
      <c r="A1" s="165" t="s">
        <v>0</v>
      </c>
      <c r="B1" s="165"/>
      <c r="C1" s="165"/>
      <c r="D1" s="165"/>
      <c r="E1" s="165"/>
      <c r="F1" s="165"/>
      <c r="G1" s="165"/>
      <c r="H1" s="39"/>
      <c r="I1" s="39"/>
      <c r="J1" s="39"/>
      <c r="K1" s="39"/>
    </row>
    <row r="2" spans="1:15" customFormat="1" ht="15.75" x14ac:dyDescent="0.25">
      <c r="A2" s="166" t="s">
        <v>145</v>
      </c>
      <c r="B2" s="166"/>
      <c r="C2" s="166"/>
      <c r="D2" s="166"/>
      <c r="E2" s="166"/>
      <c r="F2" s="166"/>
      <c r="G2" s="166"/>
    </row>
    <row r="3" spans="1:15" customFormat="1" ht="15.75" x14ac:dyDescent="0.2">
      <c r="A3" s="157" t="s">
        <v>146</v>
      </c>
      <c r="B3" s="167"/>
      <c r="C3" s="167"/>
      <c r="D3" s="167"/>
      <c r="E3" s="167"/>
      <c r="F3" s="167"/>
      <c r="G3" s="167"/>
    </row>
    <row r="4" spans="1:15" customFormat="1" ht="15.75" x14ac:dyDescent="0.2">
      <c r="A4" s="157" t="s">
        <v>147</v>
      </c>
      <c r="B4" s="167"/>
      <c r="C4" s="167"/>
      <c r="D4" s="167"/>
      <c r="E4" s="167"/>
      <c r="F4" s="167"/>
      <c r="G4" s="167"/>
      <c r="K4" s="161"/>
      <c r="L4" s="161"/>
      <c r="M4" s="161"/>
      <c r="N4" s="161"/>
    </row>
    <row r="5" spans="1:15" x14ac:dyDescent="0.2">
      <c r="I5" s="66"/>
      <c r="K5" s="162" t="s">
        <v>148</v>
      </c>
      <c r="L5" s="162"/>
      <c r="M5" s="162"/>
      <c r="N5" s="162"/>
    </row>
    <row r="6" spans="1:15" ht="25.5" x14ac:dyDescent="0.2">
      <c r="A6" s="48" t="s">
        <v>149</v>
      </c>
      <c r="B6" s="48" t="s">
        <v>150</v>
      </c>
      <c r="C6" s="48" t="s">
        <v>151</v>
      </c>
      <c r="D6" s="48" t="s">
        <v>152</v>
      </c>
      <c r="E6" s="48" t="s">
        <v>153</v>
      </c>
      <c r="F6" s="48" t="s">
        <v>154</v>
      </c>
      <c r="G6" s="48" t="s">
        <v>155</v>
      </c>
      <c r="I6" s="48" t="s">
        <v>156</v>
      </c>
      <c r="J6" s="67"/>
      <c r="K6" s="93" t="s">
        <v>157</v>
      </c>
      <c r="L6" s="94" t="s">
        <v>158</v>
      </c>
      <c r="M6" s="94" t="s">
        <v>159</v>
      </c>
      <c r="N6" s="95" t="s">
        <v>160</v>
      </c>
      <c r="O6" s="67"/>
    </row>
    <row r="7" spans="1:15" ht="15" customHeight="1" x14ac:dyDescent="0.2">
      <c r="A7" s="49" t="s">
        <v>161</v>
      </c>
      <c r="B7" s="50">
        <f>'Year 1 (2021)'!G12</f>
        <v>499</v>
      </c>
      <c r="C7" s="50">
        <f>'Year 1 (2021)'!H69</f>
        <v>283201.5</v>
      </c>
      <c r="D7" s="50">
        <f>'Year 1 (2021)'!I69</f>
        <v>14160.075000000001</v>
      </c>
      <c r="E7" s="50">
        <f>'Year 1 (2021)'!J69</f>
        <v>28320.15</v>
      </c>
      <c r="F7" s="50">
        <f>SUM(C7:E7)</f>
        <v>325681.72500000003</v>
      </c>
      <c r="G7" s="51">
        <f>'Year 1 (2021)'!K69</f>
        <v>61669776.676699996</v>
      </c>
      <c r="I7" s="51">
        <f>'Year 1 (2021)'!K19+'Year 1 (2021)'!K22</f>
        <v>879690</v>
      </c>
      <c r="J7" s="40"/>
      <c r="K7" s="90" t="s">
        <v>162</v>
      </c>
      <c r="L7" s="50">
        <f>AVERAGE('Year 1 (2021)'!G14,'Year 2 (2022)'!H14,'Year 3 (2023)'!H14)</f>
        <v>5177.916666666667</v>
      </c>
      <c r="M7" s="50">
        <v>1</v>
      </c>
      <c r="N7" s="50">
        <f>L7*M7</f>
        <v>5177.916666666667</v>
      </c>
      <c r="O7" s="41"/>
    </row>
    <row r="8" spans="1:15" ht="15" customHeight="1" x14ac:dyDescent="0.2">
      <c r="A8" s="49" t="s">
        <v>163</v>
      </c>
      <c r="B8" s="50">
        <f>'Year 2 (2022)'!G12</f>
        <v>522</v>
      </c>
      <c r="C8" s="50">
        <f>'Year 2 (2022)'!H69</f>
        <v>325932.10714285716</v>
      </c>
      <c r="D8" s="50">
        <f>'Year 2 (2022)'!I69</f>
        <v>16296.60535714286</v>
      </c>
      <c r="E8" s="50">
        <f>'Year 2 (2022)'!J69</f>
        <v>32593.21071428572</v>
      </c>
      <c r="F8" s="50">
        <f t="shared" ref="F8:F9" si="0">SUM(C8:E8)</f>
        <v>374821.92321428575</v>
      </c>
      <c r="G8" s="51">
        <f>'Year 2 (2022)'!K69</f>
        <v>71877766.979250014</v>
      </c>
      <c r="I8" s="51">
        <f>'Year 2 (2022)'!K19+'Year 2 (2022)'!K22</f>
        <v>895764</v>
      </c>
      <c r="J8" s="40"/>
      <c r="K8" s="90" t="s">
        <v>164</v>
      </c>
      <c r="L8" s="50">
        <f>AVERAGE('Year 1 (2021)'!G15,'Year 2 (2022)'!G15,'Year 3 (2023)'!G15)</f>
        <v>8</v>
      </c>
      <c r="M8" s="50">
        <v>1</v>
      </c>
      <c r="N8" s="50">
        <f>L8*M8</f>
        <v>8</v>
      </c>
      <c r="O8" s="41"/>
    </row>
    <row r="9" spans="1:15" ht="15" customHeight="1" x14ac:dyDescent="0.2">
      <c r="A9" s="49" t="s">
        <v>165</v>
      </c>
      <c r="B9" s="50">
        <f>'Year 3 (2023)'!G12</f>
        <v>537</v>
      </c>
      <c r="C9" s="50">
        <f>'Year 3 (2023)'!H69</f>
        <v>369097.21428571426</v>
      </c>
      <c r="D9" s="50">
        <f>'Year 3 (2023)'!I69</f>
        <v>18454.860714285714</v>
      </c>
      <c r="E9" s="50">
        <f>'Year 3 (2023)'!J69</f>
        <v>36909.721428571429</v>
      </c>
      <c r="F9" s="50">
        <f t="shared" si="0"/>
        <v>424461.7964285714</v>
      </c>
      <c r="G9" s="51">
        <f>'Year 3 (2023)'!K69</f>
        <v>82327359.701900005</v>
      </c>
      <c r="I9" s="51">
        <f>'Year 3 (2023)'!K19+'Year 3 (2023)'!K22</f>
        <v>905916</v>
      </c>
      <c r="J9" s="40"/>
      <c r="K9" s="90" t="s">
        <v>166</v>
      </c>
      <c r="L9" s="50">
        <f>AVERAGE(B7-'Year 1 (2021)'!G37,B8-'Year 2 (2022)'!G37,B9-'Year 3 (2023)'!G37)</f>
        <v>463.33333333333331</v>
      </c>
      <c r="M9" s="50">
        <v>1</v>
      </c>
      <c r="N9" s="50">
        <f>L9*M9</f>
        <v>463.33333333333331</v>
      </c>
      <c r="O9" s="41"/>
    </row>
    <row r="10" spans="1:15" ht="15" customHeight="1" x14ac:dyDescent="0.2">
      <c r="A10" s="49" t="s">
        <v>167</v>
      </c>
      <c r="B10" s="50">
        <f t="shared" ref="B10:G10" si="1">SUM(B7:B9)</f>
        <v>1558</v>
      </c>
      <c r="C10" s="50">
        <f t="shared" si="1"/>
        <v>978230.82142857136</v>
      </c>
      <c r="D10" s="50">
        <f t="shared" si="1"/>
        <v>48911.541071428575</v>
      </c>
      <c r="E10" s="50">
        <f t="shared" si="1"/>
        <v>97823.082142857151</v>
      </c>
      <c r="F10" s="50">
        <f t="shared" si="1"/>
        <v>1124965.4446428572</v>
      </c>
      <c r="G10" s="51">
        <f t="shared" si="1"/>
        <v>215874903.35785002</v>
      </c>
      <c r="I10" s="51">
        <f t="shared" ref="I10" si="2">SUM(I7:I9)</f>
        <v>2681370</v>
      </c>
      <c r="J10" s="40"/>
      <c r="K10" s="91" t="s">
        <v>168</v>
      </c>
      <c r="L10" s="50">
        <f>AVERAGE('Year 1 (2021)'!G37,'Year 2 (2022)'!G37,'Year 3 (2023)'!G37)</f>
        <v>56</v>
      </c>
      <c r="M10" s="50">
        <v>2</v>
      </c>
      <c r="N10" s="50">
        <f>L10*M10</f>
        <v>112</v>
      </c>
      <c r="O10" s="41"/>
    </row>
    <row r="11" spans="1:15" ht="15" customHeight="1" x14ac:dyDescent="0.2">
      <c r="A11" s="52" t="s">
        <v>169</v>
      </c>
      <c r="B11" s="53">
        <f t="shared" ref="B11:G11" si="3">AVERAGE(B7:B9)</f>
        <v>519.33333333333337</v>
      </c>
      <c r="C11" s="53">
        <f t="shared" si="3"/>
        <v>326076.94047619047</v>
      </c>
      <c r="D11" s="53">
        <f t="shared" si="3"/>
        <v>16303.847023809525</v>
      </c>
      <c r="E11" s="53">
        <f t="shared" si="3"/>
        <v>32607.69404761905</v>
      </c>
      <c r="F11" s="53">
        <f t="shared" si="3"/>
        <v>374988.48154761904</v>
      </c>
      <c r="G11" s="54">
        <f t="shared" si="3"/>
        <v>71958301.119283333</v>
      </c>
      <c r="I11" s="54">
        <f t="shared" ref="I11" si="4">AVERAGE(I7:I9)</f>
        <v>893790</v>
      </c>
      <c r="J11" s="40"/>
      <c r="M11" s="136" t="s">
        <v>170</v>
      </c>
      <c r="N11" s="92">
        <f>SUM(N7:N10)</f>
        <v>5761.25</v>
      </c>
      <c r="O11" s="41"/>
    </row>
    <row r="12" spans="1:15" ht="12.6" customHeight="1" x14ac:dyDescent="0.2">
      <c r="A12" s="163"/>
      <c r="B12" s="164"/>
      <c r="C12" s="164"/>
      <c r="D12" s="164"/>
      <c r="E12" s="164"/>
      <c r="F12" s="164"/>
      <c r="G12" s="164"/>
    </row>
    <row r="13" spans="1:15" x14ac:dyDescent="0.2">
      <c r="M13" s="41"/>
      <c r="N13" s="96">
        <f>F11/N11</f>
        <v>65.088041926251947</v>
      </c>
      <c r="O13" s="65" t="s">
        <v>171</v>
      </c>
    </row>
    <row r="24" spans="9:9" x14ac:dyDescent="0.2">
      <c r="I24" s="179"/>
    </row>
  </sheetData>
  <mergeCells count="7">
    <mergeCell ref="K4:N4"/>
    <mergeCell ref="K5:N5"/>
    <mergeCell ref="A12:G12"/>
    <mergeCell ref="A1:G1"/>
    <mergeCell ref="A2:G2"/>
    <mergeCell ref="A3:G3"/>
    <mergeCell ref="A4:G4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6497-3CA6-475B-8DCD-747836743313}">
  <dimension ref="A1:K29"/>
  <sheetViews>
    <sheetView zoomScale="75" zoomScaleNormal="75" workbookViewId="0">
      <selection activeCell="A3" sqref="A3:I3"/>
    </sheetView>
  </sheetViews>
  <sheetFormatPr defaultColWidth="9.33203125" defaultRowHeight="12.75" x14ac:dyDescent="0.2"/>
  <cols>
    <col min="1" max="1" width="49" style="8" customWidth="1"/>
    <col min="2" max="9" width="12.83203125" style="8" customWidth="1"/>
    <col min="10" max="16384" width="9.33203125" style="8"/>
  </cols>
  <sheetData>
    <row r="1" spans="1:11" ht="15.75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39"/>
      <c r="K1" s="39"/>
    </row>
    <row r="2" spans="1:11" ht="15.75" x14ac:dyDescent="0.25">
      <c r="A2" s="170" t="s">
        <v>172</v>
      </c>
      <c r="B2" s="170"/>
      <c r="C2" s="170"/>
      <c r="D2" s="170"/>
      <c r="E2" s="170"/>
      <c r="F2" s="170"/>
      <c r="G2" s="170"/>
      <c r="H2" s="170"/>
      <c r="I2" s="170"/>
    </row>
    <row r="3" spans="1:11" customFormat="1" ht="15.75" x14ac:dyDescent="0.2">
      <c r="A3" s="157" t="s">
        <v>4</v>
      </c>
      <c r="B3" s="157"/>
      <c r="C3" s="157"/>
      <c r="D3" s="157"/>
      <c r="E3" s="157"/>
      <c r="F3" s="157"/>
      <c r="G3" s="157"/>
      <c r="H3" s="157"/>
      <c r="I3" s="157"/>
    </row>
    <row r="4" spans="1:11" ht="16.5" thickBot="1" x14ac:dyDescent="0.25">
      <c r="A4" s="171" t="s">
        <v>7</v>
      </c>
      <c r="B4" s="171"/>
      <c r="C4" s="171"/>
      <c r="D4" s="171"/>
      <c r="E4" s="171"/>
      <c r="F4" s="171"/>
      <c r="G4" s="171"/>
      <c r="H4" s="171"/>
      <c r="I4" s="171"/>
    </row>
    <row r="5" spans="1:11" ht="14.1" customHeight="1" x14ac:dyDescent="0.2">
      <c r="A5" s="10"/>
      <c r="B5" s="11" t="s">
        <v>11</v>
      </c>
      <c r="C5" s="12" t="s">
        <v>12</v>
      </c>
      <c r="D5" s="13" t="s">
        <v>173</v>
      </c>
      <c r="E5" s="12" t="s">
        <v>14</v>
      </c>
      <c r="F5" s="12" t="s">
        <v>15</v>
      </c>
      <c r="G5" s="12" t="s">
        <v>16</v>
      </c>
      <c r="H5" s="12" t="s">
        <v>17</v>
      </c>
      <c r="I5" s="14" t="s">
        <v>18</v>
      </c>
    </row>
    <row r="6" spans="1:11" ht="14.1" customHeight="1" x14ac:dyDescent="0.2">
      <c r="A6" s="15"/>
      <c r="B6" s="16" t="s">
        <v>174</v>
      </c>
      <c r="C6" s="17" t="s">
        <v>175</v>
      </c>
      <c r="D6" s="16" t="s">
        <v>174</v>
      </c>
      <c r="E6" s="16" t="s">
        <v>176</v>
      </c>
      <c r="F6" s="16" t="s">
        <v>5</v>
      </c>
      <c r="G6" s="16" t="s">
        <v>177</v>
      </c>
      <c r="H6" s="16" t="s">
        <v>19</v>
      </c>
      <c r="I6" s="18" t="s">
        <v>178</v>
      </c>
    </row>
    <row r="7" spans="1:11" ht="14.1" customHeight="1" x14ac:dyDescent="0.2">
      <c r="A7" s="15"/>
      <c r="B7" s="16" t="s">
        <v>179</v>
      </c>
      <c r="C7" s="17" t="s">
        <v>180</v>
      </c>
      <c r="D7" s="16" t="s">
        <v>179</v>
      </c>
      <c r="E7" s="16" t="s">
        <v>181</v>
      </c>
      <c r="F7" s="16" t="s">
        <v>182</v>
      </c>
      <c r="G7" s="16" t="s">
        <v>182</v>
      </c>
      <c r="H7" s="16" t="s">
        <v>183</v>
      </c>
      <c r="I7" s="18"/>
    </row>
    <row r="8" spans="1:11" ht="14.1" customHeight="1" x14ac:dyDescent="0.2">
      <c r="A8" s="15"/>
      <c r="B8" s="16" t="s">
        <v>184</v>
      </c>
      <c r="C8" s="17" t="s">
        <v>185</v>
      </c>
      <c r="D8" s="16" t="s">
        <v>186</v>
      </c>
      <c r="E8" s="16" t="s">
        <v>187</v>
      </c>
      <c r="F8" s="16" t="s">
        <v>188</v>
      </c>
      <c r="G8" s="16" t="s">
        <v>188</v>
      </c>
      <c r="H8" s="16" t="s">
        <v>179</v>
      </c>
      <c r="I8" s="18"/>
    </row>
    <row r="9" spans="1:11" ht="14.1" customHeight="1" x14ac:dyDescent="0.2">
      <c r="A9" s="15"/>
      <c r="B9" s="19"/>
      <c r="C9" s="17" t="s">
        <v>188</v>
      </c>
      <c r="D9" s="16" t="s">
        <v>189</v>
      </c>
      <c r="E9" s="16"/>
      <c r="F9" s="16" t="s">
        <v>190</v>
      </c>
      <c r="G9" s="16" t="s">
        <v>191</v>
      </c>
      <c r="H9" s="16" t="s">
        <v>189</v>
      </c>
      <c r="I9" s="18"/>
    </row>
    <row r="10" spans="1:11" ht="14.1" customHeight="1" x14ac:dyDescent="0.2">
      <c r="A10" s="20" t="s">
        <v>192</v>
      </c>
      <c r="B10" s="21"/>
      <c r="C10" s="22"/>
      <c r="D10" s="23" t="s">
        <v>193</v>
      </c>
      <c r="E10" s="23"/>
      <c r="F10" s="23"/>
      <c r="G10" s="23"/>
      <c r="H10" s="23" t="s">
        <v>194</v>
      </c>
      <c r="I10" s="24"/>
    </row>
    <row r="11" spans="1:11" x14ac:dyDescent="0.2">
      <c r="A11" s="15" t="s">
        <v>195</v>
      </c>
      <c r="B11" s="25"/>
      <c r="C11" s="26"/>
      <c r="D11" s="27"/>
      <c r="E11" s="28"/>
      <c r="F11" s="28"/>
      <c r="G11" s="28"/>
      <c r="H11" s="27"/>
      <c r="I11" s="29"/>
    </row>
    <row r="12" spans="1:11" x14ac:dyDescent="0.2">
      <c r="A12" s="30" t="s">
        <v>196</v>
      </c>
      <c r="B12" s="63">
        <v>0.5</v>
      </c>
      <c r="C12" s="63">
        <v>1</v>
      </c>
      <c r="D12" s="55">
        <f>B12*C12</f>
        <v>0.5</v>
      </c>
      <c r="E12" s="56">
        <f>'Year 1 (2021)'!G15</f>
        <v>8</v>
      </c>
      <c r="F12" s="56">
        <f>D12*E12</f>
        <v>4</v>
      </c>
      <c r="G12" s="56">
        <f>F12*0.05</f>
        <v>0.2</v>
      </c>
      <c r="H12" s="56">
        <f>F12*0.1</f>
        <v>0.4</v>
      </c>
      <c r="I12" s="57">
        <f>F12*$B$25+G12*$B$26+H12*$B$27</f>
        <v>213.60000000000002</v>
      </c>
    </row>
    <row r="13" spans="1:11" x14ac:dyDescent="0.2">
      <c r="A13" s="31" t="s">
        <v>197</v>
      </c>
      <c r="B13" s="64">
        <v>3</v>
      </c>
      <c r="C13" s="63">
        <v>1</v>
      </c>
      <c r="D13" s="55">
        <f>B13*C13</f>
        <v>3</v>
      </c>
      <c r="E13" s="56">
        <f>'Year 1 (2021)'!G12-'Year 1 (2021)'!G37</f>
        <v>450</v>
      </c>
      <c r="F13" s="56">
        <f>D13*E13</f>
        <v>1350</v>
      </c>
      <c r="G13" s="56">
        <f>F13*0.05</f>
        <v>67.5</v>
      </c>
      <c r="H13" s="56">
        <f>F13*0.1</f>
        <v>135</v>
      </c>
      <c r="I13" s="57">
        <f>F13*$B$25+G13*$B$26+H13*$B$27</f>
        <v>72090.000000000015</v>
      </c>
    </row>
    <row r="14" spans="1:11" x14ac:dyDescent="0.2">
      <c r="A14" s="31" t="s">
        <v>198</v>
      </c>
      <c r="B14" s="64">
        <v>3</v>
      </c>
      <c r="C14" s="63">
        <v>2</v>
      </c>
      <c r="D14" s="55">
        <f>B14*C14</f>
        <v>6</v>
      </c>
      <c r="E14" s="56">
        <f>'Year 1 (2021)'!G37</f>
        <v>49</v>
      </c>
      <c r="F14" s="56">
        <f>D14*E14</f>
        <v>294</v>
      </c>
      <c r="G14" s="56">
        <f>F14*0.05</f>
        <v>14.700000000000001</v>
      </c>
      <c r="H14" s="56">
        <f>F14*0.1</f>
        <v>29.400000000000002</v>
      </c>
      <c r="I14" s="57">
        <f>F14*$B$25+G14*$B$26+H14*$B$27</f>
        <v>15699.600000000002</v>
      </c>
    </row>
    <row r="15" spans="1:11" x14ac:dyDescent="0.2">
      <c r="A15" s="172" t="s">
        <v>199</v>
      </c>
      <c r="B15" s="32"/>
      <c r="C15" s="33"/>
      <c r="D15" s="58"/>
      <c r="E15" s="59"/>
      <c r="F15" s="60">
        <f>SUM(F12:F14)</f>
        <v>1648</v>
      </c>
      <c r="G15" s="60">
        <f>SUM(G12:G14)</f>
        <v>82.4</v>
      </c>
      <c r="H15" s="60">
        <f>SUM(H12:H14)</f>
        <v>164.8</v>
      </c>
      <c r="I15" s="174">
        <f>SUM(I12:I14)</f>
        <v>88003.200000000026</v>
      </c>
      <c r="K15" s="9"/>
    </row>
    <row r="16" spans="1:11" ht="13.5" thickBot="1" x14ac:dyDescent="0.25">
      <c r="A16" s="173"/>
      <c r="B16" s="34"/>
      <c r="C16" s="35"/>
      <c r="D16" s="61"/>
      <c r="E16" s="62" t="s">
        <v>200</v>
      </c>
      <c r="F16" s="176">
        <f>SUM(F15:H15)</f>
        <v>1895.2</v>
      </c>
      <c r="G16" s="177"/>
      <c r="H16" s="178"/>
      <c r="I16" s="175"/>
    </row>
    <row r="17" spans="1:11" ht="42" customHeight="1" x14ac:dyDescent="0.2">
      <c r="A17" s="144" t="s">
        <v>201</v>
      </c>
      <c r="B17" s="168"/>
      <c r="C17" s="168"/>
      <c r="D17" s="168"/>
      <c r="E17" s="168"/>
      <c r="F17" s="168"/>
      <c r="G17" s="168"/>
      <c r="H17" s="168"/>
      <c r="I17" s="168"/>
      <c r="J17" s="138"/>
      <c r="K17" s="138"/>
    </row>
    <row r="18" spans="1:11" ht="24.6" customHeight="1" x14ac:dyDescent="0.2">
      <c r="A18" s="169"/>
      <c r="B18" s="168"/>
      <c r="C18" s="168"/>
      <c r="D18" s="168"/>
      <c r="E18" s="168"/>
      <c r="F18" s="168"/>
      <c r="G18" s="168"/>
      <c r="H18" s="168"/>
      <c r="I18" s="168"/>
    </row>
    <row r="19" spans="1:11" ht="15" x14ac:dyDescent="0.2">
      <c r="A19" s="36"/>
      <c r="B19" s="36"/>
      <c r="C19" s="36"/>
      <c r="D19" s="36"/>
      <c r="E19" s="36"/>
      <c r="F19" s="36"/>
      <c r="G19" s="36"/>
      <c r="I19" s="9"/>
    </row>
    <row r="24" spans="1:11" x14ac:dyDescent="0.2">
      <c r="A24" s="42" t="s">
        <v>202</v>
      </c>
      <c r="B24" s="43" t="s">
        <v>203</v>
      </c>
      <c r="C24" s="42"/>
      <c r="D24" s="44" t="s">
        <v>204</v>
      </c>
    </row>
    <row r="25" spans="1:11" x14ac:dyDescent="0.2">
      <c r="A25" s="45" t="s">
        <v>205</v>
      </c>
      <c r="B25" s="46">
        <f>29.76*1.6</f>
        <v>47.616000000000007</v>
      </c>
      <c r="C25" s="45"/>
      <c r="D25" s="45" t="s">
        <v>206</v>
      </c>
    </row>
    <row r="26" spans="1:11" x14ac:dyDescent="0.2">
      <c r="A26" s="45" t="s">
        <v>207</v>
      </c>
      <c r="B26" s="46">
        <f>40.1*1.6</f>
        <v>64.160000000000011</v>
      </c>
      <c r="C26" s="45"/>
      <c r="D26" s="45" t="s">
        <v>208</v>
      </c>
    </row>
    <row r="27" spans="1:11" x14ac:dyDescent="0.2">
      <c r="A27" s="45" t="s">
        <v>209</v>
      </c>
      <c r="B27" s="46">
        <f>16.1*1.6</f>
        <v>25.760000000000005</v>
      </c>
      <c r="C27" s="45"/>
      <c r="D27" s="45" t="s">
        <v>210</v>
      </c>
    </row>
    <row r="28" spans="1:11" x14ac:dyDescent="0.2">
      <c r="A28" s="45"/>
      <c r="B28" s="45"/>
      <c r="C28" s="45"/>
      <c r="D28" s="45"/>
    </row>
    <row r="29" spans="1:11" x14ac:dyDescent="0.2">
      <c r="A29" s="45" t="s">
        <v>211</v>
      </c>
      <c r="B29" s="45"/>
      <c r="C29" s="45"/>
      <c r="D29" s="45"/>
    </row>
  </sheetData>
  <mergeCells count="9">
    <mergeCell ref="A17:I17"/>
    <mergeCell ref="A18:I18"/>
    <mergeCell ref="A1:I1"/>
    <mergeCell ref="A2:I2"/>
    <mergeCell ref="A3:I3"/>
    <mergeCell ref="A4:I4"/>
    <mergeCell ref="A15:A16"/>
    <mergeCell ref="I15:I16"/>
    <mergeCell ref="F16:H1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7DA43-F0B4-4A56-89BE-DE2E034ED7EF}">
  <dimension ref="A1:K29"/>
  <sheetViews>
    <sheetView zoomScale="75" zoomScaleNormal="75" workbookViewId="0">
      <selection activeCell="A18" sqref="A18:I18"/>
    </sheetView>
  </sheetViews>
  <sheetFormatPr defaultColWidth="9.33203125" defaultRowHeight="12.75" x14ac:dyDescent="0.2"/>
  <cols>
    <col min="1" max="1" width="47.1640625" style="8" customWidth="1"/>
    <col min="2" max="9" width="12.83203125" style="8" customWidth="1"/>
    <col min="10" max="16384" width="9.33203125" style="8"/>
  </cols>
  <sheetData>
    <row r="1" spans="1:11" ht="15.75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39"/>
      <c r="K1" s="39"/>
    </row>
    <row r="2" spans="1:11" ht="15.75" x14ac:dyDescent="0.25">
      <c r="A2" s="170" t="s">
        <v>212</v>
      </c>
      <c r="B2" s="170"/>
      <c r="C2" s="170"/>
      <c r="D2" s="170"/>
      <c r="E2" s="170"/>
      <c r="F2" s="170"/>
      <c r="G2" s="170"/>
      <c r="H2" s="170"/>
      <c r="I2" s="170"/>
    </row>
    <row r="3" spans="1:11" customFormat="1" ht="15.75" x14ac:dyDescent="0.2">
      <c r="A3" s="157" t="s">
        <v>4</v>
      </c>
      <c r="B3" s="157"/>
      <c r="C3" s="157"/>
      <c r="D3" s="157"/>
      <c r="E3" s="157"/>
      <c r="F3" s="157"/>
      <c r="G3" s="157"/>
      <c r="H3" s="157"/>
      <c r="I3" s="157"/>
    </row>
    <row r="4" spans="1:11" ht="16.5" thickBot="1" x14ac:dyDescent="0.25">
      <c r="A4" s="171" t="s">
        <v>7</v>
      </c>
      <c r="B4" s="171"/>
      <c r="C4" s="171"/>
      <c r="D4" s="171"/>
      <c r="E4" s="171"/>
      <c r="F4" s="171"/>
      <c r="G4" s="171"/>
      <c r="H4" s="171"/>
      <c r="I4" s="171"/>
    </row>
    <row r="5" spans="1:11" ht="14.1" customHeight="1" x14ac:dyDescent="0.2">
      <c r="A5" s="10"/>
      <c r="B5" s="11" t="s">
        <v>11</v>
      </c>
      <c r="C5" s="12" t="s">
        <v>12</v>
      </c>
      <c r="D5" s="13" t="s">
        <v>173</v>
      </c>
      <c r="E5" s="12" t="s">
        <v>14</v>
      </c>
      <c r="F5" s="12" t="s">
        <v>15</v>
      </c>
      <c r="G5" s="12" t="s">
        <v>16</v>
      </c>
      <c r="H5" s="12" t="s">
        <v>17</v>
      </c>
      <c r="I5" s="14" t="s">
        <v>18</v>
      </c>
    </row>
    <row r="6" spans="1:11" ht="14.1" customHeight="1" x14ac:dyDescent="0.2">
      <c r="A6" s="15"/>
      <c r="B6" s="16" t="s">
        <v>174</v>
      </c>
      <c r="C6" s="17" t="s">
        <v>175</v>
      </c>
      <c r="D6" s="16" t="s">
        <v>174</v>
      </c>
      <c r="E6" s="16" t="s">
        <v>176</v>
      </c>
      <c r="F6" s="16" t="s">
        <v>5</v>
      </c>
      <c r="G6" s="16" t="s">
        <v>177</v>
      </c>
      <c r="H6" s="16" t="s">
        <v>19</v>
      </c>
      <c r="I6" s="18" t="s">
        <v>178</v>
      </c>
    </row>
    <row r="7" spans="1:11" ht="14.1" customHeight="1" x14ac:dyDescent="0.2">
      <c r="A7" s="15"/>
      <c r="B7" s="16" t="s">
        <v>179</v>
      </c>
      <c r="C7" s="17" t="s">
        <v>180</v>
      </c>
      <c r="D7" s="16" t="s">
        <v>179</v>
      </c>
      <c r="E7" s="16" t="s">
        <v>181</v>
      </c>
      <c r="F7" s="16" t="s">
        <v>182</v>
      </c>
      <c r="G7" s="16" t="s">
        <v>182</v>
      </c>
      <c r="H7" s="16" t="s">
        <v>183</v>
      </c>
      <c r="I7" s="18"/>
    </row>
    <row r="8" spans="1:11" ht="14.1" customHeight="1" x14ac:dyDescent="0.2">
      <c r="A8" s="15"/>
      <c r="B8" s="16" t="s">
        <v>184</v>
      </c>
      <c r="C8" s="17" t="s">
        <v>185</v>
      </c>
      <c r="D8" s="16" t="s">
        <v>186</v>
      </c>
      <c r="E8" s="16" t="s">
        <v>187</v>
      </c>
      <c r="F8" s="16" t="s">
        <v>188</v>
      </c>
      <c r="G8" s="16" t="s">
        <v>188</v>
      </c>
      <c r="H8" s="16" t="s">
        <v>179</v>
      </c>
      <c r="I8" s="18"/>
    </row>
    <row r="9" spans="1:11" ht="14.1" customHeight="1" x14ac:dyDescent="0.2">
      <c r="A9" s="15"/>
      <c r="B9" s="19"/>
      <c r="C9" s="17" t="s">
        <v>188</v>
      </c>
      <c r="D9" s="16" t="s">
        <v>189</v>
      </c>
      <c r="E9" s="16"/>
      <c r="F9" s="16" t="s">
        <v>190</v>
      </c>
      <c r="G9" s="16" t="s">
        <v>191</v>
      </c>
      <c r="H9" s="16" t="s">
        <v>189</v>
      </c>
      <c r="I9" s="18"/>
    </row>
    <row r="10" spans="1:11" ht="14.1" customHeight="1" x14ac:dyDescent="0.2">
      <c r="A10" s="20" t="s">
        <v>192</v>
      </c>
      <c r="B10" s="21"/>
      <c r="C10" s="22"/>
      <c r="D10" s="23" t="s">
        <v>193</v>
      </c>
      <c r="E10" s="23"/>
      <c r="F10" s="23"/>
      <c r="G10" s="23"/>
      <c r="H10" s="23" t="s">
        <v>194</v>
      </c>
      <c r="I10" s="24"/>
    </row>
    <row r="11" spans="1:11" x14ac:dyDescent="0.2">
      <c r="A11" s="15" t="s">
        <v>195</v>
      </c>
      <c r="B11" s="25"/>
      <c r="C11" s="26"/>
      <c r="D11" s="27"/>
      <c r="E11" s="28"/>
      <c r="F11" s="28"/>
      <c r="G11" s="28"/>
      <c r="H11" s="27"/>
      <c r="I11" s="29"/>
    </row>
    <row r="12" spans="1:11" x14ac:dyDescent="0.2">
      <c r="A12" s="30" t="s">
        <v>196</v>
      </c>
      <c r="B12" s="63">
        <v>0.5</v>
      </c>
      <c r="C12" s="63">
        <v>1</v>
      </c>
      <c r="D12" s="55">
        <f>B12*C12</f>
        <v>0.5</v>
      </c>
      <c r="E12" s="56">
        <f>'Year 2 (2022)'!G15</f>
        <v>8</v>
      </c>
      <c r="F12" s="56">
        <f>D12*E12</f>
        <v>4</v>
      </c>
      <c r="G12" s="56">
        <f>F12*0.05</f>
        <v>0.2</v>
      </c>
      <c r="H12" s="56">
        <f>F12*0.1</f>
        <v>0.4</v>
      </c>
      <c r="I12" s="57">
        <f>F12*$B$25+G12*$B$26+H12*$B$27</f>
        <v>213.60000000000002</v>
      </c>
    </row>
    <row r="13" spans="1:11" x14ac:dyDescent="0.2">
      <c r="A13" s="31" t="s">
        <v>197</v>
      </c>
      <c r="B13" s="64">
        <v>3</v>
      </c>
      <c r="C13" s="63">
        <v>1</v>
      </c>
      <c r="D13" s="55">
        <f>B13*C13</f>
        <v>3</v>
      </c>
      <c r="E13" s="56">
        <f>'Year 2 (2022)'!G12-'Year 2 (2022)'!G37</f>
        <v>466</v>
      </c>
      <c r="F13" s="56">
        <f>D13*E13</f>
        <v>1398</v>
      </c>
      <c r="G13" s="56">
        <f>F13*0.05</f>
        <v>69.900000000000006</v>
      </c>
      <c r="H13" s="56">
        <f>F13*0.1</f>
        <v>139.80000000000001</v>
      </c>
      <c r="I13" s="57">
        <f>F13*$B$25+G13*$B$26+H13*$B$27</f>
        <v>74653.200000000012</v>
      </c>
    </row>
    <row r="14" spans="1:11" x14ac:dyDescent="0.2">
      <c r="A14" s="31" t="s">
        <v>198</v>
      </c>
      <c r="B14" s="64">
        <v>3</v>
      </c>
      <c r="C14" s="63">
        <v>2</v>
      </c>
      <c r="D14" s="55">
        <f>B14*C14</f>
        <v>6</v>
      </c>
      <c r="E14" s="56">
        <f>'Year 2 (2022)'!G37</f>
        <v>56</v>
      </c>
      <c r="F14" s="56">
        <f>D14*E14</f>
        <v>336</v>
      </c>
      <c r="G14" s="56">
        <f>F14*0.05</f>
        <v>16.8</v>
      </c>
      <c r="H14" s="56">
        <f>F14*0.1</f>
        <v>33.6</v>
      </c>
      <c r="I14" s="57">
        <f>F14*$B$25+G14*$B$26+H14*$B$27</f>
        <v>17942.400000000001</v>
      </c>
    </row>
    <row r="15" spans="1:11" x14ac:dyDescent="0.2">
      <c r="A15" s="172" t="s">
        <v>199</v>
      </c>
      <c r="B15" s="32"/>
      <c r="C15" s="33"/>
      <c r="D15" s="58"/>
      <c r="E15" s="59"/>
      <c r="F15" s="60">
        <f>SUM(F12:F14)</f>
        <v>1738</v>
      </c>
      <c r="G15" s="60">
        <f>SUM(G12:G14)</f>
        <v>86.9</v>
      </c>
      <c r="H15" s="60">
        <f>SUM(H12:H14)</f>
        <v>173.8</v>
      </c>
      <c r="I15" s="174">
        <f>SUM(I12:I14)</f>
        <v>92809.200000000012</v>
      </c>
      <c r="K15" s="9"/>
    </row>
    <row r="16" spans="1:11" ht="13.5" thickBot="1" x14ac:dyDescent="0.25">
      <c r="A16" s="173"/>
      <c r="B16" s="34"/>
      <c r="C16" s="35"/>
      <c r="D16" s="61"/>
      <c r="E16" s="62" t="s">
        <v>200</v>
      </c>
      <c r="F16" s="176">
        <f>SUM(F15:H15)</f>
        <v>1998.7</v>
      </c>
      <c r="G16" s="177"/>
      <c r="H16" s="178"/>
      <c r="I16" s="175"/>
    </row>
    <row r="17" spans="1:11" ht="42" customHeight="1" x14ac:dyDescent="0.2">
      <c r="A17" s="144" t="s">
        <v>201</v>
      </c>
      <c r="B17" s="168"/>
      <c r="C17" s="168"/>
      <c r="D17" s="168"/>
      <c r="E17" s="168"/>
      <c r="F17" s="168"/>
      <c r="G17" s="168"/>
      <c r="H17" s="168"/>
      <c r="I17" s="168"/>
      <c r="J17" s="138"/>
      <c r="K17" s="138"/>
    </row>
    <row r="18" spans="1:11" ht="24.6" customHeight="1" x14ac:dyDescent="0.2">
      <c r="A18" s="169"/>
      <c r="B18" s="168"/>
      <c r="C18" s="168"/>
      <c r="D18" s="168"/>
      <c r="E18" s="168"/>
      <c r="F18" s="168"/>
      <c r="G18" s="168"/>
      <c r="H18" s="168"/>
      <c r="I18" s="168"/>
    </row>
    <row r="19" spans="1:11" ht="15" x14ac:dyDescent="0.2">
      <c r="A19" s="36"/>
      <c r="B19" s="36"/>
      <c r="C19" s="36"/>
      <c r="D19" s="36"/>
      <c r="E19" s="36"/>
      <c r="F19" s="36"/>
      <c r="G19" s="36"/>
      <c r="I19" s="9"/>
    </row>
    <row r="24" spans="1:11" x14ac:dyDescent="0.2">
      <c r="A24" s="42" t="s">
        <v>202</v>
      </c>
      <c r="B24" s="43" t="s">
        <v>203</v>
      </c>
      <c r="C24" s="42"/>
      <c r="D24" s="44" t="s">
        <v>204</v>
      </c>
    </row>
    <row r="25" spans="1:11" x14ac:dyDescent="0.2">
      <c r="A25" s="45" t="s">
        <v>205</v>
      </c>
      <c r="B25" s="46">
        <f>29.76*1.6</f>
        <v>47.616000000000007</v>
      </c>
      <c r="C25" s="45"/>
      <c r="D25" s="45" t="s">
        <v>206</v>
      </c>
    </row>
    <row r="26" spans="1:11" x14ac:dyDescent="0.2">
      <c r="A26" s="45" t="s">
        <v>207</v>
      </c>
      <c r="B26" s="46">
        <f>40.1*1.6</f>
        <v>64.160000000000011</v>
      </c>
      <c r="C26" s="45"/>
      <c r="D26" s="45" t="s">
        <v>208</v>
      </c>
    </row>
    <row r="27" spans="1:11" x14ac:dyDescent="0.2">
      <c r="A27" s="45" t="s">
        <v>209</v>
      </c>
      <c r="B27" s="46">
        <f>16.1*1.6</f>
        <v>25.760000000000005</v>
      </c>
      <c r="C27" s="45"/>
      <c r="D27" s="45" t="s">
        <v>210</v>
      </c>
    </row>
    <row r="28" spans="1:11" x14ac:dyDescent="0.2">
      <c r="A28" s="45"/>
      <c r="B28" s="45"/>
      <c r="C28" s="45"/>
      <c r="D28" s="45"/>
    </row>
    <row r="29" spans="1:11" x14ac:dyDescent="0.2">
      <c r="A29" s="45" t="s">
        <v>211</v>
      </c>
      <c r="B29" s="45"/>
      <c r="C29" s="45"/>
      <c r="D29" s="45"/>
    </row>
  </sheetData>
  <mergeCells count="9">
    <mergeCell ref="A17:I17"/>
    <mergeCell ref="A18:I18"/>
    <mergeCell ref="A1:I1"/>
    <mergeCell ref="A2:I2"/>
    <mergeCell ref="A3:I3"/>
    <mergeCell ref="A4:I4"/>
    <mergeCell ref="A15:A16"/>
    <mergeCell ref="I15:I16"/>
    <mergeCell ref="F16:H16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14E6-6A92-4A45-8BEF-C4FF430EF4CF}">
  <dimension ref="A1:K29"/>
  <sheetViews>
    <sheetView zoomScale="75" zoomScaleNormal="75" workbookViewId="0">
      <selection activeCell="L9" sqref="L9"/>
    </sheetView>
  </sheetViews>
  <sheetFormatPr defaultColWidth="9.33203125" defaultRowHeight="12.75" x14ac:dyDescent="0.2"/>
  <cols>
    <col min="1" max="1" width="47.1640625" style="8" customWidth="1"/>
    <col min="2" max="9" width="12.83203125" style="8" customWidth="1"/>
    <col min="10" max="16384" width="9.33203125" style="8"/>
  </cols>
  <sheetData>
    <row r="1" spans="1:11" ht="15.75" x14ac:dyDescent="0.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39"/>
      <c r="K1" s="39"/>
    </row>
    <row r="2" spans="1:11" ht="15.75" x14ac:dyDescent="0.25">
      <c r="A2" s="170" t="s">
        <v>213</v>
      </c>
      <c r="B2" s="170"/>
      <c r="C2" s="170"/>
      <c r="D2" s="170"/>
      <c r="E2" s="170"/>
      <c r="F2" s="170"/>
      <c r="G2" s="170"/>
      <c r="H2" s="170"/>
      <c r="I2" s="170"/>
    </row>
    <row r="3" spans="1:11" customFormat="1" ht="15.75" x14ac:dyDescent="0.2">
      <c r="A3" s="157" t="s">
        <v>4</v>
      </c>
      <c r="B3" s="157"/>
      <c r="C3" s="157"/>
      <c r="D3" s="157"/>
      <c r="E3" s="157"/>
      <c r="F3" s="157"/>
      <c r="G3" s="157"/>
      <c r="H3" s="157"/>
      <c r="I3" s="157"/>
    </row>
    <row r="4" spans="1:11" ht="16.5" thickBot="1" x14ac:dyDescent="0.25">
      <c r="A4" s="171" t="s">
        <v>7</v>
      </c>
      <c r="B4" s="171"/>
      <c r="C4" s="171"/>
      <c r="D4" s="171"/>
      <c r="E4" s="171"/>
      <c r="F4" s="171"/>
      <c r="G4" s="171"/>
      <c r="H4" s="171"/>
      <c r="I4" s="171"/>
    </row>
    <row r="5" spans="1:11" ht="14.1" customHeight="1" x14ac:dyDescent="0.2">
      <c r="A5" s="10"/>
      <c r="B5" s="11" t="s">
        <v>11</v>
      </c>
      <c r="C5" s="12" t="s">
        <v>12</v>
      </c>
      <c r="D5" s="13" t="s">
        <v>173</v>
      </c>
      <c r="E5" s="12" t="s">
        <v>14</v>
      </c>
      <c r="F5" s="12" t="s">
        <v>15</v>
      </c>
      <c r="G5" s="12" t="s">
        <v>16</v>
      </c>
      <c r="H5" s="12" t="s">
        <v>17</v>
      </c>
      <c r="I5" s="14" t="s">
        <v>18</v>
      </c>
    </row>
    <row r="6" spans="1:11" ht="14.1" customHeight="1" x14ac:dyDescent="0.2">
      <c r="A6" s="15"/>
      <c r="B6" s="16" t="s">
        <v>174</v>
      </c>
      <c r="C6" s="17" t="s">
        <v>175</v>
      </c>
      <c r="D6" s="16" t="s">
        <v>174</v>
      </c>
      <c r="E6" s="16" t="s">
        <v>176</v>
      </c>
      <c r="F6" s="16" t="s">
        <v>5</v>
      </c>
      <c r="G6" s="16" t="s">
        <v>177</v>
      </c>
      <c r="H6" s="16" t="s">
        <v>19</v>
      </c>
      <c r="I6" s="18" t="s">
        <v>178</v>
      </c>
    </row>
    <row r="7" spans="1:11" ht="14.1" customHeight="1" x14ac:dyDescent="0.2">
      <c r="A7" s="15"/>
      <c r="B7" s="16" t="s">
        <v>179</v>
      </c>
      <c r="C7" s="17" t="s">
        <v>180</v>
      </c>
      <c r="D7" s="16" t="s">
        <v>179</v>
      </c>
      <c r="E7" s="16" t="s">
        <v>181</v>
      </c>
      <c r="F7" s="16" t="s">
        <v>182</v>
      </c>
      <c r="G7" s="16" t="s">
        <v>182</v>
      </c>
      <c r="H7" s="16" t="s">
        <v>183</v>
      </c>
      <c r="I7" s="18"/>
    </row>
    <row r="8" spans="1:11" ht="14.1" customHeight="1" x14ac:dyDescent="0.2">
      <c r="A8" s="15"/>
      <c r="B8" s="16" t="s">
        <v>184</v>
      </c>
      <c r="C8" s="17" t="s">
        <v>185</v>
      </c>
      <c r="D8" s="16" t="s">
        <v>186</v>
      </c>
      <c r="E8" s="16" t="s">
        <v>187</v>
      </c>
      <c r="F8" s="16" t="s">
        <v>188</v>
      </c>
      <c r="G8" s="16" t="s">
        <v>188</v>
      </c>
      <c r="H8" s="16" t="s">
        <v>179</v>
      </c>
      <c r="I8" s="18"/>
    </row>
    <row r="9" spans="1:11" ht="14.1" customHeight="1" x14ac:dyDescent="0.2">
      <c r="A9" s="15"/>
      <c r="B9" s="19"/>
      <c r="C9" s="17" t="s">
        <v>188</v>
      </c>
      <c r="D9" s="16" t="s">
        <v>189</v>
      </c>
      <c r="E9" s="16"/>
      <c r="F9" s="16" t="s">
        <v>190</v>
      </c>
      <c r="G9" s="16" t="s">
        <v>191</v>
      </c>
      <c r="H9" s="16" t="s">
        <v>189</v>
      </c>
      <c r="I9" s="18"/>
    </row>
    <row r="10" spans="1:11" ht="14.1" customHeight="1" x14ac:dyDescent="0.2">
      <c r="A10" s="20" t="s">
        <v>192</v>
      </c>
      <c r="B10" s="21"/>
      <c r="C10" s="22"/>
      <c r="D10" s="23" t="s">
        <v>193</v>
      </c>
      <c r="E10" s="23"/>
      <c r="F10" s="23"/>
      <c r="G10" s="23"/>
      <c r="H10" s="23" t="s">
        <v>194</v>
      </c>
      <c r="I10" s="24"/>
    </row>
    <row r="11" spans="1:11" x14ac:dyDescent="0.2">
      <c r="A11" s="15" t="s">
        <v>195</v>
      </c>
      <c r="B11" s="25"/>
      <c r="C11" s="26"/>
      <c r="D11" s="27"/>
      <c r="E11" s="28"/>
      <c r="F11" s="28"/>
      <c r="G11" s="28"/>
      <c r="H11" s="27"/>
      <c r="I11" s="29"/>
    </row>
    <row r="12" spans="1:11" x14ac:dyDescent="0.2">
      <c r="A12" s="30" t="s">
        <v>196</v>
      </c>
      <c r="B12" s="63">
        <v>0.5</v>
      </c>
      <c r="C12" s="63">
        <v>1</v>
      </c>
      <c r="D12" s="55">
        <f>B12*C12</f>
        <v>0.5</v>
      </c>
      <c r="E12" s="56">
        <f>'Year 3 (2023)'!G15</f>
        <v>8</v>
      </c>
      <c r="F12" s="56">
        <f>D12*E12</f>
        <v>4</v>
      </c>
      <c r="G12" s="56">
        <f>F12*0.05</f>
        <v>0.2</v>
      </c>
      <c r="H12" s="56">
        <f>F12*0.1</f>
        <v>0.4</v>
      </c>
      <c r="I12" s="57">
        <f>F12*$B$25+G12*$B$26+H12*$B$27</f>
        <v>213.60000000000002</v>
      </c>
    </row>
    <row r="13" spans="1:11" x14ac:dyDescent="0.2">
      <c r="A13" s="31" t="s">
        <v>197</v>
      </c>
      <c r="B13" s="64">
        <v>3</v>
      </c>
      <c r="C13" s="63">
        <v>1</v>
      </c>
      <c r="D13" s="55">
        <f>B13*C13</f>
        <v>3</v>
      </c>
      <c r="E13" s="56">
        <f>'Year 3 (2023)'!G12-'Year 3 (2023)'!G37</f>
        <v>474</v>
      </c>
      <c r="F13" s="56">
        <f>D13*E13</f>
        <v>1422</v>
      </c>
      <c r="G13" s="56">
        <f>F13*0.05</f>
        <v>71.100000000000009</v>
      </c>
      <c r="H13" s="56">
        <f>F13*0.1</f>
        <v>142.20000000000002</v>
      </c>
      <c r="I13" s="57">
        <f>F13*$B$25+G13*$B$26+H13*$B$27</f>
        <v>75934.8</v>
      </c>
    </row>
    <row r="14" spans="1:11" x14ac:dyDescent="0.2">
      <c r="A14" s="31" t="s">
        <v>198</v>
      </c>
      <c r="B14" s="64">
        <v>3</v>
      </c>
      <c r="C14" s="63">
        <v>2</v>
      </c>
      <c r="D14" s="55">
        <f>B14*C14</f>
        <v>6</v>
      </c>
      <c r="E14" s="56">
        <f>'Year 3 (2023)'!G37</f>
        <v>63</v>
      </c>
      <c r="F14" s="56">
        <f>D14*E14</f>
        <v>378</v>
      </c>
      <c r="G14" s="56">
        <f>F14*0.05</f>
        <v>18.900000000000002</v>
      </c>
      <c r="H14" s="56">
        <f>F14*0.1</f>
        <v>37.800000000000004</v>
      </c>
      <c r="I14" s="57">
        <f>F14*$B$25+G14*$B$26+H14*$B$27</f>
        <v>20185.2</v>
      </c>
    </row>
    <row r="15" spans="1:11" x14ac:dyDescent="0.2">
      <c r="A15" s="172" t="s">
        <v>199</v>
      </c>
      <c r="B15" s="32"/>
      <c r="C15" s="33"/>
      <c r="D15" s="58"/>
      <c r="E15" s="59"/>
      <c r="F15" s="60">
        <f>SUM(F12:F14)</f>
        <v>1804</v>
      </c>
      <c r="G15" s="60">
        <f>SUM(G12:G14)</f>
        <v>90.200000000000017</v>
      </c>
      <c r="H15" s="60">
        <f>SUM(H12:H14)</f>
        <v>180.40000000000003</v>
      </c>
      <c r="I15" s="174">
        <f>SUM(I12:I14)</f>
        <v>96333.6</v>
      </c>
      <c r="K15" s="9"/>
    </row>
    <row r="16" spans="1:11" ht="13.5" thickBot="1" x14ac:dyDescent="0.25">
      <c r="A16" s="173"/>
      <c r="B16" s="34"/>
      <c r="C16" s="35"/>
      <c r="D16" s="61"/>
      <c r="E16" s="62" t="s">
        <v>200</v>
      </c>
      <c r="F16" s="176">
        <f>SUM(F15:H15)</f>
        <v>2074.6</v>
      </c>
      <c r="G16" s="177"/>
      <c r="H16" s="178"/>
      <c r="I16" s="175"/>
    </row>
    <row r="17" spans="1:11" ht="42" customHeight="1" x14ac:dyDescent="0.2">
      <c r="A17" s="144" t="s">
        <v>201</v>
      </c>
      <c r="B17" s="168"/>
      <c r="C17" s="168"/>
      <c r="D17" s="168"/>
      <c r="E17" s="168"/>
      <c r="F17" s="168"/>
      <c r="G17" s="168"/>
      <c r="H17" s="168"/>
      <c r="I17" s="168"/>
      <c r="J17" s="138"/>
      <c r="K17" s="138"/>
    </row>
    <row r="18" spans="1:11" ht="24.6" customHeight="1" x14ac:dyDescent="0.2">
      <c r="A18" s="169"/>
      <c r="B18" s="168"/>
      <c r="C18" s="168"/>
      <c r="D18" s="168"/>
      <c r="E18" s="168"/>
      <c r="F18" s="168"/>
      <c r="G18" s="168"/>
      <c r="H18" s="168"/>
      <c r="I18" s="168"/>
    </row>
    <row r="19" spans="1:11" ht="15" x14ac:dyDescent="0.2">
      <c r="A19" s="36"/>
      <c r="B19" s="36"/>
      <c r="C19" s="36"/>
      <c r="D19" s="36"/>
      <c r="E19" s="36"/>
      <c r="F19" s="36"/>
      <c r="G19" s="36"/>
      <c r="I19" s="9"/>
    </row>
    <row r="24" spans="1:11" x14ac:dyDescent="0.2">
      <c r="A24" s="42" t="s">
        <v>202</v>
      </c>
      <c r="B24" s="43" t="s">
        <v>203</v>
      </c>
      <c r="C24" s="42"/>
      <c r="D24" s="44" t="s">
        <v>204</v>
      </c>
    </row>
    <row r="25" spans="1:11" x14ac:dyDescent="0.2">
      <c r="A25" s="45" t="s">
        <v>205</v>
      </c>
      <c r="B25" s="46">
        <f>29.76*1.6</f>
        <v>47.616000000000007</v>
      </c>
      <c r="C25" s="45"/>
      <c r="D25" s="45" t="s">
        <v>206</v>
      </c>
    </row>
    <row r="26" spans="1:11" x14ac:dyDescent="0.2">
      <c r="A26" s="45" t="s">
        <v>207</v>
      </c>
      <c r="B26" s="46">
        <f>40.1*1.6</f>
        <v>64.160000000000011</v>
      </c>
      <c r="C26" s="45"/>
      <c r="D26" s="45" t="s">
        <v>208</v>
      </c>
    </row>
    <row r="27" spans="1:11" x14ac:dyDescent="0.2">
      <c r="A27" s="45" t="s">
        <v>209</v>
      </c>
      <c r="B27" s="46">
        <f>16.1*1.6</f>
        <v>25.760000000000005</v>
      </c>
      <c r="C27" s="45"/>
      <c r="D27" s="45" t="s">
        <v>210</v>
      </c>
    </row>
    <row r="28" spans="1:11" x14ac:dyDescent="0.2">
      <c r="A28" s="45"/>
      <c r="B28" s="45"/>
      <c r="C28" s="45"/>
      <c r="D28" s="45"/>
    </row>
    <row r="29" spans="1:11" x14ac:dyDescent="0.2">
      <c r="A29" s="45" t="s">
        <v>211</v>
      </c>
      <c r="B29" s="45"/>
      <c r="C29" s="45"/>
      <c r="D29" s="45"/>
    </row>
  </sheetData>
  <mergeCells count="9">
    <mergeCell ref="A17:I17"/>
    <mergeCell ref="A18:I18"/>
    <mergeCell ref="A1:I1"/>
    <mergeCell ref="A2:I2"/>
    <mergeCell ref="A3:I3"/>
    <mergeCell ref="A4:I4"/>
    <mergeCell ref="A15:A16"/>
    <mergeCell ref="I15:I16"/>
    <mergeCell ref="F16:H16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095C7-7CDF-4588-A621-4763BCD5F977}">
  <dimension ref="A1:K16"/>
  <sheetViews>
    <sheetView zoomScale="75" zoomScaleNormal="75" workbookViewId="0">
      <selection activeCell="E18" sqref="E18"/>
    </sheetView>
  </sheetViews>
  <sheetFormatPr defaultColWidth="9.33203125" defaultRowHeight="12.75" x14ac:dyDescent="0.2"/>
  <cols>
    <col min="1" max="6" width="20.83203125" style="8" customWidth="1"/>
    <col min="7" max="16384" width="9.33203125" style="8"/>
  </cols>
  <sheetData>
    <row r="1" spans="1:11" customFormat="1" ht="15.75" x14ac:dyDescent="0.2">
      <c r="A1" s="157" t="s">
        <v>0</v>
      </c>
      <c r="B1" s="157"/>
      <c r="C1" s="157"/>
      <c r="D1" s="157"/>
      <c r="E1" s="157"/>
      <c r="F1" s="157"/>
      <c r="G1" s="39"/>
      <c r="H1" s="39"/>
      <c r="I1" s="39"/>
      <c r="J1" s="39"/>
      <c r="K1" s="39"/>
    </row>
    <row r="2" spans="1:11" customFormat="1" ht="15.75" x14ac:dyDescent="0.25">
      <c r="A2" s="166" t="s">
        <v>214</v>
      </c>
      <c r="B2" s="166"/>
      <c r="C2" s="166"/>
      <c r="D2" s="166"/>
      <c r="E2" s="166"/>
      <c r="F2" s="166"/>
    </row>
    <row r="3" spans="1:11" customFormat="1" ht="15.75" x14ac:dyDescent="0.2">
      <c r="A3" s="157" t="s">
        <v>146</v>
      </c>
      <c r="B3" s="167"/>
      <c r="C3" s="167"/>
      <c r="D3" s="167"/>
      <c r="E3" s="167"/>
      <c r="F3" s="167"/>
      <c r="G3" s="137"/>
    </row>
    <row r="4" spans="1:11" ht="15.75" x14ac:dyDescent="0.2">
      <c r="A4" s="157" t="s">
        <v>147</v>
      </c>
      <c r="B4" s="167"/>
      <c r="C4" s="167"/>
      <c r="D4" s="167"/>
      <c r="E4" s="167"/>
      <c r="F4" s="167"/>
      <c r="G4" s="137"/>
    </row>
    <row r="5" spans="1:11" x14ac:dyDescent="0.2">
      <c r="A5" s="65"/>
      <c r="B5" s="65"/>
      <c r="C5" s="65"/>
      <c r="D5" s="65"/>
      <c r="E5" s="65"/>
      <c r="F5" s="65"/>
      <c r="G5" s="65"/>
    </row>
    <row r="6" spans="1:11" x14ac:dyDescent="0.2">
      <c r="A6" s="48" t="s">
        <v>149</v>
      </c>
      <c r="B6" s="48" t="s">
        <v>151</v>
      </c>
      <c r="C6" s="48" t="s">
        <v>152</v>
      </c>
      <c r="D6" s="48" t="s">
        <v>153</v>
      </c>
      <c r="E6" s="48" t="s">
        <v>154</v>
      </c>
      <c r="F6" s="48" t="s">
        <v>155</v>
      </c>
      <c r="G6" s="65"/>
    </row>
    <row r="7" spans="1:11" ht="15" customHeight="1" x14ac:dyDescent="0.2">
      <c r="A7" s="49" t="s">
        <v>161</v>
      </c>
      <c r="B7" s="50">
        <f>'Year 1 Agency (2021)'!F15</f>
        <v>1648</v>
      </c>
      <c r="C7" s="50">
        <f>'Year 1 Agency (2021)'!H15</f>
        <v>164.8</v>
      </c>
      <c r="D7" s="50">
        <f>'Year 1 Agency (2021)'!G15</f>
        <v>82.4</v>
      </c>
      <c r="E7" s="50">
        <f>SUM(B7:D7)</f>
        <v>1895.2</v>
      </c>
      <c r="F7" s="51">
        <f>'Year 1 Agency (2021)'!I15</f>
        <v>88003.200000000026</v>
      </c>
      <c r="G7" s="65"/>
    </row>
    <row r="8" spans="1:11" ht="15" customHeight="1" x14ac:dyDescent="0.2">
      <c r="A8" s="49" t="s">
        <v>163</v>
      </c>
      <c r="B8" s="50">
        <f>'Year 2 Agency (2022)'!F15</f>
        <v>1738</v>
      </c>
      <c r="C8" s="50">
        <f>'Year 2 Agency (2022)'!H15</f>
        <v>173.8</v>
      </c>
      <c r="D8" s="50">
        <f>'Year 2 Agency (2022)'!G15</f>
        <v>86.9</v>
      </c>
      <c r="E8" s="50">
        <f>SUM(B8:D8)</f>
        <v>1998.7</v>
      </c>
      <c r="F8" s="51">
        <f>'Year 2 Agency (2022)'!I15</f>
        <v>92809.200000000012</v>
      </c>
      <c r="G8" s="65"/>
    </row>
    <row r="9" spans="1:11" ht="15" customHeight="1" x14ac:dyDescent="0.2">
      <c r="A9" s="49" t="s">
        <v>165</v>
      </c>
      <c r="B9" s="50">
        <f>'Year 3 Agency (2023)'!F15</f>
        <v>1804</v>
      </c>
      <c r="C9" s="50">
        <f>'Year 3 Agency (2023)'!H15</f>
        <v>180.40000000000003</v>
      </c>
      <c r="D9" s="50">
        <f>'Year 3 Agency (2023)'!G15</f>
        <v>90.200000000000017</v>
      </c>
      <c r="E9" s="50">
        <f>SUM(B9:D9)</f>
        <v>2074.6</v>
      </c>
      <c r="F9" s="51">
        <f>'Year 3 Agency (2023)'!I15</f>
        <v>96333.6</v>
      </c>
      <c r="G9" s="65"/>
    </row>
    <row r="10" spans="1:11" ht="15" customHeight="1" x14ac:dyDescent="0.2">
      <c r="A10" s="49" t="s">
        <v>167</v>
      </c>
      <c r="B10" s="50">
        <f>SUM(B7:B9)</f>
        <v>5190</v>
      </c>
      <c r="C10" s="50">
        <f>SUM(C7:C9)</f>
        <v>519</v>
      </c>
      <c r="D10" s="50">
        <f>SUM(D7:D9)</f>
        <v>259.5</v>
      </c>
      <c r="E10" s="50">
        <f>SUM(E7:E9)</f>
        <v>5968.5</v>
      </c>
      <c r="F10" s="51">
        <f>SUM(F7:F9)</f>
        <v>277146</v>
      </c>
      <c r="G10" s="65"/>
    </row>
    <row r="11" spans="1:11" ht="15" customHeight="1" x14ac:dyDescent="0.2">
      <c r="A11" s="52" t="s">
        <v>169</v>
      </c>
      <c r="B11" s="53">
        <f>AVERAGE(B7:B9)</f>
        <v>1730</v>
      </c>
      <c r="C11" s="53">
        <f>AVERAGE(C7:C9)</f>
        <v>173</v>
      </c>
      <c r="D11" s="53">
        <f>AVERAGE(D7:D9)</f>
        <v>86.5</v>
      </c>
      <c r="E11" s="53">
        <f>AVERAGE(E7:E9)</f>
        <v>1989.5</v>
      </c>
      <c r="F11" s="54">
        <f>AVERAGE(F7:F9)</f>
        <v>92382</v>
      </c>
      <c r="G11" s="65"/>
    </row>
    <row r="12" spans="1:11" x14ac:dyDescent="0.2">
      <c r="A12" s="65"/>
      <c r="B12" s="65"/>
      <c r="C12" s="65"/>
      <c r="D12" s="65"/>
      <c r="E12" s="65"/>
      <c r="F12" s="65"/>
      <c r="G12" s="65"/>
    </row>
    <row r="13" spans="1:11" x14ac:dyDescent="0.2">
      <c r="A13" s="65"/>
      <c r="B13" s="65"/>
      <c r="C13" s="65"/>
      <c r="D13" s="65"/>
      <c r="E13" s="65"/>
      <c r="F13" s="65"/>
      <c r="G13" s="65"/>
    </row>
    <row r="14" spans="1:11" x14ac:dyDescent="0.2">
      <c r="A14" s="65"/>
      <c r="B14" s="65"/>
      <c r="C14" s="65"/>
      <c r="D14" s="65"/>
      <c r="E14" s="65"/>
      <c r="F14" s="65"/>
      <c r="G14" s="65"/>
    </row>
    <row r="15" spans="1:11" x14ac:dyDescent="0.2">
      <c r="A15" s="65"/>
      <c r="B15" s="65"/>
      <c r="C15" s="65"/>
      <c r="D15" s="65"/>
      <c r="E15" s="65"/>
      <c r="F15" s="65"/>
      <c r="G15" s="65"/>
    </row>
    <row r="16" spans="1:11" x14ac:dyDescent="0.2">
      <c r="A16" s="65"/>
      <c r="B16" s="65"/>
      <c r="C16" s="65"/>
      <c r="D16" s="65"/>
      <c r="E16" s="65"/>
      <c r="F16" s="65"/>
      <c r="G16" s="6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Year 1 (2021)</vt:lpstr>
      <vt:lpstr>Year 2 (2022)</vt:lpstr>
      <vt:lpstr>Year 3 (2023)</vt:lpstr>
      <vt:lpstr>Populations</vt:lpstr>
      <vt:lpstr>3-yr Average Resp (2021-2023)</vt:lpstr>
      <vt:lpstr>Year 1 Agency (2021)</vt:lpstr>
      <vt:lpstr>Year 2 Agency (2022)</vt:lpstr>
      <vt:lpstr>Year 3 Agency (2023)</vt:lpstr>
      <vt:lpstr>3-yr Average Agency (2021-2023)</vt:lpstr>
    </vt:vector>
  </TitlesOfParts>
  <Manager/>
  <Company>Midwest Research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Shrager</dc:creator>
  <cp:keywords/>
  <dc:description/>
  <cp:lastModifiedBy>Schultz, Eric</cp:lastModifiedBy>
  <cp:revision/>
  <dcterms:created xsi:type="dcterms:W3CDTF">1999-11-18T17:06:56Z</dcterms:created>
  <dcterms:modified xsi:type="dcterms:W3CDTF">2023-08-15T13:37:36Z</dcterms:modified>
  <cp:category/>
  <cp:contentStatus/>
</cp:coreProperties>
</file>