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41BA87CF-1605-4AA5-B535-EE11B166B2FE}" xr6:coauthVersionLast="47" xr6:coauthVersionMax="47" xr10:uidLastSave="{00000000-0000-0000-0000-000000000000}"/>
  <bookViews>
    <workbookView xWindow="-110" yWindow="-110" windowWidth="19420" windowHeight="10300" xr2:uid="{96DE058B-D098-4CE9-9E14-B8F7844C5F75}"/>
  </bookViews>
  <sheets>
    <sheet name="Summary" sheetId="7" r:id="rId1"/>
    <sheet name="Table 1" sheetId="1" r:id="rId2"/>
    <sheet name="Table 2" sheetId="2" r:id="rId3"/>
    <sheet name="Capital O&amp;M" sheetId="6" r:id="rId4"/>
    <sheet name="Responses" sheetId="5" r:id="rId5"/>
    <sheet name="Respondents"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1" l="1"/>
  <c r="K11" i="6"/>
  <c r="E14" i="5"/>
  <c r="E13" i="5"/>
  <c r="E12" i="5"/>
  <c r="E15" i="5" s="1"/>
  <c r="E11" i="5"/>
  <c r="E7" i="5"/>
  <c r="E4" i="5"/>
  <c r="E9" i="6" l="1"/>
  <c r="B5" i="6"/>
  <c r="E6" i="6"/>
  <c r="E8" i="6"/>
  <c r="E7" i="6"/>
  <c r="B9" i="6"/>
  <c r="E10" i="6"/>
  <c r="B6" i="6"/>
  <c r="B8" i="6"/>
  <c r="E5" i="6"/>
  <c r="I64" i="1"/>
  <c r="F64" i="1"/>
  <c r="I8" i="1"/>
  <c r="G18" i="1"/>
  <c r="G17" i="1"/>
  <c r="G15" i="1"/>
  <c r="G14" i="1"/>
  <c r="G13" i="1"/>
  <c r="G8" i="1"/>
  <c r="E54" i="1"/>
  <c r="E43" i="1"/>
  <c r="E36" i="1"/>
  <c r="E35" i="1"/>
  <c r="F8" i="4"/>
  <c r="C8" i="4"/>
  <c r="F5" i="4"/>
  <c r="B7" i="7" l="1"/>
  <c r="B3" i="7"/>
  <c r="G10" i="6"/>
  <c r="G8" i="6"/>
  <c r="G5" i="6"/>
  <c r="D9" i="6"/>
  <c r="D10" i="6"/>
  <c r="D5" i="6" l="1"/>
  <c r="D6" i="6"/>
  <c r="G6" i="6"/>
  <c r="D7" i="6"/>
  <c r="G7" i="6"/>
  <c r="D8" i="6"/>
  <c r="G9" i="6"/>
  <c r="E5" i="5"/>
  <c r="E6" i="5"/>
  <c r="E8" i="5"/>
  <c r="E40" i="1"/>
  <c r="E39" i="1"/>
  <c r="E33" i="1"/>
  <c r="E31" i="1"/>
  <c r="E30" i="1"/>
  <c r="E28" i="1"/>
  <c r="E27" i="1"/>
  <c r="E26" i="1"/>
  <c r="E21" i="1"/>
  <c r="E20" i="1"/>
  <c r="E17" i="1"/>
  <c r="E15" i="1"/>
  <c r="E14" i="1"/>
  <c r="E13" i="1"/>
  <c r="E61" i="1"/>
  <c r="F6" i="4"/>
  <c r="F7" i="4"/>
  <c r="B8" i="4"/>
  <c r="E16" i="2"/>
  <c r="G11" i="6" l="1"/>
  <c r="D11" i="6"/>
  <c r="I11" i="6" s="1"/>
  <c r="E9" i="5"/>
  <c r="E10" i="5"/>
  <c r="B6" i="7" l="1"/>
  <c r="E58" i="1"/>
  <c r="E57" i="1"/>
  <c r="E59" i="1"/>
  <c r="D19" i="2" l="1"/>
  <c r="F19" i="2" s="1"/>
  <c r="D18" i="2"/>
  <c r="D17" i="2"/>
  <c r="D16" i="2"/>
  <c r="D15" i="2"/>
  <c r="F15" i="2" s="1"/>
  <c r="D14" i="2"/>
  <c r="F14" i="2" s="1"/>
  <c r="D13" i="2"/>
  <c r="F13" i="2" s="1"/>
  <c r="D9" i="2"/>
  <c r="D8" i="2"/>
  <c r="F8" i="2" s="1"/>
  <c r="D6" i="2"/>
  <c r="F6" i="2" s="1"/>
  <c r="D61" i="1"/>
  <c r="F61" i="1" s="1"/>
  <c r="D59" i="1"/>
  <c r="D58" i="1"/>
  <c r="D57" i="1"/>
  <c r="D54" i="1"/>
  <c r="D53" i="1"/>
  <c r="D52" i="1"/>
  <c r="D43" i="1"/>
  <c r="D42" i="1"/>
  <c r="D41" i="1"/>
  <c r="D40" i="1"/>
  <c r="D39" i="1"/>
  <c r="F39" i="1" s="1"/>
  <c r="D36" i="1"/>
  <c r="F36" i="1" s="1"/>
  <c r="D35" i="1"/>
  <c r="F35" i="1" s="1"/>
  <c r="D33" i="1"/>
  <c r="F33" i="1" s="1"/>
  <c r="D31" i="1"/>
  <c r="F31" i="1" s="1"/>
  <c r="D30" i="1"/>
  <c r="F30" i="1" s="1"/>
  <c r="D28" i="1"/>
  <c r="F28" i="1" s="1"/>
  <c r="D27" i="1"/>
  <c r="F27" i="1" s="1"/>
  <c r="D26" i="1"/>
  <c r="F26" i="1" s="1"/>
  <c r="D21" i="1"/>
  <c r="D20" i="1"/>
  <c r="F20" i="1" s="1"/>
  <c r="D18" i="1"/>
  <c r="F18" i="1" s="1"/>
  <c r="D17" i="1"/>
  <c r="D15" i="1"/>
  <c r="D14" i="1"/>
  <c r="F14" i="1" s="1"/>
  <c r="D13" i="1"/>
  <c r="F13" i="1" s="1"/>
  <c r="D8" i="1"/>
  <c r="H13" i="2" l="1"/>
  <c r="G61" i="1"/>
  <c r="G33" i="1"/>
  <c r="F15" i="1"/>
  <c r="F40" i="1"/>
  <c r="H40" i="1" s="1"/>
  <c r="F17" i="1"/>
  <c r="F21" i="1"/>
  <c r="H61" i="1"/>
  <c r="H33" i="1"/>
  <c r="H18" i="1"/>
  <c r="H15" i="2"/>
  <c r="G15" i="2"/>
  <c r="G6" i="2"/>
  <c r="H6" i="2"/>
  <c r="H8" i="2"/>
  <c r="G8" i="2"/>
  <c r="H19" i="2"/>
  <c r="G19" i="2"/>
  <c r="H14" i="2"/>
  <c r="G14" i="2"/>
  <c r="G13" i="2"/>
  <c r="I13" i="2" s="1"/>
  <c r="H27" i="1"/>
  <c r="G27" i="1"/>
  <c r="G28" i="1"/>
  <c r="H28" i="1"/>
  <c r="H14" i="1"/>
  <c r="G35" i="1"/>
  <c r="H35" i="1"/>
  <c r="H26" i="1"/>
  <c r="G26" i="1"/>
  <c r="H39" i="1"/>
  <c r="G39" i="1"/>
  <c r="H13" i="1"/>
  <c r="G20" i="1"/>
  <c r="H20" i="1"/>
  <c r="H31" i="1"/>
  <c r="G31" i="1"/>
  <c r="I31" i="1" s="1"/>
  <c r="G36" i="1"/>
  <c r="H36" i="1"/>
  <c r="G30" i="1"/>
  <c r="H30" i="1"/>
  <c r="I19" i="2" l="1"/>
  <c r="I8" i="2"/>
  <c r="I26" i="1"/>
  <c r="I6" i="2"/>
  <c r="I14" i="2"/>
  <c r="I15" i="2"/>
  <c r="I35" i="1"/>
  <c r="I18" i="1"/>
  <c r="I39" i="1"/>
  <c r="I13" i="1"/>
  <c r="I14" i="1"/>
  <c r="I61" i="1"/>
  <c r="I27" i="1"/>
  <c r="I30" i="1"/>
  <c r="I28" i="1"/>
  <c r="I36" i="1"/>
  <c r="I20" i="1"/>
  <c r="I33" i="1"/>
  <c r="G21" i="1"/>
  <c r="H21" i="1"/>
  <c r="H17" i="1"/>
  <c r="H15" i="1"/>
  <c r="E53" i="1"/>
  <c r="F53" i="1" s="1"/>
  <c r="E52" i="1"/>
  <c r="F52" i="1" s="1"/>
  <c r="F57" i="1"/>
  <c r="F59" i="1"/>
  <c r="F58" i="1"/>
  <c r="G40" i="1"/>
  <c r="I40" i="1" s="1"/>
  <c r="F8" i="1"/>
  <c r="F42" i="1"/>
  <c r="F41" i="1" l="1"/>
  <c r="E18" i="2"/>
  <c r="F54" i="1"/>
  <c r="G54" i="1" s="1"/>
  <c r="F43" i="1"/>
  <c r="E9" i="2"/>
  <c r="F9" i="2" s="1"/>
  <c r="E17" i="2"/>
  <c r="I17" i="1"/>
  <c r="F18" i="2"/>
  <c r="I21" i="1"/>
  <c r="I15" i="1"/>
  <c r="H43" i="1"/>
  <c r="G43" i="1"/>
  <c r="H58" i="1"/>
  <c r="G58" i="1"/>
  <c r="H59" i="1"/>
  <c r="G59" i="1"/>
  <c r="G57" i="1"/>
  <c r="H57" i="1"/>
  <c r="H52" i="1"/>
  <c r="G52" i="1"/>
  <c r="H42" i="1"/>
  <c r="G42" i="1"/>
  <c r="H8" i="1"/>
  <c r="H53" i="1"/>
  <c r="G53" i="1"/>
  <c r="H54" i="1"/>
  <c r="H41" i="1" l="1"/>
  <c r="F44" i="1"/>
  <c r="F65" i="1" s="1"/>
  <c r="K67" i="1" s="1"/>
  <c r="G41" i="1"/>
  <c r="H9" i="2"/>
  <c r="G9" i="2"/>
  <c r="F17" i="2"/>
  <c r="F16" i="2"/>
  <c r="G18" i="2"/>
  <c r="F20" i="2" s="1"/>
  <c r="H18" i="2"/>
  <c r="I52" i="1"/>
  <c r="I43" i="1"/>
  <c r="I42" i="1"/>
  <c r="I57" i="1"/>
  <c r="I59" i="1"/>
  <c r="I53" i="1"/>
  <c r="I41" i="1"/>
  <c r="I44" i="1" s="1"/>
  <c r="I65" i="1" s="1"/>
  <c r="I67" i="1" s="1"/>
  <c r="I54" i="1"/>
  <c r="I58" i="1"/>
  <c r="I18" i="2" l="1"/>
  <c r="I20" i="2" s="1"/>
  <c r="G16" i="2"/>
  <c r="H16" i="2"/>
  <c r="H17" i="2"/>
  <c r="G17" i="2"/>
  <c r="I9" i="2"/>
  <c r="B4" i="7" l="1"/>
  <c r="B2" i="7"/>
  <c r="I17" i="2"/>
  <c r="B5" i="7"/>
  <c r="I16" i="2"/>
</calcChain>
</file>

<file path=xl/sharedStrings.xml><?xml version="1.0" encoding="utf-8"?>
<sst xmlns="http://schemas.openxmlformats.org/spreadsheetml/2006/main" count="248" uniqueCount="195">
  <si>
    <t>(A)</t>
  </si>
  <si>
    <t>Information Collection Activity</t>
  </si>
  <si>
    <t>(B)</t>
  </si>
  <si>
    <t>Number of Respondents</t>
  </si>
  <si>
    <t>(C)</t>
  </si>
  <si>
    <t>Number of Responses</t>
  </si>
  <si>
    <t>(D)</t>
  </si>
  <si>
    <t>Number of Existing Respondents That Keep Records But Do Not Submit Reports</t>
  </si>
  <si>
    <t>(E)</t>
  </si>
  <si>
    <t>Total</t>
  </si>
  <si>
    <t>Total Annual Responses E=(BxC)+D</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</si>
  <si>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</si>
  <si>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</si>
  <si>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</si>
  <si>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</si>
  <si>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</si>
  <si>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</si>
  <si>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</si>
  <si>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Number of Respondents (E=A+B+C-D)</t>
  </si>
  <si>
    <t>Continuous Monitoring Device</t>
  </si>
  <si>
    <t>(F)</t>
  </si>
  <si>
    <t>(G)</t>
  </si>
  <si>
    <t>Burden Item</t>
  </si>
  <si>
    <t>1. Applications</t>
  </si>
  <si>
    <t>N/A</t>
  </si>
  <si>
    <t>3. Reporting Requirements</t>
  </si>
  <si>
    <t>(H)</t>
  </si>
  <si>
    <t>Assumptions:</t>
  </si>
  <si>
    <t>B. Required Activities</t>
  </si>
  <si>
    <t>See 3B</t>
  </si>
  <si>
    <t>C. Create Information</t>
  </si>
  <si>
    <t>D. Gather Information</t>
  </si>
  <si>
    <t>See 3E</t>
  </si>
  <si>
    <t>E. Report Preparation</t>
  </si>
  <si>
    <t>Subtotal for Reporting Requirements</t>
  </si>
  <si>
    <t>4. Recordkeeping Requirements</t>
  </si>
  <si>
    <t>A. Familiarize with regulatory requirements</t>
  </si>
  <si>
    <t>See 3A</t>
  </si>
  <si>
    <t>B. Plan Activities</t>
  </si>
  <si>
    <t>C. Implement Activities</t>
  </si>
  <si>
    <t>D. Develop Record System</t>
  </si>
  <si>
    <t>E. Record Information</t>
  </si>
  <si>
    <t>1) Records of operating parameters</t>
  </si>
  <si>
    <t>5) Records of stack tests</t>
  </si>
  <si>
    <t>6) Records of siting analysis</t>
  </si>
  <si>
    <t>F. Personnel Training</t>
  </si>
  <si>
    <t>G. Time for Audits</t>
  </si>
  <si>
    <t>Subtotal for Recordkeeping Requirements</t>
  </si>
  <si>
    <t>7) Records of persons who have reviewed operating procedures</t>
  </si>
  <si>
    <t>8) Records of persons who have completed operator training</t>
  </si>
  <si>
    <t>10) Records of monitoring device calibration</t>
  </si>
  <si>
    <t>Labor Rates</t>
  </si>
  <si>
    <t>Management</t>
  </si>
  <si>
    <t>Technical</t>
  </si>
  <si>
    <t>Clerical</t>
  </si>
  <si>
    <t>Bag Leak Detectors</t>
  </si>
  <si>
    <t>CO CEMS</t>
  </si>
  <si>
    <t>ACI Monitors</t>
  </si>
  <si>
    <t>Stack Tests</t>
  </si>
  <si>
    <t>4) Report of initial CMS demonstration</t>
  </si>
  <si>
    <t>7) Report of initial stack test</t>
  </si>
  <si>
    <t>8) Report established values for site-specific operating parameters</t>
  </si>
  <si>
    <t xml:space="preserve">(A) </t>
  </si>
  <si>
    <t xml:space="preserve">(B) </t>
  </si>
  <si>
    <t xml:space="preserve">(C) </t>
  </si>
  <si>
    <t xml:space="preserve">(D) </t>
  </si>
  <si>
    <t xml:space="preserve">(E) </t>
  </si>
  <si>
    <t xml:space="preserve">(F) </t>
  </si>
  <si>
    <t xml:space="preserve">(G) </t>
  </si>
  <si>
    <t xml:space="preserve">Respondent Hours per Occurrence </t>
  </si>
  <si>
    <t>Number of Occurrences Per Respondent Per Year</t>
  </si>
  <si>
    <t>Hours Per Respondent Per Year 
(C=AxB)</t>
  </si>
  <si>
    <t>Technical Hours Per Year 
(E=CxD)</t>
  </si>
  <si>
    <t>Management Hours Per Year 
(F=Ex0.05)</t>
  </si>
  <si>
    <t>Clerical Hours Per Year 
(G=Ex0.1)</t>
  </si>
  <si>
    <t>2. Surveys and Studies</t>
  </si>
  <si>
    <t>1) Initial stack test and report (PM, dioxins/furans, opacity, HCl, Cd, Pb, Hg, CO, NOx, and SO2)</t>
  </si>
  <si>
    <t>See Capital/ Startup Costs</t>
  </si>
  <si>
    <t>2) Annual stack test and test report (PM, HCl, Opacity, and Fugitive Ash)</t>
  </si>
  <si>
    <t>See O&amp;M Costs</t>
  </si>
  <si>
    <t xml:space="preserve">3) Operator training and qualification      </t>
  </si>
  <si>
    <t>c) Annual refresher course</t>
  </si>
  <si>
    <t>d) Initial review of site-specific information</t>
  </si>
  <si>
    <t>e) Annual review of site-specific information</t>
  </si>
  <si>
    <t xml:space="preserve">5) Continuous parameter monitoring (including CEMS)  </t>
  </si>
  <si>
    <t>a) Initial monitoring</t>
  </si>
  <si>
    <t>b) Annual monitoring</t>
  </si>
  <si>
    <t>a) Pollutants, fugitive ash emissions</t>
  </si>
  <si>
    <t>b) Fugitive Ash Emissions</t>
  </si>
  <si>
    <t>a) Without site specific parameter petition</t>
  </si>
  <si>
    <t>b) With site specific parameter petition</t>
  </si>
  <si>
    <t>See 3B(1)</t>
  </si>
  <si>
    <t xml:space="preserve"> </t>
  </si>
  <si>
    <t>See 3B(5b)</t>
  </si>
  <si>
    <t xml:space="preserve">9) Records of persons who meet operator qualification criteria </t>
  </si>
  <si>
    <t xml:space="preserve">(H) </t>
  </si>
  <si>
    <t>EPA Hours per Occurrence</t>
  </si>
  <si>
    <t>EPA Hours Per Respondent Per Year 
(C=AxB)</t>
  </si>
  <si>
    <r>
      <t xml:space="preserve">Number of Respondents Per Year </t>
    </r>
    <r>
      <rPr>
        <b/>
        <vertAlign val="superscript"/>
        <sz val="9"/>
        <color theme="1"/>
        <rFont val="Times New Roman"/>
        <family val="1"/>
      </rPr>
      <t>a</t>
    </r>
  </si>
  <si>
    <t>Technical Hours Per Year 
(E=CXD)</t>
  </si>
  <si>
    <r>
      <t xml:space="preserve">Total Costs, $ </t>
    </r>
    <r>
      <rPr>
        <b/>
        <vertAlign val="superscript"/>
        <sz val="9"/>
        <color theme="1"/>
        <rFont val="Times New Roman"/>
        <family val="1"/>
      </rPr>
      <t>b</t>
    </r>
  </si>
  <si>
    <t>2. Familiarize with regulatory requirements</t>
  </si>
  <si>
    <t>3. Required Activities</t>
  </si>
  <si>
    <r>
      <t xml:space="preserve">A. Observe initial stack tests (PM, dioxins/furans, opacity, HCl, Cd, Pb, Hg, CO, NOx, and SO2) </t>
    </r>
    <r>
      <rPr>
        <vertAlign val="superscript"/>
        <sz val="9"/>
        <color theme="1"/>
        <rFont val="Times New Roman"/>
        <family val="1"/>
      </rPr>
      <t>c</t>
    </r>
  </si>
  <si>
    <r>
      <t xml:space="preserve">B. Excess emissions -- Enforcement Activities </t>
    </r>
    <r>
      <rPr>
        <vertAlign val="superscript"/>
        <sz val="9"/>
        <color theme="1"/>
        <rFont val="Times New Roman"/>
        <family val="1"/>
      </rPr>
      <t>d</t>
    </r>
  </si>
  <si>
    <t>E. Report Reviews</t>
  </si>
  <si>
    <r>
      <t xml:space="preserve">1) Review waste management plan and siting analysis </t>
    </r>
    <r>
      <rPr>
        <vertAlign val="superscript"/>
        <sz val="9"/>
        <color theme="1"/>
        <rFont val="Times New Roman"/>
        <family val="1"/>
      </rPr>
      <t>e</t>
    </r>
  </si>
  <si>
    <r>
      <t xml:space="preserve">2) Review report submitted prior to initial startup </t>
    </r>
    <r>
      <rPr>
        <vertAlign val="superscript"/>
        <sz val="9"/>
        <color theme="1"/>
        <rFont val="Times New Roman"/>
        <family val="1"/>
      </rPr>
      <t>e</t>
    </r>
  </si>
  <si>
    <r>
      <t xml:space="preserve">3) Review initial stack test report </t>
    </r>
    <r>
      <rPr>
        <vertAlign val="superscript"/>
        <sz val="9"/>
        <color theme="1"/>
        <rFont val="Times New Roman"/>
        <family val="1"/>
      </rPr>
      <t>e</t>
    </r>
  </si>
  <si>
    <t>4) Review annual compliance report</t>
  </si>
  <si>
    <r>
      <t xml:space="preserve">5) Review semi-annual excess emission and parameter exceedance report </t>
    </r>
    <r>
      <rPr>
        <vertAlign val="superscript"/>
        <sz val="9"/>
        <color theme="1"/>
        <rFont val="Times New Roman"/>
        <family val="1"/>
      </rPr>
      <t>d</t>
    </r>
  </si>
  <si>
    <r>
      <t xml:space="preserve">6) Review notifications and status reports for qualified operators off-site </t>
    </r>
    <r>
      <rPr>
        <vertAlign val="superscript"/>
        <sz val="9"/>
        <color theme="1"/>
        <rFont val="Times New Roman"/>
        <family val="1"/>
      </rPr>
      <t>f</t>
    </r>
  </si>
  <si>
    <t>Report prior to construction (includes siting analysis)</t>
  </si>
  <si>
    <t>Report prior to initial start-up</t>
  </si>
  <si>
    <t>Report of initial performance test</t>
  </si>
  <si>
    <t>Report established values for site-specific operating parameters</t>
  </si>
  <si>
    <t>Waste management plan</t>
  </si>
  <si>
    <t xml:space="preserve">Notification of initial performance test </t>
  </si>
  <si>
    <t xml:space="preserve">Notification of initial CMS Demonstration </t>
  </si>
  <si>
    <r>
      <t xml:space="preserve">Annual Report </t>
    </r>
    <r>
      <rPr>
        <vertAlign val="superscript"/>
        <sz val="10"/>
        <color rgb="FF000000"/>
        <rFont val="Times New Roman"/>
        <family val="1"/>
      </rPr>
      <t>a</t>
    </r>
  </si>
  <si>
    <r>
      <t xml:space="preserve">Notification for qualified operators that are off-site for more than 2 weeks </t>
    </r>
    <r>
      <rPr>
        <vertAlign val="superscript"/>
        <sz val="10"/>
        <color rgb="FF000000"/>
        <rFont val="Times New Roman"/>
        <family val="1"/>
      </rPr>
      <t>b</t>
    </r>
  </si>
  <si>
    <r>
      <t xml:space="preserve">Status report for qualified operators that are off-site for more than 2 weeks </t>
    </r>
    <r>
      <rPr>
        <vertAlign val="superscript"/>
        <sz val="10"/>
        <color rgb="FF000000"/>
        <rFont val="Times New Roman"/>
        <family val="1"/>
      </rPr>
      <t>b</t>
    </r>
  </si>
  <si>
    <r>
      <t xml:space="preserve">Number of Respondents Per Year </t>
    </r>
    <r>
      <rPr>
        <b/>
        <vertAlign val="superscript"/>
        <sz val="10"/>
        <color rgb="FF000000"/>
        <rFont val="Times New Roman"/>
        <family val="1"/>
      </rPr>
      <t>a</t>
    </r>
  </si>
  <si>
    <r>
      <t xml:space="preserve">Total Labor Costs Per Year </t>
    </r>
    <r>
      <rPr>
        <b/>
        <vertAlign val="superscript"/>
        <sz val="10"/>
        <color rgb="FF000000"/>
        <rFont val="Times New Roman"/>
        <family val="1"/>
      </rPr>
      <t>b</t>
    </r>
  </si>
  <si>
    <r>
      <t xml:space="preserve">A. Familiarize with regulatory requirements </t>
    </r>
    <r>
      <rPr>
        <vertAlign val="superscript"/>
        <sz val="10"/>
        <color rgb="FF000000"/>
        <rFont val="Times New Roman"/>
        <family val="1"/>
      </rPr>
      <t>c</t>
    </r>
  </si>
  <si>
    <r>
      <t xml:space="preserve">a) Establish and teach operator qualification course </t>
    </r>
    <r>
      <rPr>
        <vertAlign val="superscript"/>
        <sz val="10"/>
        <color rgb="FF000000"/>
        <rFont val="Times New Roman"/>
        <family val="1"/>
      </rPr>
      <t>d</t>
    </r>
  </si>
  <si>
    <r>
      <t xml:space="preserve">b) Obtain operator qualification </t>
    </r>
    <r>
      <rPr>
        <vertAlign val="superscript"/>
        <sz val="10"/>
        <color rgb="FF000000"/>
        <rFont val="Times New Roman"/>
        <family val="1"/>
      </rPr>
      <t>d</t>
    </r>
  </si>
  <si>
    <r>
      <t xml:space="preserve">4) Establish operating parameters (maximum and minimum) </t>
    </r>
    <r>
      <rPr>
        <vertAlign val="superscript"/>
        <sz val="10"/>
        <color rgb="FF000000"/>
        <rFont val="Times New Roman"/>
        <family val="1"/>
      </rPr>
      <t>d</t>
    </r>
  </si>
  <si>
    <r>
      <t xml:space="preserve">1) Notification of initial performance test </t>
    </r>
    <r>
      <rPr>
        <vertAlign val="superscript"/>
        <sz val="10"/>
        <color rgb="FF000000"/>
        <rFont val="Times New Roman"/>
        <family val="1"/>
      </rPr>
      <t>d</t>
    </r>
  </si>
  <si>
    <r>
      <t xml:space="preserve">2) Notification of initial CMS Demonstration </t>
    </r>
    <r>
      <rPr>
        <vertAlign val="superscript"/>
        <sz val="10"/>
        <color rgb="FF000000"/>
        <rFont val="Times New Roman"/>
        <family val="1"/>
      </rPr>
      <t>d</t>
    </r>
  </si>
  <si>
    <r>
      <t xml:space="preserve">3) Report of initial performance test </t>
    </r>
    <r>
      <rPr>
        <vertAlign val="superscript"/>
        <sz val="10"/>
        <color rgb="FF000000"/>
        <rFont val="Times New Roman"/>
        <family val="1"/>
      </rPr>
      <t>d</t>
    </r>
  </si>
  <si>
    <r>
      <t xml:space="preserve">5) Report prior to construction (includes siting analysis) </t>
    </r>
    <r>
      <rPr>
        <vertAlign val="superscript"/>
        <sz val="10"/>
        <color rgb="FF000000"/>
        <rFont val="Times New Roman"/>
        <family val="1"/>
      </rPr>
      <t>d</t>
    </r>
  </si>
  <si>
    <r>
      <t xml:space="preserve">6) Report prior to initial start-up </t>
    </r>
    <r>
      <rPr>
        <vertAlign val="superscript"/>
        <sz val="10"/>
        <color rgb="FF000000"/>
        <rFont val="Times New Roman"/>
        <family val="1"/>
      </rPr>
      <t>d, e</t>
    </r>
  </si>
  <si>
    <r>
      <t xml:space="preserve">9) Waste management plan </t>
    </r>
    <r>
      <rPr>
        <vertAlign val="superscript"/>
        <sz val="10"/>
        <color rgb="FF000000"/>
        <rFont val="Times New Roman"/>
        <family val="1"/>
      </rPr>
      <t>d</t>
    </r>
  </si>
  <si>
    <r>
      <t xml:space="preserve">11) Notification for qualified operators that are off-site for more than 2 weeks </t>
    </r>
    <r>
      <rPr>
        <vertAlign val="superscript"/>
        <sz val="10"/>
        <color rgb="FF000000"/>
        <rFont val="Times New Roman"/>
        <family val="1"/>
      </rPr>
      <t>f</t>
    </r>
  </si>
  <si>
    <r>
      <t xml:space="preserve">12) Status report for qualified operators that are off-site for more than 2 weeks </t>
    </r>
    <r>
      <rPr>
        <vertAlign val="superscript"/>
        <sz val="10"/>
        <color rgb="FF000000"/>
        <rFont val="Times New Roman"/>
        <family val="1"/>
      </rPr>
      <t>f</t>
    </r>
  </si>
  <si>
    <r>
      <t xml:space="preserve">13) Semiannual report of emissions/parameter exceedances </t>
    </r>
    <r>
      <rPr>
        <vertAlign val="superscript"/>
        <sz val="10"/>
        <color rgb="FF000000"/>
        <rFont val="Times New Roman"/>
        <family val="1"/>
      </rPr>
      <t>g</t>
    </r>
  </si>
  <si>
    <r>
      <t xml:space="preserve">4) Records of exceedances of the operating parameters </t>
    </r>
    <r>
      <rPr>
        <vertAlign val="superscript"/>
        <sz val="10"/>
        <color rgb="FF000000"/>
        <rFont val="Times New Roman"/>
        <family val="1"/>
      </rPr>
      <t>g</t>
    </r>
  </si>
  <si>
    <r>
      <t xml:space="preserve">11) Records of site-specific documentation </t>
    </r>
    <r>
      <rPr>
        <vertAlign val="superscript"/>
        <sz val="10"/>
        <color rgb="FF000000"/>
        <rFont val="Times New Roman"/>
        <family val="1"/>
      </rPr>
      <t>e</t>
    </r>
  </si>
  <si>
    <t>See 3B(4)</t>
  </si>
  <si>
    <t>10) Annual Report: Results of performance tests conducted during the year</t>
  </si>
  <si>
    <r>
      <t xml:space="preserve">3) Records of malfunction of the unit </t>
    </r>
    <r>
      <rPr>
        <vertAlign val="superscript"/>
        <sz val="10"/>
        <color rgb="FF000000"/>
        <rFont val="Times New Roman"/>
        <family val="1"/>
      </rPr>
      <t>g</t>
    </r>
  </si>
  <si>
    <r>
      <t xml:space="preserve">2) Records of periods for which minimum amount of data on operating parameters were not obtained </t>
    </r>
    <r>
      <rPr>
        <vertAlign val="superscript"/>
        <sz val="10"/>
        <color rgb="FF000000"/>
        <rFont val="Times New Roman"/>
        <family val="1"/>
      </rPr>
      <t>g</t>
    </r>
  </si>
  <si>
    <r>
      <t xml:space="preserve">Total Labor Burden and Costs (rounded) </t>
    </r>
    <r>
      <rPr>
        <b/>
        <vertAlign val="superscript"/>
        <sz val="10"/>
        <color rgb="FF000000"/>
        <rFont val="Times New Roman"/>
        <family val="1"/>
      </rPr>
      <t>h</t>
    </r>
  </si>
  <si>
    <r>
      <t xml:space="preserve">Total Capital and O&amp;M Cost (rounded) </t>
    </r>
    <r>
      <rPr>
        <b/>
        <vertAlign val="superscript"/>
        <sz val="10"/>
        <color rgb="FF000000"/>
        <rFont val="Times New Roman"/>
        <family val="1"/>
      </rPr>
      <t>h</t>
    </r>
  </si>
  <si>
    <r>
      <t xml:space="preserve">Grand Total (rounded) </t>
    </r>
    <r>
      <rPr>
        <b/>
        <vertAlign val="superscript"/>
        <sz val="10"/>
        <color rgb="FF000000"/>
        <rFont val="Times New Roman"/>
        <family val="1"/>
      </rPr>
      <t>h</t>
    </r>
  </si>
  <si>
    <r>
      <t xml:space="preserve">F. Prepare annual summary report </t>
    </r>
    <r>
      <rPr>
        <vertAlign val="superscript"/>
        <sz val="9"/>
        <color theme="1"/>
        <rFont val="Times New Roman"/>
        <family val="1"/>
      </rPr>
      <t>g</t>
    </r>
  </si>
  <si>
    <r>
      <t xml:space="preserve">TOTAL (rounded) </t>
    </r>
    <r>
      <rPr>
        <b/>
        <vertAlign val="superscript"/>
        <sz val="9"/>
        <color theme="1"/>
        <rFont val="Times New Roman"/>
        <family val="1"/>
      </rPr>
      <t>h</t>
    </r>
  </si>
  <si>
    <t>Hours per Response</t>
  </si>
  <si>
    <t xml:space="preserve">Table 1: Annual Respondent Burden and Cost – NSPS for Commercial and Industrial Solid Waste Incineration (CISWI) Units (40 CFR Part 60, Subpart CCCC) (Renewal)
</t>
  </si>
  <si>
    <t xml:space="preserve">Table 2: Average Annual EPA Burden and Cost – NSPS for Commercial and Industrial Solid Waste Incineration (CISWI) Units (40 CFR Part 60, Subpart CCCC) (Renewal)
</t>
  </si>
  <si>
    <t>Postage for Performance Tests</t>
  </si>
  <si>
    <t>Postage for Semiannual Reports</t>
  </si>
  <si>
    <r>
      <rPr>
        <vertAlign val="superscript"/>
        <sz val="10"/>
        <color theme="1"/>
        <rFont val="Times New Roman"/>
        <family val="1"/>
      </rPr>
      <t>c</t>
    </r>
    <r>
      <rPr>
        <sz val="10"/>
        <color theme="1"/>
        <rFont val="Times New Roman"/>
        <family val="1"/>
      </rPr>
      <t xml:space="preserve">  We assume that all sources will have to familiarize with the regulatory requirements each year.</t>
    </r>
  </si>
  <si>
    <r>
      <rPr>
        <vertAlign val="superscript"/>
        <sz val="10"/>
        <color theme="1"/>
        <rFont val="Times New Roman"/>
        <family val="1"/>
      </rPr>
      <t>d</t>
    </r>
    <r>
      <rPr>
        <sz val="10"/>
        <color theme="1"/>
        <rFont val="Times New Roman"/>
        <family val="1"/>
      </rPr>
      <t xml:space="preserve">  These are one-time only costs associated with the startup of a new source. We assume there will be 1 new respondent per year.</t>
    </r>
  </si>
  <si>
    <r>
      <rPr>
        <vertAlign val="superscript"/>
        <sz val="10"/>
        <color theme="1"/>
        <rFont val="Times New Roman"/>
        <family val="1"/>
      </rPr>
      <t>e</t>
    </r>
    <r>
      <rPr>
        <sz val="10"/>
        <color theme="1"/>
        <rFont val="Times New Roman"/>
        <family val="1"/>
      </rPr>
      <t xml:space="preserve">  We assume that one-third of the facilities will petition for site-specific parameters.</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</si>
  <si>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</si>
  <si>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 xml:space="preserve">f </t>
    </r>
    <r>
      <rPr>
        <sz val="10"/>
        <color theme="1"/>
        <rFont val="Times New Roman"/>
        <family val="1"/>
      </rPr>
      <t xml:space="preserve"> We assume that 10 percent of the existing facilities would not have a qualified operator available for more than two weeks at least once a year (Note: each deviation requires 2 notifications, 1 for when the deviation occurs and 1 for when operation resumes).   We also assume that each deviation will require only two status reports.</t>
    </r>
  </si>
  <si>
    <r>
      <rPr>
        <vertAlign val="superscript"/>
        <sz val="10"/>
        <color theme="1"/>
        <rFont val="Times New Roman"/>
        <family val="1"/>
      </rPr>
      <t>c</t>
    </r>
    <r>
      <rPr>
        <sz val="10"/>
        <color theme="1"/>
        <rFont val="Times New Roman"/>
        <family val="1"/>
      </rPr>
      <t xml:space="preserve">  Assumes EPA personnel attend 20 percent of the stack tests. We estimate initial stack test observations will take 48 hours per plant.</t>
    </r>
  </si>
  <si>
    <r>
      <rPr>
        <vertAlign val="superscript"/>
        <sz val="10"/>
        <color theme="1"/>
        <rFont val="Times New Roman"/>
        <family val="1"/>
      </rPr>
      <t xml:space="preserve">e </t>
    </r>
    <r>
      <rPr>
        <sz val="10"/>
        <color theme="1"/>
        <rFont val="Times New Roman"/>
        <family val="1"/>
      </rPr>
      <t xml:space="preserve"> These are one-time only costs associated with the startup of a new source. We assume there will be 1 new respondent per year.</t>
    </r>
  </si>
  <si>
    <r>
      <rPr>
        <vertAlign val="superscript"/>
        <sz val="10"/>
        <color theme="1"/>
        <rFont val="Times New Roman"/>
        <family val="1"/>
      </rPr>
      <t>g</t>
    </r>
    <r>
      <rPr>
        <sz val="10"/>
        <color theme="1"/>
        <rFont val="Times New Roman"/>
        <family val="1"/>
      </rPr>
      <t xml:space="preserve">  We assume that each state (i.e., 50 respondents) will take 4 hours to prepare an annual summary of progress for implementing state plans.</t>
    </r>
  </si>
  <si>
    <r>
      <rPr>
        <vertAlign val="superscript"/>
        <sz val="10"/>
        <color theme="1"/>
        <rFont val="Times New Roman"/>
        <family val="1"/>
      </rPr>
      <t xml:space="preserve">h </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</si>
  <si>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f</t>
    </r>
    <r>
      <rPr>
        <sz val="10"/>
        <color theme="1"/>
        <rFont val="Times New Roman"/>
        <family val="1"/>
      </rPr>
      <t xml:space="preserve">   We assume that 10 percent of the existing facilities would not have a qualified operator available for more than two weeks at least once a year (Note: each deviation requires 2 notifications, 1 for when the deviation occurs and 1 for when operation resumes).   We also assume that each deviation will require only two status reports.</t>
    </r>
  </si>
  <si>
    <r>
      <rPr>
        <vertAlign val="superscript"/>
        <sz val="10"/>
        <color theme="1"/>
        <rFont val="Times New Roman"/>
        <family val="1"/>
      </rPr>
      <t>d</t>
    </r>
    <r>
      <rPr>
        <sz val="10"/>
        <color theme="1"/>
        <rFont val="Times New Roman"/>
        <family val="1"/>
      </rPr>
      <t xml:space="preserve">  Assume that 10 percent of all facilities (both existing and new) have an exceedance during the year. </t>
    </r>
  </si>
  <si>
    <r>
      <rPr>
        <vertAlign val="superscript"/>
        <sz val="10"/>
        <color theme="1"/>
        <rFont val="Times New Roman"/>
        <family val="1"/>
      </rPr>
      <t>g</t>
    </r>
    <r>
      <rPr>
        <sz val="10"/>
        <color theme="1"/>
        <rFont val="Times New Roman"/>
        <family val="1"/>
      </rPr>
      <t xml:space="preserve">  We assume that 10 percent of all facilities (both new and existing) would have a malfunction or an exceedance during the year.  </t>
    </r>
  </si>
  <si>
    <r>
      <t xml:space="preserve">Semiannual report of deviations: emissions/parameter exceedances </t>
    </r>
    <r>
      <rPr>
        <vertAlign val="superscript"/>
        <sz val="10"/>
        <color rgb="FF000000"/>
        <rFont val="Times New Roman"/>
        <family val="1"/>
      </rPr>
      <t>c</t>
    </r>
  </si>
  <si>
    <r>
      <t xml:space="preserve">Number of New Respondents </t>
    </r>
    <r>
      <rPr>
        <b/>
        <vertAlign val="superscript"/>
        <sz val="10"/>
        <color rgb="FF000000"/>
        <rFont val="Times New Roman"/>
        <family val="1"/>
      </rPr>
      <t>a</t>
    </r>
  </si>
  <si>
    <r>
      <t xml:space="preserve">a </t>
    </r>
    <r>
      <rPr>
        <sz val="10"/>
        <color rgb="FF000000"/>
        <rFont val="Times New Roman"/>
        <family val="1"/>
      </rPr>
      <t xml:space="preserve">  New respondents include sources with constructed, reconstructed, and modified affected facilities.</t>
    </r>
  </si>
  <si>
    <r>
      <rPr>
        <vertAlign val="superscript"/>
        <sz val="10"/>
        <color theme="1"/>
        <rFont val="Times New Roman"/>
        <family val="1"/>
      </rPr>
      <t xml:space="preserve">a </t>
    </r>
    <r>
      <rPr>
        <sz val="10"/>
        <color theme="1"/>
        <rFont val="Times New Roman"/>
        <family val="1"/>
      </rPr>
      <t xml:space="preserve"> We assume there are 15 existing sources subject to the rule and 1 additional new source per year (one new respondent) will become subject to the rule during the three-year period of this ICR.</t>
    </r>
  </si>
  <si>
    <r>
      <rPr>
        <vertAlign val="superscript"/>
        <sz val="10"/>
        <color theme="1"/>
        <rFont val="Times New Roman"/>
        <family val="1"/>
      </rPr>
      <t>b</t>
    </r>
    <r>
      <rPr>
        <sz val="10"/>
        <color theme="1"/>
        <rFont val="Times New Roman"/>
        <family val="1"/>
      </rPr>
      <t xml:space="preserve">  This ICR uses the following labor rates for privately-owned sources: $157.61 ($75.05 + 110%) for managerial, $123.94 ($59.02 + 110%) for technical,  and $62.52 ($29.77 + 110%)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</si>
  <si>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a</t>
    </r>
    <r>
      <rPr>
        <sz val="10"/>
        <color theme="1"/>
        <rFont val="Times New Roman"/>
        <family val="1"/>
      </rPr>
      <t xml:space="preserve">  We assume there are 15 existing sources subject to the rule and 1 additional new source per year (one new respondent) will become subject to the rule during the three-year period of this ICR.</t>
    </r>
  </si>
  <si>
    <r>
      <rPr>
        <vertAlign val="superscript"/>
        <sz val="10"/>
        <color theme="1"/>
        <rFont val="Times New Roman"/>
        <family val="1"/>
      </rPr>
      <t>b</t>
    </r>
    <r>
      <rPr>
        <sz val="10"/>
        <color theme="1"/>
        <rFont val="Times New Roman"/>
        <family val="1"/>
      </rPr>
      <t xml:space="preserve">  This ICR uses the following labor rates: $70.56 (GS-13, Step 5, $44.10 + 60%) for managerial, $52.37 (GS-12, Step 1, $32.73 + 60%) for technical,  and $28.34 (GS-6, Step 3, $17.71 + 60%) for clerical labor. These rates are from the Office of Personnel Management (OPM), 2022 General Schedule, which excludes locality rates of pay. The rates have been increased by 60 percent to account for the benefit packages available to government employees. </t>
    </r>
  </si>
  <si>
    <t>Total Annual Responses</t>
  </si>
  <si>
    <r>
      <rPr>
        <vertAlign val="superscript"/>
        <sz val="10"/>
        <color rgb="FF000000"/>
        <rFont val="Times New Roman"/>
        <family val="1"/>
      </rPr>
      <t>a</t>
    </r>
    <r>
      <rPr>
        <sz val="10"/>
        <color rgb="FF000000"/>
        <rFont val="Times New Roman"/>
        <family val="1"/>
      </rPr>
      <t xml:space="preserve">  We assume existing respondents submit annual reports and the one new respondent submits initial reports.</t>
    </r>
  </si>
  <si>
    <r>
      <rPr>
        <vertAlign val="superscript"/>
        <sz val="10"/>
        <color rgb="FF000000"/>
        <rFont val="Times New Roman"/>
        <family val="1"/>
      </rPr>
      <t>b</t>
    </r>
    <r>
      <rPr>
        <sz val="10"/>
        <color rgb="FF000000"/>
        <rFont val="Times New Roman"/>
        <family val="1"/>
      </rPr>
      <t xml:space="preserve">  We assume that these activities will apply to 10 percent of existing facilities.</t>
    </r>
  </si>
  <si>
    <r>
      <rPr>
        <vertAlign val="superscript"/>
        <sz val="10"/>
        <rFont val="Times New Roman"/>
        <family val="1"/>
      </rPr>
      <t>c</t>
    </r>
    <r>
      <rPr>
        <sz val="10"/>
        <rFont val="Times New Roman"/>
        <family val="1"/>
      </rPr>
      <t xml:space="preserve">  We assume that 10 percent of all facilities (both new and existing) would have a malfunction or an exceedance during the year.  </t>
    </r>
  </si>
  <si>
    <t>Total Capital/Startup Cost,  (B X C)</t>
  </si>
  <si>
    <r>
      <t>Capital/Startup vs. Operation and Maintenance (O&amp;M) Costs</t>
    </r>
    <r>
      <rPr>
        <sz val="10"/>
        <color theme="1"/>
        <rFont val="Times New Roman"/>
        <family val="1"/>
      </rPr>
      <t> </t>
    </r>
  </si>
  <si>
    <t>Annualized Capital O&amp;M</t>
  </si>
  <si>
    <t>Total Estimated Costs</t>
  </si>
  <si>
    <t>Total Estimated Burden Hours</t>
  </si>
  <si>
    <t>ICR Summary Information</t>
  </si>
  <si>
    <t xml:space="preserve">Number of New  Respondents </t>
  </si>
  <si>
    <r>
      <t>Number of Respondents with O&amp;M</t>
    </r>
    <r>
      <rPr>
        <b/>
        <vertAlign val="superscript"/>
        <sz val="10"/>
        <color theme="1"/>
        <rFont val="Times New Roman"/>
        <family val="1"/>
      </rPr>
      <t xml:space="preserve"> </t>
    </r>
  </si>
  <si>
    <t>hr/response</t>
  </si>
  <si>
    <t xml:space="preserve">Number of Respondents </t>
  </si>
  <si>
    <t>2010 CEPCI</t>
  </si>
  <si>
    <t>2020 CEPCI</t>
  </si>
  <si>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</si>
  <si>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b</t>
    </r>
  </si>
  <si>
    <t xml:space="preserve">Total O&amp;M, 
(E X F) </t>
  </si>
  <si>
    <r>
      <t xml:space="preserve">Capital/Startup Cost for One Respondent </t>
    </r>
    <r>
      <rPr>
        <b/>
        <vertAlign val="superscript"/>
        <sz val="10"/>
        <color theme="1"/>
        <rFont val="Times New Roman"/>
        <family val="1"/>
      </rPr>
      <t>a</t>
    </r>
  </si>
  <si>
    <r>
      <t xml:space="preserve">Annual O&amp;M Costs for One Respondent </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</si>
  <si>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Costs were adjusted from 2010$ to 2020$ using the Chemical Engineering Plant Cost Index (CEPCI).</t>
    </r>
  </si>
  <si>
    <t>Total Capital &amp; O&amp;M: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</si>
</sst>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quot;$&quot;#,##0.00"/>
    <numFmt numFmtId="165" formatCode="0.0"/>
    <numFmt numFmtId="166" formatCode="General_)"/>
  </numFmts>
  <fonts count="27"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sz val="9"/>
      <color rgb="FF000000"/>
      <name val="Times New Roman"/>
      <family val="1"/>
    </font>
    <font>
      <sz val="9"/>
      <color theme="1"/>
      <name val="Times New Roman"/>
      <family val="1"/>
    </font>
    <font>
      <vertAlign val="superscript"/>
      <sz val="9"/>
      <color theme="1"/>
      <name val="Times New Roman"/>
      <family val="1"/>
    </font>
    <font>
      <b/>
      <sz val="9"/>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theme="1"/>
      <name val="Times New Roman"/>
      <family val="1"/>
    </font>
    <font>
      <b/>
      <sz val="10"/>
      <color theme="1"/>
      <name val="Times New Roman"/>
      <family val="1"/>
    </font>
    <font>
      <b/>
      <i/>
      <sz val="10"/>
      <color rgb="FF000000"/>
      <name val="Times New Roman"/>
      <family val="1"/>
    </font>
    <font>
      <sz val="10"/>
      <name val="Times New Roman"/>
      <family val="1"/>
    </font>
    <font>
      <b/>
      <sz val="9"/>
      <color rgb="FF000000"/>
      <name val="Times New Roman"/>
      <family val="1"/>
    </font>
    <font>
      <b/>
      <sz val="11"/>
      <color theme="1"/>
      <name val="Calibri"/>
      <family val="2"/>
      <scheme val="minor"/>
    </font>
    <font>
      <b/>
      <vertAlign val="superscript"/>
      <sz val="9"/>
      <color theme="1"/>
      <name val="Times New Roman"/>
      <family val="1"/>
    </font>
    <font>
      <b/>
      <sz val="9"/>
      <color rgb="FF0000FF"/>
      <name val="Times New Roman"/>
      <family val="1"/>
    </font>
    <font>
      <sz val="10"/>
      <color rgb="FFFF0000"/>
      <name val="Times New Roman"/>
      <family val="1"/>
    </font>
    <font>
      <sz val="10"/>
      <color theme="1"/>
      <name val="Calibri"/>
      <family val="2"/>
      <scheme val="minor"/>
    </font>
    <font>
      <sz val="8"/>
      <name val="Helv"/>
    </font>
    <font>
      <vertAlign val="superscript"/>
      <sz val="10"/>
      <name val="Times New Roman"/>
      <family val="1"/>
    </font>
    <font>
      <sz val="10"/>
      <color rgb="FFFF0000"/>
      <name val="Calibri"/>
      <family val="2"/>
      <scheme val="minor"/>
    </font>
    <font>
      <b/>
      <vertAlign val="superscript"/>
      <sz val="10"/>
      <color theme="1"/>
      <name val="Times New Roman"/>
      <family val="1"/>
    </font>
    <font>
      <sz val="10"/>
      <color theme="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6" fontId="22" fillId="0" borderId="0"/>
  </cellStyleXfs>
  <cellXfs count="102">
    <xf numFmtId="0" fontId="0" fillId="0" borderId="0" xfId="0"/>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3" fillId="0" borderId="0" xfId="0" applyFont="1"/>
    <xf numFmtId="0" fontId="10" fillId="0" borderId="0" xfId="0" applyFont="1" applyAlignment="1">
      <alignment vertical="center"/>
    </xf>
    <xf numFmtId="0" fontId="10" fillId="0" borderId="1" xfId="0" applyFont="1" applyBorder="1" applyAlignment="1">
      <alignment vertical="center" wrapText="1"/>
    </xf>
    <xf numFmtId="0" fontId="15" fillId="0" borderId="1" xfId="0" applyFont="1" applyBorder="1" applyAlignment="1">
      <alignment vertical="center"/>
    </xf>
    <xf numFmtId="164" fontId="8" fillId="0" borderId="1" xfId="0" applyNumberFormat="1" applyFont="1" applyBorder="1"/>
    <xf numFmtId="0" fontId="10" fillId="0" borderId="1" xfId="0" applyFont="1" applyBorder="1" applyAlignment="1">
      <alignment horizontal="center" vertical="center" wrapText="1"/>
    </xf>
    <xf numFmtId="0" fontId="4" fillId="0" borderId="1" xfId="0" applyFont="1" applyBorder="1" applyAlignment="1">
      <alignment horizontal="center" vertical="center"/>
    </xf>
    <xf numFmtId="0" fontId="16" fillId="0" borderId="1" xfId="0" applyFont="1" applyBorder="1" applyAlignment="1">
      <alignment vertical="center"/>
    </xf>
    <xf numFmtId="0" fontId="3" fillId="0" borderId="1" xfId="0" applyFont="1" applyBorder="1" applyAlignment="1">
      <alignment vertical="center"/>
    </xf>
    <xf numFmtId="0" fontId="3" fillId="0" borderId="1" xfId="0" applyFont="1" applyBorder="1"/>
    <xf numFmtId="0" fontId="5" fillId="0" borderId="1" xfId="0" applyFont="1" applyBorder="1" applyAlignment="1">
      <alignment horizontal="center" vertical="center"/>
    </xf>
    <xf numFmtId="6" fontId="5" fillId="0" borderId="1" xfId="0" applyNumberFormat="1" applyFont="1" applyBorder="1" applyAlignment="1">
      <alignment horizontal="right" vertical="center"/>
    </xf>
    <xf numFmtId="0" fontId="5" fillId="0" borderId="1" xfId="0" applyFont="1" applyBorder="1" applyAlignment="1">
      <alignment horizontal="left" vertical="center" wrapText="1" indent="1"/>
    </xf>
    <xf numFmtId="0" fontId="5" fillId="0" borderId="1" xfId="0" applyFont="1" applyBorder="1" applyAlignment="1">
      <alignment horizontal="left" vertical="center" wrapText="1" indent="2"/>
    </xf>
    <xf numFmtId="0" fontId="7" fillId="0" borderId="1" xfId="0" applyFont="1" applyBorder="1" applyAlignment="1">
      <alignment vertical="center" wrapText="1"/>
    </xf>
    <xf numFmtId="0" fontId="7" fillId="0" borderId="1" xfId="0" applyFont="1" applyBorder="1" applyAlignment="1">
      <alignment horizontal="center" vertical="center"/>
    </xf>
    <xf numFmtId="0" fontId="19" fillId="0" borderId="1" xfId="0" applyFont="1" applyBorder="1" applyAlignment="1">
      <alignment horizontal="center" vertical="center"/>
    </xf>
    <xf numFmtId="6" fontId="7" fillId="0" borderId="1" xfId="0" applyNumberFormat="1" applyFont="1" applyBorder="1" applyAlignment="1">
      <alignment horizontal="right" vertical="center"/>
    </xf>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164" fontId="3"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left" vertical="center" wrapText="1" indent="1"/>
    </xf>
    <xf numFmtId="8" fontId="8" fillId="0" borderId="1" xfId="0" applyNumberFormat="1" applyFont="1" applyBorder="1" applyAlignment="1">
      <alignment horizontal="right" vertical="center"/>
    </xf>
    <xf numFmtId="0" fontId="8" fillId="0" borderId="1" xfId="0" applyFont="1" applyBorder="1" applyAlignment="1">
      <alignment horizontal="left" vertical="center" wrapText="1" indent="2"/>
    </xf>
    <xf numFmtId="0" fontId="3" fillId="0" borderId="1" xfId="0" applyFont="1" applyBorder="1" applyAlignment="1">
      <alignment horizontal="center" vertical="center"/>
    </xf>
    <xf numFmtId="0" fontId="8" fillId="0" borderId="1" xfId="0" applyFont="1" applyBorder="1" applyAlignment="1">
      <alignment horizontal="left" vertical="center" wrapText="1" indent="3"/>
    </xf>
    <xf numFmtId="0" fontId="8" fillId="0" borderId="1" xfId="0" applyFont="1" applyBorder="1" applyAlignment="1">
      <alignment horizontal="left" vertical="center"/>
    </xf>
    <xf numFmtId="2"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14" fillId="0" borderId="1" xfId="0" applyFont="1" applyBorder="1" applyAlignment="1">
      <alignment vertical="center" wrapText="1"/>
    </xf>
    <xf numFmtId="6" fontId="10" fillId="0" borderId="1" xfId="0" applyNumberFormat="1" applyFont="1" applyBorder="1" applyAlignment="1">
      <alignment horizontal="right" vertical="center"/>
    </xf>
    <xf numFmtId="0" fontId="8" fillId="0" borderId="1" xfId="0" applyFont="1" applyBorder="1" applyAlignment="1">
      <alignment vertical="center"/>
    </xf>
    <xf numFmtId="0" fontId="10" fillId="0" borderId="1" xfId="0" applyFont="1" applyBorder="1" applyAlignment="1">
      <alignment vertical="center"/>
    </xf>
    <xf numFmtId="3" fontId="10" fillId="0" borderId="1" xfId="0" applyNumberFormat="1" applyFont="1" applyBorder="1" applyAlignment="1">
      <alignment horizontal="center" vertical="center"/>
    </xf>
    <xf numFmtId="0" fontId="15" fillId="0" borderId="0" xfId="0" applyFont="1"/>
    <xf numFmtId="0" fontId="3" fillId="0" borderId="0" xfId="0" applyFont="1" applyAlignment="1">
      <alignment vertical="center"/>
    </xf>
    <xf numFmtId="6" fontId="14" fillId="0" borderId="1" xfId="0" applyNumberFormat="1" applyFont="1" applyBorder="1" applyAlignment="1">
      <alignment horizontal="right" vertical="center"/>
    </xf>
    <xf numFmtId="0" fontId="20" fillId="0" borderId="0" xfId="0" applyFont="1"/>
    <xf numFmtId="0" fontId="21" fillId="0" borderId="0" xfId="0" applyFont="1"/>
    <xf numFmtId="0" fontId="9" fillId="0" borderId="0" xfId="0" applyFont="1" applyAlignment="1">
      <alignment vertical="center"/>
    </xf>
    <xf numFmtId="0" fontId="3" fillId="0" borderId="1" xfId="0" applyFont="1" applyBorder="1" applyAlignment="1">
      <alignment horizontal="center" vertical="center" wrapText="1"/>
    </xf>
    <xf numFmtId="1" fontId="13"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1"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0" fontId="24" fillId="0" borderId="0" xfId="0" applyFont="1" applyAlignment="1">
      <alignment vertical="top" wrapText="1"/>
    </xf>
    <xf numFmtId="6" fontId="13" fillId="0" borderId="0" xfId="0" applyNumberFormat="1"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vertical="center" wrapText="1"/>
    </xf>
    <xf numFmtId="6" fontId="21" fillId="0" borderId="0" xfId="0" applyNumberFormat="1" applyFont="1"/>
    <xf numFmtId="6"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6"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wrapText="1"/>
    </xf>
    <xf numFmtId="0" fontId="21" fillId="0" borderId="0" xfId="0" applyFont="1" applyAlignment="1">
      <alignment wrapText="1"/>
    </xf>
    <xf numFmtId="0" fontId="15" fillId="0" borderId="1" xfId="0" applyFont="1" applyBorder="1" applyAlignment="1">
      <alignment vertical="center" wrapText="1"/>
    </xf>
    <xf numFmtId="6" fontId="3" fillId="0" borderId="1" xfId="0" applyNumberFormat="1" applyFont="1" applyBorder="1" applyAlignment="1">
      <alignment horizontal="center" vertical="center" wrapText="1"/>
    </xf>
    <xf numFmtId="6" fontId="3" fillId="0" borderId="0" xfId="0" applyNumberFormat="1" applyFont="1" applyAlignment="1">
      <alignment horizontal="center" vertical="center" wrapText="1"/>
    </xf>
    <xf numFmtId="0" fontId="13" fillId="0" borderId="0" xfId="0" applyFont="1" applyAlignment="1">
      <alignment horizontal="center" vertical="center" wrapText="1"/>
    </xf>
    <xf numFmtId="164" fontId="15" fillId="0" borderId="0" xfId="1" applyNumberFormat="1" applyFont="1" applyAlignment="1">
      <alignment horizontal="right" wrapText="1"/>
    </xf>
    <xf numFmtId="166" fontId="15" fillId="0" borderId="0" xfId="1" applyFont="1" applyAlignment="1">
      <alignment horizontal="center" vertical="center" wrapText="1"/>
    </xf>
    <xf numFmtId="1" fontId="0" fillId="0" borderId="0" xfId="0" applyNumberFormat="1"/>
    <xf numFmtId="6" fontId="0" fillId="0" borderId="0" xfId="0" applyNumberFormat="1"/>
    <xf numFmtId="3" fontId="0" fillId="0" borderId="0" xfId="0" applyNumberFormat="1"/>
    <xf numFmtId="41" fontId="0" fillId="0" borderId="0" xfId="0" applyNumberFormat="1"/>
    <xf numFmtId="8" fontId="15" fillId="0" borderId="1" xfId="0" applyNumberFormat="1" applyFont="1" applyBorder="1" applyAlignment="1">
      <alignment horizontal="center" vertical="center" wrapText="1"/>
    </xf>
    <xf numFmtId="1" fontId="3" fillId="0" borderId="0" xfId="0" applyNumberFormat="1" applyFont="1"/>
    <xf numFmtId="0" fontId="26" fillId="0" borderId="0" xfId="0" applyFont="1"/>
    <xf numFmtId="0" fontId="0" fillId="0" borderId="0" xfId="0" applyAlignment="1">
      <alignment horizontal="center"/>
    </xf>
    <xf numFmtId="3"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 fillId="0" borderId="0" xfId="0" applyFont="1" applyAlignment="1">
      <alignment horizontal="left" vertical="top" wrapText="1"/>
    </xf>
    <xf numFmtId="0" fontId="15" fillId="0" borderId="1" xfId="0" applyFont="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15" fillId="0" borderId="2" xfId="0" applyFont="1" applyBorder="1" applyAlignment="1">
      <alignment horizontal="center"/>
    </xf>
    <xf numFmtId="0" fontId="15" fillId="0" borderId="4" xfId="0" applyFont="1" applyBorder="1" applyAlignment="1">
      <alignment horizontal="center"/>
    </xf>
    <xf numFmtId="0" fontId="17" fillId="0" borderId="0" xfId="0" applyFont="1" applyAlignment="1">
      <alignment horizontal="left" vertical="top" wrapText="1"/>
    </xf>
    <xf numFmtId="1"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2" fillId="0" borderId="1" xfId="0" applyFont="1" applyBorder="1" applyAlignment="1">
      <alignment horizontal="center" vertical="center" wrapText="1"/>
    </xf>
    <xf numFmtId="166" fontId="15" fillId="0" borderId="0" xfId="1" applyFont="1" applyAlignment="1">
      <alignment horizontal="left" vertical="top" wrapText="1"/>
    </xf>
    <xf numFmtId="0" fontId="8" fillId="0" borderId="0" xfId="0" applyFont="1" applyAlignment="1">
      <alignment horizontal="left" vertical="top" wrapText="1"/>
    </xf>
    <xf numFmtId="0" fontId="10" fillId="0" borderId="1" xfId="0" applyFont="1" applyBorder="1" applyAlignment="1">
      <alignment vertical="center" wrapText="1"/>
    </xf>
  </cellXfs>
  <cellStyles count="2">
    <cellStyle name="Normal" xfId="0" builtinId="0"/>
    <cellStyle name="Normal_SSI Burden Estimate BML 060710" xfId="1" xr:uid="{829B6402-7D87-4ECA-AA60-EE4416D456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E2E34-6901-47F1-AF5C-F77D8F89D051}">
  <dimension ref="A1:B7"/>
  <sheetViews>
    <sheetView tabSelected="1" workbookViewId="0">
      <selection activeCell="B19" sqref="B19"/>
    </sheetView>
  </sheetViews>
  <sheetFormatPr defaultRowHeight="14.5" x14ac:dyDescent="0.35"/>
  <cols>
    <col min="1" max="1" width="27.453125" customWidth="1"/>
    <col min="2" max="2" width="10.54296875" bestFit="1" customWidth="1"/>
  </cols>
  <sheetData>
    <row r="1" spans="1:2" x14ac:dyDescent="0.35">
      <c r="A1" s="79" t="s">
        <v>181</v>
      </c>
      <c r="B1" s="79"/>
    </row>
    <row r="2" spans="1:2" x14ac:dyDescent="0.35">
      <c r="A2" t="s">
        <v>148</v>
      </c>
      <c r="B2" s="75">
        <f>'Table 1'!K67</f>
        <v>71.474358974358978</v>
      </c>
    </row>
    <row r="3" spans="1:2" x14ac:dyDescent="0.35">
      <c r="A3" t="s">
        <v>3</v>
      </c>
      <c r="B3">
        <f>Respondents!F8</f>
        <v>16</v>
      </c>
    </row>
    <row r="4" spans="1:2" x14ac:dyDescent="0.35">
      <c r="A4" t="s">
        <v>180</v>
      </c>
      <c r="B4" s="74">
        <f>'Table 1'!F65</f>
        <v>2230</v>
      </c>
    </row>
    <row r="5" spans="1:2" x14ac:dyDescent="0.35">
      <c r="A5" t="s">
        <v>179</v>
      </c>
      <c r="B5" s="73">
        <f>'Table 1'!I67</f>
        <v>1480000</v>
      </c>
    </row>
    <row r="6" spans="1:2" x14ac:dyDescent="0.35">
      <c r="A6" t="s">
        <v>178</v>
      </c>
      <c r="B6" s="73">
        <f>'Capital O&amp;M'!I11</f>
        <v>1210000</v>
      </c>
    </row>
    <row r="7" spans="1:2" x14ac:dyDescent="0.35">
      <c r="A7" t="s">
        <v>172</v>
      </c>
      <c r="B7" s="72">
        <f>Responses!E15</f>
        <v>31.2</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0BD19-CD42-40A8-94CE-66543BF5C3C8}">
  <dimension ref="A1:L81"/>
  <sheetViews>
    <sheetView topLeftCell="A50" zoomScale="98" zoomScaleNormal="98" workbookViewId="0">
      <selection activeCell="I67" sqref="I67"/>
    </sheetView>
  </sheetViews>
  <sheetFormatPr defaultColWidth="9.1796875" defaultRowHeight="13" x14ac:dyDescent="0.3"/>
  <cols>
    <col min="1" max="1" width="42.1796875" style="5" customWidth="1"/>
    <col min="2" max="2" width="9.1796875" style="5"/>
    <col min="3" max="3" width="11.1796875" style="5" customWidth="1"/>
    <col min="4" max="4" width="9.7265625" style="5" customWidth="1"/>
    <col min="5" max="5" width="10.7265625" style="5" customWidth="1"/>
    <col min="6" max="6" width="9.1796875" style="5"/>
    <col min="7" max="7" width="11.26953125" style="5" customWidth="1"/>
    <col min="8" max="8" width="9.1796875" style="5"/>
    <col min="9" max="9" width="13" style="5" customWidth="1"/>
    <col min="10" max="10" width="9.1796875" style="5"/>
    <col min="11" max="11" width="12.7265625" style="5" customWidth="1"/>
    <col min="12" max="16384" width="9.1796875" style="5"/>
  </cols>
  <sheetData>
    <row r="1" spans="1:12" ht="33.65" customHeight="1" x14ac:dyDescent="0.3">
      <c r="A1" s="83" t="s">
        <v>149</v>
      </c>
      <c r="B1" s="83"/>
      <c r="C1" s="83"/>
      <c r="D1" s="83"/>
      <c r="E1" s="83"/>
      <c r="F1" s="83"/>
      <c r="G1" s="83"/>
      <c r="H1" s="83"/>
      <c r="I1" s="83"/>
    </row>
    <row r="2" spans="1:12" x14ac:dyDescent="0.3">
      <c r="F2" s="25"/>
      <c r="G2" s="25"/>
      <c r="H2" s="25"/>
    </row>
    <row r="3" spans="1:12" x14ac:dyDescent="0.3">
      <c r="A3" s="88" t="s">
        <v>22</v>
      </c>
      <c r="B3" s="10" t="s">
        <v>62</v>
      </c>
      <c r="C3" s="10" t="s">
        <v>63</v>
      </c>
      <c r="D3" s="10" t="s">
        <v>64</v>
      </c>
      <c r="E3" s="10" t="s">
        <v>65</v>
      </c>
      <c r="F3" s="10" t="s">
        <v>66</v>
      </c>
      <c r="G3" s="10" t="s">
        <v>67</v>
      </c>
      <c r="H3" s="10" t="s">
        <v>68</v>
      </c>
      <c r="I3" s="10" t="s">
        <v>26</v>
      </c>
    </row>
    <row r="4" spans="1:12" ht="84.75" customHeight="1" x14ac:dyDescent="0.3">
      <c r="A4" s="88"/>
      <c r="B4" s="10" t="s">
        <v>69</v>
      </c>
      <c r="C4" s="10" t="s">
        <v>70</v>
      </c>
      <c r="D4" s="10" t="s">
        <v>71</v>
      </c>
      <c r="E4" s="10" t="s">
        <v>122</v>
      </c>
      <c r="F4" s="10" t="s">
        <v>72</v>
      </c>
      <c r="G4" s="10" t="s">
        <v>73</v>
      </c>
      <c r="H4" s="10" t="s">
        <v>74</v>
      </c>
      <c r="I4" s="10" t="s">
        <v>123</v>
      </c>
    </row>
    <row r="5" spans="1:12" x14ac:dyDescent="0.3">
      <c r="A5" s="3" t="s">
        <v>23</v>
      </c>
      <c r="B5" s="26" t="s">
        <v>24</v>
      </c>
      <c r="C5" s="13"/>
      <c r="D5" s="13"/>
      <c r="E5" s="13"/>
      <c r="F5" s="13"/>
      <c r="G5" s="13"/>
      <c r="H5" s="13"/>
      <c r="I5" s="13"/>
      <c r="K5" s="84" t="s">
        <v>51</v>
      </c>
      <c r="L5" s="84"/>
    </row>
    <row r="6" spans="1:12" x14ac:dyDescent="0.3">
      <c r="A6" s="3" t="s">
        <v>75</v>
      </c>
      <c r="B6" s="26" t="s">
        <v>24</v>
      </c>
      <c r="C6" s="13"/>
      <c r="D6" s="13"/>
      <c r="E6" s="13"/>
      <c r="F6" s="13"/>
      <c r="G6" s="13"/>
      <c r="H6" s="13"/>
      <c r="I6" s="13"/>
      <c r="K6" s="8" t="s">
        <v>52</v>
      </c>
      <c r="L6" s="9">
        <v>157.61000000000001</v>
      </c>
    </row>
    <row r="7" spans="1:12" x14ac:dyDescent="0.3">
      <c r="A7" s="3" t="s">
        <v>25</v>
      </c>
      <c r="B7" s="13"/>
      <c r="C7" s="13"/>
      <c r="D7" s="13"/>
      <c r="E7" s="13"/>
      <c r="F7" s="13"/>
      <c r="G7" s="13"/>
      <c r="H7" s="13"/>
      <c r="I7" s="13"/>
      <c r="K7" s="8" t="s">
        <v>53</v>
      </c>
      <c r="L7" s="9">
        <v>123.94</v>
      </c>
    </row>
    <row r="8" spans="1:12" ht="15.5" x14ac:dyDescent="0.3">
      <c r="A8" s="27" t="s">
        <v>124</v>
      </c>
      <c r="B8" s="26">
        <v>1</v>
      </c>
      <c r="C8" s="26">
        <v>1</v>
      </c>
      <c r="D8" s="26">
        <f>B8*C8</f>
        <v>1</v>
      </c>
      <c r="E8" s="26">
        <v>16</v>
      </c>
      <c r="F8" s="26">
        <f>D8*E8</f>
        <v>16</v>
      </c>
      <c r="G8" s="26">
        <f>+F8*0.05</f>
        <v>0.8</v>
      </c>
      <c r="H8" s="26">
        <f>+F8*0.1</f>
        <v>1.6</v>
      </c>
      <c r="I8" s="28">
        <f>+$L$7*F8+$L$6*G8+$L$8*H8</f>
        <v>2209.1600000000003</v>
      </c>
      <c r="J8" s="43"/>
      <c r="K8" s="8" t="s">
        <v>54</v>
      </c>
      <c r="L8" s="9">
        <v>62.52</v>
      </c>
    </row>
    <row r="9" spans="1:12" x14ac:dyDescent="0.3">
      <c r="A9" s="27" t="s">
        <v>28</v>
      </c>
      <c r="B9" s="13"/>
      <c r="C9" s="13"/>
      <c r="D9" s="26"/>
      <c r="E9" s="13"/>
      <c r="F9" s="26"/>
      <c r="G9" s="26"/>
      <c r="H9" s="26"/>
      <c r="I9" s="28"/>
    </row>
    <row r="10" spans="1:12" ht="26" x14ac:dyDescent="0.3">
      <c r="A10" s="29" t="s">
        <v>76</v>
      </c>
      <c r="B10" s="85" t="s">
        <v>77</v>
      </c>
      <c r="C10" s="86"/>
      <c r="D10" s="87"/>
      <c r="E10" s="30">
        <v>1</v>
      </c>
      <c r="F10" s="26"/>
      <c r="G10" s="26"/>
      <c r="H10" s="26"/>
      <c r="I10" s="28"/>
    </row>
    <row r="11" spans="1:12" ht="26" x14ac:dyDescent="0.3">
      <c r="A11" s="29" t="s">
        <v>78</v>
      </c>
      <c r="B11" s="85" t="s">
        <v>79</v>
      </c>
      <c r="C11" s="86"/>
      <c r="D11" s="87"/>
      <c r="E11" s="30">
        <v>15</v>
      </c>
      <c r="F11" s="26"/>
      <c r="G11" s="26"/>
      <c r="H11" s="26"/>
      <c r="I11" s="28"/>
      <c r="J11" s="43"/>
    </row>
    <row r="12" spans="1:12" x14ac:dyDescent="0.3">
      <c r="A12" s="29" t="s">
        <v>80</v>
      </c>
      <c r="B12" s="13"/>
      <c r="C12" s="13"/>
      <c r="D12" s="26"/>
      <c r="E12" s="13"/>
      <c r="F12" s="26"/>
      <c r="G12" s="26"/>
      <c r="H12" s="26"/>
      <c r="I12" s="28"/>
    </row>
    <row r="13" spans="1:12" ht="28.5" x14ac:dyDescent="0.3">
      <c r="A13" s="31" t="s">
        <v>125</v>
      </c>
      <c r="B13" s="26">
        <v>64</v>
      </c>
      <c r="C13" s="26">
        <v>1</v>
      </c>
      <c r="D13" s="26">
        <f t="shared" ref="D13:D61" si="0">B13*C13</f>
        <v>64</v>
      </c>
      <c r="E13" s="26">
        <f>E10</f>
        <v>1</v>
      </c>
      <c r="F13" s="26">
        <f t="shared" ref="F13:F43" si="1">D13*E13</f>
        <v>64</v>
      </c>
      <c r="G13" s="26">
        <f>+F13*0.05</f>
        <v>3.2</v>
      </c>
      <c r="H13" s="26">
        <f t="shared" ref="H13:H43" si="2">+F13*0.1</f>
        <v>6.4</v>
      </c>
      <c r="I13" s="28">
        <f t="shared" ref="I13:I15" si="3">+$L$7*F13+$L$6*G13+$L$8*H13</f>
        <v>8836.6400000000012</v>
      </c>
    </row>
    <row r="14" spans="1:12" ht="15.5" x14ac:dyDescent="0.3">
      <c r="A14" s="31" t="s">
        <v>126</v>
      </c>
      <c r="B14" s="26">
        <v>72</v>
      </c>
      <c r="C14" s="26">
        <v>1</v>
      </c>
      <c r="D14" s="26">
        <f t="shared" si="0"/>
        <v>72</v>
      </c>
      <c r="E14" s="26">
        <f>E10</f>
        <v>1</v>
      </c>
      <c r="F14" s="26">
        <f t="shared" si="1"/>
        <v>72</v>
      </c>
      <c r="G14" s="26">
        <f>+F14*0.05</f>
        <v>3.6</v>
      </c>
      <c r="H14" s="26">
        <f t="shared" si="2"/>
        <v>7.2</v>
      </c>
      <c r="I14" s="28">
        <f t="shared" si="3"/>
        <v>9941.2200000000012</v>
      </c>
    </row>
    <row r="15" spans="1:12" x14ac:dyDescent="0.3">
      <c r="A15" s="31" t="s">
        <v>81</v>
      </c>
      <c r="B15" s="26">
        <v>12</v>
      </c>
      <c r="C15" s="26">
        <v>1</v>
      </c>
      <c r="D15" s="26">
        <f t="shared" si="0"/>
        <v>12</v>
      </c>
      <c r="E15" s="26">
        <f>E11</f>
        <v>15</v>
      </c>
      <c r="F15" s="26">
        <f t="shared" si="1"/>
        <v>180</v>
      </c>
      <c r="G15" s="26">
        <f>+F15*0.05</f>
        <v>9</v>
      </c>
      <c r="H15" s="26">
        <f t="shared" si="2"/>
        <v>18</v>
      </c>
      <c r="I15" s="28">
        <f t="shared" si="3"/>
        <v>24853.050000000003</v>
      </c>
      <c r="J15" s="43"/>
    </row>
    <row r="16" spans="1:12" x14ac:dyDescent="0.3">
      <c r="A16" s="31" t="s">
        <v>82</v>
      </c>
      <c r="B16" s="26" t="s">
        <v>37</v>
      </c>
      <c r="C16" s="13"/>
      <c r="D16" s="26"/>
      <c r="E16" s="13"/>
      <c r="F16" s="26"/>
      <c r="G16" s="26"/>
      <c r="H16" s="26"/>
      <c r="I16" s="28"/>
    </row>
    <row r="17" spans="1:10" x14ac:dyDescent="0.3">
      <c r="A17" s="31" t="s">
        <v>83</v>
      </c>
      <c r="B17" s="26">
        <v>8</v>
      </c>
      <c r="C17" s="26">
        <v>1</v>
      </c>
      <c r="D17" s="26">
        <f t="shared" si="0"/>
        <v>8</v>
      </c>
      <c r="E17" s="26">
        <f>E11</f>
        <v>15</v>
      </c>
      <c r="F17" s="26">
        <f t="shared" si="1"/>
        <v>120</v>
      </c>
      <c r="G17" s="26">
        <f>+F17*0.05</f>
        <v>6</v>
      </c>
      <c r="H17" s="26">
        <f t="shared" si="2"/>
        <v>12</v>
      </c>
      <c r="I17" s="28">
        <f t="shared" ref="I17:I18" si="4">+$L$7*F17+$L$6*G17+$L$8*H17</f>
        <v>16568.7</v>
      </c>
      <c r="J17" s="43"/>
    </row>
    <row r="18" spans="1:10" ht="28.5" x14ac:dyDescent="0.3">
      <c r="A18" s="29" t="s">
        <v>127</v>
      </c>
      <c r="B18" s="26">
        <v>40</v>
      </c>
      <c r="C18" s="26">
        <v>1</v>
      </c>
      <c r="D18" s="26">
        <f t="shared" si="0"/>
        <v>40</v>
      </c>
      <c r="E18" s="26">
        <v>1</v>
      </c>
      <c r="F18" s="26">
        <f t="shared" si="1"/>
        <v>40</v>
      </c>
      <c r="G18" s="26">
        <f>+F18*0.05</f>
        <v>2</v>
      </c>
      <c r="H18" s="26">
        <f t="shared" si="2"/>
        <v>4</v>
      </c>
      <c r="I18" s="28">
        <f t="shared" si="4"/>
        <v>5522.9000000000005</v>
      </c>
    </row>
    <row r="19" spans="1:10" ht="26" x14ac:dyDescent="0.3">
      <c r="A19" s="29" t="s">
        <v>84</v>
      </c>
      <c r="B19" s="13"/>
      <c r="C19" s="13"/>
      <c r="D19" s="26"/>
      <c r="E19" s="13"/>
      <c r="F19" s="26"/>
      <c r="G19" s="26"/>
      <c r="H19" s="26"/>
      <c r="I19" s="28"/>
    </row>
    <row r="20" spans="1:10" x14ac:dyDescent="0.3">
      <c r="A20" s="31" t="s">
        <v>85</v>
      </c>
      <c r="B20" s="26">
        <v>17</v>
      </c>
      <c r="C20" s="26">
        <v>1</v>
      </c>
      <c r="D20" s="26">
        <f t="shared" si="0"/>
        <v>17</v>
      </c>
      <c r="E20" s="26">
        <f>E10</f>
        <v>1</v>
      </c>
      <c r="F20" s="26">
        <f t="shared" si="1"/>
        <v>17</v>
      </c>
      <c r="G20" s="26">
        <f t="shared" ref="G20:G43" si="5">+F20*0.05</f>
        <v>0.85000000000000009</v>
      </c>
      <c r="H20" s="26">
        <f t="shared" si="2"/>
        <v>1.7000000000000002</v>
      </c>
      <c r="I20" s="28">
        <f t="shared" ref="I20:I21" si="6">+$L$7*F20+$L$6*G20+$L$8*H20</f>
        <v>2347.2325000000001</v>
      </c>
    </row>
    <row r="21" spans="1:10" x14ac:dyDescent="0.3">
      <c r="A21" s="31" t="s">
        <v>86</v>
      </c>
      <c r="B21" s="26">
        <v>17</v>
      </c>
      <c r="C21" s="26">
        <v>1</v>
      </c>
      <c r="D21" s="26">
        <f t="shared" si="0"/>
        <v>17</v>
      </c>
      <c r="E21" s="26">
        <f>E11</f>
        <v>15</v>
      </c>
      <c r="F21" s="26">
        <f t="shared" si="1"/>
        <v>255</v>
      </c>
      <c r="G21" s="26">
        <f t="shared" si="5"/>
        <v>12.75</v>
      </c>
      <c r="H21" s="26">
        <f t="shared" si="2"/>
        <v>25.5</v>
      </c>
      <c r="I21" s="28">
        <f t="shared" si="6"/>
        <v>35208.487500000003</v>
      </c>
      <c r="J21" s="43"/>
    </row>
    <row r="22" spans="1:10" x14ac:dyDescent="0.3">
      <c r="A22" s="27" t="s">
        <v>30</v>
      </c>
      <c r="B22" s="26" t="s">
        <v>29</v>
      </c>
      <c r="C22" s="13"/>
      <c r="D22" s="26"/>
      <c r="E22" s="13"/>
      <c r="F22" s="26"/>
      <c r="G22" s="26"/>
      <c r="H22" s="26"/>
      <c r="I22" s="28"/>
    </row>
    <row r="23" spans="1:10" x14ac:dyDescent="0.3">
      <c r="A23" s="27" t="s">
        <v>31</v>
      </c>
      <c r="B23" s="26" t="s">
        <v>32</v>
      </c>
      <c r="C23" s="13"/>
      <c r="D23" s="26"/>
      <c r="E23" s="13"/>
      <c r="F23" s="26"/>
      <c r="G23" s="26"/>
      <c r="H23" s="26"/>
      <c r="I23" s="28"/>
    </row>
    <row r="24" spans="1:10" x14ac:dyDescent="0.3">
      <c r="A24" s="27" t="s">
        <v>33</v>
      </c>
      <c r="B24" s="13"/>
      <c r="C24" s="13"/>
      <c r="D24" s="26"/>
      <c r="E24" s="13"/>
      <c r="F24" s="26"/>
      <c r="G24" s="26"/>
      <c r="H24" s="26"/>
      <c r="I24" s="28"/>
    </row>
    <row r="25" spans="1:10" ht="15.5" x14ac:dyDescent="0.3">
      <c r="A25" s="29" t="s">
        <v>128</v>
      </c>
      <c r="B25" s="13"/>
      <c r="C25" s="13"/>
      <c r="D25" s="26"/>
      <c r="E25" s="13"/>
      <c r="F25" s="26"/>
      <c r="G25" s="26"/>
      <c r="H25" s="26"/>
      <c r="I25" s="28"/>
    </row>
    <row r="26" spans="1:10" x14ac:dyDescent="0.3">
      <c r="A26" s="31" t="s">
        <v>87</v>
      </c>
      <c r="B26" s="26">
        <v>2</v>
      </c>
      <c r="C26" s="26">
        <v>1</v>
      </c>
      <c r="D26" s="26">
        <f t="shared" si="0"/>
        <v>2</v>
      </c>
      <c r="E26" s="26">
        <f>E10</f>
        <v>1</v>
      </c>
      <c r="F26" s="26">
        <f t="shared" si="1"/>
        <v>2</v>
      </c>
      <c r="G26" s="26">
        <f t="shared" si="5"/>
        <v>0.1</v>
      </c>
      <c r="H26" s="26">
        <f t="shared" si="2"/>
        <v>0.2</v>
      </c>
      <c r="I26" s="28">
        <f t="shared" ref="I26:I28" si="7">+$L$7*F26+$L$6*G26+$L$8*H26</f>
        <v>276.14500000000004</v>
      </c>
    </row>
    <row r="27" spans="1:10" x14ac:dyDescent="0.3">
      <c r="A27" s="31" t="s">
        <v>88</v>
      </c>
      <c r="B27" s="26">
        <v>1</v>
      </c>
      <c r="C27" s="26">
        <v>1</v>
      </c>
      <c r="D27" s="26">
        <f t="shared" si="0"/>
        <v>1</v>
      </c>
      <c r="E27" s="26">
        <f>E10</f>
        <v>1</v>
      </c>
      <c r="F27" s="26">
        <f t="shared" si="1"/>
        <v>1</v>
      </c>
      <c r="G27" s="26">
        <f t="shared" si="5"/>
        <v>0.05</v>
      </c>
      <c r="H27" s="26">
        <f t="shared" si="2"/>
        <v>0.1</v>
      </c>
      <c r="I27" s="28">
        <f t="shared" si="7"/>
        <v>138.07250000000002</v>
      </c>
    </row>
    <row r="28" spans="1:10" ht="15.5" x14ac:dyDescent="0.3">
      <c r="A28" s="29" t="s">
        <v>129</v>
      </c>
      <c r="B28" s="26">
        <v>2</v>
      </c>
      <c r="C28" s="26">
        <v>1</v>
      </c>
      <c r="D28" s="26">
        <f t="shared" si="0"/>
        <v>2</v>
      </c>
      <c r="E28" s="26">
        <f>E10</f>
        <v>1</v>
      </c>
      <c r="F28" s="26">
        <f t="shared" si="1"/>
        <v>2</v>
      </c>
      <c r="G28" s="26">
        <f t="shared" si="5"/>
        <v>0.1</v>
      </c>
      <c r="H28" s="26">
        <f t="shared" si="2"/>
        <v>0.2</v>
      </c>
      <c r="I28" s="28">
        <f t="shared" si="7"/>
        <v>276.14500000000004</v>
      </c>
    </row>
    <row r="29" spans="1:10" ht="15.5" x14ac:dyDescent="0.3">
      <c r="A29" s="29" t="s">
        <v>130</v>
      </c>
      <c r="B29" s="13"/>
      <c r="C29" s="13"/>
      <c r="D29" s="26"/>
      <c r="E29" s="13"/>
      <c r="F29" s="26"/>
      <c r="G29" s="26"/>
      <c r="H29" s="26"/>
      <c r="I29" s="28"/>
    </row>
    <row r="30" spans="1:10" x14ac:dyDescent="0.3">
      <c r="A30" s="31" t="s">
        <v>87</v>
      </c>
      <c r="B30" s="26">
        <v>8</v>
      </c>
      <c r="C30" s="26">
        <v>1</v>
      </c>
      <c r="D30" s="26">
        <f t="shared" si="0"/>
        <v>8</v>
      </c>
      <c r="E30" s="26">
        <f>E10</f>
        <v>1</v>
      </c>
      <c r="F30" s="26">
        <f t="shared" si="1"/>
        <v>8</v>
      </c>
      <c r="G30" s="26">
        <f t="shared" si="5"/>
        <v>0.4</v>
      </c>
      <c r="H30" s="26">
        <f t="shared" si="2"/>
        <v>0.8</v>
      </c>
      <c r="I30" s="28">
        <f t="shared" ref="I30:I31" si="8">+$L$7*F30+$L$6*G30+$L$8*H30</f>
        <v>1104.5800000000002</v>
      </c>
    </row>
    <row r="31" spans="1:10" x14ac:dyDescent="0.3">
      <c r="A31" s="31" t="s">
        <v>88</v>
      </c>
      <c r="B31" s="26">
        <v>2</v>
      </c>
      <c r="C31" s="26">
        <v>1</v>
      </c>
      <c r="D31" s="26">
        <f t="shared" si="0"/>
        <v>2</v>
      </c>
      <c r="E31" s="26">
        <f>E10</f>
        <v>1</v>
      </c>
      <c r="F31" s="26">
        <f t="shared" si="1"/>
        <v>2</v>
      </c>
      <c r="G31" s="26">
        <f t="shared" si="5"/>
        <v>0.1</v>
      </c>
      <c r="H31" s="26">
        <f t="shared" si="2"/>
        <v>0.2</v>
      </c>
      <c r="I31" s="28">
        <f t="shared" si="8"/>
        <v>276.14500000000004</v>
      </c>
    </row>
    <row r="32" spans="1:10" x14ac:dyDescent="0.3">
      <c r="A32" s="29" t="s">
        <v>59</v>
      </c>
      <c r="B32" s="32" t="s">
        <v>77</v>
      </c>
      <c r="C32" s="13"/>
      <c r="D32" s="26"/>
      <c r="E32" s="30"/>
      <c r="F32" s="26"/>
      <c r="G32" s="26"/>
      <c r="H32" s="26"/>
      <c r="I32" s="28"/>
    </row>
    <row r="33" spans="1:10" ht="28.5" x14ac:dyDescent="0.3">
      <c r="A33" s="29" t="s">
        <v>131</v>
      </c>
      <c r="B33" s="26">
        <v>160</v>
      </c>
      <c r="C33" s="26">
        <v>1</v>
      </c>
      <c r="D33" s="26">
        <f t="shared" si="0"/>
        <v>160</v>
      </c>
      <c r="E33" s="26">
        <f>E10</f>
        <v>1</v>
      </c>
      <c r="F33" s="26">
        <f t="shared" si="1"/>
        <v>160</v>
      </c>
      <c r="G33" s="26">
        <f t="shared" si="5"/>
        <v>8</v>
      </c>
      <c r="H33" s="26">
        <f t="shared" si="2"/>
        <v>16</v>
      </c>
      <c r="I33" s="28">
        <f>+$L$7*F33+$L$6*G33+$L$8*H33</f>
        <v>22091.600000000002</v>
      </c>
    </row>
    <row r="34" spans="1:10" ht="15.5" x14ac:dyDescent="0.3">
      <c r="A34" s="29" t="s">
        <v>132</v>
      </c>
      <c r="B34" s="13"/>
      <c r="C34" s="13"/>
      <c r="D34" s="26"/>
      <c r="E34" s="13"/>
      <c r="F34" s="26"/>
      <c r="G34" s="26"/>
      <c r="H34" s="26"/>
      <c r="I34" s="28"/>
    </row>
    <row r="35" spans="1:10" x14ac:dyDescent="0.3">
      <c r="A35" s="31" t="s">
        <v>89</v>
      </c>
      <c r="B35" s="26">
        <v>6</v>
      </c>
      <c r="C35" s="26">
        <v>1</v>
      </c>
      <c r="D35" s="26">
        <f t="shared" si="0"/>
        <v>6</v>
      </c>
      <c r="E35" s="33">
        <f>E10*2/3</f>
        <v>0.66666666666666663</v>
      </c>
      <c r="F35" s="26">
        <f t="shared" si="1"/>
        <v>4</v>
      </c>
      <c r="G35" s="34">
        <f t="shared" si="5"/>
        <v>0.2</v>
      </c>
      <c r="H35" s="34">
        <f t="shared" si="2"/>
        <v>0.4</v>
      </c>
      <c r="I35" s="28">
        <f t="shared" ref="I35:I36" si="9">+$L$7*F35+$L$6*G35+$L$8*H35</f>
        <v>552.29000000000008</v>
      </c>
    </row>
    <row r="36" spans="1:10" x14ac:dyDescent="0.3">
      <c r="A36" s="31" t="s">
        <v>90</v>
      </c>
      <c r="B36" s="26">
        <v>14</v>
      </c>
      <c r="C36" s="26">
        <v>1</v>
      </c>
      <c r="D36" s="26">
        <f t="shared" si="0"/>
        <v>14</v>
      </c>
      <c r="E36" s="33">
        <f>E10*1/3</f>
        <v>0.33333333333333331</v>
      </c>
      <c r="F36" s="34">
        <f t="shared" si="1"/>
        <v>4.6666666666666661</v>
      </c>
      <c r="G36" s="33">
        <f t="shared" si="5"/>
        <v>0.23333333333333331</v>
      </c>
      <c r="H36" s="33">
        <f t="shared" si="2"/>
        <v>0.46666666666666662</v>
      </c>
      <c r="I36" s="28">
        <f t="shared" si="9"/>
        <v>644.33833333333325</v>
      </c>
    </row>
    <row r="37" spans="1:10" x14ac:dyDescent="0.3">
      <c r="A37" s="29" t="s">
        <v>60</v>
      </c>
      <c r="B37" s="26" t="s">
        <v>91</v>
      </c>
      <c r="C37" s="13"/>
      <c r="D37" s="26"/>
      <c r="E37" s="13"/>
      <c r="F37" s="26"/>
      <c r="G37" s="26"/>
      <c r="H37" s="26"/>
      <c r="I37" s="28"/>
    </row>
    <row r="38" spans="1:10" ht="26" x14ac:dyDescent="0.3">
      <c r="A38" s="29" t="s">
        <v>61</v>
      </c>
      <c r="B38" s="26" t="s">
        <v>139</v>
      </c>
      <c r="C38" s="13"/>
      <c r="D38" s="26"/>
      <c r="E38" s="13"/>
      <c r="F38" s="26"/>
      <c r="G38" s="26"/>
      <c r="H38" s="26"/>
      <c r="I38" s="28"/>
    </row>
    <row r="39" spans="1:10" ht="15.5" x14ac:dyDescent="0.3">
      <c r="A39" s="29" t="s">
        <v>133</v>
      </c>
      <c r="B39" s="26">
        <v>160</v>
      </c>
      <c r="C39" s="26">
        <v>1</v>
      </c>
      <c r="D39" s="26">
        <f t="shared" si="0"/>
        <v>160</v>
      </c>
      <c r="E39" s="26">
        <f>E10</f>
        <v>1</v>
      </c>
      <c r="F39" s="26">
        <f t="shared" si="1"/>
        <v>160</v>
      </c>
      <c r="G39" s="26">
        <f t="shared" si="5"/>
        <v>8</v>
      </c>
      <c r="H39" s="26">
        <f t="shared" si="2"/>
        <v>16</v>
      </c>
      <c r="I39" s="28">
        <f t="shared" ref="I39:I42" si="10">+$L$7*F39+$L$6*G39+$L$8*H39</f>
        <v>22091.600000000002</v>
      </c>
    </row>
    <row r="40" spans="1:10" ht="26" x14ac:dyDescent="0.3">
      <c r="A40" s="29" t="s">
        <v>140</v>
      </c>
      <c r="B40" s="26">
        <v>40</v>
      </c>
      <c r="C40" s="26">
        <v>1</v>
      </c>
      <c r="D40" s="26">
        <f t="shared" si="0"/>
        <v>40</v>
      </c>
      <c r="E40" s="26">
        <f>E11</f>
        <v>15</v>
      </c>
      <c r="F40" s="26">
        <f t="shared" si="1"/>
        <v>600</v>
      </c>
      <c r="G40" s="26">
        <f t="shared" si="5"/>
        <v>30</v>
      </c>
      <c r="H40" s="26">
        <f t="shared" si="2"/>
        <v>60</v>
      </c>
      <c r="I40" s="28">
        <f t="shared" si="10"/>
        <v>82843.5</v>
      </c>
      <c r="J40" s="43"/>
    </row>
    <row r="41" spans="1:10" ht="28.5" x14ac:dyDescent="0.3">
      <c r="A41" s="29" t="s">
        <v>134</v>
      </c>
      <c r="B41" s="26">
        <v>8</v>
      </c>
      <c r="C41" s="26">
        <v>2</v>
      </c>
      <c r="D41" s="26">
        <f t="shared" si="0"/>
        <v>16</v>
      </c>
      <c r="E41" s="26">
        <v>1.5</v>
      </c>
      <c r="F41" s="26">
        <f t="shared" si="1"/>
        <v>24</v>
      </c>
      <c r="G41" s="26">
        <f t="shared" si="5"/>
        <v>1.2000000000000002</v>
      </c>
      <c r="H41" s="26">
        <f t="shared" si="2"/>
        <v>2.4000000000000004</v>
      </c>
      <c r="I41" s="28">
        <f t="shared" si="10"/>
        <v>3313.7400000000002</v>
      </c>
    </row>
    <row r="42" spans="1:10" ht="28.5" x14ac:dyDescent="0.3">
      <c r="A42" s="29" t="s">
        <v>135</v>
      </c>
      <c r="B42" s="26">
        <v>8</v>
      </c>
      <c r="C42" s="26">
        <v>2</v>
      </c>
      <c r="D42" s="26">
        <f t="shared" si="0"/>
        <v>16</v>
      </c>
      <c r="E42" s="26">
        <v>1.5</v>
      </c>
      <c r="F42" s="26">
        <f t="shared" si="1"/>
        <v>24</v>
      </c>
      <c r="G42" s="26">
        <f t="shared" si="5"/>
        <v>1.2000000000000002</v>
      </c>
      <c r="H42" s="26">
        <f t="shared" si="2"/>
        <v>2.4000000000000004</v>
      </c>
      <c r="I42" s="28">
        <f t="shared" si="10"/>
        <v>3313.7400000000002</v>
      </c>
    </row>
    <row r="43" spans="1:10" ht="28.5" x14ac:dyDescent="0.3">
      <c r="A43" s="29" t="s">
        <v>136</v>
      </c>
      <c r="B43" s="26">
        <v>24</v>
      </c>
      <c r="C43" s="26">
        <v>2</v>
      </c>
      <c r="D43" s="26">
        <f t="shared" si="0"/>
        <v>48</v>
      </c>
      <c r="E43" s="26">
        <f>E54</f>
        <v>1.6</v>
      </c>
      <c r="F43" s="26">
        <f t="shared" si="1"/>
        <v>76.800000000000011</v>
      </c>
      <c r="G43" s="26">
        <f t="shared" si="5"/>
        <v>3.8400000000000007</v>
      </c>
      <c r="H43" s="26">
        <f t="shared" si="2"/>
        <v>7.6800000000000015</v>
      </c>
      <c r="I43" s="28">
        <f>+$L$7*F43+$L$6*G43+$L$8*H43</f>
        <v>10603.968000000001</v>
      </c>
    </row>
    <row r="44" spans="1:10" ht="13.5" x14ac:dyDescent="0.3">
      <c r="A44" s="35" t="s">
        <v>34</v>
      </c>
      <c r="B44" s="13"/>
      <c r="C44" s="13"/>
      <c r="D44" s="26"/>
      <c r="E44" s="13"/>
      <c r="F44" s="80">
        <f>SUM(F5:H43)</f>
        <v>2107.3366666666675</v>
      </c>
      <c r="G44" s="80"/>
      <c r="H44" s="80"/>
      <c r="I44" s="42">
        <f>SUM(I5:I43)</f>
        <v>253013.25383333332</v>
      </c>
    </row>
    <row r="45" spans="1:10" x14ac:dyDescent="0.3">
      <c r="A45" s="3" t="s">
        <v>35</v>
      </c>
      <c r="B45" s="37" t="s">
        <v>92</v>
      </c>
      <c r="C45" s="37" t="s">
        <v>92</v>
      </c>
      <c r="D45" s="26"/>
      <c r="E45" s="37" t="s">
        <v>92</v>
      </c>
      <c r="F45" s="37" t="s">
        <v>92</v>
      </c>
      <c r="G45" s="37" t="s">
        <v>92</v>
      </c>
      <c r="H45" s="37" t="s">
        <v>92</v>
      </c>
      <c r="I45" s="37" t="s">
        <v>92</v>
      </c>
    </row>
    <row r="46" spans="1:10" x14ac:dyDescent="0.3">
      <c r="A46" s="27" t="s">
        <v>36</v>
      </c>
      <c r="B46" s="26" t="s">
        <v>37</v>
      </c>
      <c r="C46" s="13"/>
      <c r="D46" s="26"/>
      <c r="E46" s="13"/>
      <c r="F46" s="13"/>
      <c r="G46" s="13"/>
      <c r="H46" s="13"/>
      <c r="I46" s="13"/>
    </row>
    <row r="47" spans="1:10" x14ac:dyDescent="0.3">
      <c r="A47" s="27" t="s">
        <v>38</v>
      </c>
      <c r="B47" s="4" t="s">
        <v>29</v>
      </c>
      <c r="C47" s="13"/>
      <c r="D47" s="26"/>
      <c r="E47" s="13"/>
      <c r="F47" s="13"/>
      <c r="G47" s="13"/>
      <c r="H47" s="13"/>
      <c r="I47" s="13"/>
    </row>
    <row r="48" spans="1:10" x14ac:dyDescent="0.3">
      <c r="A48" s="27" t="s">
        <v>39</v>
      </c>
      <c r="B48" s="4" t="s">
        <v>29</v>
      </c>
      <c r="C48" s="13"/>
      <c r="D48" s="26"/>
      <c r="E48" s="13"/>
      <c r="F48" s="13"/>
      <c r="G48" s="13"/>
      <c r="H48" s="13"/>
      <c r="I48" s="13"/>
    </row>
    <row r="49" spans="1:9" x14ac:dyDescent="0.3">
      <c r="A49" s="27" t="s">
        <v>40</v>
      </c>
      <c r="B49" s="26" t="s">
        <v>24</v>
      </c>
      <c r="C49" s="13"/>
      <c r="D49" s="26"/>
      <c r="E49" s="13"/>
      <c r="F49" s="13"/>
      <c r="G49" s="13"/>
      <c r="H49" s="13"/>
      <c r="I49" s="13"/>
    </row>
    <row r="50" spans="1:9" x14ac:dyDescent="0.3">
      <c r="A50" s="27" t="s">
        <v>41</v>
      </c>
      <c r="B50" s="13"/>
      <c r="C50" s="13"/>
      <c r="D50" s="26"/>
      <c r="E50" s="13"/>
      <c r="F50" s="13"/>
      <c r="G50" s="13"/>
      <c r="H50" s="13"/>
      <c r="I50" s="13"/>
    </row>
    <row r="51" spans="1:9" x14ac:dyDescent="0.3">
      <c r="A51" s="29" t="s">
        <v>42</v>
      </c>
      <c r="B51" s="26" t="s">
        <v>93</v>
      </c>
      <c r="C51" s="13"/>
      <c r="D51" s="26"/>
      <c r="E51" s="13"/>
      <c r="F51" s="13"/>
      <c r="G51" s="13"/>
      <c r="H51" s="13"/>
      <c r="I51" s="13"/>
    </row>
    <row r="52" spans="1:9" ht="28.5" x14ac:dyDescent="0.3">
      <c r="A52" s="29" t="s">
        <v>142</v>
      </c>
      <c r="B52" s="26">
        <v>0.5</v>
      </c>
      <c r="C52" s="26">
        <v>52</v>
      </c>
      <c r="D52" s="26">
        <f t="shared" si="0"/>
        <v>26</v>
      </c>
      <c r="E52" s="26">
        <f>E8*0.1</f>
        <v>1.6</v>
      </c>
      <c r="F52" s="26">
        <f t="shared" ref="F52:F61" si="11">D52*E52</f>
        <v>41.6</v>
      </c>
      <c r="G52" s="26">
        <f t="shared" ref="G52:G61" si="12">+F52*0.05</f>
        <v>2.08</v>
      </c>
      <c r="H52" s="26">
        <f t="shared" ref="H52:H61" si="13">+F52*0.1</f>
        <v>4.16</v>
      </c>
      <c r="I52" s="28">
        <f t="shared" ref="I52:I54" si="14">+$L$7*F52+$L$6*G52+$L$8*H52</f>
        <v>5743.8160000000007</v>
      </c>
    </row>
    <row r="53" spans="1:9" ht="15.5" x14ac:dyDescent="0.3">
      <c r="A53" s="29" t="s">
        <v>141</v>
      </c>
      <c r="B53" s="26">
        <v>1.5</v>
      </c>
      <c r="C53" s="26">
        <v>1</v>
      </c>
      <c r="D53" s="26">
        <f t="shared" si="0"/>
        <v>1.5</v>
      </c>
      <c r="E53" s="26">
        <f>E8*0.1</f>
        <v>1.6</v>
      </c>
      <c r="F53" s="26">
        <f t="shared" si="11"/>
        <v>2.4000000000000004</v>
      </c>
      <c r="G53" s="26">
        <f t="shared" si="12"/>
        <v>0.12000000000000002</v>
      </c>
      <c r="H53" s="26">
        <f t="shared" si="13"/>
        <v>0.24000000000000005</v>
      </c>
      <c r="I53" s="28">
        <f t="shared" si="14"/>
        <v>331.37400000000002</v>
      </c>
    </row>
    <row r="54" spans="1:9" ht="28.5" x14ac:dyDescent="0.3">
      <c r="A54" s="29" t="s">
        <v>137</v>
      </c>
      <c r="B54" s="26">
        <v>1.5</v>
      </c>
      <c r="C54" s="26">
        <v>2</v>
      </c>
      <c r="D54" s="26">
        <f t="shared" si="0"/>
        <v>3</v>
      </c>
      <c r="E54" s="26">
        <f>E8*0.1</f>
        <v>1.6</v>
      </c>
      <c r="F54" s="26">
        <f t="shared" si="11"/>
        <v>4.8000000000000007</v>
      </c>
      <c r="G54" s="26">
        <f t="shared" si="12"/>
        <v>0.24000000000000005</v>
      </c>
      <c r="H54" s="26">
        <f t="shared" si="13"/>
        <v>0.48000000000000009</v>
      </c>
      <c r="I54" s="28">
        <f t="shared" si="14"/>
        <v>662.74800000000005</v>
      </c>
    </row>
    <row r="55" spans="1:9" x14ac:dyDescent="0.3">
      <c r="A55" s="29" t="s">
        <v>43</v>
      </c>
      <c r="B55" s="26" t="s">
        <v>32</v>
      </c>
      <c r="C55" s="13"/>
      <c r="D55" s="26"/>
      <c r="E55" s="13"/>
      <c r="F55" s="26"/>
      <c r="G55" s="26"/>
      <c r="H55" s="26"/>
      <c r="I55" s="28"/>
    </row>
    <row r="56" spans="1:9" x14ac:dyDescent="0.3">
      <c r="A56" s="29" t="s">
        <v>44</v>
      </c>
      <c r="B56" s="26" t="s">
        <v>32</v>
      </c>
      <c r="C56" s="13"/>
      <c r="D56" s="26"/>
      <c r="E56" s="13"/>
      <c r="F56" s="26"/>
      <c r="G56" s="26"/>
      <c r="H56" s="26"/>
      <c r="I56" s="28"/>
    </row>
    <row r="57" spans="1:9" ht="26" x14ac:dyDescent="0.3">
      <c r="A57" s="29" t="s">
        <v>48</v>
      </c>
      <c r="B57" s="26">
        <v>1</v>
      </c>
      <c r="C57" s="26">
        <v>1</v>
      </c>
      <c r="D57" s="26">
        <f t="shared" si="0"/>
        <v>1</v>
      </c>
      <c r="E57" s="26">
        <f>E14+E15</f>
        <v>16</v>
      </c>
      <c r="F57" s="26">
        <f t="shared" si="11"/>
        <v>16</v>
      </c>
      <c r="G57" s="26">
        <f t="shared" si="12"/>
        <v>0.8</v>
      </c>
      <c r="H57" s="26">
        <f t="shared" si="13"/>
        <v>1.6</v>
      </c>
      <c r="I57" s="28">
        <f t="shared" ref="I57:I59" si="15">+$L$7*F57+$L$6*G57+$L$8*H57</f>
        <v>2209.1600000000003</v>
      </c>
    </row>
    <row r="58" spans="1:9" ht="26" x14ac:dyDescent="0.3">
      <c r="A58" s="29" t="s">
        <v>49</v>
      </c>
      <c r="B58" s="26">
        <v>1</v>
      </c>
      <c r="C58" s="26">
        <v>1</v>
      </c>
      <c r="D58" s="26">
        <f t="shared" si="0"/>
        <v>1</v>
      </c>
      <c r="E58" s="26">
        <f>E14+E15</f>
        <v>16</v>
      </c>
      <c r="F58" s="26">
        <f t="shared" si="11"/>
        <v>16</v>
      </c>
      <c r="G58" s="26">
        <f t="shared" si="12"/>
        <v>0.8</v>
      </c>
      <c r="H58" s="26">
        <f t="shared" si="13"/>
        <v>1.6</v>
      </c>
      <c r="I58" s="28">
        <f t="shared" si="15"/>
        <v>2209.1600000000003</v>
      </c>
    </row>
    <row r="59" spans="1:9" ht="26" x14ac:dyDescent="0.3">
      <c r="A59" s="29" t="s">
        <v>94</v>
      </c>
      <c r="B59" s="26">
        <v>1</v>
      </c>
      <c r="C59" s="26">
        <v>1</v>
      </c>
      <c r="D59" s="26">
        <f t="shared" si="0"/>
        <v>1</v>
      </c>
      <c r="E59" s="26">
        <f>E14+E15</f>
        <v>16</v>
      </c>
      <c r="F59" s="26">
        <f t="shared" si="11"/>
        <v>16</v>
      </c>
      <c r="G59" s="26">
        <f t="shared" si="12"/>
        <v>0.8</v>
      </c>
      <c r="H59" s="26">
        <f t="shared" si="13"/>
        <v>1.6</v>
      </c>
      <c r="I59" s="28">
        <f t="shared" si="15"/>
        <v>2209.1600000000003</v>
      </c>
    </row>
    <row r="60" spans="1:9" x14ac:dyDescent="0.3">
      <c r="A60" s="29" t="s">
        <v>50</v>
      </c>
      <c r="B60" s="26" t="s">
        <v>29</v>
      </c>
      <c r="C60" s="13"/>
      <c r="D60" s="26"/>
      <c r="E60" s="13"/>
      <c r="F60" s="26"/>
      <c r="G60" s="26"/>
      <c r="H60" s="26"/>
      <c r="I60" s="28"/>
    </row>
    <row r="61" spans="1:9" ht="15.5" x14ac:dyDescent="0.3">
      <c r="A61" s="29" t="s">
        <v>138</v>
      </c>
      <c r="B61" s="26">
        <v>24</v>
      </c>
      <c r="C61" s="26">
        <v>1</v>
      </c>
      <c r="D61" s="26">
        <f t="shared" si="0"/>
        <v>24</v>
      </c>
      <c r="E61" s="33">
        <f>E36</f>
        <v>0.33333333333333331</v>
      </c>
      <c r="F61" s="26">
        <f t="shared" si="11"/>
        <v>8</v>
      </c>
      <c r="G61" s="26">
        <f t="shared" si="12"/>
        <v>0.4</v>
      </c>
      <c r="H61" s="26">
        <f t="shared" si="13"/>
        <v>0.8</v>
      </c>
      <c r="I61" s="28">
        <f>+$L$7*F61+$L$6*G61+$L$8*H61</f>
        <v>1104.5800000000002</v>
      </c>
    </row>
    <row r="62" spans="1:9" x14ac:dyDescent="0.3">
      <c r="A62" s="27" t="s">
        <v>45</v>
      </c>
      <c r="B62" s="26" t="s">
        <v>29</v>
      </c>
      <c r="C62" s="14"/>
      <c r="D62" s="14"/>
      <c r="E62" s="14"/>
      <c r="F62" s="14"/>
      <c r="G62" s="14"/>
      <c r="H62" s="14"/>
      <c r="I62" s="13"/>
    </row>
    <row r="63" spans="1:9" x14ac:dyDescent="0.3">
      <c r="A63" s="27" t="s">
        <v>46</v>
      </c>
      <c r="B63" s="26" t="s">
        <v>24</v>
      </c>
      <c r="C63" s="14"/>
      <c r="D63" s="14"/>
      <c r="E63" s="14"/>
      <c r="F63" s="14"/>
      <c r="G63" s="14"/>
      <c r="H63" s="14"/>
      <c r="I63" s="13"/>
    </row>
    <row r="64" spans="1:9" ht="13.5" x14ac:dyDescent="0.3">
      <c r="A64" s="35" t="s">
        <v>47</v>
      </c>
      <c r="B64" s="38"/>
      <c r="C64" s="38"/>
      <c r="D64" s="38"/>
      <c r="E64" s="38"/>
      <c r="F64" s="81">
        <f>SUM(F45:H63)</f>
        <v>120.51999999999998</v>
      </c>
      <c r="G64" s="81"/>
      <c r="H64" s="81"/>
      <c r="I64" s="42">
        <f>SUM(I45:I63)</f>
        <v>14469.998</v>
      </c>
    </row>
    <row r="65" spans="1:11" ht="15" x14ac:dyDescent="0.3">
      <c r="A65" s="7" t="s">
        <v>143</v>
      </c>
      <c r="B65" s="37"/>
      <c r="C65" s="37"/>
      <c r="D65" s="37"/>
      <c r="E65" s="37"/>
      <c r="F65" s="82">
        <f>ROUND(F44+F64,-1)</f>
        <v>2230</v>
      </c>
      <c r="G65" s="82"/>
      <c r="H65" s="82"/>
      <c r="I65" s="36">
        <f>ROUND(I44+I64,-3)</f>
        <v>267000</v>
      </c>
    </row>
    <row r="66" spans="1:11" ht="15" x14ac:dyDescent="0.3">
      <c r="A66" s="7" t="s">
        <v>144</v>
      </c>
      <c r="B66" s="37"/>
      <c r="C66" s="37"/>
      <c r="D66" s="37"/>
      <c r="E66" s="37"/>
      <c r="F66" s="39"/>
      <c r="G66" s="39"/>
      <c r="H66" s="39"/>
      <c r="I66" s="36">
        <f>'Capital O&amp;M'!I11</f>
        <v>1210000</v>
      </c>
      <c r="K66" s="5" t="s">
        <v>184</v>
      </c>
    </row>
    <row r="67" spans="1:11" ht="15" x14ac:dyDescent="0.3">
      <c r="A67" s="7" t="s">
        <v>145</v>
      </c>
      <c r="B67" s="37"/>
      <c r="C67" s="37"/>
      <c r="D67" s="37"/>
      <c r="E67" s="37"/>
      <c r="F67" s="39"/>
      <c r="G67" s="39"/>
      <c r="H67" s="39"/>
      <c r="I67" s="36">
        <f>ROUND(I65+I66,-4)</f>
        <v>1480000</v>
      </c>
      <c r="K67" s="77">
        <f>F65/Responses!E15</f>
        <v>71.474358974358978</v>
      </c>
    </row>
    <row r="69" spans="1:11" x14ac:dyDescent="0.3">
      <c r="A69" s="6" t="s">
        <v>27</v>
      </c>
    </row>
    <row r="70" spans="1:11" ht="30" customHeight="1" x14ac:dyDescent="0.3">
      <c r="A70" s="89" t="s">
        <v>168</v>
      </c>
      <c r="B70" s="89"/>
      <c r="C70" s="89"/>
      <c r="D70" s="89"/>
      <c r="E70" s="89"/>
      <c r="F70" s="89"/>
      <c r="G70" s="89"/>
      <c r="H70" s="89"/>
      <c r="I70" s="89"/>
      <c r="J70" s="43"/>
    </row>
    <row r="71" spans="1:11" ht="72.650000000000006" customHeight="1" x14ac:dyDescent="0.3">
      <c r="A71" s="89" t="s">
        <v>169</v>
      </c>
      <c r="B71" s="89"/>
      <c r="C71" s="89"/>
      <c r="D71" s="89"/>
      <c r="E71" s="89"/>
      <c r="F71" s="89"/>
      <c r="G71" s="89"/>
      <c r="H71" s="89"/>
      <c r="I71" s="89"/>
    </row>
    <row r="72" spans="1:11" ht="15.5" x14ac:dyDescent="0.3">
      <c r="A72" s="90" t="s">
        <v>153</v>
      </c>
      <c r="B72" s="90"/>
      <c r="C72" s="90"/>
      <c r="D72" s="90"/>
      <c r="E72" s="90"/>
      <c r="F72" s="90"/>
      <c r="G72" s="90"/>
      <c r="H72" s="90"/>
      <c r="I72" s="90"/>
    </row>
    <row r="73" spans="1:11" ht="15.5" x14ac:dyDescent="0.3">
      <c r="A73" s="90" t="s">
        <v>154</v>
      </c>
      <c r="B73" s="90"/>
      <c r="C73" s="90"/>
      <c r="D73" s="90"/>
      <c r="E73" s="90"/>
      <c r="F73" s="90"/>
      <c r="G73" s="90"/>
      <c r="H73" s="90"/>
      <c r="I73" s="90"/>
    </row>
    <row r="74" spans="1:11" ht="15.5" x14ac:dyDescent="0.3">
      <c r="A74" s="90" t="s">
        <v>155</v>
      </c>
      <c r="B74" s="90"/>
      <c r="C74" s="90"/>
      <c r="D74" s="90"/>
      <c r="E74" s="90"/>
      <c r="F74" s="90"/>
      <c r="G74" s="90"/>
      <c r="H74" s="90"/>
      <c r="I74" s="90"/>
    </row>
    <row r="75" spans="1:11" ht="46.5" customHeight="1" x14ac:dyDescent="0.3">
      <c r="A75" s="89" t="s">
        <v>157</v>
      </c>
      <c r="B75" s="89"/>
      <c r="C75" s="89"/>
      <c r="D75" s="89"/>
      <c r="E75" s="89"/>
      <c r="F75" s="89"/>
      <c r="G75" s="89"/>
      <c r="H75" s="89"/>
      <c r="I75" s="89"/>
    </row>
    <row r="76" spans="1:11" ht="15.5" x14ac:dyDescent="0.3">
      <c r="A76" s="90" t="s">
        <v>164</v>
      </c>
      <c r="B76" s="90"/>
      <c r="C76" s="90"/>
      <c r="D76" s="90"/>
      <c r="E76" s="90"/>
      <c r="F76" s="90"/>
      <c r="G76" s="90"/>
      <c r="H76" s="90"/>
      <c r="I76" s="90"/>
    </row>
    <row r="77" spans="1:11" ht="15.5" x14ac:dyDescent="0.3">
      <c r="A77" s="90" t="s">
        <v>156</v>
      </c>
      <c r="B77" s="90"/>
      <c r="C77" s="90"/>
      <c r="D77" s="90"/>
      <c r="E77" s="90"/>
      <c r="F77" s="90"/>
      <c r="G77" s="90"/>
      <c r="H77" s="90"/>
      <c r="I77" s="90"/>
    </row>
    <row r="79" spans="1:11" x14ac:dyDescent="0.3">
      <c r="A79" s="40"/>
    </row>
    <row r="81" spans="1:1" x14ac:dyDescent="0.3">
      <c r="A81" s="41"/>
    </row>
  </sheetData>
  <mergeCells count="16">
    <mergeCell ref="A75:I75"/>
    <mergeCell ref="A76:I76"/>
    <mergeCell ref="A77:I77"/>
    <mergeCell ref="A70:I70"/>
    <mergeCell ref="A71:I71"/>
    <mergeCell ref="A72:I72"/>
    <mergeCell ref="A73:I73"/>
    <mergeCell ref="A74:I74"/>
    <mergeCell ref="F44:H44"/>
    <mergeCell ref="F64:H64"/>
    <mergeCell ref="F65:H65"/>
    <mergeCell ref="A1:I1"/>
    <mergeCell ref="K5:L5"/>
    <mergeCell ref="B11:D11"/>
    <mergeCell ref="B10:D10"/>
    <mergeCell ref="A3:A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234C-CFDB-45F6-8394-8564F7F247CD}">
  <dimension ref="A1:L30"/>
  <sheetViews>
    <sheetView topLeftCell="A7" workbookViewId="0">
      <selection activeCell="A28" sqref="A28:I28"/>
    </sheetView>
  </sheetViews>
  <sheetFormatPr defaultColWidth="9.1796875" defaultRowHeight="13" x14ac:dyDescent="0.3"/>
  <cols>
    <col min="1" max="1" width="39.54296875" style="5" customWidth="1"/>
    <col min="2" max="9" width="9.1796875" style="5"/>
    <col min="10" max="10" width="5.26953125" style="5" customWidth="1"/>
    <col min="11" max="11" width="12.26953125" style="5" customWidth="1"/>
    <col min="12" max="16384" width="9.1796875" style="5"/>
  </cols>
  <sheetData>
    <row r="1" spans="1:12" ht="36" customHeight="1" x14ac:dyDescent="0.3">
      <c r="A1" s="93" t="s">
        <v>150</v>
      </c>
      <c r="B1" s="93"/>
      <c r="C1" s="93"/>
      <c r="D1" s="93"/>
      <c r="E1" s="93"/>
      <c r="F1" s="93"/>
      <c r="G1" s="93"/>
      <c r="H1" s="93"/>
      <c r="I1" s="93"/>
    </row>
    <row r="2" spans="1:12" ht="14.5" x14ac:dyDescent="0.35">
      <c r="A2"/>
      <c r="B2"/>
      <c r="C2"/>
      <c r="D2"/>
      <c r="E2"/>
      <c r="F2"/>
      <c r="G2"/>
      <c r="H2"/>
      <c r="I2"/>
    </row>
    <row r="3" spans="1:12" x14ac:dyDescent="0.3">
      <c r="A3" s="95" t="s">
        <v>22</v>
      </c>
      <c r="B3" s="2" t="s">
        <v>62</v>
      </c>
      <c r="C3" s="2" t="s">
        <v>63</v>
      </c>
      <c r="D3" s="2" t="s">
        <v>64</v>
      </c>
      <c r="E3" s="2" t="s">
        <v>65</v>
      </c>
      <c r="F3" s="2" t="s">
        <v>66</v>
      </c>
      <c r="G3" s="2" t="s">
        <v>67</v>
      </c>
      <c r="H3" s="2" t="s">
        <v>68</v>
      </c>
      <c r="I3" s="2" t="s">
        <v>95</v>
      </c>
    </row>
    <row r="4" spans="1:12" ht="57.5" x14ac:dyDescent="0.3">
      <c r="A4" s="95"/>
      <c r="B4" s="2" t="s">
        <v>96</v>
      </c>
      <c r="C4" s="2" t="s">
        <v>70</v>
      </c>
      <c r="D4" s="2" t="s">
        <v>97</v>
      </c>
      <c r="E4" s="2" t="s">
        <v>98</v>
      </c>
      <c r="F4" s="2" t="s">
        <v>99</v>
      </c>
      <c r="G4" s="2" t="s">
        <v>73</v>
      </c>
      <c r="H4" s="2" t="s">
        <v>74</v>
      </c>
      <c r="I4" s="2" t="s">
        <v>100</v>
      </c>
    </row>
    <row r="5" spans="1:12" x14ac:dyDescent="0.3">
      <c r="A5" s="1" t="s">
        <v>23</v>
      </c>
      <c r="B5" s="15" t="s">
        <v>24</v>
      </c>
      <c r="C5" s="13"/>
      <c r="D5" s="14"/>
      <c r="E5" s="14"/>
      <c r="F5" s="13"/>
      <c r="G5" s="13"/>
      <c r="H5" s="13"/>
      <c r="I5" s="13"/>
      <c r="K5" s="91" t="s">
        <v>51</v>
      </c>
      <c r="L5" s="92"/>
    </row>
    <row r="6" spans="1:12" x14ac:dyDescent="0.3">
      <c r="A6" s="1" t="s">
        <v>101</v>
      </c>
      <c r="B6" s="15">
        <v>16</v>
      </c>
      <c r="C6" s="15">
        <v>1</v>
      </c>
      <c r="D6" s="15">
        <f>B6*C6</f>
        <v>16</v>
      </c>
      <c r="E6" s="11">
        <v>0</v>
      </c>
      <c r="F6" s="15">
        <f>D6*E6</f>
        <v>0</v>
      </c>
      <c r="G6" s="15">
        <f>F6*0.05</f>
        <v>0</v>
      </c>
      <c r="H6" s="15">
        <f>F6*0.1</f>
        <v>0</v>
      </c>
      <c r="I6" s="16">
        <f>$L$7*F6+$L$6*G6+$L$8*H6</f>
        <v>0</v>
      </c>
      <c r="K6" s="8" t="s">
        <v>52</v>
      </c>
      <c r="L6" s="9">
        <v>70.56</v>
      </c>
    </row>
    <row r="7" spans="1:12" x14ac:dyDescent="0.3">
      <c r="A7" s="1" t="s">
        <v>102</v>
      </c>
      <c r="B7" s="13"/>
      <c r="C7" s="13"/>
      <c r="D7" s="15"/>
      <c r="E7" s="14"/>
      <c r="F7" s="15"/>
      <c r="G7" s="15"/>
      <c r="H7" s="15"/>
      <c r="I7" s="16"/>
      <c r="K7" s="8" t="s">
        <v>53</v>
      </c>
      <c r="L7" s="9">
        <v>52.37</v>
      </c>
    </row>
    <row r="8" spans="1:12" ht="25.5" x14ac:dyDescent="0.3">
      <c r="A8" s="17" t="s">
        <v>103</v>
      </c>
      <c r="B8" s="15">
        <v>48</v>
      </c>
      <c r="C8" s="15">
        <v>1</v>
      </c>
      <c r="D8" s="15">
        <f t="shared" ref="D8:D19" si="0">B8*C8</f>
        <v>48</v>
      </c>
      <c r="E8" s="11">
        <v>0.2</v>
      </c>
      <c r="F8" s="15">
        <f t="shared" ref="F8:F19" si="1">D8*E8</f>
        <v>9.6000000000000014</v>
      </c>
      <c r="G8" s="15">
        <f t="shared" ref="G8:G19" si="2">F8*0.05</f>
        <v>0.48000000000000009</v>
      </c>
      <c r="H8" s="15">
        <f t="shared" ref="H8:H19" si="3">F8*0.1</f>
        <v>0.96000000000000019</v>
      </c>
      <c r="I8" s="16">
        <f t="shared" ref="I8:I9" si="4">$L$7*F8+$L$6*G8+$L$8*H8</f>
        <v>563.82720000000006</v>
      </c>
      <c r="K8" s="8" t="s">
        <v>54</v>
      </c>
      <c r="L8" s="9">
        <v>28.34</v>
      </c>
    </row>
    <row r="9" spans="1:12" ht="14" x14ac:dyDescent="0.3">
      <c r="A9" s="17" t="s">
        <v>104</v>
      </c>
      <c r="B9" s="15">
        <v>24</v>
      </c>
      <c r="C9" s="15">
        <v>1</v>
      </c>
      <c r="D9" s="15">
        <f t="shared" si="0"/>
        <v>24</v>
      </c>
      <c r="E9" s="11">
        <f>'Table 1'!E54</f>
        <v>1.6</v>
      </c>
      <c r="F9" s="15">
        <f t="shared" si="1"/>
        <v>38.400000000000006</v>
      </c>
      <c r="G9" s="15">
        <f t="shared" si="2"/>
        <v>1.9200000000000004</v>
      </c>
      <c r="H9" s="15">
        <f t="shared" si="3"/>
        <v>3.8400000000000007</v>
      </c>
      <c r="I9" s="16">
        <f t="shared" si="4"/>
        <v>2255.3088000000002</v>
      </c>
    </row>
    <row r="10" spans="1:12" x14ac:dyDescent="0.3">
      <c r="A10" s="17" t="s">
        <v>30</v>
      </c>
      <c r="B10" s="15" t="s">
        <v>24</v>
      </c>
      <c r="C10" s="13"/>
      <c r="D10" s="15"/>
      <c r="E10" s="14"/>
      <c r="F10" s="15"/>
      <c r="G10" s="15"/>
      <c r="H10" s="15"/>
      <c r="I10" s="16"/>
    </row>
    <row r="11" spans="1:12" x14ac:dyDescent="0.3">
      <c r="A11" s="17" t="s">
        <v>31</v>
      </c>
      <c r="B11" s="15" t="s">
        <v>24</v>
      </c>
      <c r="C11" s="13"/>
      <c r="D11" s="15"/>
      <c r="E11" s="14"/>
      <c r="F11" s="15"/>
      <c r="G11" s="15"/>
      <c r="H11" s="15"/>
      <c r="I11" s="16"/>
    </row>
    <row r="12" spans="1:12" x14ac:dyDescent="0.3">
      <c r="A12" s="17" t="s">
        <v>105</v>
      </c>
      <c r="B12" s="13"/>
      <c r="C12" s="13"/>
      <c r="D12" s="15"/>
      <c r="E12" s="14"/>
      <c r="F12" s="15"/>
      <c r="G12" s="15"/>
      <c r="H12" s="15"/>
      <c r="I12" s="16"/>
    </row>
    <row r="13" spans="1:12" ht="25.5" x14ac:dyDescent="0.3">
      <c r="A13" s="18" t="s">
        <v>106</v>
      </c>
      <c r="B13" s="15">
        <v>8</v>
      </c>
      <c r="C13" s="15">
        <v>1</v>
      </c>
      <c r="D13" s="15">
        <f t="shared" si="0"/>
        <v>8</v>
      </c>
      <c r="E13" s="15">
        <v>1</v>
      </c>
      <c r="F13" s="15">
        <f t="shared" si="1"/>
        <v>8</v>
      </c>
      <c r="G13" s="15">
        <f t="shared" si="2"/>
        <v>0.4</v>
      </c>
      <c r="H13" s="15">
        <f t="shared" si="3"/>
        <v>0.8</v>
      </c>
      <c r="I13" s="16">
        <f t="shared" ref="I13:I19" si="5">$L$7*F13+$L$6*G13+$L$8*H13</f>
        <v>469.85599999999999</v>
      </c>
    </row>
    <row r="14" spans="1:12" ht="14" x14ac:dyDescent="0.3">
      <c r="A14" s="18" t="s">
        <v>107</v>
      </c>
      <c r="B14" s="15">
        <v>2</v>
      </c>
      <c r="C14" s="15">
        <v>1</v>
      </c>
      <c r="D14" s="15">
        <f t="shared" si="0"/>
        <v>2</v>
      </c>
      <c r="E14" s="15">
        <v>1</v>
      </c>
      <c r="F14" s="15">
        <f t="shared" si="1"/>
        <v>2</v>
      </c>
      <c r="G14" s="15">
        <f t="shared" si="2"/>
        <v>0.1</v>
      </c>
      <c r="H14" s="15">
        <f t="shared" si="3"/>
        <v>0.2</v>
      </c>
      <c r="I14" s="16">
        <f t="shared" si="5"/>
        <v>117.464</v>
      </c>
    </row>
    <row r="15" spans="1:12" ht="14" x14ac:dyDescent="0.3">
      <c r="A15" s="18" t="s">
        <v>108</v>
      </c>
      <c r="B15" s="15">
        <v>40</v>
      </c>
      <c r="C15" s="15">
        <v>1</v>
      </c>
      <c r="D15" s="15">
        <f t="shared" si="0"/>
        <v>40</v>
      </c>
      <c r="E15" s="15">
        <v>1</v>
      </c>
      <c r="F15" s="15">
        <f t="shared" si="1"/>
        <v>40</v>
      </c>
      <c r="G15" s="15">
        <f t="shared" si="2"/>
        <v>2</v>
      </c>
      <c r="H15" s="15">
        <f t="shared" si="3"/>
        <v>4</v>
      </c>
      <c r="I15" s="16">
        <f t="shared" si="5"/>
        <v>2349.2799999999997</v>
      </c>
    </row>
    <row r="16" spans="1:12" x14ac:dyDescent="0.3">
      <c r="A16" s="18" t="s">
        <v>109</v>
      </c>
      <c r="B16" s="15">
        <v>8</v>
      </c>
      <c r="C16" s="15">
        <v>1</v>
      </c>
      <c r="D16" s="15">
        <f t="shared" si="0"/>
        <v>8</v>
      </c>
      <c r="E16" s="15">
        <f>'Table 1'!E11</f>
        <v>15</v>
      </c>
      <c r="F16" s="15">
        <f t="shared" si="1"/>
        <v>120</v>
      </c>
      <c r="G16" s="15">
        <f t="shared" si="2"/>
        <v>6</v>
      </c>
      <c r="H16" s="15">
        <f t="shared" si="3"/>
        <v>12</v>
      </c>
      <c r="I16" s="16">
        <f t="shared" si="5"/>
        <v>7047.8399999999992</v>
      </c>
    </row>
    <row r="17" spans="1:10" ht="25.5" x14ac:dyDescent="0.3">
      <c r="A17" s="18" t="s">
        <v>110</v>
      </c>
      <c r="B17" s="15">
        <v>16</v>
      </c>
      <c r="C17" s="15">
        <v>1</v>
      </c>
      <c r="D17" s="15">
        <f t="shared" si="0"/>
        <v>16</v>
      </c>
      <c r="E17" s="15">
        <f>'Table 1'!E54</f>
        <v>1.6</v>
      </c>
      <c r="F17" s="15">
        <f t="shared" si="1"/>
        <v>25.6</v>
      </c>
      <c r="G17" s="15">
        <f t="shared" si="2"/>
        <v>1.2800000000000002</v>
      </c>
      <c r="H17" s="15">
        <f t="shared" si="3"/>
        <v>2.5600000000000005</v>
      </c>
      <c r="I17" s="16">
        <f t="shared" si="5"/>
        <v>1503.5392000000002</v>
      </c>
    </row>
    <row r="18" spans="1:10" ht="25.5" x14ac:dyDescent="0.3">
      <c r="A18" s="18" t="s">
        <v>111</v>
      </c>
      <c r="B18" s="15">
        <v>4</v>
      </c>
      <c r="C18" s="15">
        <v>4</v>
      </c>
      <c r="D18" s="15">
        <f t="shared" si="0"/>
        <v>16</v>
      </c>
      <c r="E18" s="15">
        <f>'Table 1'!E41</f>
        <v>1.5</v>
      </c>
      <c r="F18" s="15">
        <f t="shared" si="1"/>
        <v>24</v>
      </c>
      <c r="G18" s="15">
        <f t="shared" si="2"/>
        <v>1.2000000000000002</v>
      </c>
      <c r="H18" s="15">
        <f t="shared" si="3"/>
        <v>2.4000000000000004</v>
      </c>
      <c r="I18" s="16">
        <f t="shared" si="5"/>
        <v>1409.568</v>
      </c>
    </row>
    <row r="19" spans="1:10" ht="14" x14ac:dyDescent="0.3">
      <c r="A19" s="17" t="s">
        <v>146</v>
      </c>
      <c r="B19" s="15">
        <v>4</v>
      </c>
      <c r="C19" s="15">
        <v>1</v>
      </c>
      <c r="D19" s="15">
        <f t="shared" si="0"/>
        <v>4</v>
      </c>
      <c r="E19" s="15">
        <v>50</v>
      </c>
      <c r="F19" s="15">
        <f t="shared" si="1"/>
        <v>200</v>
      </c>
      <c r="G19" s="15">
        <f t="shared" si="2"/>
        <v>10</v>
      </c>
      <c r="H19" s="15">
        <f t="shared" si="3"/>
        <v>20</v>
      </c>
      <c r="I19" s="16">
        <f t="shared" si="5"/>
        <v>11746.4</v>
      </c>
    </row>
    <row r="20" spans="1:10" ht="14" x14ac:dyDescent="0.3">
      <c r="A20" s="19" t="s">
        <v>147</v>
      </c>
      <c r="B20" s="20"/>
      <c r="C20" s="20"/>
      <c r="D20" s="21"/>
      <c r="E20" s="12"/>
      <c r="F20" s="94">
        <f>SUM(F5:H19)</f>
        <v>537.74</v>
      </c>
      <c r="G20" s="94"/>
      <c r="H20" s="94"/>
      <c r="I20" s="22">
        <f>ROUND(SUM(I5:I19),-2)</f>
        <v>27500</v>
      </c>
    </row>
    <row r="21" spans="1:10" ht="14.5" x14ac:dyDescent="0.35">
      <c r="A21"/>
      <c r="B21"/>
      <c r="C21"/>
      <c r="D21"/>
      <c r="E21"/>
      <c r="F21"/>
      <c r="G21"/>
      <c r="H21"/>
      <c r="I21"/>
    </row>
    <row r="22" spans="1:10" x14ac:dyDescent="0.3">
      <c r="A22" s="6" t="s">
        <v>27</v>
      </c>
    </row>
    <row r="23" spans="1:10" ht="34.5" customHeight="1" x14ac:dyDescent="0.3">
      <c r="A23" s="89" t="s">
        <v>170</v>
      </c>
      <c r="B23" s="89"/>
      <c r="C23" s="89"/>
      <c r="D23" s="89"/>
      <c r="E23" s="89"/>
      <c r="F23" s="89"/>
      <c r="G23" s="89"/>
      <c r="H23" s="89"/>
      <c r="I23" s="89"/>
      <c r="J23" s="43"/>
    </row>
    <row r="24" spans="1:10" ht="47.25" customHeight="1" x14ac:dyDescent="0.3">
      <c r="A24" s="89" t="s">
        <v>171</v>
      </c>
      <c r="B24" s="89"/>
      <c r="C24" s="89"/>
      <c r="D24" s="89"/>
      <c r="E24" s="89"/>
      <c r="F24" s="89"/>
      <c r="G24" s="89"/>
      <c r="H24" s="89"/>
      <c r="I24" s="89"/>
    </row>
    <row r="25" spans="1:10" ht="18" customHeight="1" x14ac:dyDescent="0.3">
      <c r="A25" s="89" t="s">
        <v>158</v>
      </c>
      <c r="B25" s="89"/>
      <c r="C25" s="89"/>
      <c r="D25" s="89"/>
      <c r="E25" s="89"/>
      <c r="F25" s="89"/>
      <c r="G25" s="89"/>
      <c r="H25" s="89"/>
      <c r="I25" s="89"/>
    </row>
    <row r="26" spans="1:10" ht="18" customHeight="1" x14ac:dyDescent="0.3">
      <c r="A26" s="89" t="s">
        <v>163</v>
      </c>
      <c r="B26" s="89"/>
      <c r="C26" s="89"/>
      <c r="D26" s="89"/>
      <c r="E26" s="89"/>
      <c r="F26" s="89"/>
      <c r="G26" s="89"/>
      <c r="H26" s="89"/>
      <c r="I26" s="89"/>
      <c r="J26" s="43"/>
    </row>
    <row r="27" spans="1:10" ht="18" customHeight="1" x14ac:dyDescent="0.3">
      <c r="A27" s="89" t="s">
        <v>159</v>
      </c>
      <c r="B27" s="89"/>
      <c r="C27" s="89"/>
      <c r="D27" s="89"/>
      <c r="E27" s="89"/>
      <c r="F27" s="89"/>
      <c r="G27" s="89"/>
      <c r="H27" s="89"/>
      <c r="I27" s="89"/>
    </row>
    <row r="28" spans="1:10" ht="48" customHeight="1" x14ac:dyDescent="0.3">
      <c r="A28" s="89" t="s">
        <v>162</v>
      </c>
      <c r="B28" s="89"/>
      <c r="C28" s="89"/>
      <c r="D28" s="89"/>
      <c r="E28" s="89"/>
      <c r="F28" s="89"/>
      <c r="G28" s="89"/>
      <c r="H28" s="89"/>
      <c r="I28" s="89"/>
    </row>
    <row r="29" spans="1:10" ht="18.75" customHeight="1" x14ac:dyDescent="0.3">
      <c r="A29" s="89" t="s">
        <v>160</v>
      </c>
      <c r="B29" s="89"/>
      <c r="C29" s="89"/>
      <c r="D29" s="89"/>
      <c r="E29" s="89"/>
      <c r="F29" s="89"/>
      <c r="G29" s="89"/>
      <c r="H29" s="89"/>
      <c r="I29" s="89"/>
    </row>
    <row r="30" spans="1:10" ht="18.75" customHeight="1" x14ac:dyDescent="0.3">
      <c r="A30" s="89" t="s">
        <v>161</v>
      </c>
      <c r="B30" s="89"/>
      <c r="C30" s="89"/>
      <c r="D30" s="89"/>
      <c r="E30" s="89"/>
      <c r="F30" s="89"/>
      <c r="G30" s="89"/>
      <c r="H30" s="89"/>
      <c r="I30" s="89"/>
    </row>
  </sheetData>
  <mergeCells count="12">
    <mergeCell ref="A29:I29"/>
    <mergeCell ref="A30:I30"/>
    <mergeCell ref="K5:L5"/>
    <mergeCell ref="A1:I1"/>
    <mergeCell ref="A28:I28"/>
    <mergeCell ref="A23:I23"/>
    <mergeCell ref="A24:I24"/>
    <mergeCell ref="A25:I25"/>
    <mergeCell ref="A26:I26"/>
    <mergeCell ref="A27:I27"/>
    <mergeCell ref="F20:H20"/>
    <mergeCell ref="A3:A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32AFB-009A-4241-9B53-3141A148CBFC}">
  <dimension ref="A1:K15"/>
  <sheetViews>
    <sheetView topLeftCell="A4" zoomScaleNormal="100" workbookViewId="0">
      <selection activeCell="I11" sqref="I11"/>
    </sheetView>
  </sheetViews>
  <sheetFormatPr defaultColWidth="22" defaultRowHeight="13" x14ac:dyDescent="0.3"/>
  <cols>
    <col min="1" max="1" width="22" style="44"/>
    <col min="2" max="2" width="17.54296875" style="44" customWidth="1"/>
    <col min="3" max="3" width="17.26953125" style="44" customWidth="1"/>
    <col min="4" max="4" width="22" style="44"/>
    <col min="5" max="5" width="19.81640625" style="44" customWidth="1"/>
    <col min="6" max="7" width="16.81640625" style="44" customWidth="1"/>
    <col min="8" max="8" width="6" style="44" customWidth="1"/>
    <col min="9" max="9" width="22" style="44"/>
    <col min="10" max="11" width="22" style="44" customWidth="1"/>
    <col min="12" max="16384" width="22" style="44"/>
  </cols>
  <sheetData>
    <row r="1" spans="1:11" x14ac:dyDescent="0.3">
      <c r="A1" s="71"/>
      <c r="B1" s="70"/>
      <c r="C1" s="70"/>
    </row>
    <row r="2" spans="1:11" x14ac:dyDescent="0.3">
      <c r="A2" s="96" t="s">
        <v>177</v>
      </c>
      <c r="B2" s="96"/>
      <c r="C2" s="96"/>
      <c r="D2" s="96"/>
      <c r="E2" s="96"/>
      <c r="F2" s="96"/>
      <c r="G2" s="97"/>
      <c r="H2" s="69"/>
    </row>
    <row r="3" spans="1:11" x14ac:dyDescent="0.3">
      <c r="A3" s="23" t="s">
        <v>0</v>
      </c>
      <c r="B3" s="23" t="s">
        <v>2</v>
      </c>
      <c r="C3" s="23" t="s">
        <v>4</v>
      </c>
      <c r="D3" s="23" t="s">
        <v>6</v>
      </c>
      <c r="E3" s="23" t="s">
        <v>8</v>
      </c>
      <c r="F3" s="23" t="s">
        <v>20</v>
      </c>
      <c r="G3" s="23" t="s">
        <v>21</v>
      </c>
      <c r="H3" s="69"/>
    </row>
    <row r="4" spans="1:11" ht="46.5" customHeight="1" x14ac:dyDescent="0.3">
      <c r="A4" s="23" t="s">
        <v>19</v>
      </c>
      <c r="B4" s="23" t="s">
        <v>191</v>
      </c>
      <c r="C4" s="23" t="s">
        <v>182</v>
      </c>
      <c r="D4" s="23" t="s">
        <v>176</v>
      </c>
      <c r="E4" s="23" t="s">
        <v>192</v>
      </c>
      <c r="F4" s="23" t="s">
        <v>183</v>
      </c>
      <c r="G4" s="23" t="s">
        <v>190</v>
      </c>
      <c r="H4" s="69"/>
    </row>
    <row r="5" spans="1:11" ht="36.75" customHeight="1" x14ac:dyDescent="0.3">
      <c r="A5" s="53" t="s">
        <v>55</v>
      </c>
      <c r="B5" s="62">
        <f>3500*K11</f>
        <v>3788.4894698620196</v>
      </c>
      <c r="C5" s="63">
        <v>1</v>
      </c>
      <c r="D5" s="67">
        <f>B5*C5</f>
        <v>3788.4894698620196</v>
      </c>
      <c r="E5" s="67">
        <f>9700*K11</f>
        <v>10499.527959331883</v>
      </c>
      <c r="F5" s="46">
        <v>15</v>
      </c>
      <c r="G5" s="67">
        <f t="shared" ref="G5:G10" si="0">F5*E5</f>
        <v>157492.91938997825</v>
      </c>
      <c r="H5" s="68"/>
    </row>
    <row r="6" spans="1:11" ht="36.75" customHeight="1" x14ac:dyDescent="0.3">
      <c r="A6" s="51" t="s">
        <v>56</v>
      </c>
      <c r="B6" s="67">
        <f>12600*K11</f>
        <v>13638.562091503272</v>
      </c>
      <c r="C6" s="46">
        <v>1</v>
      </c>
      <c r="D6" s="67">
        <f>B6*C6</f>
        <v>13638.562091503272</v>
      </c>
      <c r="E6" s="67">
        <f>41400*K11</f>
        <v>44812.418300653604</v>
      </c>
      <c r="F6" s="46">
        <v>15</v>
      </c>
      <c r="G6" s="67">
        <f t="shared" si="0"/>
        <v>672186.27450980409</v>
      </c>
      <c r="H6" s="68"/>
    </row>
    <row r="7" spans="1:11" ht="36.75" customHeight="1" x14ac:dyDescent="0.3">
      <c r="A7" s="51" t="s">
        <v>57</v>
      </c>
      <c r="B7" s="67">
        <v>0</v>
      </c>
      <c r="C7" s="46">
        <v>1</v>
      </c>
      <c r="D7" s="67">
        <f>B7*C7</f>
        <v>0</v>
      </c>
      <c r="E7" s="67">
        <f>4200*K11</f>
        <v>4546.1873638344241</v>
      </c>
      <c r="F7" s="46">
        <v>15</v>
      </c>
      <c r="G7" s="67">
        <f t="shared" si="0"/>
        <v>68192.81045751636</v>
      </c>
      <c r="H7" s="56"/>
    </row>
    <row r="8" spans="1:11" ht="36.75" customHeight="1" x14ac:dyDescent="0.3">
      <c r="A8" s="66" t="s">
        <v>58</v>
      </c>
      <c r="B8" s="62">
        <f>55000*K11</f>
        <v>59533.405954974594</v>
      </c>
      <c r="C8" s="52">
        <v>1</v>
      </c>
      <c r="D8" s="62">
        <f>C8*B8</f>
        <v>59533.405954974594</v>
      </c>
      <c r="E8" s="62">
        <f>14533*K11</f>
        <v>15730.890704429925</v>
      </c>
      <c r="F8" s="63">
        <v>15</v>
      </c>
      <c r="G8" s="67">
        <f t="shared" si="0"/>
        <v>235963.36056644889</v>
      </c>
      <c r="H8" s="65"/>
    </row>
    <row r="9" spans="1:11" ht="36.75" customHeight="1" x14ac:dyDescent="0.3">
      <c r="A9" s="64" t="s">
        <v>151</v>
      </c>
      <c r="B9" s="76">
        <f>7.5*K11</f>
        <v>8.1181917211329004</v>
      </c>
      <c r="C9" s="63">
        <v>1</v>
      </c>
      <c r="D9" s="62">
        <f t="shared" ref="D9:D10" si="1">C9*B9</f>
        <v>8.1181917211329004</v>
      </c>
      <c r="E9" s="76">
        <f>7.5*K11</f>
        <v>8.1181917211329004</v>
      </c>
      <c r="F9" s="63">
        <v>15</v>
      </c>
      <c r="G9" s="62">
        <f t="shared" si="0"/>
        <v>121.7728758169935</v>
      </c>
      <c r="J9" s="78" t="s">
        <v>186</v>
      </c>
      <c r="K9" s="78" t="s">
        <v>187</v>
      </c>
    </row>
    <row r="10" spans="1:11" ht="36.75" customHeight="1" x14ac:dyDescent="0.3">
      <c r="A10" s="64" t="s">
        <v>152</v>
      </c>
      <c r="B10" s="62">
        <v>0</v>
      </c>
      <c r="C10" s="63">
        <v>0</v>
      </c>
      <c r="D10" s="62">
        <f t="shared" si="1"/>
        <v>0</v>
      </c>
      <c r="E10" s="76">
        <f>15*K11</f>
        <v>16.236383442265801</v>
      </c>
      <c r="F10" s="63">
        <v>1</v>
      </c>
      <c r="G10" s="62">
        <f t="shared" si="0"/>
        <v>16.236383442265801</v>
      </c>
      <c r="I10" s="44" t="s">
        <v>194</v>
      </c>
      <c r="J10" s="78">
        <v>550.79999999999995</v>
      </c>
      <c r="K10" s="78">
        <v>596.20000000000005</v>
      </c>
    </row>
    <row r="11" spans="1:11" ht="46.5" customHeight="1" x14ac:dyDescent="0.3">
      <c r="A11" s="61" t="s">
        <v>189</v>
      </c>
      <c r="B11" s="46"/>
      <c r="C11" s="46"/>
      <c r="D11" s="60">
        <f>ROUND(SUM(D5:D10), -2)</f>
        <v>77000</v>
      </c>
      <c r="E11" s="46"/>
      <c r="F11" s="46"/>
      <c r="G11" s="60">
        <f>ROUND(SUM(G5:G10), -4)</f>
        <v>1130000</v>
      </c>
      <c r="I11" s="59">
        <f>ROUND(D11+G11, -4)</f>
        <v>1210000</v>
      </c>
      <c r="J11" s="78"/>
      <c r="K11" s="78">
        <f>K10/J10</f>
        <v>1.08242556281772</v>
      </c>
    </row>
    <row r="12" spans="1:11" ht="11.25" customHeight="1" x14ac:dyDescent="0.3">
      <c r="A12" s="58"/>
      <c r="B12" s="57"/>
      <c r="C12" s="57"/>
      <c r="D12" s="56"/>
      <c r="E12" s="57"/>
      <c r="F12" s="57"/>
      <c r="G12" s="56"/>
    </row>
    <row r="13" spans="1:11" ht="23.5" customHeight="1" x14ac:dyDescent="0.3">
      <c r="A13" s="89" t="s">
        <v>193</v>
      </c>
      <c r="B13" s="89"/>
      <c r="C13" s="89"/>
      <c r="D13" s="89"/>
      <c r="E13" s="89"/>
      <c r="F13" s="89"/>
      <c r="G13" s="89"/>
    </row>
    <row r="14" spans="1:11" ht="22.5" customHeight="1" x14ac:dyDescent="0.3">
      <c r="A14" s="89" t="s">
        <v>188</v>
      </c>
      <c r="B14" s="89"/>
      <c r="C14" s="89"/>
      <c r="D14" s="89"/>
      <c r="E14" s="89"/>
      <c r="F14" s="89"/>
      <c r="G14" s="89"/>
    </row>
    <row r="15" spans="1:11" x14ac:dyDescent="0.3">
      <c r="A15" s="55"/>
      <c r="B15" s="55"/>
      <c r="C15" s="55"/>
      <c r="D15" s="55"/>
      <c r="E15" s="55"/>
      <c r="F15" s="55"/>
      <c r="G15" s="55"/>
    </row>
  </sheetData>
  <mergeCells count="3">
    <mergeCell ref="A14:G14"/>
    <mergeCell ref="A2:G2"/>
    <mergeCell ref="A13:G13"/>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CF34-8FEB-4D4E-BB14-9077EE3E3F19}">
  <dimension ref="A1:F19"/>
  <sheetViews>
    <sheetView topLeftCell="A3" workbookViewId="0">
      <selection activeCell="F14" sqref="F14"/>
    </sheetView>
  </sheetViews>
  <sheetFormatPr defaultRowHeight="14.5" x14ac:dyDescent="0.35"/>
  <cols>
    <col min="1" max="1" width="25.7265625" customWidth="1"/>
    <col min="2" max="2" width="11.81640625" customWidth="1"/>
    <col min="3" max="3" width="12.7265625" customWidth="1"/>
    <col min="4" max="4" width="11.453125" customWidth="1"/>
    <col min="5" max="5" width="14.7265625" customWidth="1"/>
  </cols>
  <sheetData>
    <row r="1" spans="1:6" s="44" customFormat="1" ht="15" x14ac:dyDescent="0.3">
      <c r="A1" s="98" t="s">
        <v>172</v>
      </c>
      <c r="B1" s="98"/>
      <c r="C1" s="98"/>
      <c r="D1" s="98"/>
      <c r="E1" s="98"/>
    </row>
    <row r="2" spans="1:6" s="44" customFormat="1" ht="13" x14ac:dyDescent="0.3">
      <c r="A2" s="4" t="s">
        <v>0</v>
      </c>
      <c r="B2" s="4" t="s">
        <v>2</v>
      </c>
      <c r="C2" s="4" t="s">
        <v>4</v>
      </c>
      <c r="D2" s="4" t="s">
        <v>6</v>
      </c>
      <c r="E2" s="4" t="s">
        <v>8</v>
      </c>
    </row>
    <row r="3" spans="1:6" s="44" customFormat="1" ht="104" x14ac:dyDescent="0.3">
      <c r="A3" s="4" t="s">
        <v>1</v>
      </c>
      <c r="B3" s="4" t="s">
        <v>185</v>
      </c>
      <c r="C3" s="4" t="s">
        <v>5</v>
      </c>
      <c r="D3" s="4" t="s">
        <v>7</v>
      </c>
      <c r="E3" s="4" t="s">
        <v>10</v>
      </c>
    </row>
    <row r="4" spans="1:6" s="44" customFormat="1" ht="30.65" customHeight="1" x14ac:dyDescent="0.3">
      <c r="A4" s="3" t="s">
        <v>112</v>
      </c>
      <c r="B4" s="46">
        <v>1</v>
      </c>
      <c r="C4" s="46">
        <v>1</v>
      </c>
      <c r="D4" s="46">
        <v>0</v>
      </c>
      <c r="E4" s="46">
        <f>(B4*C4)+D4</f>
        <v>1</v>
      </c>
    </row>
    <row r="5" spans="1:6" s="44" customFormat="1" ht="15.65" customHeight="1" x14ac:dyDescent="0.3">
      <c r="A5" s="3" t="s">
        <v>113</v>
      </c>
      <c r="B5" s="46">
        <v>1</v>
      </c>
      <c r="C5" s="46">
        <v>1</v>
      </c>
      <c r="D5" s="46">
        <v>0</v>
      </c>
      <c r="E5" s="46">
        <f t="shared" ref="E5:E10" si="0">(B5*C5)+D5</f>
        <v>1</v>
      </c>
    </row>
    <row r="6" spans="1:6" s="44" customFormat="1" ht="26" x14ac:dyDescent="0.3">
      <c r="A6" s="3" t="s">
        <v>117</v>
      </c>
      <c r="B6" s="46">
        <v>1</v>
      </c>
      <c r="C6" s="46">
        <v>1</v>
      </c>
      <c r="D6" s="46">
        <v>0</v>
      </c>
      <c r="E6" s="46">
        <f t="shared" si="0"/>
        <v>1</v>
      </c>
    </row>
    <row r="7" spans="1:6" s="44" customFormat="1" ht="26" x14ac:dyDescent="0.3">
      <c r="A7" s="3" t="s">
        <v>118</v>
      </c>
      <c r="B7" s="46">
        <v>1</v>
      </c>
      <c r="C7" s="46">
        <v>1</v>
      </c>
      <c r="D7" s="46">
        <v>0</v>
      </c>
      <c r="E7" s="46">
        <f>(B7*C7)+D7</f>
        <v>1</v>
      </c>
    </row>
    <row r="8" spans="1:6" s="44" customFormat="1" ht="13" x14ac:dyDescent="0.3">
      <c r="A8" s="3" t="s">
        <v>114</v>
      </c>
      <c r="B8" s="46">
        <v>1</v>
      </c>
      <c r="C8" s="46">
        <v>1</v>
      </c>
      <c r="D8" s="46">
        <v>0</v>
      </c>
      <c r="E8" s="46">
        <f t="shared" si="0"/>
        <v>1</v>
      </c>
      <c r="F8" s="43"/>
    </row>
    <row r="9" spans="1:6" s="44" customFormat="1" ht="28.5" customHeight="1" x14ac:dyDescent="0.3">
      <c r="A9" s="3" t="s">
        <v>115</v>
      </c>
      <c r="B9" s="54">
        <v>1</v>
      </c>
      <c r="C9" s="46">
        <v>1</v>
      </c>
      <c r="D9" s="46">
        <v>0</v>
      </c>
      <c r="E9" s="46">
        <f t="shared" si="0"/>
        <v>1</v>
      </c>
    </row>
    <row r="10" spans="1:6" s="44" customFormat="1" ht="28.5" customHeight="1" x14ac:dyDescent="0.3">
      <c r="A10" s="3" t="s">
        <v>116</v>
      </c>
      <c r="B10" s="54">
        <v>1</v>
      </c>
      <c r="C10" s="46">
        <v>1</v>
      </c>
      <c r="D10" s="46">
        <v>0</v>
      </c>
      <c r="E10" s="46">
        <f t="shared" si="0"/>
        <v>1</v>
      </c>
    </row>
    <row r="11" spans="1:6" s="44" customFormat="1" ht="28.5" customHeight="1" x14ac:dyDescent="0.3">
      <c r="A11" s="3" t="s">
        <v>119</v>
      </c>
      <c r="B11" s="52">
        <v>15</v>
      </c>
      <c r="C11" s="46">
        <v>1</v>
      </c>
      <c r="D11" s="46">
        <v>0</v>
      </c>
      <c r="E11" s="46">
        <f>(B11*C11)+D11</f>
        <v>15</v>
      </c>
    </row>
    <row r="12" spans="1:6" s="44" customFormat="1" ht="45.65" customHeight="1" x14ac:dyDescent="0.3">
      <c r="A12" s="3" t="s">
        <v>120</v>
      </c>
      <c r="B12" s="46">
        <v>1.5</v>
      </c>
      <c r="C12" s="46">
        <v>2</v>
      </c>
      <c r="D12" s="46">
        <v>0</v>
      </c>
      <c r="E12" s="46">
        <f>(B12*C12)+D12</f>
        <v>3</v>
      </c>
    </row>
    <row r="13" spans="1:6" s="44" customFormat="1" ht="41.5" customHeight="1" x14ac:dyDescent="0.3">
      <c r="A13" s="3" t="s">
        <v>121</v>
      </c>
      <c r="B13" s="46">
        <v>1.5</v>
      </c>
      <c r="C13" s="46">
        <v>2</v>
      </c>
      <c r="D13" s="46">
        <v>0</v>
      </c>
      <c r="E13" s="46">
        <f>(B13*C13)+D13</f>
        <v>3</v>
      </c>
    </row>
    <row r="14" spans="1:6" s="44" customFormat="1" ht="37.9" customHeight="1" x14ac:dyDescent="0.3">
      <c r="A14" s="3" t="s">
        <v>165</v>
      </c>
      <c r="B14" s="46">
        <v>1.6</v>
      </c>
      <c r="C14" s="46">
        <v>2</v>
      </c>
      <c r="D14" s="46">
        <v>0</v>
      </c>
      <c r="E14" s="46">
        <f>(B14*C14)+D14</f>
        <v>3.2</v>
      </c>
    </row>
    <row r="15" spans="1:6" s="44" customFormat="1" ht="13" x14ac:dyDescent="0.3">
      <c r="A15" s="51"/>
      <c r="B15" s="46"/>
      <c r="C15" s="46"/>
      <c r="D15" s="23" t="s">
        <v>9</v>
      </c>
      <c r="E15" s="24">
        <f>SUM(E4:E14)</f>
        <v>31.2</v>
      </c>
    </row>
    <row r="16" spans="1:6" s="44" customFormat="1" ht="17.5" customHeight="1" x14ac:dyDescent="0.3">
      <c r="A16" s="50"/>
      <c r="B16" s="49"/>
      <c r="C16" s="49"/>
      <c r="D16" s="48"/>
      <c r="E16" s="47"/>
    </row>
    <row r="17" spans="1:5" s="44" customFormat="1" ht="30.65" customHeight="1" x14ac:dyDescent="0.3">
      <c r="A17" s="100" t="s">
        <v>173</v>
      </c>
      <c r="B17" s="100"/>
      <c r="C17" s="100"/>
      <c r="D17" s="100"/>
      <c r="E17" s="100"/>
    </row>
    <row r="18" spans="1:5" s="44" customFormat="1" ht="17.5" customHeight="1" x14ac:dyDescent="0.3">
      <c r="A18" s="100" t="s">
        <v>174</v>
      </c>
      <c r="B18" s="100"/>
      <c r="C18" s="100"/>
      <c r="D18" s="100"/>
      <c r="E18" s="100"/>
    </row>
    <row r="19" spans="1:5" s="44" customFormat="1" ht="34.5" customHeight="1" x14ac:dyDescent="0.3">
      <c r="A19" s="99" t="s">
        <v>175</v>
      </c>
      <c r="B19" s="99"/>
      <c r="C19" s="99"/>
      <c r="D19" s="99"/>
      <c r="E19" s="99"/>
    </row>
  </sheetData>
  <mergeCells count="4">
    <mergeCell ref="A1:E1"/>
    <mergeCell ref="A19:E19"/>
    <mergeCell ref="A17:E17"/>
    <mergeCell ref="A18:E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27DCC-5734-4DDE-ABB7-F51190CD1B04}">
  <dimension ref="A1:F9"/>
  <sheetViews>
    <sheetView workbookViewId="0">
      <selection activeCell="H5" sqref="H5"/>
    </sheetView>
  </sheetViews>
  <sheetFormatPr defaultColWidth="17.7265625" defaultRowHeight="31.9" customHeight="1" x14ac:dyDescent="0.35"/>
  <sheetData>
    <row r="1" spans="1:6" s="44" customFormat="1" ht="31.9" customHeight="1" x14ac:dyDescent="0.3">
      <c r="A1" s="98" t="s">
        <v>3</v>
      </c>
      <c r="B1" s="98"/>
      <c r="C1" s="98"/>
      <c r="D1" s="98"/>
      <c r="E1" s="98"/>
      <c r="F1" s="98"/>
    </row>
    <row r="2" spans="1:6" s="44" customFormat="1" ht="31.9" customHeight="1" x14ac:dyDescent="0.3">
      <c r="A2" s="7"/>
      <c r="B2" s="101" t="s">
        <v>11</v>
      </c>
      <c r="C2" s="101"/>
      <c r="D2" s="7" t="s">
        <v>12</v>
      </c>
      <c r="E2" s="101"/>
      <c r="F2" s="101"/>
    </row>
    <row r="3" spans="1:6" s="44" customFormat="1" ht="31.9" customHeight="1" x14ac:dyDescent="0.3">
      <c r="A3" s="7"/>
      <c r="B3" s="10" t="s">
        <v>0</v>
      </c>
      <c r="C3" s="10" t="s">
        <v>2</v>
      </c>
      <c r="D3" s="10" t="s">
        <v>4</v>
      </c>
      <c r="E3" s="10" t="s">
        <v>6</v>
      </c>
      <c r="F3" s="10" t="s">
        <v>8</v>
      </c>
    </row>
    <row r="4" spans="1:6" s="44" customFormat="1" ht="70.900000000000006" customHeight="1" x14ac:dyDescent="0.3">
      <c r="A4" s="10" t="s">
        <v>13</v>
      </c>
      <c r="B4" s="7" t="s">
        <v>166</v>
      </c>
      <c r="C4" s="7" t="s">
        <v>14</v>
      </c>
      <c r="D4" s="7" t="s">
        <v>15</v>
      </c>
      <c r="E4" s="7" t="s">
        <v>16</v>
      </c>
      <c r="F4" s="7" t="s">
        <v>18</v>
      </c>
    </row>
    <row r="5" spans="1:6" s="44" customFormat="1" ht="31.9" customHeight="1" x14ac:dyDescent="0.3">
      <c r="A5" s="4">
        <v>1</v>
      </c>
      <c r="B5" s="46">
        <v>1</v>
      </c>
      <c r="C5" s="46">
        <v>14</v>
      </c>
      <c r="D5" s="46">
        <v>0</v>
      </c>
      <c r="E5" s="46">
        <v>0</v>
      </c>
      <c r="F5" s="46">
        <f>B5+C5+D5-E5</f>
        <v>15</v>
      </c>
    </row>
    <row r="6" spans="1:6" s="44" customFormat="1" ht="31.9" customHeight="1" x14ac:dyDescent="0.3">
      <c r="A6" s="4">
        <v>2</v>
      </c>
      <c r="B6" s="46">
        <v>1</v>
      </c>
      <c r="C6" s="46">
        <v>15</v>
      </c>
      <c r="D6" s="46">
        <v>0</v>
      </c>
      <c r="E6" s="46">
        <v>0</v>
      </c>
      <c r="F6" s="46">
        <f>B6+C6+D6-E6</f>
        <v>16</v>
      </c>
    </row>
    <row r="7" spans="1:6" s="44" customFormat="1" ht="31.9" customHeight="1" x14ac:dyDescent="0.3">
      <c r="A7" s="4">
        <v>3</v>
      </c>
      <c r="B7" s="46">
        <v>1</v>
      </c>
      <c r="C7" s="46">
        <v>16</v>
      </c>
      <c r="D7" s="46">
        <v>0</v>
      </c>
      <c r="E7" s="46">
        <v>0</v>
      </c>
      <c r="F7" s="46">
        <f>B7+C7+D7-E7</f>
        <v>17</v>
      </c>
    </row>
    <row r="8" spans="1:6" s="44" customFormat="1" ht="31.9" customHeight="1" x14ac:dyDescent="0.3">
      <c r="A8" s="4" t="s">
        <v>17</v>
      </c>
      <c r="B8" s="46">
        <f>AVERAGE(B5:B7)</f>
        <v>1</v>
      </c>
      <c r="C8" s="46">
        <f>AVERAGE(C5:C7)</f>
        <v>15</v>
      </c>
      <c r="D8" s="46">
        <v>0</v>
      </c>
      <c r="E8" s="46">
        <v>0</v>
      </c>
      <c r="F8" s="23">
        <f>AVERAGE(F5:F7)</f>
        <v>16</v>
      </c>
    </row>
    <row r="9" spans="1:6" s="44" customFormat="1" ht="20.5" customHeight="1" x14ac:dyDescent="0.3">
      <c r="A9" s="45" t="s">
        <v>167</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2020-06-23T14:24:59+00:00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BE8B55F-A4EE-4EAA-86A6-83C52A34D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ED8918-7AE1-469A-AACA-D4083EE31E7D}">
  <ds:schemaRefs>
    <ds:schemaRef ds:uri="http://schemas.microsoft.com/sharepoint/v3"/>
    <ds:schemaRef ds:uri="http://schemas.microsoft.com/office/infopath/2007/PartnerControls"/>
    <ds:schemaRef ds:uri="http://purl.org/dc/terms/"/>
    <ds:schemaRef ds:uri="http://schemas.openxmlformats.org/package/2006/metadata/core-properties"/>
    <ds:schemaRef ds:uri="0a649cfe-4b5c-4768-8616-91f3c5fa8351"/>
    <ds:schemaRef ds:uri="http://schemas.microsoft.com/office/2006/documentManagement/types"/>
    <ds:schemaRef ds:uri="80377dfa-2fcc-4c15-9433-ebfcd06defd6"/>
    <ds:schemaRef ds:uri="http://schemas.microsoft.com/sharepoint/v3/fields"/>
    <ds:schemaRef ds:uri="http://schemas.microsoft.com/sharepoint.v3"/>
    <ds:schemaRef ds:uri="http://purl.org/dc/elements/1.1/"/>
    <ds:schemaRef ds:uri="http://schemas.microsoft.com/office/2006/metadata/properties"/>
    <ds:schemaRef ds:uri="4ffa91fb-a0ff-4ac5-b2db-65c790d184a4"/>
    <ds:schemaRef ds:uri="http://www.w3.org/XML/1998/namespace"/>
    <ds:schemaRef ds:uri="http://purl.org/dc/dcmitype/"/>
  </ds:schemaRefs>
</ds:datastoreItem>
</file>

<file path=customXml/itemProps3.xml><?xml version="1.0" encoding="utf-8"?>
<ds:datastoreItem xmlns:ds="http://schemas.openxmlformats.org/officeDocument/2006/customXml" ds:itemID="{ADCF3978-BC6C-49F1-89F3-BB58BF53D097}">
  <ds:schemaRefs>
    <ds:schemaRef ds:uri="http://schemas.microsoft.com/sharepoint/v3/contenttype/forms"/>
  </ds:schemaRefs>
</ds:datastoreItem>
</file>

<file path=customXml/itemProps4.xml><?xml version="1.0" encoding="utf-8"?>
<ds:datastoreItem xmlns:ds="http://schemas.openxmlformats.org/officeDocument/2006/customXml" ds:itemID="{DDE0BC43-AAFF-4459-83AD-C7A338406C5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Wrigley, William</cp:lastModifiedBy>
  <dcterms:created xsi:type="dcterms:W3CDTF">2019-06-27T19:36:56Z</dcterms:created>
  <dcterms:modified xsi:type="dcterms:W3CDTF">2023-07-20T19:44:21Z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