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0584-0512 2022/From PO 6.24.22/"/>
    </mc:Choice>
  </mc:AlternateContent>
  <xr:revisionPtr revIDLastSave="0" documentId="8_{89B816EE-D533-4F77-B45B-9F32A3BE4975}" xr6:coauthVersionLast="47" xr6:coauthVersionMax="47" xr10:uidLastSave="{00000000-0000-0000-0000-000000000000}"/>
  <bookViews>
    <workbookView xWindow="-110" yWindow="-110" windowWidth="19420" windowHeight="10420" xr2:uid="{4F403C4C-779D-4B36-B9A1-DC6C8F6FF6CF}"/>
  </bookViews>
  <sheets>
    <sheet name="2022 Burden Table" sheetId="2" r:id="rId1"/>
    <sheet name="FR22" sheetId="13" r:id="rId2"/>
    <sheet name="2022 60dayFRN" sheetId="6" r:id="rId3"/>
    <sheet name="state agency" sheetId="9" r:id="rId4"/>
    <sheet name="Sheet2" sheetId="11" r:id="rId5"/>
    <sheet name="Forms Burden Detail" sheetId="5" r:id="rId6"/>
    <sheet name="2022 Burden Summary for SS" sheetId="8" r:id="rId7"/>
    <sheet name="Sheet1" sheetId="12" r:id="rId8"/>
    <sheet name="FR" sheetId="10" r:id="rId9"/>
  </sheets>
  <definedNames>
    <definedName name="_xlnm._FilterDatabase" localSheetId="0" hidden="1">'2022 Burden Table'!$A$1:$AD$1</definedName>
    <definedName name="Bus_PostRespondents">'2022 Burden Table'!$L$72</definedName>
    <definedName name="Bus_PreRespondents">'2022 Burden Table'!$D$72</definedName>
    <definedName name="postHours">'Forms Burden Detail'!$H$23</definedName>
    <definedName name="postResponses">'Forms Burden Detail'!$F$23</definedName>
    <definedName name="RecordHours">'Forms Burden Detail'!$H$34</definedName>
    <definedName name="RecordResponse">'Forms Burden Detail'!$F$34</definedName>
    <definedName name="SLT_PostRespondents">'2022 Burden Table'!$L$65</definedName>
    <definedName name="SLT_PreRespondents">'2022 Burden Table'!$D$65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5" i="11" l="1"/>
  <c r="L72" i="11"/>
  <c r="D72" i="11"/>
  <c r="S71" i="11"/>
  <c r="R71" i="11"/>
  <c r="P71" i="11"/>
  <c r="O71" i="11"/>
  <c r="N71" i="11"/>
  <c r="Q71" i="11" s="1"/>
  <c r="M71" i="11"/>
  <c r="I71" i="11"/>
  <c r="H71" i="11"/>
  <c r="Z71" i="11" s="1"/>
  <c r="F71" i="11"/>
  <c r="J71" i="11" s="1"/>
  <c r="K71" i="11" s="1"/>
  <c r="S70" i="11"/>
  <c r="R70" i="11"/>
  <c r="P70" i="11"/>
  <c r="O70" i="11"/>
  <c r="N70" i="11"/>
  <c r="M70" i="11"/>
  <c r="J70" i="11"/>
  <c r="K70" i="11" s="1"/>
  <c r="I70" i="11"/>
  <c r="H70" i="11"/>
  <c r="F70" i="11"/>
  <c r="S69" i="11"/>
  <c r="R69" i="11"/>
  <c r="P69" i="11"/>
  <c r="O69" i="11"/>
  <c r="N69" i="11"/>
  <c r="M69" i="11"/>
  <c r="I69" i="11"/>
  <c r="F69" i="11"/>
  <c r="S68" i="11"/>
  <c r="R68" i="11"/>
  <c r="P68" i="11"/>
  <c r="O68" i="11"/>
  <c r="N68" i="11"/>
  <c r="Q68" i="11" s="1"/>
  <c r="M68" i="11"/>
  <c r="I68" i="11"/>
  <c r="H68" i="11"/>
  <c r="F68" i="11"/>
  <c r="F72" i="11" s="1"/>
  <c r="S67" i="11"/>
  <c r="R67" i="11"/>
  <c r="P67" i="11"/>
  <c r="O67" i="11"/>
  <c r="O72" i="11" s="1"/>
  <c r="N67" i="11"/>
  <c r="M67" i="11"/>
  <c r="J67" i="11"/>
  <c r="I67" i="11"/>
  <c r="I72" i="11" s="1"/>
  <c r="H67" i="11"/>
  <c r="L65" i="11"/>
  <c r="D65" i="11"/>
  <c r="S64" i="11"/>
  <c r="R64" i="11"/>
  <c r="P64" i="11"/>
  <c r="O64" i="11"/>
  <c r="N64" i="11"/>
  <c r="M64" i="11"/>
  <c r="J64" i="11"/>
  <c r="I64" i="11"/>
  <c r="F64" i="11"/>
  <c r="S63" i="11"/>
  <c r="R63" i="11"/>
  <c r="P63" i="11"/>
  <c r="O63" i="11"/>
  <c r="N63" i="11"/>
  <c r="M63" i="11"/>
  <c r="J63" i="11"/>
  <c r="I63" i="11"/>
  <c r="F63" i="11"/>
  <c r="H63" i="11" s="1"/>
  <c r="S62" i="11"/>
  <c r="R62" i="11"/>
  <c r="P62" i="11"/>
  <c r="O62" i="11"/>
  <c r="N62" i="11"/>
  <c r="Q62" i="11" s="1"/>
  <c r="M62" i="11"/>
  <c r="I62" i="11"/>
  <c r="H62" i="11"/>
  <c r="F62" i="11"/>
  <c r="J62" i="11" s="1"/>
  <c r="S61" i="11"/>
  <c r="R61" i="11"/>
  <c r="P61" i="11"/>
  <c r="Q61" i="11" s="1"/>
  <c r="O61" i="11"/>
  <c r="N61" i="11"/>
  <c r="M61" i="11"/>
  <c r="I61" i="11"/>
  <c r="F61" i="11"/>
  <c r="J61" i="11" s="1"/>
  <c r="S60" i="11"/>
  <c r="R60" i="11"/>
  <c r="P60" i="11"/>
  <c r="O60" i="11"/>
  <c r="N60" i="11"/>
  <c r="M60" i="11"/>
  <c r="J60" i="11"/>
  <c r="I60" i="11"/>
  <c r="F60" i="11"/>
  <c r="S59" i="11"/>
  <c r="R59" i="11"/>
  <c r="P59" i="11"/>
  <c r="O59" i="11"/>
  <c r="N59" i="11"/>
  <c r="Q59" i="11" s="1"/>
  <c r="M59" i="11"/>
  <c r="I59" i="11"/>
  <c r="H59" i="11"/>
  <c r="F59" i="11"/>
  <c r="J59" i="11" s="1"/>
  <c r="K59" i="11" s="1"/>
  <c r="S58" i="11"/>
  <c r="R58" i="11"/>
  <c r="P58" i="11"/>
  <c r="O58" i="11"/>
  <c r="N58" i="11"/>
  <c r="Q58" i="11" s="1"/>
  <c r="M58" i="11"/>
  <c r="J58" i="11"/>
  <c r="I58" i="11"/>
  <c r="F58" i="11"/>
  <c r="Y58" i="11" s="1"/>
  <c r="S57" i="11"/>
  <c r="R57" i="11"/>
  <c r="P57" i="11"/>
  <c r="O57" i="11"/>
  <c r="N57" i="11"/>
  <c r="Q57" i="11" s="1"/>
  <c r="M57" i="11"/>
  <c r="J57" i="11"/>
  <c r="K57" i="11" s="1"/>
  <c r="I57" i="11"/>
  <c r="H57" i="11"/>
  <c r="F57" i="11"/>
  <c r="S56" i="11"/>
  <c r="R56" i="11"/>
  <c r="P56" i="11"/>
  <c r="O56" i="11"/>
  <c r="N56" i="11"/>
  <c r="Q56" i="11" s="1"/>
  <c r="M56" i="11"/>
  <c r="J56" i="11"/>
  <c r="I56" i="11"/>
  <c r="H56" i="11"/>
  <c r="K56" i="11" s="1"/>
  <c r="F56" i="11"/>
  <c r="S55" i="11"/>
  <c r="R55" i="11"/>
  <c r="P55" i="11"/>
  <c r="Q55" i="11" s="1"/>
  <c r="O55" i="11"/>
  <c r="N55" i="11"/>
  <c r="M55" i="11"/>
  <c r="J55" i="11"/>
  <c r="I55" i="11"/>
  <c r="F55" i="11"/>
  <c r="S54" i="11"/>
  <c r="R54" i="11"/>
  <c r="P54" i="11"/>
  <c r="O54" i="11"/>
  <c r="N54" i="11"/>
  <c r="M54" i="11"/>
  <c r="J54" i="11"/>
  <c r="I54" i="11"/>
  <c r="F54" i="11"/>
  <c r="S53" i="11"/>
  <c r="R53" i="11"/>
  <c r="P53" i="11"/>
  <c r="O53" i="11"/>
  <c r="N53" i="11"/>
  <c r="Q53" i="11" s="1"/>
  <c r="M53" i="11"/>
  <c r="J53" i="11"/>
  <c r="I53" i="11"/>
  <c r="H53" i="11"/>
  <c r="Z53" i="11" s="1"/>
  <c r="F53" i="11"/>
  <c r="S52" i="11"/>
  <c r="R52" i="11"/>
  <c r="Q52" i="11"/>
  <c r="P52" i="11"/>
  <c r="O52" i="11"/>
  <c r="N52" i="11"/>
  <c r="M52" i="11"/>
  <c r="U52" i="11" s="1"/>
  <c r="J52" i="11"/>
  <c r="I52" i="11"/>
  <c r="F52" i="11"/>
  <c r="H52" i="11" s="1"/>
  <c r="K52" i="11" s="1"/>
  <c r="T52" i="11" s="1"/>
  <c r="V52" i="11" s="1"/>
  <c r="S51" i="11"/>
  <c r="R51" i="11"/>
  <c r="P51" i="11"/>
  <c r="Q51" i="11" s="1"/>
  <c r="O51" i="11"/>
  <c r="N51" i="11"/>
  <c r="M51" i="11"/>
  <c r="J51" i="11"/>
  <c r="I51" i="11"/>
  <c r="F51" i="11"/>
  <c r="S50" i="11"/>
  <c r="R50" i="11"/>
  <c r="Q50" i="11"/>
  <c r="P50" i="11"/>
  <c r="O50" i="11"/>
  <c r="N50" i="11"/>
  <c r="M50" i="11"/>
  <c r="M65" i="11" s="1"/>
  <c r="I50" i="11"/>
  <c r="F50" i="11"/>
  <c r="L48" i="11"/>
  <c r="D48" i="11"/>
  <c r="S47" i="11"/>
  <c r="R47" i="11"/>
  <c r="P47" i="11"/>
  <c r="O47" i="11"/>
  <c r="N47" i="11"/>
  <c r="M47" i="11"/>
  <c r="J47" i="11"/>
  <c r="K47" i="11" s="1"/>
  <c r="I47" i="11"/>
  <c r="S46" i="11"/>
  <c r="R46" i="11"/>
  <c r="P46" i="11"/>
  <c r="O46" i="11"/>
  <c r="N46" i="11"/>
  <c r="Q46" i="11" s="1"/>
  <c r="M46" i="11"/>
  <c r="I46" i="11"/>
  <c r="F46" i="11"/>
  <c r="J46" i="11" s="1"/>
  <c r="S45" i="11"/>
  <c r="R45" i="11"/>
  <c r="P45" i="11"/>
  <c r="O45" i="11"/>
  <c r="N45" i="11"/>
  <c r="M45" i="11"/>
  <c r="J45" i="11"/>
  <c r="I45" i="11"/>
  <c r="F45" i="11"/>
  <c r="Y45" i="11" s="1"/>
  <c r="S44" i="11"/>
  <c r="R44" i="11"/>
  <c r="P44" i="11"/>
  <c r="O44" i="11"/>
  <c r="N44" i="11"/>
  <c r="N48" i="11" s="1"/>
  <c r="M44" i="11"/>
  <c r="I44" i="11"/>
  <c r="H44" i="11"/>
  <c r="Z44" i="11" s="1"/>
  <c r="F44" i="11"/>
  <c r="Y44" i="11" s="1"/>
  <c r="X44" i="11" s="1"/>
  <c r="L42" i="11"/>
  <c r="E42" i="11"/>
  <c r="E48" i="11" s="1"/>
  <c r="S41" i="11"/>
  <c r="R41" i="11"/>
  <c r="P41" i="11"/>
  <c r="O41" i="11"/>
  <c r="N41" i="11"/>
  <c r="M41" i="11"/>
  <c r="J41" i="11"/>
  <c r="I41" i="11"/>
  <c r="F41" i="11"/>
  <c r="S40" i="11"/>
  <c r="R40" i="11"/>
  <c r="P40" i="11"/>
  <c r="O40" i="11"/>
  <c r="N40" i="11"/>
  <c r="M40" i="11"/>
  <c r="J40" i="11"/>
  <c r="I40" i="11"/>
  <c r="F40" i="11"/>
  <c r="H40" i="11" s="1"/>
  <c r="Y39" i="11"/>
  <c r="S39" i="11"/>
  <c r="R39" i="11"/>
  <c r="P39" i="11"/>
  <c r="O39" i="11"/>
  <c r="N39" i="11"/>
  <c r="M39" i="11"/>
  <c r="J39" i="11"/>
  <c r="I39" i="11"/>
  <c r="F39" i="11"/>
  <c r="S38" i="11"/>
  <c r="R38" i="11"/>
  <c r="P38" i="11"/>
  <c r="O38" i="11"/>
  <c r="N38" i="11"/>
  <c r="M38" i="11"/>
  <c r="J38" i="11"/>
  <c r="I38" i="11"/>
  <c r="F38" i="11"/>
  <c r="H38" i="11" s="1"/>
  <c r="S37" i="11"/>
  <c r="R37" i="11"/>
  <c r="P37" i="11"/>
  <c r="Q37" i="11" s="1"/>
  <c r="O37" i="11"/>
  <c r="N37" i="11"/>
  <c r="M37" i="11"/>
  <c r="I37" i="11"/>
  <c r="F37" i="11"/>
  <c r="J37" i="11" s="1"/>
  <c r="S36" i="11"/>
  <c r="R36" i="11"/>
  <c r="P36" i="11"/>
  <c r="O36" i="11"/>
  <c r="N36" i="11"/>
  <c r="Q36" i="11" s="1"/>
  <c r="M36" i="11"/>
  <c r="I36" i="11"/>
  <c r="F36" i="11"/>
  <c r="H36" i="11" s="1"/>
  <c r="Z36" i="11" s="1"/>
  <c r="S35" i="11"/>
  <c r="R35" i="11"/>
  <c r="P35" i="11"/>
  <c r="Q35" i="11" s="1"/>
  <c r="O35" i="11"/>
  <c r="N35" i="11"/>
  <c r="M35" i="11"/>
  <c r="I35" i="11"/>
  <c r="F35" i="11"/>
  <c r="S34" i="11"/>
  <c r="R34" i="11"/>
  <c r="P34" i="11"/>
  <c r="O34" i="11"/>
  <c r="N34" i="11"/>
  <c r="M34" i="11"/>
  <c r="I34" i="11"/>
  <c r="F34" i="11"/>
  <c r="H34" i="11" s="1"/>
  <c r="Z34" i="11" s="1"/>
  <c r="S33" i="11"/>
  <c r="R33" i="11"/>
  <c r="P33" i="11"/>
  <c r="O33" i="11"/>
  <c r="N33" i="11"/>
  <c r="Q33" i="11" s="1"/>
  <c r="M33" i="11"/>
  <c r="I33" i="11"/>
  <c r="U33" i="11" s="1"/>
  <c r="H33" i="11"/>
  <c r="F33" i="11"/>
  <c r="J33" i="11" s="1"/>
  <c r="S32" i="11"/>
  <c r="R32" i="11"/>
  <c r="P32" i="11"/>
  <c r="O32" i="11"/>
  <c r="N32" i="11"/>
  <c r="M32" i="11"/>
  <c r="I32" i="11"/>
  <c r="F32" i="11"/>
  <c r="J32" i="11" s="1"/>
  <c r="S31" i="11"/>
  <c r="R31" i="11"/>
  <c r="P31" i="11"/>
  <c r="O31" i="11"/>
  <c r="N31" i="11"/>
  <c r="M31" i="11"/>
  <c r="J31" i="11"/>
  <c r="I31" i="11"/>
  <c r="F31" i="11"/>
  <c r="H31" i="11" s="1"/>
  <c r="S30" i="11"/>
  <c r="R30" i="11"/>
  <c r="P30" i="11"/>
  <c r="Q30" i="11" s="1"/>
  <c r="O30" i="11"/>
  <c r="N30" i="11"/>
  <c r="M30" i="11"/>
  <c r="I30" i="11"/>
  <c r="U30" i="11" s="1"/>
  <c r="F30" i="11"/>
  <c r="S29" i="11"/>
  <c r="R29" i="11"/>
  <c r="Q29" i="11"/>
  <c r="P29" i="11"/>
  <c r="O29" i="11"/>
  <c r="N29" i="11"/>
  <c r="M29" i="11"/>
  <c r="U29" i="11" s="1"/>
  <c r="I29" i="11"/>
  <c r="F29" i="11"/>
  <c r="J29" i="11" s="1"/>
  <c r="S28" i="11"/>
  <c r="R28" i="11"/>
  <c r="P28" i="11"/>
  <c r="O28" i="11"/>
  <c r="N28" i="11"/>
  <c r="Q28" i="11" s="1"/>
  <c r="M28" i="11"/>
  <c r="I28" i="11"/>
  <c r="F28" i="11"/>
  <c r="J28" i="11" s="1"/>
  <c r="S27" i="11"/>
  <c r="R27" i="11"/>
  <c r="P27" i="11"/>
  <c r="O27" i="11"/>
  <c r="N27" i="11"/>
  <c r="M27" i="11"/>
  <c r="J27" i="11"/>
  <c r="I27" i="11"/>
  <c r="F27" i="11"/>
  <c r="U27" i="11" s="1"/>
  <c r="S26" i="11"/>
  <c r="R26" i="11"/>
  <c r="P26" i="11"/>
  <c r="O26" i="11"/>
  <c r="N26" i="11"/>
  <c r="Q26" i="11" s="1"/>
  <c r="M26" i="11"/>
  <c r="I26" i="11"/>
  <c r="F26" i="11"/>
  <c r="J26" i="11" s="1"/>
  <c r="S25" i="11"/>
  <c r="R25" i="11"/>
  <c r="P25" i="11"/>
  <c r="O25" i="11"/>
  <c r="N25" i="11"/>
  <c r="M25" i="11"/>
  <c r="J25" i="11"/>
  <c r="I25" i="11"/>
  <c r="F25" i="11"/>
  <c r="H25" i="11" s="1"/>
  <c r="S24" i="11"/>
  <c r="R24" i="11"/>
  <c r="P24" i="11"/>
  <c r="O24" i="11"/>
  <c r="N24" i="11"/>
  <c r="Q24" i="11" s="1"/>
  <c r="M24" i="11"/>
  <c r="I24" i="11"/>
  <c r="F24" i="11"/>
  <c r="J24" i="11" s="1"/>
  <c r="S23" i="11"/>
  <c r="R23" i="11"/>
  <c r="Q23" i="11"/>
  <c r="P23" i="11"/>
  <c r="O23" i="11"/>
  <c r="N23" i="11"/>
  <c r="M23" i="11"/>
  <c r="I23" i="11"/>
  <c r="F23" i="11"/>
  <c r="J23" i="11" s="1"/>
  <c r="S22" i="11"/>
  <c r="R22" i="11"/>
  <c r="P22" i="11"/>
  <c r="O22" i="11"/>
  <c r="N22" i="11"/>
  <c r="M22" i="11"/>
  <c r="I22" i="11"/>
  <c r="F22" i="11"/>
  <c r="H22" i="11" s="1"/>
  <c r="Z22" i="11" s="1"/>
  <c r="S21" i="11"/>
  <c r="R21" i="11"/>
  <c r="P21" i="11"/>
  <c r="O21" i="11"/>
  <c r="N21" i="11"/>
  <c r="M21" i="11"/>
  <c r="I21" i="11"/>
  <c r="F21" i="11"/>
  <c r="U21" i="11" s="1"/>
  <c r="S20" i="11"/>
  <c r="R20" i="11"/>
  <c r="Q20" i="11"/>
  <c r="P20" i="11"/>
  <c r="O20" i="11"/>
  <c r="N20" i="11"/>
  <c r="M20" i="11"/>
  <c r="U20" i="11" s="1"/>
  <c r="I20" i="11"/>
  <c r="F20" i="11"/>
  <c r="S19" i="11"/>
  <c r="R19" i="11"/>
  <c r="P19" i="11"/>
  <c r="O19" i="11"/>
  <c r="N19" i="11"/>
  <c r="Q19" i="11" s="1"/>
  <c r="M19" i="11"/>
  <c r="I19" i="11"/>
  <c r="F19" i="11"/>
  <c r="Y19" i="11" s="1"/>
  <c r="S18" i="11"/>
  <c r="R18" i="11"/>
  <c r="P18" i="11"/>
  <c r="O18" i="11"/>
  <c r="N18" i="11"/>
  <c r="M18" i="11"/>
  <c r="J18" i="11"/>
  <c r="I18" i="11"/>
  <c r="F18" i="11"/>
  <c r="Y18" i="11" s="1"/>
  <c r="S17" i="11"/>
  <c r="R17" i="11"/>
  <c r="P17" i="11"/>
  <c r="O17" i="11"/>
  <c r="N17" i="11"/>
  <c r="Q17" i="11" s="1"/>
  <c r="M17" i="11"/>
  <c r="I17" i="11"/>
  <c r="F17" i="11"/>
  <c r="S16" i="11"/>
  <c r="R16" i="11"/>
  <c r="P16" i="11"/>
  <c r="O16" i="11"/>
  <c r="N16" i="11"/>
  <c r="M16" i="11"/>
  <c r="I16" i="11"/>
  <c r="F16" i="11"/>
  <c r="H16" i="11" s="1"/>
  <c r="Z16" i="11" s="1"/>
  <c r="S15" i="11"/>
  <c r="R15" i="11"/>
  <c r="P15" i="11"/>
  <c r="Q15" i="11" s="1"/>
  <c r="O15" i="11"/>
  <c r="N15" i="11"/>
  <c r="M15" i="11"/>
  <c r="I15" i="11"/>
  <c r="U15" i="11" s="1"/>
  <c r="F15" i="11"/>
  <c r="H15" i="11" s="1"/>
  <c r="Z15" i="11" s="1"/>
  <c r="Y14" i="11"/>
  <c r="S14" i="11"/>
  <c r="R14" i="11"/>
  <c r="P14" i="11"/>
  <c r="O14" i="11"/>
  <c r="N14" i="11"/>
  <c r="Q14" i="11" s="1"/>
  <c r="M14" i="11"/>
  <c r="I14" i="11"/>
  <c r="H14" i="11"/>
  <c r="Z14" i="11" s="1"/>
  <c r="F14" i="11"/>
  <c r="J14" i="11" s="1"/>
  <c r="S13" i="11"/>
  <c r="R13" i="11"/>
  <c r="P13" i="11"/>
  <c r="O13" i="11"/>
  <c r="N13" i="11"/>
  <c r="Q13" i="11" s="1"/>
  <c r="M13" i="11"/>
  <c r="I13" i="11"/>
  <c r="F13" i="11"/>
  <c r="J13" i="11" s="1"/>
  <c r="Y12" i="11"/>
  <c r="S12" i="11"/>
  <c r="R12" i="11"/>
  <c r="P12" i="11"/>
  <c r="O12" i="11"/>
  <c r="N12" i="11"/>
  <c r="M12" i="11"/>
  <c r="J12" i="11"/>
  <c r="I12" i="11"/>
  <c r="F12" i="11"/>
  <c r="S11" i="11"/>
  <c r="R11" i="11"/>
  <c r="P11" i="11"/>
  <c r="O11" i="11"/>
  <c r="N11" i="11"/>
  <c r="M11" i="11"/>
  <c r="I11" i="11"/>
  <c r="F11" i="11"/>
  <c r="S10" i="11"/>
  <c r="R10" i="11"/>
  <c r="P10" i="11"/>
  <c r="Q10" i="11" s="1"/>
  <c r="O10" i="11"/>
  <c r="N10" i="11"/>
  <c r="M10" i="11"/>
  <c r="I10" i="11"/>
  <c r="F10" i="11"/>
  <c r="S9" i="11"/>
  <c r="R9" i="11"/>
  <c r="Q9" i="11"/>
  <c r="P9" i="11"/>
  <c r="O9" i="11"/>
  <c r="N9" i="11"/>
  <c r="M9" i="11"/>
  <c r="U9" i="11" s="1"/>
  <c r="I9" i="11"/>
  <c r="F9" i="11"/>
  <c r="Y8" i="11"/>
  <c r="S8" i="11"/>
  <c r="R8" i="11"/>
  <c r="P8" i="11"/>
  <c r="O8" i="11"/>
  <c r="N8" i="11"/>
  <c r="M8" i="11"/>
  <c r="J8" i="11"/>
  <c r="I8" i="11"/>
  <c r="F8" i="11"/>
  <c r="S7" i="11"/>
  <c r="R7" i="11"/>
  <c r="P7" i="11"/>
  <c r="Q7" i="11" s="1"/>
  <c r="O7" i="11"/>
  <c r="N7" i="11"/>
  <c r="M7" i="11"/>
  <c r="I7" i="11"/>
  <c r="F7" i="11"/>
  <c r="S6" i="11"/>
  <c r="R6" i="11"/>
  <c r="Q6" i="11"/>
  <c r="P6" i="11"/>
  <c r="O6" i="11"/>
  <c r="N6" i="11"/>
  <c r="M6" i="11"/>
  <c r="U6" i="11" s="1"/>
  <c r="I6" i="11"/>
  <c r="F6" i="11"/>
  <c r="S5" i="11"/>
  <c r="R5" i="11"/>
  <c r="P5" i="11"/>
  <c r="O5" i="11"/>
  <c r="N5" i="11"/>
  <c r="Q5" i="11" s="1"/>
  <c r="M5" i="11"/>
  <c r="I5" i="11"/>
  <c r="D5" i="11"/>
  <c r="D42" i="11" s="1"/>
  <c r="S4" i="11"/>
  <c r="R4" i="11"/>
  <c r="P4" i="11"/>
  <c r="O4" i="11"/>
  <c r="N4" i="11"/>
  <c r="M4" i="11"/>
  <c r="I4" i="11"/>
  <c r="F4" i="11"/>
  <c r="Y4" i="11" s="1"/>
  <c r="D42" i="2"/>
  <c r="R72" i="11" l="1"/>
  <c r="S72" i="11"/>
  <c r="J68" i="11"/>
  <c r="K68" i="11" s="1"/>
  <c r="T68" i="11" s="1"/>
  <c r="Q70" i="11"/>
  <c r="T70" i="11" s="1"/>
  <c r="V70" i="11" s="1"/>
  <c r="U68" i="11"/>
  <c r="U71" i="11"/>
  <c r="T56" i="11"/>
  <c r="V56" i="11" s="1"/>
  <c r="U57" i="11"/>
  <c r="Q60" i="11"/>
  <c r="Q63" i="11"/>
  <c r="U63" i="11"/>
  <c r="I65" i="11"/>
  <c r="Y53" i="11"/>
  <c r="Q54" i="11"/>
  <c r="Q65" i="11" s="1"/>
  <c r="U56" i="11"/>
  <c r="U59" i="11"/>
  <c r="K62" i="11"/>
  <c r="T62" i="11" s="1"/>
  <c r="V62" i="11" s="1"/>
  <c r="U64" i="11"/>
  <c r="Q64" i="11"/>
  <c r="T47" i="11"/>
  <c r="V47" i="11" s="1"/>
  <c r="H46" i="11"/>
  <c r="K46" i="11" s="1"/>
  <c r="T46" i="11" s="1"/>
  <c r="V46" i="11" s="1"/>
  <c r="Q47" i="11"/>
  <c r="M48" i="11"/>
  <c r="Q44" i="11"/>
  <c r="Q45" i="11"/>
  <c r="Q48" i="11" s="1"/>
  <c r="U46" i="11"/>
  <c r="U47" i="11"/>
  <c r="R48" i="11"/>
  <c r="I48" i="11"/>
  <c r="Y6" i="11"/>
  <c r="Y9" i="11"/>
  <c r="Y20" i="11"/>
  <c r="H26" i="11"/>
  <c r="K29" i="11"/>
  <c r="T29" i="11" s="1"/>
  <c r="V29" i="11" s="1"/>
  <c r="U31" i="11"/>
  <c r="U38" i="11"/>
  <c r="Q4" i="11"/>
  <c r="H6" i="11"/>
  <c r="Z6" i="11" s="1"/>
  <c r="H9" i="11"/>
  <c r="Z9" i="11" s="1"/>
  <c r="Q11" i="11"/>
  <c r="H13" i="11"/>
  <c r="Z13" i="11" s="1"/>
  <c r="Y13" i="11"/>
  <c r="Q16" i="11"/>
  <c r="H18" i="11"/>
  <c r="Z18" i="11" s="1"/>
  <c r="Q18" i="11"/>
  <c r="T18" i="11" s="1"/>
  <c r="V18" i="11" s="1"/>
  <c r="H20" i="11"/>
  <c r="Z20" i="11" s="1"/>
  <c r="H23" i="11"/>
  <c r="U25" i="11"/>
  <c r="H27" i="11"/>
  <c r="K27" i="11" s="1"/>
  <c r="T27" i="11" s="1"/>
  <c r="V27" i="11" s="1"/>
  <c r="Q27" i="11"/>
  <c r="H29" i="11"/>
  <c r="Q31" i="11"/>
  <c r="Q32" i="11"/>
  <c r="Q38" i="11"/>
  <c r="Q40" i="11"/>
  <c r="K18" i="11"/>
  <c r="K13" i="11"/>
  <c r="T13" i="11" s="1"/>
  <c r="V13" i="11" s="1"/>
  <c r="U18" i="11"/>
  <c r="H19" i="11"/>
  <c r="Z19" i="11" s="1"/>
  <c r="H24" i="11"/>
  <c r="K24" i="11" s="1"/>
  <c r="T24" i="11" s="1"/>
  <c r="V24" i="11" s="1"/>
  <c r="K25" i="11"/>
  <c r="Y7" i="11"/>
  <c r="X7" i="11" s="1"/>
  <c r="U8" i="11"/>
  <c r="Q8" i="11"/>
  <c r="Y10" i="11"/>
  <c r="Y11" i="11"/>
  <c r="U12" i="11"/>
  <c r="Q12" i="11"/>
  <c r="U23" i="11"/>
  <c r="Q25" i="11"/>
  <c r="T25" i="11" s="1"/>
  <c r="V25" i="11" s="1"/>
  <c r="H37" i="11"/>
  <c r="K37" i="11" s="1"/>
  <c r="T37" i="11" s="1"/>
  <c r="V37" i="11" s="1"/>
  <c r="Q39" i="11"/>
  <c r="Q41" i="11"/>
  <c r="M42" i="11"/>
  <c r="U4" i="11"/>
  <c r="H7" i="11"/>
  <c r="Z7" i="11" s="1"/>
  <c r="U10" i="11"/>
  <c r="P48" i="11"/>
  <c r="I42" i="11"/>
  <c r="N42" i="11"/>
  <c r="R42" i="11"/>
  <c r="F5" i="11"/>
  <c r="F42" i="11" s="1"/>
  <c r="J6" i="11"/>
  <c r="J9" i="11"/>
  <c r="K9" i="11" s="1"/>
  <c r="T9" i="11" s="1"/>
  <c r="V9" i="11" s="1"/>
  <c r="H11" i="11"/>
  <c r="Z11" i="11" s="1"/>
  <c r="U11" i="11"/>
  <c r="K14" i="11"/>
  <c r="T14" i="11" s="1"/>
  <c r="V14" i="11" s="1"/>
  <c r="U19" i="11"/>
  <c r="U22" i="11"/>
  <c r="U24" i="11"/>
  <c r="P42" i="11"/>
  <c r="F65" i="11"/>
  <c r="Y50" i="11"/>
  <c r="J50" i="11"/>
  <c r="H50" i="11"/>
  <c r="H4" i="11"/>
  <c r="U7" i="11"/>
  <c r="H10" i="11"/>
  <c r="Z10" i="11" s="1"/>
  <c r="Y17" i="11"/>
  <c r="J17" i="11"/>
  <c r="U17" i="11"/>
  <c r="H17" i="11"/>
  <c r="Z17" i="11" s="1"/>
  <c r="V23" i="11"/>
  <c r="J4" i="11"/>
  <c r="O42" i="11"/>
  <c r="S42" i="11"/>
  <c r="J7" i="11"/>
  <c r="H8" i="11"/>
  <c r="Z8" i="11" s="1"/>
  <c r="J10" i="11"/>
  <c r="H12" i="11"/>
  <c r="Z12" i="11" s="1"/>
  <c r="U13" i="11"/>
  <c r="U14" i="11"/>
  <c r="Y15" i="11"/>
  <c r="Y16" i="11"/>
  <c r="J16" i="11"/>
  <c r="K16" i="11" s="1"/>
  <c r="T16" i="11" s="1"/>
  <c r="V16" i="11" s="1"/>
  <c r="U16" i="11"/>
  <c r="K26" i="11"/>
  <c r="T26" i="11" s="1"/>
  <c r="V26" i="11" s="1"/>
  <c r="J35" i="11"/>
  <c r="K35" i="11" s="1"/>
  <c r="T35" i="11" s="1"/>
  <c r="U35" i="11"/>
  <c r="H35" i="11"/>
  <c r="U40" i="11"/>
  <c r="U50" i="11"/>
  <c r="Y54" i="11"/>
  <c r="U54" i="11"/>
  <c r="H54" i="11"/>
  <c r="P72" i="11"/>
  <c r="J11" i="11"/>
  <c r="K11" i="11" s="1"/>
  <c r="T11" i="11" s="1"/>
  <c r="V11" i="11" s="1"/>
  <c r="J21" i="11"/>
  <c r="Y21" i="11"/>
  <c r="H21" i="11"/>
  <c r="K23" i="11"/>
  <c r="T23" i="11" s="1"/>
  <c r="J30" i="11"/>
  <c r="H30" i="11"/>
  <c r="K33" i="11"/>
  <c r="T33" i="11" s="1"/>
  <c r="V33" i="11" s="1"/>
  <c r="Q34" i="11"/>
  <c r="Q42" i="11" s="1"/>
  <c r="P65" i="11"/>
  <c r="J15" i="11"/>
  <c r="K15" i="11" s="1"/>
  <c r="T15" i="11" s="1"/>
  <c r="V15" i="11" s="1"/>
  <c r="J19" i="11"/>
  <c r="K19" i="11" s="1"/>
  <c r="T19" i="11" s="1"/>
  <c r="V19" i="11" s="1"/>
  <c r="Y22" i="11"/>
  <c r="K31" i="11"/>
  <c r="T31" i="11" s="1"/>
  <c r="V31" i="11" s="1"/>
  <c r="Y34" i="11"/>
  <c r="J34" i="11"/>
  <c r="K34" i="11" s="1"/>
  <c r="U34" i="11"/>
  <c r="U37" i="11"/>
  <c r="K38" i="11"/>
  <c r="K40" i="11"/>
  <c r="T40" i="11" s="1"/>
  <c r="V40" i="11" s="1"/>
  <c r="O48" i="11"/>
  <c r="S48" i="11"/>
  <c r="N65" i="11"/>
  <c r="R65" i="11"/>
  <c r="U58" i="11"/>
  <c r="U60" i="11"/>
  <c r="U67" i="11"/>
  <c r="R73" i="11"/>
  <c r="V68" i="11"/>
  <c r="U70" i="11"/>
  <c r="D73" i="11"/>
  <c r="J20" i="11"/>
  <c r="J22" i="11"/>
  <c r="K22" i="11" s="1"/>
  <c r="T22" i="11" s="1"/>
  <c r="V22" i="11" s="1"/>
  <c r="U28" i="11"/>
  <c r="H28" i="11"/>
  <c r="K28" i="11" s="1"/>
  <c r="T28" i="11" s="1"/>
  <c r="V28" i="11" s="1"/>
  <c r="Y36" i="11"/>
  <c r="J36" i="11"/>
  <c r="K36" i="11" s="1"/>
  <c r="T36" i="11" s="1"/>
  <c r="V36" i="11" s="1"/>
  <c r="U36" i="11"/>
  <c r="U45" i="11"/>
  <c r="O65" i="11"/>
  <c r="S65" i="11"/>
  <c r="U51" i="11"/>
  <c r="H51" i="11"/>
  <c r="K51" i="11" s="1"/>
  <c r="T51" i="11" s="1"/>
  <c r="V51" i="11" s="1"/>
  <c r="K53" i="11"/>
  <c r="T53" i="11" s="1"/>
  <c r="V53" i="11" s="1"/>
  <c r="U53" i="11"/>
  <c r="U62" i="11"/>
  <c r="K63" i="11"/>
  <c r="T63" i="11" s="1"/>
  <c r="V63" i="11" s="1"/>
  <c r="N72" i="11"/>
  <c r="Q67" i="11"/>
  <c r="U69" i="11"/>
  <c r="H69" i="11"/>
  <c r="Z69" i="11" s="1"/>
  <c r="Y69" i="11"/>
  <c r="J69" i="11"/>
  <c r="Q69" i="11"/>
  <c r="T71" i="11"/>
  <c r="V71" i="11" s="1"/>
  <c r="L73" i="11"/>
  <c r="U26" i="11"/>
  <c r="U32" i="11"/>
  <c r="H32" i="11"/>
  <c r="K32" i="11" s="1"/>
  <c r="T32" i="11" s="1"/>
  <c r="V32" i="11" s="1"/>
  <c r="V35" i="11"/>
  <c r="U39" i="11"/>
  <c r="U41" i="11"/>
  <c r="F48" i="11"/>
  <c r="J44" i="11"/>
  <c r="U44" i="11"/>
  <c r="U55" i="11"/>
  <c r="H55" i="11"/>
  <c r="K55" i="11" s="1"/>
  <c r="T55" i="11" s="1"/>
  <c r="V55" i="11" s="1"/>
  <c r="T57" i="11"/>
  <c r="V57" i="11" s="1"/>
  <c r="T59" i="11"/>
  <c r="V59" i="11" s="1"/>
  <c r="U61" i="11"/>
  <c r="H61" i="11"/>
  <c r="K61" i="11" s="1"/>
  <c r="T61" i="11" s="1"/>
  <c r="V61" i="11" s="1"/>
  <c r="O73" i="11"/>
  <c r="H39" i="11"/>
  <c r="Z39" i="11" s="1"/>
  <c r="H41" i="11"/>
  <c r="K41" i="11" s="1"/>
  <c r="T41" i="11" s="1"/>
  <c r="V41" i="11" s="1"/>
  <c r="H45" i="11"/>
  <c r="Z45" i="11" s="1"/>
  <c r="H58" i="11"/>
  <c r="Z58" i="11" s="1"/>
  <c r="H60" i="11"/>
  <c r="K60" i="11" s="1"/>
  <c r="H64" i="11"/>
  <c r="K64" i="11" s="1"/>
  <c r="T64" i="11" s="1"/>
  <c r="V64" i="11" s="1"/>
  <c r="K67" i="11"/>
  <c r="M72" i="11"/>
  <c r="M73" i="11" s="1"/>
  <c r="Y71" i="11"/>
  <c r="W73" i="11"/>
  <c r="E65" i="11"/>
  <c r="W73" i="2"/>
  <c r="H72" i="11" l="1"/>
  <c r="Q72" i="11"/>
  <c r="K58" i="11"/>
  <c r="T58" i="11" s="1"/>
  <c r="V58" i="11" s="1"/>
  <c r="T60" i="11"/>
  <c r="V60" i="11" s="1"/>
  <c r="I73" i="11"/>
  <c r="S73" i="11"/>
  <c r="Q73" i="11"/>
  <c r="K6" i="11"/>
  <c r="T6" i="11" s="1"/>
  <c r="V6" i="11" s="1"/>
  <c r="K20" i="11"/>
  <c r="T20" i="11" s="1"/>
  <c r="V20" i="11" s="1"/>
  <c r="T34" i="11"/>
  <c r="V34" i="11" s="1"/>
  <c r="T38" i="11"/>
  <c r="V38" i="11" s="1"/>
  <c r="P73" i="11"/>
  <c r="K17" i="11"/>
  <c r="T17" i="11" s="1"/>
  <c r="V17" i="11" s="1"/>
  <c r="F73" i="11"/>
  <c r="Z54" i="11"/>
  <c r="K54" i="11"/>
  <c r="T54" i="11" s="1"/>
  <c r="V54" i="11" s="1"/>
  <c r="E72" i="11"/>
  <c r="E73" i="11" s="1"/>
  <c r="U48" i="11"/>
  <c r="N73" i="11"/>
  <c r="K10" i="11"/>
  <c r="T10" i="11" s="1"/>
  <c r="V10" i="11" s="1"/>
  <c r="J65" i="11"/>
  <c r="K50" i="11"/>
  <c r="K12" i="11"/>
  <c r="T12" i="11" s="1"/>
  <c r="V12" i="11" s="1"/>
  <c r="K72" i="11"/>
  <c r="T67" i="11"/>
  <c r="G72" i="11"/>
  <c r="K45" i="11"/>
  <c r="T45" i="11" s="1"/>
  <c r="V45" i="11" s="1"/>
  <c r="K4" i="11"/>
  <c r="U5" i="11"/>
  <c r="H5" i="11"/>
  <c r="Z5" i="11" s="1"/>
  <c r="Y5" i="11"/>
  <c r="J5" i="11"/>
  <c r="K5" i="11" s="1"/>
  <c r="T5" i="11" s="1"/>
  <c r="V5" i="11" s="1"/>
  <c r="K8" i="11"/>
  <c r="T8" i="11" s="1"/>
  <c r="V8" i="11" s="1"/>
  <c r="J48" i="11"/>
  <c r="K44" i="11"/>
  <c r="U72" i="11"/>
  <c r="K69" i="11"/>
  <c r="T69" i="11" s="1"/>
  <c r="V69" i="11" s="1"/>
  <c r="W48" i="11"/>
  <c r="K39" i="11"/>
  <c r="T39" i="11" s="1"/>
  <c r="V39" i="11" s="1"/>
  <c r="K30" i="11"/>
  <c r="T30" i="11" s="1"/>
  <c r="V30" i="11" s="1"/>
  <c r="K21" i="11"/>
  <c r="T21" i="11" s="1"/>
  <c r="V21" i="11" s="1"/>
  <c r="J72" i="11"/>
  <c r="U65" i="11"/>
  <c r="K7" i="11"/>
  <c r="T7" i="11" s="1"/>
  <c r="V7" i="11" s="1"/>
  <c r="U42" i="11"/>
  <c r="H48" i="11"/>
  <c r="G48" i="11" s="1"/>
  <c r="H42" i="11"/>
  <c r="G42" i="11" s="1"/>
  <c r="Z4" i="11"/>
  <c r="H65" i="11"/>
  <c r="G65" i="11" s="1"/>
  <c r="Z50" i="11"/>
  <c r="R68" i="2"/>
  <c r="R67" i="2"/>
  <c r="R59" i="2"/>
  <c r="J67" i="2"/>
  <c r="J64" i="2"/>
  <c r="J63" i="2"/>
  <c r="J58" i="2"/>
  <c r="J57" i="2"/>
  <c r="J56" i="2"/>
  <c r="J55" i="2"/>
  <c r="J54" i="2"/>
  <c r="J53" i="2"/>
  <c r="J52" i="2"/>
  <c r="J51" i="2"/>
  <c r="J47" i="2"/>
  <c r="I62" i="2"/>
  <c r="I61" i="2"/>
  <c r="I60" i="2"/>
  <c r="I59" i="2"/>
  <c r="I38" i="2"/>
  <c r="I37" i="2"/>
  <c r="V13" i="13"/>
  <c r="U73" i="11" l="1"/>
  <c r="U75" i="11" s="1"/>
  <c r="W47" i="11"/>
  <c r="H73" i="11"/>
  <c r="G73" i="11" s="1"/>
  <c r="K65" i="11"/>
  <c r="T50" i="11"/>
  <c r="K48" i="11"/>
  <c r="T44" i="11"/>
  <c r="J42" i="11"/>
  <c r="J73" i="11" s="1"/>
  <c r="T72" i="11"/>
  <c r="V67" i="11"/>
  <c r="V72" i="11" s="1"/>
  <c r="U76" i="11"/>
  <c r="K42" i="11"/>
  <c r="T4" i="11"/>
  <c r="L72" i="2"/>
  <c r="L10" i="13" s="1"/>
  <c r="D72" i="2"/>
  <c r="K73" i="11" l="1"/>
  <c r="U77" i="11"/>
  <c r="V50" i="11"/>
  <c r="V65" i="11" s="1"/>
  <c r="T65" i="11"/>
  <c r="V44" i="11"/>
  <c r="V48" i="11" s="1"/>
  <c r="T48" i="11"/>
  <c r="T42" i="11"/>
  <c r="V4" i="11"/>
  <c r="V42" i="11" s="1"/>
  <c r="D17" i="10"/>
  <c r="D25" i="10" s="1"/>
  <c r="D10" i="13"/>
  <c r="F62" i="2"/>
  <c r="H62" i="2" s="1"/>
  <c r="O62" i="2"/>
  <c r="P62" i="2"/>
  <c r="Q62" i="2" s="1"/>
  <c r="R62" i="2"/>
  <c r="S62" i="2"/>
  <c r="N62" i="2"/>
  <c r="M62" i="2"/>
  <c r="L48" i="2"/>
  <c r="L6" i="13" s="1"/>
  <c r="D48" i="2"/>
  <c r="S47" i="2"/>
  <c r="R47" i="2"/>
  <c r="P47" i="2"/>
  <c r="O47" i="2"/>
  <c r="N47" i="2"/>
  <c r="M47" i="2"/>
  <c r="K47" i="2"/>
  <c r="I47" i="2"/>
  <c r="V73" i="11" l="1"/>
  <c r="V76" i="11" s="1"/>
  <c r="V77" i="11" s="1"/>
  <c r="T73" i="11"/>
  <c r="D8" i="10"/>
  <c r="D4" i="13"/>
  <c r="D11" i="10"/>
  <c r="D23" i="10" s="1"/>
  <c r="D26" i="10" s="1"/>
  <c r="D6" i="13"/>
  <c r="J62" i="2"/>
  <c r="K62" i="2" s="1"/>
  <c r="T62" i="2" s="1"/>
  <c r="V62" i="2" s="1"/>
  <c r="U62" i="2"/>
  <c r="Q47" i="2"/>
  <c r="T47" i="2" s="1"/>
  <c r="V47" i="2" s="1"/>
  <c r="U47" i="2"/>
  <c r="M67" i="2" l="1"/>
  <c r="N67" i="2"/>
  <c r="O67" i="2"/>
  <c r="P67" i="2"/>
  <c r="S67" i="2"/>
  <c r="H67" i="2"/>
  <c r="I67" i="2"/>
  <c r="O21" i="2"/>
  <c r="P21" i="2"/>
  <c r="R21" i="2"/>
  <c r="S21" i="2"/>
  <c r="M21" i="2"/>
  <c r="N21" i="2"/>
  <c r="S37" i="2"/>
  <c r="R37" i="2"/>
  <c r="P37" i="2"/>
  <c r="O37" i="2"/>
  <c r="N37" i="2"/>
  <c r="M37" i="2"/>
  <c r="F37" i="2"/>
  <c r="S38" i="2"/>
  <c r="R38" i="2"/>
  <c r="P38" i="2"/>
  <c r="O38" i="2"/>
  <c r="N38" i="2"/>
  <c r="M38" i="2"/>
  <c r="F38" i="2"/>
  <c r="S61" i="2"/>
  <c r="R61" i="2"/>
  <c r="P61" i="2"/>
  <c r="O61" i="2"/>
  <c r="N61" i="2"/>
  <c r="M61" i="2"/>
  <c r="F61" i="2"/>
  <c r="I21" i="2"/>
  <c r="F21" i="2"/>
  <c r="J21" i="2" s="1"/>
  <c r="Q67" i="2" l="1"/>
  <c r="K67" i="2"/>
  <c r="Y21" i="2"/>
  <c r="Q61" i="2"/>
  <c r="Q38" i="2"/>
  <c r="Q37" i="2"/>
  <c r="U21" i="2"/>
  <c r="U67" i="2"/>
  <c r="U37" i="2"/>
  <c r="J37" i="2"/>
  <c r="H37" i="2"/>
  <c r="U38" i="2"/>
  <c r="J38" i="2"/>
  <c r="H38" i="2"/>
  <c r="U61" i="2"/>
  <c r="J61" i="2"/>
  <c r="H61" i="2"/>
  <c r="H21" i="2"/>
  <c r="K21" i="2" s="1"/>
  <c r="T21" i="2" s="1"/>
  <c r="V21" i="2" s="1"/>
  <c r="T67" i="2" l="1"/>
  <c r="K37" i="2"/>
  <c r="T37" i="2" s="1"/>
  <c r="V37" i="2" s="1"/>
  <c r="K38" i="2"/>
  <c r="T38" i="2" s="1"/>
  <c r="V38" i="2" s="1"/>
  <c r="K61" i="2"/>
  <c r="T61" i="2" s="1"/>
  <c r="V61" i="2" s="1"/>
  <c r="D65" i="2"/>
  <c r="S59" i="2"/>
  <c r="P59" i="2"/>
  <c r="O59" i="2"/>
  <c r="N59" i="2"/>
  <c r="M59" i="2"/>
  <c r="F59" i="2"/>
  <c r="S60" i="2"/>
  <c r="R60" i="2"/>
  <c r="P60" i="2"/>
  <c r="O60" i="2"/>
  <c r="N60" i="2"/>
  <c r="M60" i="2"/>
  <c r="F60" i="2"/>
  <c r="D13" i="10" l="1"/>
  <c r="D19" i="10" s="1"/>
  <c r="D8" i="13"/>
  <c r="D11" i="13" s="1"/>
  <c r="V67" i="2"/>
  <c r="Q60" i="2"/>
  <c r="Q59" i="2"/>
  <c r="U60" i="2"/>
  <c r="J60" i="2"/>
  <c r="H60" i="2"/>
  <c r="U59" i="2"/>
  <c r="J59" i="2"/>
  <c r="H59" i="2"/>
  <c r="L42" i="2"/>
  <c r="E42" i="2"/>
  <c r="S41" i="2"/>
  <c r="R41" i="2"/>
  <c r="P41" i="2"/>
  <c r="O41" i="2"/>
  <c r="N41" i="2"/>
  <c r="M41" i="2"/>
  <c r="I41" i="2"/>
  <c r="F41" i="2"/>
  <c r="J41" i="2" s="1"/>
  <c r="E48" i="2" l="1"/>
  <c r="E6" i="13" s="1"/>
  <c r="E4" i="13"/>
  <c r="L4" i="13"/>
  <c r="K59" i="2"/>
  <c r="T59" i="2" s="1"/>
  <c r="V59" i="2" s="1"/>
  <c r="K60" i="2"/>
  <c r="T60" i="2" s="1"/>
  <c r="V60" i="2" s="1"/>
  <c r="Q41" i="2"/>
  <c r="U41" i="2"/>
  <c r="H41" i="2"/>
  <c r="K41" i="2" s="1"/>
  <c r="B23" i="9"/>
  <c r="V75" i="2"/>
  <c r="T41" i="2" l="1"/>
  <c r="V41" i="2" s="1"/>
  <c r="M19" i="9"/>
  <c r="M11" i="9"/>
  <c r="E18" i="9"/>
  <c r="E19" i="9" s="1"/>
  <c r="E11" i="9"/>
  <c r="E5" i="9"/>
  <c r="G5" i="9"/>
  <c r="L5" i="9"/>
  <c r="D5" i="9"/>
  <c r="S4" i="9"/>
  <c r="S5" i="9" s="1"/>
  <c r="R4" i="9"/>
  <c r="R5" i="9" s="1"/>
  <c r="P4" i="9"/>
  <c r="P5" i="9" s="1"/>
  <c r="O4" i="9"/>
  <c r="N4" i="9"/>
  <c r="M4" i="9"/>
  <c r="J4" i="9"/>
  <c r="I4" i="9"/>
  <c r="F4" i="9"/>
  <c r="H4" i="9" s="1"/>
  <c r="S3" i="9"/>
  <c r="R3" i="9"/>
  <c r="P3" i="9"/>
  <c r="O3" i="9"/>
  <c r="N3" i="9"/>
  <c r="N5" i="9" s="1"/>
  <c r="M3" i="9"/>
  <c r="J3" i="9"/>
  <c r="I3" i="9"/>
  <c r="H3" i="9"/>
  <c r="F3" i="9"/>
  <c r="D13" i="5"/>
  <c r="G13" i="5"/>
  <c r="H13" i="5"/>
  <c r="K7" i="5"/>
  <c r="J7" i="5"/>
  <c r="I7" i="5"/>
  <c r="H7" i="5"/>
  <c r="F7" i="5"/>
  <c r="I5" i="9" l="1"/>
  <c r="H5" i="9"/>
  <c r="J5" i="9"/>
  <c r="M5" i="9"/>
  <c r="Q4" i="9"/>
  <c r="Q3" i="9"/>
  <c r="Q5" i="9" s="1"/>
  <c r="O5" i="9"/>
  <c r="K3" i="9"/>
  <c r="T3" i="9" s="1"/>
  <c r="V3" i="9" s="1"/>
  <c r="U3" i="9"/>
  <c r="F5" i="9"/>
  <c r="K4" i="9"/>
  <c r="M13" i="9" s="1"/>
  <c r="U4" i="9"/>
  <c r="U5" i="9" s="1"/>
  <c r="P52" i="2"/>
  <c r="O52" i="2"/>
  <c r="N52" i="2"/>
  <c r="M52" i="2"/>
  <c r="I52" i="2"/>
  <c r="F52" i="2"/>
  <c r="Q52" i="2" l="1"/>
  <c r="T4" i="9"/>
  <c r="K5" i="9"/>
  <c r="M12" i="9"/>
  <c r="H52" i="2"/>
  <c r="K52" i="2" s="1"/>
  <c r="O18" i="2"/>
  <c r="O20" i="2"/>
  <c r="M20" i="2"/>
  <c r="I70" i="2"/>
  <c r="I69" i="2"/>
  <c r="I68" i="2"/>
  <c r="H21" i="6"/>
  <c r="P64" i="2"/>
  <c r="P63" i="2"/>
  <c r="P58" i="2"/>
  <c r="P57" i="2"/>
  <c r="P56" i="2"/>
  <c r="P55" i="2"/>
  <c r="P54" i="2"/>
  <c r="P53" i="2"/>
  <c r="P46" i="2"/>
  <c r="P40" i="2"/>
  <c r="O64" i="2"/>
  <c r="O63" i="2"/>
  <c r="O58" i="2"/>
  <c r="O57" i="2"/>
  <c r="O56" i="2"/>
  <c r="O55" i="2"/>
  <c r="O54" i="2"/>
  <c r="O53" i="2"/>
  <c r="O46" i="2"/>
  <c r="O40" i="2"/>
  <c r="N64" i="2"/>
  <c r="N63" i="2"/>
  <c r="N46" i="2"/>
  <c r="N40" i="2"/>
  <c r="M40" i="2"/>
  <c r="M46" i="2"/>
  <c r="M64" i="2"/>
  <c r="M63" i="2"/>
  <c r="I64" i="2"/>
  <c r="I63" i="2"/>
  <c r="I58" i="2"/>
  <c r="I57" i="2"/>
  <c r="I56" i="2"/>
  <c r="I55" i="2"/>
  <c r="I54" i="2"/>
  <c r="I53" i="2"/>
  <c r="I46" i="2"/>
  <c r="I40" i="2"/>
  <c r="I35" i="2"/>
  <c r="I34" i="2"/>
  <c r="I33" i="2"/>
  <c r="I32" i="2"/>
  <c r="I31" i="2"/>
  <c r="I30" i="2"/>
  <c r="I29" i="2"/>
  <c r="I28" i="2"/>
  <c r="I27" i="2"/>
  <c r="I26" i="2"/>
  <c r="I25" i="2"/>
  <c r="I24" i="2"/>
  <c r="I23" i="2"/>
  <c r="I22" i="2"/>
  <c r="I20" i="2"/>
  <c r="I19" i="2"/>
  <c r="I18" i="2"/>
  <c r="I17" i="2"/>
  <c r="I11" i="2"/>
  <c r="I10" i="2"/>
  <c r="L65" i="2"/>
  <c r="F64" i="2"/>
  <c r="H64" i="2" s="1"/>
  <c r="F63" i="2"/>
  <c r="H63" i="2" s="1"/>
  <c r="F58" i="2"/>
  <c r="F57" i="2"/>
  <c r="F56" i="2"/>
  <c r="F55" i="2"/>
  <c r="F54" i="2"/>
  <c r="F53" i="2"/>
  <c r="F46" i="2"/>
  <c r="F40" i="2"/>
  <c r="H40" i="2" s="1"/>
  <c r="F34" i="2"/>
  <c r="F31" i="2"/>
  <c r="F30" i="2"/>
  <c r="F29" i="2"/>
  <c r="F28" i="2"/>
  <c r="F27" i="2"/>
  <c r="F26" i="2"/>
  <c r="F25" i="2"/>
  <c r="F24" i="2"/>
  <c r="F23" i="2"/>
  <c r="F22" i="2"/>
  <c r="F19" i="2"/>
  <c r="F18" i="2"/>
  <c r="F17" i="2"/>
  <c r="F11" i="2"/>
  <c r="F10" i="2"/>
  <c r="N58" i="2"/>
  <c r="N57" i="2"/>
  <c r="N56" i="2"/>
  <c r="N55" i="2"/>
  <c r="N54" i="2"/>
  <c r="N53" i="2"/>
  <c r="M58" i="2"/>
  <c r="M57" i="2"/>
  <c r="M56" i="2"/>
  <c r="M55" i="2"/>
  <c r="M54" i="2"/>
  <c r="M53" i="2"/>
  <c r="I6" i="2"/>
  <c r="E7" i="8"/>
  <c r="D7" i="8"/>
  <c r="C7" i="8"/>
  <c r="B7" i="8"/>
  <c r="F7" i="8"/>
  <c r="E20" i="5"/>
  <c r="C44" i="5"/>
  <c r="C41" i="9" l="1"/>
  <c r="L8" i="13"/>
  <c r="L11" i="13" s="1"/>
  <c r="T52" i="2"/>
  <c r="Q54" i="2"/>
  <c r="Q58" i="2"/>
  <c r="Q56" i="2"/>
  <c r="C25" i="9"/>
  <c r="V4" i="9"/>
  <c r="V5" i="9" s="1"/>
  <c r="T5" i="9"/>
  <c r="Q53" i="2"/>
  <c r="Q57" i="2"/>
  <c r="Q55" i="2"/>
  <c r="Q46" i="2"/>
  <c r="E65" i="2"/>
  <c r="E8" i="13" s="1"/>
  <c r="Q64" i="2"/>
  <c r="Q40" i="2"/>
  <c r="Q63" i="2"/>
  <c r="K63" i="2"/>
  <c r="J46" i="2"/>
  <c r="H46" i="2"/>
  <c r="K64" i="2"/>
  <c r="Y53" i="2"/>
  <c r="Y54" i="2"/>
  <c r="Y58" i="2"/>
  <c r="J40" i="2"/>
  <c r="K40" i="2" s="1"/>
  <c r="F7" i="2"/>
  <c r="H7" i="2" s="1"/>
  <c r="I7" i="2"/>
  <c r="M7" i="2"/>
  <c r="N7" i="2"/>
  <c r="O7" i="2"/>
  <c r="P7" i="2"/>
  <c r="H11" i="2"/>
  <c r="J11" i="2"/>
  <c r="M11" i="2"/>
  <c r="Y11" i="2" s="1"/>
  <c r="N11" i="2"/>
  <c r="O11" i="2"/>
  <c r="P11" i="2"/>
  <c r="L73" i="2"/>
  <c r="P34" i="2"/>
  <c r="P35" i="2"/>
  <c r="P31" i="2"/>
  <c r="P32" i="2"/>
  <c r="P33" i="2"/>
  <c r="P29" i="2"/>
  <c r="P30" i="2"/>
  <c r="P26" i="2"/>
  <c r="P27" i="2"/>
  <c r="P28" i="2"/>
  <c r="P24" i="2"/>
  <c r="P25" i="2"/>
  <c r="P23" i="2"/>
  <c r="P22" i="2"/>
  <c r="P20" i="2"/>
  <c r="P18" i="2"/>
  <c r="P19" i="2"/>
  <c r="P16" i="2"/>
  <c r="P17" i="2"/>
  <c r="P15" i="2"/>
  <c r="P12" i="2"/>
  <c r="P10" i="2"/>
  <c r="O34" i="2"/>
  <c r="O35" i="2"/>
  <c r="O31" i="2"/>
  <c r="O32" i="2"/>
  <c r="O29" i="2"/>
  <c r="O30" i="2"/>
  <c r="O26" i="2"/>
  <c r="O27" i="2"/>
  <c r="O28" i="2"/>
  <c r="O25" i="2"/>
  <c r="O24" i="2"/>
  <c r="O23" i="2"/>
  <c r="O22" i="2"/>
  <c r="O19" i="2"/>
  <c r="O17" i="2"/>
  <c r="O10" i="2"/>
  <c r="J22" i="2"/>
  <c r="J23" i="2"/>
  <c r="J24" i="2"/>
  <c r="J25" i="2"/>
  <c r="J26" i="2"/>
  <c r="J27" i="2"/>
  <c r="J28" i="2"/>
  <c r="J29" i="2"/>
  <c r="J30" i="2"/>
  <c r="J34" i="2"/>
  <c r="J18" i="2"/>
  <c r="J19" i="2"/>
  <c r="J17" i="2"/>
  <c r="J10" i="2"/>
  <c r="N10" i="2"/>
  <c r="N12" i="2"/>
  <c r="N13" i="2"/>
  <c r="N14" i="2"/>
  <c r="N15" i="2"/>
  <c r="N16" i="2"/>
  <c r="N17" i="2"/>
  <c r="N18" i="2"/>
  <c r="N19" i="2"/>
  <c r="N20" i="2"/>
  <c r="N22" i="2"/>
  <c r="N23" i="2"/>
  <c r="N24" i="2"/>
  <c r="N25" i="2"/>
  <c r="N26" i="2"/>
  <c r="N27" i="2"/>
  <c r="N28" i="2"/>
  <c r="N29" i="2"/>
  <c r="Q29" i="2" s="1"/>
  <c r="N30" i="2"/>
  <c r="Q30" i="2" s="1"/>
  <c r="N31" i="2"/>
  <c r="N32" i="2"/>
  <c r="N33" i="2"/>
  <c r="N34" i="2"/>
  <c r="M32" i="2"/>
  <c r="M33" i="2"/>
  <c r="M34" i="2"/>
  <c r="M35" i="2"/>
  <c r="M31" i="2"/>
  <c r="M30" i="2"/>
  <c r="M29" i="2"/>
  <c r="M28" i="2"/>
  <c r="M27" i="2"/>
  <c r="M26" i="2"/>
  <c r="M25" i="2"/>
  <c r="M24" i="2"/>
  <c r="M23" i="2"/>
  <c r="M22" i="2"/>
  <c r="M19" i="2"/>
  <c r="Y19" i="2" s="1"/>
  <c r="M18" i="2"/>
  <c r="Y18" i="2" s="1"/>
  <c r="M17" i="2"/>
  <c r="Y17" i="2" s="1"/>
  <c r="M10" i="2"/>
  <c r="Y10" i="2" s="1"/>
  <c r="H53" i="2"/>
  <c r="H54" i="2"/>
  <c r="H55" i="2"/>
  <c r="K55" i="2" s="1"/>
  <c r="H56" i="2"/>
  <c r="K56" i="2" s="1"/>
  <c r="T56" i="2" s="1"/>
  <c r="H57" i="2"/>
  <c r="K57" i="2" s="1"/>
  <c r="H58" i="2"/>
  <c r="H34" i="2"/>
  <c r="H29" i="2"/>
  <c r="H30" i="2"/>
  <c r="H26" i="2"/>
  <c r="H27" i="2"/>
  <c r="H28" i="2"/>
  <c r="H23" i="2"/>
  <c r="H24" i="2"/>
  <c r="H25" i="2"/>
  <c r="H22" i="2"/>
  <c r="H18" i="2"/>
  <c r="H19" i="2"/>
  <c r="H17" i="2"/>
  <c r="H10" i="2"/>
  <c r="H32" i="6"/>
  <c r="Q28" i="2" l="1"/>
  <c r="T55" i="2"/>
  <c r="T57" i="2"/>
  <c r="Q33" i="2"/>
  <c r="Z10" i="2"/>
  <c r="Z19" i="2"/>
  <c r="Q26" i="2"/>
  <c r="Q24" i="2"/>
  <c r="Z18" i="2"/>
  <c r="Z17" i="2"/>
  <c r="Q20" i="2"/>
  <c r="Q10" i="2"/>
  <c r="Q11" i="2"/>
  <c r="T40" i="2"/>
  <c r="Q25" i="2"/>
  <c r="Q32" i="2"/>
  <c r="Q23" i="2"/>
  <c r="E72" i="2"/>
  <c r="T64" i="2"/>
  <c r="T63" i="2"/>
  <c r="K46" i="2"/>
  <c r="T46" i="2" s="1"/>
  <c r="Z58" i="2"/>
  <c r="K58" i="2"/>
  <c r="T58" i="2" s="1"/>
  <c r="Z54" i="2"/>
  <c r="K54" i="2"/>
  <c r="T54" i="2" s="1"/>
  <c r="Q18" i="2"/>
  <c r="Z22" i="2"/>
  <c r="Q34" i="2"/>
  <c r="Q31" i="2"/>
  <c r="Z53" i="2"/>
  <c r="K53" i="2"/>
  <c r="T53" i="2" s="1"/>
  <c r="Z34" i="2"/>
  <c r="Q27" i="2"/>
  <c r="Z11" i="2"/>
  <c r="Y34" i="2"/>
  <c r="Q19" i="2"/>
  <c r="Q17" i="2"/>
  <c r="Y22" i="2"/>
  <c r="K10" i="2"/>
  <c r="Q7" i="2"/>
  <c r="Y7" i="2"/>
  <c r="X7" i="2" s="1"/>
  <c r="K11" i="2"/>
  <c r="J7" i="2"/>
  <c r="K7" i="2" s="1"/>
  <c r="Z7" i="2"/>
  <c r="K19" i="2"/>
  <c r="K17" i="2"/>
  <c r="K23" i="2"/>
  <c r="K24" i="2"/>
  <c r="K28" i="2"/>
  <c r="T28" i="2" s="1"/>
  <c r="K26" i="2"/>
  <c r="K25" i="2"/>
  <c r="K18" i="2"/>
  <c r="K34" i="2"/>
  <c r="K27" i="2"/>
  <c r="K30" i="2"/>
  <c r="K22" i="2"/>
  <c r="T22" i="2" s="1"/>
  <c r="K29" i="2"/>
  <c r="T29" i="2" s="1"/>
  <c r="E73" i="2" l="1"/>
  <c r="E10" i="13"/>
  <c r="E11" i="13" s="1"/>
  <c r="T24" i="2"/>
  <c r="T26" i="2"/>
  <c r="T11" i="2"/>
  <c r="T23" i="2"/>
  <c r="T25" i="2"/>
  <c r="T27" i="2"/>
  <c r="T34" i="2"/>
  <c r="T18" i="2"/>
  <c r="T19" i="2"/>
  <c r="T17" i="2"/>
  <c r="T10" i="2"/>
  <c r="T7" i="2"/>
  <c r="P8" i="2"/>
  <c r="P68" i="2"/>
  <c r="O68" i="2"/>
  <c r="N68" i="2"/>
  <c r="M68" i="2"/>
  <c r="F68" i="2"/>
  <c r="P69" i="2"/>
  <c r="O69" i="2"/>
  <c r="N69" i="2"/>
  <c r="M69" i="2"/>
  <c r="F69" i="2"/>
  <c r="J69" i="2" s="1"/>
  <c r="P70" i="2"/>
  <c r="O70" i="2"/>
  <c r="N70" i="2"/>
  <c r="M70" i="2"/>
  <c r="F70" i="2"/>
  <c r="J70" i="2" s="1"/>
  <c r="P50" i="2"/>
  <c r="O50" i="2"/>
  <c r="N50" i="2"/>
  <c r="M50" i="2"/>
  <c r="I50" i="2"/>
  <c r="F50" i="2"/>
  <c r="O8" i="2"/>
  <c r="N8" i="2"/>
  <c r="M8" i="2"/>
  <c r="I8" i="2"/>
  <c r="F8" i="2"/>
  <c r="H8" i="2" s="1"/>
  <c r="P36" i="2"/>
  <c r="O36" i="2"/>
  <c r="N36" i="2"/>
  <c r="M36" i="2"/>
  <c r="I36" i="2"/>
  <c r="F36" i="2"/>
  <c r="J36" i="2" s="1"/>
  <c r="N35" i="2"/>
  <c r="Q35" i="2" s="1"/>
  <c r="F35" i="2"/>
  <c r="O33" i="2"/>
  <c r="F33" i="2"/>
  <c r="F32" i="2"/>
  <c r="T30" i="2"/>
  <c r="P51" i="2"/>
  <c r="O51" i="2"/>
  <c r="N51" i="2"/>
  <c r="M51" i="2"/>
  <c r="I51" i="2"/>
  <c r="F51" i="2"/>
  <c r="H51" i="2" s="1"/>
  <c r="J68" i="2" l="1"/>
  <c r="M65" i="2"/>
  <c r="M8" i="13" s="1"/>
  <c r="P65" i="2"/>
  <c r="I65" i="2"/>
  <c r="O65" i="2"/>
  <c r="N65" i="2"/>
  <c r="N8" i="13" s="1"/>
  <c r="Y36" i="2"/>
  <c r="H70" i="2"/>
  <c r="F65" i="2"/>
  <c r="H33" i="2"/>
  <c r="J33" i="2"/>
  <c r="H50" i="2"/>
  <c r="H65" i="2" s="1"/>
  <c r="H35" i="2"/>
  <c r="J35" i="2"/>
  <c r="H69" i="2"/>
  <c r="Z69" i="2" s="1"/>
  <c r="H31" i="2"/>
  <c r="J31" i="2"/>
  <c r="H32" i="2"/>
  <c r="J32" i="2"/>
  <c r="Q36" i="2"/>
  <c r="Y8" i="2"/>
  <c r="Q50" i="2"/>
  <c r="Q68" i="2"/>
  <c r="Q70" i="2"/>
  <c r="Y69" i="2"/>
  <c r="Q69" i="2"/>
  <c r="U68" i="2"/>
  <c r="Y50" i="2"/>
  <c r="J50" i="2"/>
  <c r="J65" i="2" s="1"/>
  <c r="Q51" i="2"/>
  <c r="H36" i="2"/>
  <c r="Z36" i="2" s="1"/>
  <c r="H68" i="2"/>
  <c r="Q8" i="2"/>
  <c r="J8" i="2"/>
  <c r="Z8" i="2"/>
  <c r="K51" i="2"/>
  <c r="F39" i="2"/>
  <c r="I39" i="2"/>
  <c r="M39" i="2"/>
  <c r="N39" i="2"/>
  <c r="O39" i="2"/>
  <c r="P39" i="2"/>
  <c r="I13" i="10" l="1"/>
  <c r="O8" i="13"/>
  <c r="F13" i="10"/>
  <c r="I8" i="13"/>
  <c r="J13" i="10"/>
  <c r="P8" i="13"/>
  <c r="G13" i="10"/>
  <c r="J8" i="13"/>
  <c r="E13" i="10"/>
  <c r="H8" i="13"/>
  <c r="C34" i="9"/>
  <c r="F8" i="13"/>
  <c r="C42" i="9"/>
  <c r="C36" i="9"/>
  <c r="C35" i="9"/>
  <c r="K70" i="2"/>
  <c r="T70" i="2" s="1"/>
  <c r="K36" i="2"/>
  <c r="T36" i="2" s="1"/>
  <c r="Q65" i="2"/>
  <c r="Q8" i="13" s="1"/>
  <c r="G65" i="2"/>
  <c r="G8" i="13" s="1"/>
  <c r="K35" i="2"/>
  <c r="T35" i="2" s="1"/>
  <c r="K68" i="2"/>
  <c r="K31" i="2"/>
  <c r="K33" i="2"/>
  <c r="T33" i="2" s="1"/>
  <c r="K32" i="2"/>
  <c r="T32" i="2" s="1"/>
  <c r="Z50" i="2"/>
  <c r="K50" i="2"/>
  <c r="K65" i="2" s="1"/>
  <c r="T51" i="2"/>
  <c r="K69" i="2"/>
  <c r="K8" i="2"/>
  <c r="T8" i="2" s="1"/>
  <c r="Y39" i="2"/>
  <c r="J39" i="2"/>
  <c r="Q39" i="2"/>
  <c r="M16" i="2"/>
  <c r="O16" i="2"/>
  <c r="F16" i="2"/>
  <c r="I16" i="2"/>
  <c r="H13" i="10" l="1"/>
  <c r="K8" i="13"/>
  <c r="C38" i="9"/>
  <c r="K13" i="10"/>
  <c r="T68" i="2"/>
  <c r="C37" i="9"/>
  <c r="T69" i="2"/>
  <c r="T31" i="2"/>
  <c r="T50" i="2"/>
  <c r="T65" i="2" s="1"/>
  <c r="J16" i="2"/>
  <c r="H16" i="2"/>
  <c r="Q16" i="2"/>
  <c r="Y16" i="2"/>
  <c r="F30" i="6"/>
  <c r="H30" i="6" s="1"/>
  <c r="E26" i="6"/>
  <c r="H25" i="6"/>
  <c r="E25" i="6"/>
  <c r="P4" i="2"/>
  <c r="O4" i="2"/>
  <c r="N4" i="2"/>
  <c r="M4" i="2"/>
  <c r="I4" i="2"/>
  <c r="F4" i="2"/>
  <c r="N13" i="10" l="1"/>
  <c r="T8" i="13"/>
  <c r="H4" i="2"/>
  <c r="Y4" i="2"/>
  <c r="Q4" i="2"/>
  <c r="K16" i="2"/>
  <c r="T16" i="2" s="1"/>
  <c r="Z16" i="2"/>
  <c r="J4" i="2"/>
  <c r="K4" i="2" l="1"/>
  <c r="T4" i="2" s="1"/>
  <c r="Z4" i="2"/>
  <c r="P6" i="2" l="1"/>
  <c r="O6" i="2"/>
  <c r="N6" i="2"/>
  <c r="M6" i="2"/>
  <c r="F6" i="2"/>
  <c r="H6" i="2" s="1"/>
  <c r="Q6" i="2" l="1"/>
  <c r="Y6" i="2"/>
  <c r="J6" i="2"/>
  <c r="Z6" i="2"/>
  <c r="F20" i="2"/>
  <c r="Y20" i="2" s="1"/>
  <c r="O15" i="2"/>
  <c r="M15" i="2"/>
  <c r="I15" i="2"/>
  <c r="F15" i="2"/>
  <c r="H20" i="2" l="1"/>
  <c r="Z20" i="2" s="1"/>
  <c r="J20" i="2"/>
  <c r="H15" i="2"/>
  <c r="Z15" i="2" s="1"/>
  <c r="J15" i="2"/>
  <c r="K6" i="2"/>
  <c r="T6" i="2" s="1"/>
  <c r="Y15" i="2"/>
  <c r="Q15" i="2"/>
  <c r="P71" i="2"/>
  <c r="P72" i="2" s="1"/>
  <c r="P5" i="2"/>
  <c r="P9" i="2"/>
  <c r="P13" i="2"/>
  <c r="P14" i="2"/>
  <c r="O71" i="2"/>
  <c r="O72" i="2" s="1"/>
  <c r="O5" i="2"/>
  <c r="O9" i="2"/>
  <c r="O12" i="2"/>
  <c r="O13" i="2"/>
  <c r="O14" i="2"/>
  <c r="N71" i="2"/>
  <c r="N72" i="2" s="1"/>
  <c r="N10" i="13" s="1"/>
  <c r="N5" i="2"/>
  <c r="N9" i="2"/>
  <c r="M71" i="2"/>
  <c r="M72" i="2" s="1"/>
  <c r="M10" i="13" s="1"/>
  <c r="M5" i="2"/>
  <c r="M9" i="2"/>
  <c r="M12" i="2"/>
  <c r="M13" i="2"/>
  <c r="M14" i="2"/>
  <c r="I71" i="2"/>
  <c r="I72" i="2" s="1"/>
  <c r="F71" i="2"/>
  <c r="F72" i="2" s="1"/>
  <c r="F10" i="13" s="1"/>
  <c r="O42" i="2" l="1"/>
  <c r="N42" i="2"/>
  <c r="I17" i="10"/>
  <c r="I25" i="10" s="1"/>
  <c r="O10" i="13"/>
  <c r="F17" i="10"/>
  <c r="F25" i="10" s="1"/>
  <c r="I10" i="13"/>
  <c r="J17" i="10"/>
  <c r="J25" i="10" s="1"/>
  <c r="P10" i="13"/>
  <c r="I8" i="10"/>
  <c r="O4" i="13"/>
  <c r="N4" i="13"/>
  <c r="J8" i="10"/>
  <c r="M42" i="2"/>
  <c r="P42" i="2"/>
  <c r="K20" i="2"/>
  <c r="T20" i="2" s="1"/>
  <c r="J71" i="2"/>
  <c r="J72" i="2" s="1"/>
  <c r="H71" i="2"/>
  <c r="H72" i="2" s="1"/>
  <c r="Q13" i="2"/>
  <c r="Q12" i="2"/>
  <c r="K15" i="2"/>
  <c r="T15" i="2" s="1"/>
  <c r="Q14" i="2"/>
  <c r="Q71" i="2"/>
  <c r="Q72" i="2" s="1"/>
  <c r="Q9" i="2"/>
  <c r="Q5" i="2"/>
  <c r="K17" i="10" l="1"/>
  <c r="K25" i="10" s="1"/>
  <c r="Q10" i="13"/>
  <c r="G17" i="10"/>
  <c r="G25" i="10" s="1"/>
  <c r="J10" i="13"/>
  <c r="E17" i="10"/>
  <c r="E25" i="10" s="1"/>
  <c r="H10" i="13"/>
  <c r="M4" i="13"/>
  <c r="P4" i="13"/>
  <c r="Q42" i="2"/>
  <c r="K71" i="2"/>
  <c r="K72" i="2" s="1"/>
  <c r="F12" i="6"/>
  <c r="F14" i="6" s="1"/>
  <c r="H3" i="6"/>
  <c r="H7" i="6"/>
  <c r="E7" i="6"/>
  <c r="H17" i="10" l="1"/>
  <c r="H25" i="10" s="1"/>
  <c r="K10" i="13"/>
  <c r="Q4" i="13"/>
  <c r="K8" i="10"/>
  <c r="T71" i="2"/>
  <c r="T72" i="2" s="1"/>
  <c r="E8" i="6"/>
  <c r="H12" i="6"/>
  <c r="H14" i="6" s="1"/>
  <c r="N17" i="10" l="1"/>
  <c r="N25" i="10" s="1"/>
  <c r="T10" i="13"/>
  <c r="F5" i="5"/>
  <c r="H5" i="5" s="1"/>
  <c r="F45" i="2"/>
  <c r="H45" i="2" s="1"/>
  <c r="F44" i="2"/>
  <c r="F48" i="2" s="1"/>
  <c r="F6" i="13" s="1"/>
  <c r="N45" i="2"/>
  <c r="N44" i="2"/>
  <c r="N48" i="2" s="1"/>
  <c r="N6" i="13" s="1"/>
  <c r="N11" i="13" s="1"/>
  <c r="N73" i="2" l="1"/>
  <c r="H44" i="2"/>
  <c r="H48" i="2" s="1"/>
  <c r="Z45" i="2"/>
  <c r="F19" i="5"/>
  <c r="H19" i="5" s="1"/>
  <c r="P45" i="2"/>
  <c r="P44" i="2"/>
  <c r="P48" i="2" s="1"/>
  <c r="O45" i="2"/>
  <c r="O44" i="2"/>
  <c r="O48" i="2" s="1"/>
  <c r="M45" i="2"/>
  <c r="Y45" i="2" s="1"/>
  <c r="Y71" i="2"/>
  <c r="M44" i="2"/>
  <c r="M48" i="2" s="1"/>
  <c r="M6" i="13" s="1"/>
  <c r="M11" i="13" s="1"/>
  <c r="I45" i="2"/>
  <c r="I44" i="2"/>
  <c r="I48" i="2" s="1"/>
  <c r="J45" i="2"/>
  <c r="J44" i="2"/>
  <c r="J48" i="2" s="1"/>
  <c r="H2" i="5"/>
  <c r="I9" i="2"/>
  <c r="I12" i="2"/>
  <c r="I13" i="2"/>
  <c r="I14" i="2"/>
  <c r="F4" i="5"/>
  <c r="F6" i="5"/>
  <c r="F8" i="5"/>
  <c r="H8" i="5" s="1"/>
  <c r="F9" i="5"/>
  <c r="F10" i="5"/>
  <c r="F11" i="5"/>
  <c r="F12" i="5"/>
  <c r="H12" i="5" s="1"/>
  <c r="F3" i="5"/>
  <c r="I11" i="10" l="1"/>
  <c r="O6" i="13"/>
  <c r="O11" i="13" s="1"/>
  <c r="P6" i="13"/>
  <c r="P11" i="13" s="1"/>
  <c r="J11" i="10"/>
  <c r="H6" i="13"/>
  <c r="E11" i="10"/>
  <c r="G11" i="10"/>
  <c r="G23" i="10" s="1"/>
  <c r="G26" i="10" s="1"/>
  <c r="J6" i="13"/>
  <c r="I6" i="13"/>
  <c r="F11" i="10"/>
  <c r="F23" i="10" s="1"/>
  <c r="F26" i="10" s="1"/>
  <c r="M73" i="2"/>
  <c r="P73" i="2"/>
  <c r="G48" i="2"/>
  <c r="G6" i="13" s="1"/>
  <c r="O73" i="2"/>
  <c r="K44" i="2"/>
  <c r="Y44" i="2"/>
  <c r="X44" i="2" s="1"/>
  <c r="K45" i="2"/>
  <c r="Z44" i="2"/>
  <c r="H11" i="5"/>
  <c r="H6" i="5"/>
  <c r="H10" i="5"/>
  <c r="H4" i="5"/>
  <c r="H3" i="5"/>
  <c r="H9" i="5"/>
  <c r="F34" i="5"/>
  <c r="R52" i="2" s="1"/>
  <c r="U52" i="2" s="1"/>
  <c r="H29" i="5"/>
  <c r="O18" i="5"/>
  <c r="H28" i="5"/>
  <c r="H30" i="5"/>
  <c r="H31" i="5"/>
  <c r="H32" i="5"/>
  <c r="H33" i="5"/>
  <c r="J23" i="10" l="1"/>
  <c r="J26" i="10" s="1"/>
  <c r="J19" i="10"/>
  <c r="E23" i="10"/>
  <c r="E26" i="10" s="1"/>
  <c r="I23" i="10"/>
  <c r="I26" i="10" s="1"/>
  <c r="I19" i="10"/>
  <c r="K48" i="2"/>
  <c r="R55" i="2"/>
  <c r="U55" i="2" s="1"/>
  <c r="R54" i="2"/>
  <c r="U54" i="2" s="1"/>
  <c r="E34" i="5"/>
  <c r="R70" i="2"/>
  <c r="U70" i="2" s="1"/>
  <c r="R53" i="2"/>
  <c r="U53" i="2" s="1"/>
  <c r="R64" i="2"/>
  <c r="U64" i="2" s="1"/>
  <c r="R63" i="2"/>
  <c r="U63" i="2" s="1"/>
  <c r="R46" i="2"/>
  <c r="U46" i="2" s="1"/>
  <c r="R51" i="2"/>
  <c r="U51" i="2" s="1"/>
  <c r="R58" i="2"/>
  <c r="U58" i="2" s="1"/>
  <c r="R40" i="2"/>
  <c r="U40" i="2" s="1"/>
  <c r="R57" i="2"/>
  <c r="U57" i="2" s="1"/>
  <c r="R56" i="2"/>
  <c r="U56" i="2" s="1"/>
  <c r="R33" i="2"/>
  <c r="U33" i="2" s="1"/>
  <c r="R11" i="2"/>
  <c r="U11" i="2" s="1"/>
  <c r="R34" i="2"/>
  <c r="U34" i="2" s="1"/>
  <c r="R35" i="2"/>
  <c r="U35" i="2" s="1"/>
  <c r="R22" i="2"/>
  <c r="U22" i="2" s="1"/>
  <c r="R20" i="2"/>
  <c r="U20" i="2" s="1"/>
  <c r="R36" i="2"/>
  <c r="U36" i="2" s="1"/>
  <c r="R19" i="2"/>
  <c r="U19" i="2" s="1"/>
  <c r="R23" i="2"/>
  <c r="U23" i="2" s="1"/>
  <c r="R10" i="2"/>
  <c r="U10" i="2" s="1"/>
  <c r="R24" i="2"/>
  <c r="U24" i="2" s="1"/>
  <c r="R13" i="2"/>
  <c r="R25" i="2"/>
  <c r="U25" i="2" s="1"/>
  <c r="R14" i="2"/>
  <c r="R7" i="2"/>
  <c r="U7" i="2" s="1"/>
  <c r="R26" i="2"/>
  <c r="U26" i="2" s="1"/>
  <c r="R15" i="2"/>
  <c r="U15" i="2" s="1"/>
  <c r="R27" i="2"/>
  <c r="U27" i="2" s="1"/>
  <c r="R16" i="2"/>
  <c r="U16" i="2" s="1"/>
  <c r="R28" i="2"/>
  <c r="U28" i="2" s="1"/>
  <c r="R17" i="2"/>
  <c r="U17" i="2" s="1"/>
  <c r="R29" i="2"/>
  <c r="U29" i="2" s="1"/>
  <c r="R18" i="2"/>
  <c r="U18" i="2" s="1"/>
  <c r="R30" i="2"/>
  <c r="U30" i="2" s="1"/>
  <c r="R31" i="2"/>
  <c r="U31" i="2" s="1"/>
  <c r="R32" i="2"/>
  <c r="U32" i="2" s="1"/>
  <c r="Q18" i="5"/>
  <c r="L29" i="5" s="1"/>
  <c r="R69" i="2"/>
  <c r="R8" i="2"/>
  <c r="U8" i="2" s="1"/>
  <c r="R50" i="2"/>
  <c r="R39" i="2"/>
  <c r="U39" i="2" s="1"/>
  <c r="R4" i="2"/>
  <c r="R6" i="2"/>
  <c r="U6" i="2" s="1"/>
  <c r="R71" i="2"/>
  <c r="U71" i="2" s="1"/>
  <c r="R9" i="2"/>
  <c r="R5" i="2"/>
  <c r="R12" i="2"/>
  <c r="Q2" i="5"/>
  <c r="J30" i="5"/>
  <c r="J28" i="5"/>
  <c r="I32" i="5"/>
  <c r="I29" i="5"/>
  <c r="J32" i="5"/>
  <c r="I30" i="5"/>
  <c r="I28" i="5"/>
  <c r="J33" i="5"/>
  <c r="I31" i="5"/>
  <c r="J19" i="5"/>
  <c r="J31" i="5"/>
  <c r="I33" i="5"/>
  <c r="I19" i="5"/>
  <c r="J29" i="5"/>
  <c r="H34" i="5"/>
  <c r="S52" i="2" s="1"/>
  <c r="V52" i="2" s="1"/>
  <c r="Z71" i="2"/>
  <c r="F22" i="5"/>
  <c r="F21" i="5"/>
  <c r="I21" i="5" s="1"/>
  <c r="F18" i="5"/>
  <c r="H18" i="5" s="1"/>
  <c r="H20" i="5" s="1"/>
  <c r="G20" i="5" s="1"/>
  <c r="D5" i="2"/>
  <c r="F9" i="2"/>
  <c r="H9" i="2" s="1"/>
  <c r="F12" i="2"/>
  <c r="J12" i="2" s="1"/>
  <c r="F13" i="2"/>
  <c r="F14" i="2"/>
  <c r="R72" i="2" l="1"/>
  <c r="L17" i="10"/>
  <c r="L25" i="10" s="1"/>
  <c r="R10" i="13"/>
  <c r="H11" i="10"/>
  <c r="H23" i="10" s="1"/>
  <c r="H26" i="10" s="1"/>
  <c r="K6" i="13"/>
  <c r="C24" i="9"/>
  <c r="U4" i="2"/>
  <c r="R42" i="2"/>
  <c r="D73" i="2"/>
  <c r="C23" i="9" s="1"/>
  <c r="S71" i="2"/>
  <c r="V71" i="2" s="1"/>
  <c r="S46" i="2"/>
  <c r="V46" i="2" s="1"/>
  <c r="S40" i="2"/>
  <c r="V40" i="2" s="1"/>
  <c r="S70" i="2"/>
  <c r="V70" i="2" s="1"/>
  <c r="S68" i="2"/>
  <c r="S64" i="2"/>
  <c r="V64" i="2" s="1"/>
  <c r="S63" i="2"/>
  <c r="V63" i="2" s="1"/>
  <c r="S4" i="2"/>
  <c r="R65" i="2"/>
  <c r="R8" i="13" s="1"/>
  <c r="S56" i="2"/>
  <c r="V56" i="2" s="1"/>
  <c r="S24" i="2"/>
  <c r="V24" i="2" s="1"/>
  <c r="S57" i="2"/>
  <c r="V57" i="2" s="1"/>
  <c r="S25" i="2"/>
  <c r="V25" i="2" s="1"/>
  <c r="S11" i="2"/>
  <c r="V11" i="2" s="1"/>
  <c r="S54" i="2"/>
  <c r="V54" i="2" s="1"/>
  <c r="S18" i="2"/>
  <c r="V18" i="2" s="1"/>
  <c r="S53" i="2"/>
  <c r="V53" i="2" s="1"/>
  <c r="S19" i="2"/>
  <c r="V19" i="2" s="1"/>
  <c r="S51" i="2"/>
  <c r="V51" i="2" s="1"/>
  <c r="S20" i="2"/>
  <c r="V20" i="2" s="1"/>
  <c r="S26" i="2"/>
  <c r="V26" i="2" s="1"/>
  <c r="S22" i="2"/>
  <c r="V22" i="2" s="1"/>
  <c r="S27" i="2"/>
  <c r="V27" i="2" s="1"/>
  <c r="S15" i="2"/>
  <c r="V15" i="2" s="1"/>
  <c r="S28" i="2"/>
  <c r="V28" i="2" s="1"/>
  <c r="S16" i="2"/>
  <c r="V16" i="2" s="1"/>
  <c r="S29" i="2"/>
  <c r="V29" i="2" s="1"/>
  <c r="S17" i="2"/>
  <c r="V17" i="2" s="1"/>
  <c r="S30" i="2"/>
  <c r="V30" i="2" s="1"/>
  <c r="S13" i="2"/>
  <c r="S34" i="2"/>
  <c r="V34" i="2" s="1"/>
  <c r="S7" i="2"/>
  <c r="V7" i="2" s="1"/>
  <c r="S31" i="2"/>
  <c r="V31" i="2" s="1"/>
  <c r="S14" i="2"/>
  <c r="S32" i="2"/>
  <c r="V32" i="2" s="1"/>
  <c r="S10" i="2"/>
  <c r="V10" i="2" s="1"/>
  <c r="S33" i="2"/>
  <c r="V33" i="2" s="1"/>
  <c r="S36" i="2"/>
  <c r="V36" i="2" s="1"/>
  <c r="S58" i="2"/>
  <c r="S35" i="2"/>
  <c r="V35" i="2" s="1"/>
  <c r="S55" i="2"/>
  <c r="V55" i="2" s="1"/>
  <c r="S23" i="2"/>
  <c r="V23" i="2" s="1"/>
  <c r="U69" i="2"/>
  <c r="U72" i="2" s="1"/>
  <c r="L19" i="5"/>
  <c r="L30" i="5"/>
  <c r="K30" i="5"/>
  <c r="K19" i="5"/>
  <c r="K22" i="5"/>
  <c r="L28" i="5"/>
  <c r="K31" i="5"/>
  <c r="K28" i="5"/>
  <c r="L32" i="5"/>
  <c r="K32" i="5"/>
  <c r="L33" i="5"/>
  <c r="K29" i="5"/>
  <c r="L31" i="5"/>
  <c r="K33" i="5"/>
  <c r="J14" i="2"/>
  <c r="H14" i="2"/>
  <c r="J13" i="2"/>
  <c r="H13" i="2"/>
  <c r="U50" i="2"/>
  <c r="U65" i="2" s="1"/>
  <c r="U8" i="13" s="1"/>
  <c r="S69" i="2"/>
  <c r="S8" i="2"/>
  <c r="V8" i="2" s="1"/>
  <c r="S50" i="2"/>
  <c r="S39" i="2"/>
  <c r="S6" i="2"/>
  <c r="V6" i="2" s="1"/>
  <c r="I5" i="2"/>
  <c r="U13" i="2"/>
  <c r="U14" i="2"/>
  <c r="U9" i="2"/>
  <c r="U12" i="2"/>
  <c r="G34" i="5"/>
  <c r="S5" i="2"/>
  <c r="S12" i="2"/>
  <c r="S9" i="2"/>
  <c r="Y14" i="2"/>
  <c r="K18" i="5"/>
  <c r="Y13" i="2"/>
  <c r="Y12" i="2"/>
  <c r="I18" i="5"/>
  <c r="I20" i="5" s="1"/>
  <c r="L18" i="5"/>
  <c r="J9" i="2"/>
  <c r="Y9" i="2"/>
  <c r="J18" i="5"/>
  <c r="J20" i="5" s="1"/>
  <c r="I22" i="5"/>
  <c r="K21" i="5"/>
  <c r="F48" i="5"/>
  <c r="E48" i="5"/>
  <c r="K9" i="5"/>
  <c r="K12" i="5"/>
  <c r="L8" i="5"/>
  <c r="L12" i="5"/>
  <c r="K10" i="5"/>
  <c r="L9" i="5"/>
  <c r="F46" i="5" s="1"/>
  <c r="L10" i="5"/>
  <c r="K8" i="5"/>
  <c r="F23" i="5"/>
  <c r="I34" i="5"/>
  <c r="H21" i="5"/>
  <c r="H22" i="5"/>
  <c r="J34" i="5"/>
  <c r="F5" i="2"/>
  <c r="H12" i="2"/>
  <c r="R44" i="2"/>
  <c r="R45" i="2"/>
  <c r="S44" i="2"/>
  <c r="S45" i="2"/>
  <c r="V68" i="2" l="1"/>
  <c r="S72" i="2"/>
  <c r="O17" i="10"/>
  <c r="O25" i="10" s="1"/>
  <c r="U10" i="13"/>
  <c r="L8" i="10"/>
  <c r="R4" i="13"/>
  <c r="R48" i="2"/>
  <c r="S48" i="2"/>
  <c r="C43" i="9"/>
  <c r="L13" i="10"/>
  <c r="F42" i="2"/>
  <c r="V4" i="2"/>
  <c r="S42" i="2"/>
  <c r="I42" i="2"/>
  <c r="K13" i="5"/>
  <c r="L13" i="5"/>
  <c r="S65" i="2"/>
  <c r="S8" i="13" s="1"/>
  <c r="V58" i="2"/>
  <c r="U44" i="2"/>
  <c r="R73" i="2"/>
  <c r="V69" i="2"/>
  <c r="V72" i="2" s="1"/>
  <c r="F47" i="5"/>
  <c r="F49" i="5"/>
  <c r="K34" i="5"/>
  <c r="U45" i="2"/>
  <c r="E47" i="5"/>
  <c r="L34" i="5"/>
  <c r="L20" i="5"/>
  <c r="F45" i="5"/>
  <c r="E46" i="5"/>
  <c r="E49" i="5"/>
  <c r="K20" i="5"/>
  <c r="E45" i="5"/>
  <c r="V50" i="2"/>
  <c r="Y5" i="2"/>
  <c r="U5" i="2"/>
  <c r="U42" i="2" s="1"/>
  <c r="E44" i="5"/>
  <c r="K12" i="2"/>
  <c r="T12" i="2" s="1"/>
  <c r="V12" i="2" s="1"/>
  <c r="Z12" i="2"/>
  <c r="K13" i="2"/>
  <c r="T13" i="2" s="1"/>
  <c r="V13" i="2" s="1"/>
  <c r="Z13" i="2"/>
  <c r="K14" i="2"/>
  <c r="T14" i="2" s="1"/>
  <c r="V14" i="2" s="1"/>
  <c r="Z14" i="2"/>
  <c r="K9" i="2"/>
  <c r="T9" i="2" s="1"/>
  <c r="V9" i="2" s="1"/>
  <c r="Z9" i="2"/>
  <c r="F44" i="5"/>
  <c r="L22" i="5"/>
  <c r="J22" i="5"/>
  <c r="L21" i="5"/>
  <c r="J21" i="5"/>
  <c r="O2" i="5"/>
  <c r="H23" i="5"/>
  <c r="E23" i="5"/>
  <c r="F24" i="5"/>
  <c r="E24" i="5" s="1"/>
  <c r="C50" i="5"/>
  <c r="E50" i="5"/>
  <c r="J5" i="2"/>
  <c r="I23" i="5"/>
  <c r="I24" i="5" s="1"/>
  <c r="K23" i="5"/>
  <c r="H5" i="2"/>
  <c r="Q45" i="2"/>
  <c r="T45" i="2" s="1"/>
  <c r="Q44" i="2"/>
  <c r="S10" i="13" l="1"/>
  <c r="M17" i="10"/>
  <c r="M25" i="10" s="1"/>
  <c r="P17" i="10"/>
  <c r="P25" i="10" s="1"/>
  <c r="V10" i="13"/>
  <c r="I4" i="13"/>
  <c r="O8" i="10"/>
  <c r="U4" i="13"/>
  <c r="F73" i="2"/>
  <c r="F4" i="13"/>
  <c r="M8" i="10"/>
  <c r="S4" i="13"/>
  <c r="M11" i="10"/>
  <c r="M23" i="10" s="1"/>
  <c r="M26" i="10" s="1"/>
  <c r="S6" i="13"/>
  <c r="S11" i="13" s="1"/>
  <c r="W48" i="2"/>
  <c r="R6" i="13"/>
  <c r="R11" i="13" s="1"/>
  <c r="L11" i="10"/>
  <c r="L23" i="10" s="1"/>
  <c r="L26" i="10" s="1"/>
  <c r="C45" i="9"/>
  <c r="C44" i="9" s="1"/>
  <c r="M13" i="10"/>
  <c r="I73" i="2"/>
  <c r="F8" i="10"/>
  <c r="F19" i="10" s="1"/>
  <c r="Q48" i="2"/>
  <c r="U48" i="2"/>
  <c r="J42" i="2"/>
  <c r="G23" i="5"/>
  <c r="G24" i="5" s="1"/>
  <c r="H24" i="5"/>
  <c r="V65" i="2"/>
  <c r="V8" i="13" s="1"/>
  <c r="S73" i="2"/>
  <c r="T44" i="2"/>
  <c r="T48" i="2" s="1"/>
  <c r="K24" i="5"/>
  <c r="E51" i="5"/>
  <c r="E52" i="5" s="1"/>
  <c r="Z5" i="2"/>
  <c r="J8" i="5"/>
  <c r="J12" i="5"/>
  <c r="D49" i="5" s="1"/>
  <c r="H49" i="5" s="1"/>
  <c r="I11" i="5"/>
  <c r="C48" i="5" s="1"/>
  <c r="G48" i="5" s="1"/>
  <c r="I8" i="5"/>
  <c r="J10" i="5"/>
  <c r="D47" i="5" s="1"/>
  <c r="H47" i="5" s="1"/>
  <c r="I9" i="5"/>
  <c r="C46" i="5" s="1"/>
  <c r="G46" i="5" s="1"/>
  <c r="J11" i="5"/>
  <c r="D48" i="5" s="1"/>
  <c r="H48" i="5" s="1"/>
  <c r="I10" i="5"/>
  <c r="C47" i="5" s="1"/>
  <c r="G47" i="5" s="1"/>
  <c r="J9" i="5"/>
  <c r="D46" i="5" s="1"/>
  <c r="H46" i="5" s="1"/>
  <c r="I12" i="5"/>
  <c r="C49" i="5" s="1"/>
  <c r="G49" i="5" s="1"/>
  <c r="K5" i="2"/>
  <c r="F50" i="5"/>
  <c r="F51" i="5" s="1"/>
  <c r="F52" i="5" s="1"/>
  <c r="D50" i="5"/>
  <c r="G50" i="5"/>
  <c r="V45" i="2"/>
  <c r="J23" i="5"/>
  <c r="J24" i="5" s="1"/>
  <c r="L23" i="5"/>
  <c r="L24" i="5" s="1"/>
  <c r="I11" i="13" l="1"/>
  <c r="J4" i="13"/>
  <c r="F11" i="13"/>
  <c r="Q73" i="2"/>
  <c r="Q6" i="13"/>
  <c r="Q11" i="13" s="1"/>
  <c r="K11" i="10"/>
  <c r="L19" i="10"/>
  <c r="U73" i="2"/>
  <c r="U75" i="2" s="1"/>
  <c r="C29" i="9" s="1"/>
  <c r="O11" i="10"/>
  <c r="U6" i="13"/>
  <c r="U11" i="13" s="1"/>
  <c r="W47" i="2"/>
  <c r="N11" i="10"/>
  <c r="N23" i="10" s="1"/>
  <c r="N26" i="10" s="1"/>
  <c r="T6" i="13"/>
  <c r="M19" i="10"/>
  <c r="P13" i="10"/>
  <c r="J73" i="2"/>
  <c r="G8" i="10"/>
  <c r="G19" i="10" s="1"/>
  <c r="C45" i="5"/>
  <c r="G45" i="5" s="1"/>
  <c r="G51" i="5" s="1"/>
  <c r="I13" i="5"/>
  <c r="D45" i="5"/>
  <c r="H45" i="5" s="1"/>
  <c r="J13" i="5"/>
  <c r="V44" i="2"/>
  <c r="V48" i="2" s="1"/>
  <c r="T5" i="2"/>
  <c r="H44" i="5"/>
  <c r="D44" i="5"/>
  <c r="G44" i="5"/>
  <c r="H50" i="5"/>
  <c r="G72" i="2"/>
  <c r="G10" i="13" s="1"/>
  <c r="U76" i="2" l="1"/>
  <c r="C27" i="9" s="1"/>
  <c r="U14" i="13"/>
  <c r="U13" i="13"/>
  <c r="J11" i="13"/>
  <c r="P11" i="10"/>
  <c r="P23" i="10" s="1"/>
  <c r="P26" i="10" s="1"/>
  <c r="V6" i="13"/>
  <c r="K23" i="10"/>
  <c r="K26" i="10" s="1"/>
  <c r="K19" i="10"/>
  <c r="O23" i="10"/>
  <c r="O26" i="10" s="1"/>
  <c r="O19" i="10"/>
  <c r="U77" i="2"/>
  <c r="D51" i="5"/>
  <c r="D52" i="5" s="1"/>
  <c r="C51" i="5"/>
  <c r="C52" i="5" s="1"/>
  <c r="V5" i="2"/>
  <c r="G52" i="5"/>
  <c r="H51" i="5"/>
  <c r="H52" i="5" s="1"/>
  <c r="U15" i="13" l="1"/>
  <c r="H39" i="2"/>
  <c r="H42" i="2" s="1"/>
  <c r="H4" i="13" l="1"/>
  <c r="G4" i="13" s="1"/>
  <c r="H11" i="13"/>
  <c r="G11" i="13" s="1"/>
  <c r="E8" i="10"/>
  <c r="E19" i="10" s="1"/>
  <c r="K39" i="2"/>
  <c r="K42" i="2" s="1"/>
  <c r="H73" i="2"/>
  <c r="Z39" i="2"/>
  <c r="H8" i="10" l="1"/>
  <c r="H19" i="10" s="1"/>
  <c r="K4" i="13"/>
  <c r="K11" i="13" s="1"/>
  <c r="G42" i="2"/>
  <c r="G73" i="2"/>
  <c r="T39" i="2"/>
  <c r="T42" i="2" s="1"/>
  <c r="K73" i="2"/>
  <c r="N8" i="10" l="1"/>
  <c r="N19" i="10" s="1"/>
  <c r="T4" i="13"/>
  <c r="V39" i="2"/>
  <c r="V42" i="2" s="1"/>
  <c r="T73" i="2"/>
  <c r="P8" i="10" l="1"/>
  <c r="P19" i="10" s="1"/>
  <c r="V4" i="13"/>
  <c r="V11" i="13"/>
  <c r="V73" i="2"/>
  <c r="T11" i="13"/>
  <c r="V76" i="2"/>
  <c r="C26" i="9" s="1"/>
  <c r="V14" i="13" l="1"/>
  <c r="V15" i="13" s="1"/>
  <c r="V7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tc={03DA04B4-DEFF-4FE3-A83D-2A3A45A9EEC0}</author>
  </authors>
  <commentList>
    <comment ref="E4" authorId="0" shapeId="0" xr:uid="{03DA04B4-DEFF-4FE3-A83D-2A3A45A9EEC0}">
      <text>
        <t>[Threaded comment]
Your version of Excel allows you to read this threaded comment; however, any edits to it will get removed if the file is opened in a newer version of Excel. Learn more: https://go.microsoft.com/fwlink/?linkid=870924
Comment:
    leave these frequency per respondent flushed out past the decimal; 3320 x1 = 3320 and since there is more responses, we have to use 3320 x 1.02632 to equal column F which is 3330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Ragland-Greene, Rachelle - FNS</author>
  </authors>
  <commentList>
    <comment ref="H8" authorId="0" shapeId="0" xr:uid="{00000000-0006-0000-0300-000001000000}">
      <text>
        <r>
          <rPr>
            <b/>
            <sz val="9"/>
            <color indexed="81"/>
            <rFont val="Tahoma"/>
            <family val="2"/>
          </rPr>
          <t>Ragland-Greene, Rachelle - FNS:</t>
        </r>
        <r>
          <rPr>
            <sz val="9"/>
            <color indexed="81"/>
            <rFont val="Tahoma"/>
            <family val="2"/>
          </rPr>
          <t xml:space="preserve">
Where is this 1.7 million burden hours coming from?  update these figures here
the 2022 burden tab indicate 231K plus  burden hours which is inconsistent with this chart</t>
        </r>
      </text>
    </comment>
    <comment ref="B11" authorId="0" shapeId="0" xr:uid="{00000000-0006-0000-0300-000002000000}">
      <text>
        <r>
          <rPr>
            <b/>
            <sz val="9"/>
            <color indexed="81"/>
            <rFont val="Tahoma"/>
            <family val="2"/>
          </rPr>
          <t>Ragland-Greene, Rachelle - FNS:</t>
        </r>
        <r>
          <rPr>
            <sz val="9"/>
            <color indexed="81"/>
            <rFont val="Tahoma"/>
            <family val="2"/>
          </rPr>
          <t xml:space="preserve">
this is denoted as SLT - where are the Business - you all need to separate out the different affect public</t>
        </r>
      </text>
    </comment>
    <comment ref="H14" authorId="0" shapeId="0" xr:uid="{00000000-0006-0000-0300-000003000000}">
      <text>
        <r>
          <rPr>
            <b/>
            <sz val="9"/>
            <color indexed="81"/>
            <rFont val="Tahoma"/>
            <family val="2"/>
          </rPr>
          <t>Ragland-Greene, Rachelle - FNS:</t>
        </r>
        <r>
          <rPr>
            <sz val="9"/>
            <color indexed="81"/>
            <rFont val="Tahoma"/>
            <family val="2"/>
          </rPr>
          <t xml:space="preserve">
I am confused, based on the figure in the 2022 burden table or the 1,740,976, this would not be the 3 year burden the agency should be requesting </t>
        </r>
      </text>
    </comment>
    <comment ref="B29" authorId="0" shapeId="0" xr:uid="{00000000-0006-0000-0300-000004000000}">
      <text>
        <r>
          <rPr>
            <b/>
            <sz val="9"/>
            <color indexed="81"/>
            <rFont val="Tahoma"/>
            <family val="2"/>
          </rPr>
          <t>Ragland-Greene, Rachelle - FNS:</t>
        </r>
        <r>
          <rPr>
            <sz val="9"/>
            <color indexed="81"/>
            <rFont val="Tahoma"/>
            <family val="2"/>
          </rPr>
          <t xml:space="preserve">
Ragland-Greene, Rachelle - FNS:
this is denoted as SLT - where are the Business - you all need to separate out the different affect public</t>
        </r>
      </text>
    </comment>
    <comment ref="D32" authorId="0" shapeId="0" xr:uid="{00000000-0006-0000-0300-000005000000}">
      <text>
        <r>
          <rPr>
            <b/>
            <sz val="9"/>
            <color indexed="81"/>
            <rFont val="Tahoma"/>
            <family val="2"/>
          </rPr>
          <t>Ragland-Greene, Rachelle - FNS:</t>
        </r>
        <r>
          <rPr>
            <sz val="9"/>
            <color indexed="81"/>
            <rFont val="Tahoma"/>
            <family val="2"/>
          </rPr>
          <t xml:space="preserve">
where did the 86K Respondents come from?</t>
        </r>
      </text>
    </comment>
    <comment ref="H32" authorId="0" shapeId="0" xr:uid="{00000000-0006-0000-0300-000006000000}">
      <text>
        <r>
          <rPr>
            <b/>
            <sz val="9"/>
            <color indexed="81"/>
            <rFont val="Tahoma"/>
            <family val="2"/>
          </rPr>
          <t>Ragland-Greene, Rachelle - FNS:</t>
        </r>
        <r>
          <rPr>
            <sz val="9"/>
            <color indexed="81"/>
            <rFont val="Tahoma"/>
            <family val="2"/>
          </rPr>
          <t xml:space="preserve">
based on the figure in the 2022 burden table, this would not be the 3 year burden the agency should be requesting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Ragland-Greene, Rachelle - FNS</author>
  </authors>
  <commentList>
    <comment ref="A5" authorId="0" shapeId="0" xr:uid="{00000000-0006-0000-0200-000001000000}">
      <text>
        <r>
          <rPr>
            <b/>
            <sz val="9"/>
            <color indexed="81"/>
            <rFont val="Tahoma"/>
            <family val="2"/>
          </rPr>
          <t>Ragland-Greene, Rachelle - FNS:</t>
        </r>
        <r>
          <rPr>
            <sz val="9"/>
            <color indexed="81"/>
            <rFont val="Tahoma"/>
            <family val="2"/>
          </rPr>
          <t xml:space="preserve">
in the other tab there are more States and Business than what is reported here</t>
        </r>
      </text>
    </comment>
    <comment ref="F7" authorId="0" shapeId="0" xr:uid="{00000000-0006-0000-0200-000002000000}">
      <text>
        <r>
          <rPr>
            <b/>
            <sz val="9"/>
            <color indexed="81"/>
            <rFont val="Tahoma"/>
            <family val="2"/>
          </rPr>
          <t>Ragland-Greene, Rachelle - FNS:</t>
        </r>
        <r>
          <rPr>
            <sz val="9"/>
            <color indexed="81"/>
            <rFont val="Tahoma"/>
            <family val="2"/>
          </rPr>
          <t xml:space="preserve">
this 91K isn't a sum of the 179K + 59 K</t>
        </r>
      </text>
    </comment>
    <comment ref="B10" authorId="0" shapeId="0" xr:uid="{00000000-0006-0000-0200-000003000000}">
      <text>
        <r>
          <rPr>
            <b/>
            <sz val="9"/>
            <color indexed="81"/>
            <rFont val="Tahoma"/>
            <family val="2"/>
          </rPr>
          <t>Ragland-Greene, Rachelle - FNS:</t>
        </r>
        <r>
          <rPr>
            <sz val="9"/>
            <color indexed="81"/>
            <rFont val="Tahoma"/>
            <family val="2"/>
          </rPr>
          <t xml:space="preserve">
not sure how the 66K was derived...</t>
        </r>
      </text>
    </comment>
    <comment ref="F10" authorId="0" shapeId="0" xr:uid="{00000000-0006-0000-0200-000004000000}">
      <text>
        <r>
          <rPr>
            <b/>
            <sz val="9"/>
            <color indexed="81"/>
            <rFont val="Tahoma"/>
            <family val="2"/>
          </rPr>
          <t>Ragland-Greene, Rachelle - FNS:</t>
        </r>
        <r>
          <rPr>
            <sz val="9"/>
            <color indexed="81"/>
            <rFont val="Tahoma"/>
            <family val="2"/>
          </rPr>
          <t xml:space="preserve">
whe</t>
        </r>
      </text>
    </comment>
    <comment ref="B11" authorId="0" shapeId="0" xr:uid="{00000000-0006-0000-0200-000005000000}">
      <text>
        <r>
          <rPr>
            <b/>
            <sz val="9"/>
            <color indexed="81"/>
            <rFont val="Tahoma"/>
            <family val="2"/>
          </rPr>
          <t>Ragland-Greene, Rachelle - FNS:</t>
        </r>
        <r>
          <rPr>
            <sz val="9"/>
            <color indexed="81"/>
            <rFont val="Tahoma"/>
            <family val="2"/>
          </rPr>
          <t xml:space="preserve">
where is the 200,964 respondents in the other charts?</t>
        </r>
      </text>
    </comment>
  </commentList>
</comments>
</file>

<file path=xl/sharedStrings.xml><?xml version="1.0" encoding="utf-8"?>
<sst xmlns="http://schemas.openxmlformats.org/spreadsheetml/2006/main" count="878" uniqueCount="367">
  <si>
    <t>Pre-Award RFA</t>
  </si>
  <si>
    <t>Pre-Award Forms</t>
  </si>
  <si>
    <t>Total Pre-Award Burden</t>
  </si>
  <si>
    <t>Post-Award Reporting (excludes forms)</t>
  </si>
  <si>
    <t>Post Award Forms</t>
  </si>
  <si>
    <t>Total Post Award Reporting</t>
  </si>
  <si>
    <t>Recordkeeping</t>
  </si>
  <si>
    <t>Total</t>
  </si>
  <si>
    <t>Appendix</t>
  </si>
  <si>
    <t>Grant</t>
  </si>
  <si>
    <t>Affected Public</t>
  </si>
  <si>
    <t>Estimated No. of  Annual Respondents (Applicants)</t>
  </si>
  <si>
    <t>Frequency per Respondent</t>
  </si>
  <si>
    <r>
      <t xml:space="preserve">Total Annual </t>
    </r>
    <r>
      <rPr>
        <b/>
        <sz val="10"/>
        <color rgb="FF6600FF"/>
        <rFont val="Calibri"/>
        <family val="2"/>
        <scheme val="minor"/>
      </rPr>
      <t>Responses</t>
    </r>
  </si>
  <si>
    <t>Estimated Time (Hours) to complete each Application</t>
  </si>
  <si>
    <t>Total Estimated Pre-Award Burden Hours</t>
  </si>
  <si>
    <r>
      <t xml:space="preserve">Pre-Award Reporting FORMS </t>
    </r>
    <r>
      <rPr>
        <b/>
        <sz val="10"/>
        <color theme="7" tint="0.59999389629810485"/>
        <rFont val="Calibri"/>
        <family val="2"/>
        <scheme val="minor"/>
      </rPr>
      <t>Response</t>
    </r>
    <r>
      <rPr>
        <b/>
        <sz val="10"/>
        <color rgb="FF6600FF"/>
        <rFont val="Calibri"/>
        <family val="2"/>
        <scheme val="minor"/>
      </rPr>
      <t>s</t>
    </r>
    <r>
      <rPr>
        <b/>
        <sz val="10"/>
        <color theme="0"/>
        <rFont val="Calibri"/>
        <family val="2"/>
        <scheme val="minor"/>
      </rPr>
      <t xml:space="preserve"> (8  per SLT; 9 per business IC)</t>
    </r>
  </si>
  <si>
    <r>
      <t xml:space="preserve">Pre-Award Reporting FORMS burden (~6.4 / 6.7 hours </t>
    </r>
    <r>
      <rPr>
        <b/>
        <sz val="10"/>
        <color rgb="FF00B050"/>
        <rFont val="Calibri"/>
        <family val="2"/>
        <scheme val="minor"/>
      </rPr>
      <t>TIME</t>
    </r>
    <r>
      <rPr>
        <b/>
        <sz val="10"/>
        <color theme="1"/>
        <rFont val="Calibri"/>
        <family val="2"/>
        <scheme val="minor"/>
      </rPr>
      <t xml:space="preserve"> per grantee)</t>
    </r>
  </si>
  <si>
    <t>Pre-Award Burden Hours</t>
  </si>
  <si>
    <t>Estimated No of Annual Respondents (Grantees)</t>
  </si>
  <si>
    <r>
      <t xml:space="preserve">Post Award Reporting </t>
    </r>
    <r>
      <rPr>
        <b/>
        <sz val="10"/>
        <color rgb="FF6600FF"/>
        <rFont val="Calibri"/>
        <family val="2"/>
        <scheme val="minor"/>
      </rPr>
      <t>Responses</t>
    </r>
    <r>
      <rPr>
        <b/>
        <sz val="10"/>
        <color theme="1"/>
        <rFont val="Calibri"/>
        <family val="2"/>
        <scheme val="minor"/>
      </rPr>
      <t xml:space="preserve"> (4  per grantee)</t>
    </r>
  </si>
  <si>
    <t>Post Award Reporting burden (14 hours per grantee)</t>
  </si>
  <si>
    <r>
      <t xml:space="preserve">Post Award FORMS </t>
    </r>
    <r>
      <rPr>
        <b/>
        <sz val="10"/>
        <color rgb="FF6600FF"/>
        <rFont val="Calibri"/>
        <family val="2"/>
        <scheme val="minor"/>
      </rPr>
      <t>Response</t>
    </r>
    <r>
      <rPr>
        <b/>
        <sz val="10"/>
        <color theme="1"/>
        <rFont val="Calibri"/>
        <family val="2"/>
        <scheme val="minor"/>
      </rPr>
      <t>s (5  per grantee)</t>
    </r>
  </si>
  <si>
    <r>
      <t xml:space="preserve">Post Award Reporting burden (14 hours </t>
    </r>
    <r>
      <rPr>
        <b/>
        <sz val="10"/>
        <color rgb="FF00B050"/>
        <rFont val="Calibri"/>
        <family val="2"/>
        <scheme val="minor"/>
      </rPr>
      <t>TIME</t>
    </r>
    <r>
      <rPr>
        <b/>
        <sz val="10"/>
        <color theme="1"/>
        <rFont val="Calibri"/>
        <family val="2"/>
        <scheme val="minor"/>
      </rPr>
      <t xml:space="preserve"> per grantee)</t>
    </r>
  </si>
  <si>
    <t>Post Award Hours</t>
  </si>
  <si>
    <r>
      <t xml:space="preserve">Record-keeping </t>
    </r>
    <r>
      <rPr>
        <b/>
        <sz val="10"/>
        <color rgb="FF6600FF"/>
        <rFont val="Calibri"/>
        <family val="2"/>
        <scheme val="minor"/>
      </rPr>
      <t>Responses</t>
    </r>
    <r>
      <rPr>
        <b/>
        <sz val="10"/>
        <color theme="1"/>
        <rFont val="Calibri"/>
        <family val="2"/>
        <scheme val="minor"/>
      </rPr>
      <t xml:space="preserve"> (9  per grantee)</t>
    </r>
  </si>
  <si>
    <t>Record-keeping burden (~.2 hours per grantee)</t>
  </si>
  <si>
    <t>Total Reporting Burden Hours (Pre &amp; Post Award)</t>
  </si>
  <si>
    <r>
      <t xml:space="preserve">Total </t>
    </r>
    <r>
      <rPr>
        <b/>
        <sz val="10"/>
        <color rgb="FF6600FF"/>
        <rFont val="Calibri"/>
        <family val="2"/>
        <scheme val="minor"/>
      </rPr>
      <t>Responses</t>
    </r>
  </si>
  <si>
    <t>Grand Total Burden Hours (Reporting &amp; Record-keeeping)</t>
  </si>
  <si>
    <t>RFA Response per respondent (ROCIS)</t>
  </si>
  <si>
    <t>RFA Responses (ROCIS)</t>
  </si>
  <si>
    <t>RFA Reporting (ROCIS)</t>
  </si>
  <si>
    <t>COMPETITIVE GRANT OPPORTUNITIES</t>
  </si>
  <si>
    <t>A1</t>
  </si>
  <si>
    <t>Child Nutrition - Team Nutrition Training Grants</t>
  </si>
  <si>
    <t>State Agencies</t>
  </si>
  <si>
    <t>A2</t>
  </si>
  <si>
    <t xml:space="preserve">Child Nutrition – Direct Certification Grants </t>
  </si>
  <si>
    <t>State agencies</t>
  </si>
  <si>
    <t>A3</t>
  </si>
  <si>
    <t>Child Nutrition – Administrative Review &amp; Training Grants</t>
  </si>
  <si>
    <t>State &amp; Local Agency</t>
  </si>
  <si>
    <t>A4</t>
  </si>
  <si>
    <t>Child Nutrition – Farm to School Grants</t>
  </si>
  <si>
    <t>State, Local, &amp; Tribal Government Agencies</t>
  </si>
  <si>
    <t>A48</t>
  </si>
  <si>
    <t xml:space="preserve">Food Distribution Program on Indian Reservations –  Grants to Support Nutrition Education Activities </t>
  </si>
  <si>
    <t>State &amp; Tribal Government Agencies</t>
  </si>
  <si>
    <t>A6</t>
  </si>
  <si>
    <t>Food Distribution  Program – Nutrition Education Grants</t>
  </si>
  <si>
    <t>A7</t>
  </si>
  <si>
    <t>TEAFP Reach and Resiliency Grants</t>
  </si>
  <si>
    <t>A8</t>
  </si>
  <si>
    <t>Office of Policy Support - Increasing Enrollment in WIC through Medicaid and SNAP</t>
  </si>
  <si>
    <t>A9</t>
  </si>
  <si>
    <t>Supplemental Nutrition Assistance Program – E&amp;T Data and Technical Assistance</t>
  </si>
  <si>
    <t>A10</t>
  </si>
  <si>
    <t>Supplemental Nutrition Assistance Program – Process and Technology Improvement</t>
  </si>
  <si>
    <t>A11</t>
  </si>
  <si>
    <t>Supplemental Nutrition Assistance Program – Fraud Framework</t>
  </si>
  <si>
    <t>A12</t>
  </si>
  <si>
    <t>Supplemental Nutrition Assistance Program – Longitudinal Data Project</t>
  </si>
  <si>
    <t>A13</t>
  </si>
  <si>
    <t>Supplemental Nutrition Assistance Program –EBT Healthy Incentive Project</t>
  </si>
  <si>
    <t>A14</t>
  </si>
  <si>
    <t>Special Supplemental Nutrition Program for Women, Infants and Children –WIC General Infrastructure Grants</t>
  </si>
  <si>
    <t>A15</t>
  </si>
  <si>
    <t xml:space="preserve">Special Supplemental Nutrition Program for Women, Infants and Children –Improve the WIC Shopping Experience </t>
  </si>
  <si>
    <t>A16</t>
  </si>
  <si>
    <t>Special Supplemental Nutrition Program for Women, Infants and Children - Implementation of outreach, enrollment and certification and resources</t>
  </si>
  <si>
    <t>A17</t>
  </si>
  <si>
    <t>Special Supplemental Nutrition Program for Women, Infants and Children – Data matching, data sharing, interoperability project grants</t>
  </si>
  <si>
    <t xml:space="preserve">Center for Food Safety Research in Child Nutrition Programs (SNAS Office of Food Safety) </t>
  </si>
  <si>
    <t>Universities</t>
  </si>
  <si>
    <t>A20</t>
  </si>
  <si>
    <t xml:space="preserve">Special Supplemental Nutrition Program for Women, Infants and Children –Implementation Grants </t>
  </si>
  <si>
    <t>A21</t>
  </si>
  <si>
    <t>Child Nutrition American Rescue Plan Grants (Miscellaneous Category)</t>
  </si>
  <si>
    <t>A22</t>
  </si>
  <si>
    <t>SNAS American Rescue Plan Grants (Miscellaneous Category)</t>
  </si>
  <si>
    <t>A23</t>
  </si>
  <si>
    <t>SNAP American Rescue Plan Grants (Miscellaneous Category)</t>
  </si>
  <si>
    <t>A24</t>
  </si>
  <si>
    <t>Leverage SNAP/FST Grants</t>
  </si>
  <si>
    <t>A25</t>
  </si>
  <si>
    <t xml:space="preserve">Food Nutrition Incentive Grants/FST Grant/Healthy Meals Incentives </t>
  </si>
  <si>
    <t>A26</t>
  </si>
  <si>
    <t>Senior Farmer Market Nutrition Grants/FST grants</t>
  </si>
  <si>
    <t>A27</t>
  </si>
  <si>
    <t>Special Supplemental Nutrition Program for Women, Infants and Children – Implementation Grants for National  Campaign and Related Outreach</t>
  </si>
  <si>
    <t>A28</t>
  </si>
  <si>
    <t xml:space="preserve">Special Supplemental Nutrition Program for Women, Infants and Children - Implementation of Streamlining Tools </t>
  </si>
  <si>
    <t>A29</t>
  </si>
  <si>
    <t xml:space="preserve">Special Supplemental Nutrition Program for Women, Infants and Children - Reduce Disparities in Service Delivery through Evidence-Informed Strategies   </t>
  </si>
  <si>
    <t>A30</t>
  </si>
  <si>
    <t>Mobile Payment Grants</t>
  </si>
  <si>
    <t>A31</t>
  </si>
  <si>
    <t xml:space="preserve">Grants to assist States with integrating WIC and FMNP program operations and expanding WIC CVV to farmers markets
</t>
  </si>
  <si>
    <t>A32</t>
  </si>
  <si>
    <t>Special Supplemental Nutrition Program for Women, Infants and Children – Transform WIC business practices  Planning and Implementation Grants (Competitive) -</t>
  </si>
  <si>
    <t>A33</t>
  </si>
  <si>
    <t xml:space="preserve">WIC Farmers' Market Nutrition Program Benefit Delivery Modernization Grants (subsequent rounds of grants in FY2022, plus additional awards in FY2023 or FY2024) </t>
  </si>
  <si>
    <t>A34</t>
  </si>
  <si>
    <t>Special Supplemental Nutrition Program for Women, Infants and Children – Transform WIC business practices and technology Planning and Implementation Grants (Competitive)</t>
  </si>
  <si>
    <t xml:space="preserve">Special Supplemental Nutrition Program for Women, Infants and Children - Breastfeeding
</t>
  </si>
  <si>
    <t xml:space="preserve">Special Supplemental Nutrition Program for Women, Infants and Children - Special Projects
</t>
  </si>
  <si>
    <t>A35</t>
  </si>
  <si>
    <t>Miscellaneous grants expected to be authorized by Congress</t>
  </si>
  <si>
    <t>A36</t>
  </si>
  <si>
    <t>State Plans associated with Competitive Grants</t>
  </si>
  <si>
    <t xml:space="preserve">SNAP Income Improvements and Verification Grants </t>
  </si>
  <si>
    <t>Subtotal for Competitive State, Local &amp; Tribal Government Agencies</t>
  </si>
  <si>
    <t>COMPETITIVE BUSINESS GRANT OPPORTUNITIES</t>
  </si>
  <si>
    <t>Businesses</t>
  </si>
  <si>
    <t>A37</t>
  </si>
  <si>
    <t>Sub total for Competitive Business Grant Opportunities</t>
  </si>
  <si>
    <t>NONCOMPETITIVE GRANT OPPORTUNITIES</t>
  </si>
  <si>
    <t>A38</t>
  </si>
  <si>
    <t>A39</t>
  </si>
  <si>
    <t xml:space="preserve">Special Supplemental Nutrition Program for Women, Infants and Children – Grants to Expand WIC Cash Value Benefit Use at Farmers' Markets. </t>
  </si>
  <si>
    <t>A51</t>
  </si>
  <si>
    <t>Child Nutrition Farm to School-FST</t>
  </si>
  <si>
    <t>A5</t>
  </si>
  <si>
    <t>Child Nutrition – Technology Innovation Grants - Noncompetitive</t>
  </si>
  <si>
    <t>A18</t>
  </si>
  <si>
    <t>Special Supplemental Nutrition Program for Women, Infants and Children – Transform WIC business practices and implement technology tools that improve and streamline the participant experience. Planning and Implementation Grants (Noncompetitive)</t>
  </si>
  <si>
    <t>A40</t>
  </si>
  <si>
    <t>A41</t>
  </si>
  <si>
    <t>A42</t>
  </si>
  <si>
    <t>A43</t>
  </si>
  <si>
    <t>Special Supplemental Nutrition Program for Women, Infants and Children – Transform WIC business practices  Planning and Implementation Grants (Noncompetitive)</t>
  </si>
  <si>
    <t>A44</t>
  </si>
  <si>
    <t>A46</t>
  </si>
  <si>
    <t xml:space="preserve">Grants to Modernize the WIC Shopping Experience (to occur in multiple fiscal years - non-competitive) 
</t>
  </si>
  <si>
    <t xml:space="preserve">Special Supplemental Nutrition Program for Women, Infants and Children - Technology grants
</t>
  </si>
  <si>
    <t>A45</t>
  </si>
  <si>
    <t>State Plans associated with Non Competitive Grants</t>
  </si>
  <si>
    <t>Subtotal for Noncompetitive State, Local &amp; Tribal Government Agencies</t>
  </si>
  <si>
    <t>NON COMPETITIVE BUSINESS GRANT OPPORTUNITIES</t>
  </si>
  <si>
    <t>Institute of Child Nutrition Annual Food Safety Cooperative Agreement (SNAS Office of Food Safety)</t>
  </si>
  <si>
    <t>Special Supplemental Nutrition Program for Women, Infants and Children – WIC online shopping TA and subgrantees</t>
  </si>
  <si>
    <t>Businesses (for profit, not-for profit, farms)</t>
  </si>
  <si>
    <t xml:space="preserve">Special Supplemental Nutrition Program for Women, Infants and Children - Community innovation and outreach grant and subgrantees
</t>
  </si>
  <si>
    <t>A47</t>
  </si>
  <si>
    <t>Subtotal for Non Competitive Businesses</t>
  </si>
  <si>
    <t>Grand Total SLT &amp; Bus (competative and non competative)</t>
  </si>
  <si>
    <t>U63*3</t>
  </si>
  <si>
    <t>3 year requested</t>
  </si>
  <si>
    <t>Request for 3 years</t>
  </si>
  <si>
    <t>u63</t>
  </si>
  <si>
    <t>Total Used:</t>
  </si>
  <si>
    <t>burden used for the RFA/forms included in annual primary ICR , for the next 3 years</t>
  </si>
  <si>
    <t>Total Remaining:</t>
  </si>
  <si>
    <t>for  any other supplement IC to be submitted after approval</t>
  </si>
  <si>
    <t>Est. Number Respondents</t>
  </si>
  <si>
    <t>Est. No. Annual Response</t>
  </si>
  <si>
    <t>Est. Total Annual Response</t>
  </si>
  <si>
    <t>Est. Hours per Response</t>
  </si>
  <si>
    <t>Est. Total Annual Burden</t>
  </si>
  <si>
    <t>REPORTING BURDEN HOURS SUMMARY (PRE AND POST AWARD) STATE AGENCIES (ITO'S) AND BUSINESS</t>
  </si>
  <si>
    <t>Pre-Award Applicants (includes miscellaneous grants for 125 ITO + 50 Business)</t>
  </si>
  <si>
    <t>Post Award Reporting (55 ITOs + 20 Business)</t>
  </si>
  <si>
    <t xml:space="preserve">Pre &amp; Post Award Reporting Total </t>
  </si>
  <si>
    <t>RECORDKEEPING BURDEN ESTIMATES (POST-AWARD ONLY)</t>
  </si>
  <si>
    <t>Selected Grantees (Post- Award Recordkeeping)  (55 ITOs + 20 Business)</t>
  </si>
  <si>
    <t>Grand Total Annualized All Reporting &amp; Post Award Recordkeeping Estimates</t>
  </si>
  <si>
    <t>Three Year Reporting and Recordkeeping Request</t>
  </si>
  <si>
    <t>--</t>
  </si>
  <si>
    <t>Remaining Responses and Burden Hours for the next 3-year Lifecycle</t>
  </si>
  <si>
    <t>ANNUAL GRANT OPPORTUNITES FY 2022-2025 - COMPETITIVE</t>
  </si>
  <si>
    <t>-</t>
  </si>
  <si>
    <t>Number of Respondents</t>
  </si>
  <si>
    <t xml:space="preserve">Frequency of Responses </t>
  </si>
  <si>
    <t xml:space="preserve">Total Annual Responses </t>
  </si>
  <si>
    <t>Estimated Time per Response</t>
  </si>
  <si>
    <t xml:space="preserve">Estimated Total Annual Burden Hours </t>
  </si>
  <si>
    <t>Pre-Award Annual Total Reporting Burden (Request for Applications)</t>
  </si>
  <si>
    <t>Annual Post Award Reporting Burden Totals</t>
  </si>
  <si>
    <t>Frequency of Responses</t>
  </si>
  <si>
    <t>Total Annual Responses</t>
  </si>
  <si>
    <t>Estimated Total Annual Burden Hours</t>
  </si>
  <si>
    <t>Post-Award Total Reporting Burden</t>
  </si>
  <si>
    <t>Grand Total Annual Reporting Burden</t>
  </si>
  <si>
    <t xml:space="preserve"> No. Recordkeepers</t>
  </si>
  <si>
    <t>Annual No. Records Per Respondent</t>
  </si>
  <si>
    <t xml:space="preserve"> Est. Total Annual Records </t>
  </si>
  <si>
    <t>Hours Per Recordkeeper</t>
  </si>
  <si>
    <t xml:space="preserve">Total Burden  </t>
  </si>
  <si>
    <t>State Agencies, Local and Tribal (SLT)  &amp; Business</t>
  </si>
  <si>
    <t>Post Award Recordkeeping Total Burden Estimates</t>
  </si>
  <si>
    <t>Pre and Post Total Annual Reporting + Recordkeeping Burden Estimates</t>
  </si>
  <si>
    <t>Pre and Post Total Annual Reporting + Recordkeeping Burden Estimates for 3 year approval period</t>
  </si>
  <si>
    <t>*Note: Out of the 2184 respondents who will submit proposal, 1232 will be awarded and those unique repondents will go on to report Post Reporting burden and only 332 will maintain Recordkeeping burden hours and therefore, those respondents are not double counted.</t>
  </si>
  <si>
    <t>ANNUAL GRANT OPPORTUNITES FY 2022-2025 - NONCOMPETITIVE</t>
  </si>
  <si>
    <t>State Agencies, Local and Tribal (SLT) &amp; Business</t>
  </si>
  <si>
    <t>*Note: Out of the 1412 respondents who will submit proposal, 830 will be awarded and those unique repondents will go on to report Post Reporting burden and only 332 will maintain Recordkeeping burden hours and therefore, those respondents are not double counted.</t>
  </si>
  <si>
    <t>reporting competitive</t>
  </si>
  <si>
    <t>Reporting – State Plans (Competitive) Pre and Post:</t>
  </si>
  <si>
    <t>Reporting – State Plans (Non-Competitive) Pre and Post:</t>
  </si>
  <si>
    <r>
      <t>Affected Public (Competitive)</t>
    </r>
    <r>
      <rPr>
        <sz val="12"/>
        <color rgb="FFFF0000"/>
        <rFont val="Verdana"/>
        <family val="2"/>
      </rPr>
      <t>: State and Local governments.</t>
    </r>
  </si>
  <si>
    <r>
      <t>Affected Public (Non-Competitive)</t>
    </r>
    <r>
      <rPr>
        <sz val="12"/>
        <color rgb="FFFF0000"/>
        <rFont val="Verdana"/>
        <family val="2"/>
      </rPr>
      <t>: State and Local governments.</t>
    </r>
  </si>
  <si>
    <t>Estimated Number of Respondents: 1,092</t>
  </si>
  <si>
    <t xml:space="preserve">Estimated Number of Respondents: </t>
  </si>
  <si>
    <t>Estimated Number of Responses per Respondent: 8</t>
  </si>
  <si>
    <t xml:space="preserve">Estimated Number of Responses per Respondent: </t>
  </si>
  <si>
    <t>Estimated Total Annual Responses: 8,736</t>
  </si>
  <si>
    <t xml:space="preserve">Estimated Total Annual Responses: </t>
  </si>
  <si>
    <t>Estimated Average Hours per Response: 9.302083</t>
  </si>
  <si>
    <t xml:space="preserve">Estimated Average Hours per Response: </t>
  </si>
  <si>
    <t>Estimated Total Annual Reporting Burden Hours: 50,687</t>
  </si>
  <si>
    <t xml:space="preserve">Estimated Total Annual Reporting Burden Hours: </t>
  </si>
  <si>
    <t>Recordkeeping – State Plans (Competitive Post Award):</t>
  </si>
  <si>
    <t>Recordkeeping – State Plans (Non-Competitive) Post Award:</t>
  </si>
  <si>
    <t>Estimated Number of Responses per Respondent: 9</t>
  </si>
  <si>
    <t>Estimated Total Annual Responses: 9,828</t>
  </si>
  <si>
    <t>Estimated Average Hours per Response: 0.02503053</t>
  </si>
  <si>
    <t>Estimated Total Annual Reporting Burden Hours: 246</t>
  </si>
  <si>
    <t>before row a47 added</t>
  </si>
  <si>
    <t>updated</t>
  </si>
  <si>
    <t>Total Respondents</t>
  </si>
  <si>
    <t>SLT</t>
  </si>
  <si>
    <t>Business</t>
  </si>
  <si>
    <t>Burden hours</t>
  </si>
  <si>
    <t>Annual responses</t>
  </si>
  <si>
    <t>Total Burden hours</t>
  </si>
  <si>
    <t>Three Years burden</t>
  </si>
  <si>
    <t>Total Burden hours reporting</t>
  </si>
  <si>
    <t>Total Burden hours record keeping</t>
  </si>
  <si>
    <t xml:space="preserve">Reporting: </t>
  </si>
  <si>
    <t>Estimated Number of respondents</t>
  </si>
  <si>
    <t>Estimated Number of Responses per respondent</t>
  </si>
  <si>
    <t>Estimated Total Annual Responses</t>
  </si>
  <si>
    <t>Estimate Average Hours per Response</t>
  </si>
  <si>
    <t>Estimated Total Annual Burden Reporting Hours:</t>
  </si>
  <si>
    <t>Record keeping Non Competitive</t>
  </si>
  <si>
    <t>Form Name</t>
  </si>
  <si>
    <t>OMB Control No.</t>
  </si>
  <si>
    <t>1 Applicant (Respondent)</t>
  </si>
  <si>
    <t>Freq. of Response per RFA</t>
  </si>
  <si>
    <t>Response per RFA</t>
  </si>
  <si>
    <t>Time per response</t>
  </si>
  <si>
    <t>Burden per RFA</t>
  </si>
  <si>
    <t>Total SLT Responses per form</t>
  </si>
  <si>
    <t>Total SLT Hours per Form</t>
  </si>
  <si>
    <t>Total Business Responses per form</t>
  </si>
  <si>
    <t>Total Business Burden per form</t>
  </si>
  <si>
    <t>AD-3030</t>
  </si>
  <si>
    <t>Corporate Felony Convictions and Corporate Federal Tax Delinquencies</t>
  </si>
  <si>
    <t>0505-0025</t>
  </si>
  <si>
    <t>SLTPreRespondents</t>
  </si>
  <si>
    <t>BusPreRespondents</t>
  </si>
  <si>
    <t>AD-1047</t>
  </si>
  <si>
    <t>Certification Regarding Debarment, Suspension, and Other Responsibility Matters Primary Covered Transactions</t>
  </si>
  <si>
    <t>0505-0027</t>
  </si>
  <si>
    <t>AD-1048</t>
  </si>
  <si>
    <t>Certification Regarding Debarment, Suspension, Ineligibility and Voluntary Exclusion Lower Tier Covered Transactions</t>
  </si>
  <si>
    <t>AD-1049*</t>
  </si>
  <si>
    <t>Certification Regarding Drug-Free Workplace Requirements (Grants)
Alternative I – For Grantees Other Than Individuals</t>
  </si>
  <si>
    <t>AD-1052*</t>
  </si>
  <si>
    <t>Certification Regarding Drug-Free Workplace
State and State Agencies</t>
  </si>
  <si>
    <t>FNS-887</t>
  </si>
  <si>
    <t>Farm to School Grant Program Application Coversheet</t>
  </si>
  <si>
    <t>0584-0512</t>
  </si>
  <si>
    <t>SF-424</t>
  </si>
  <si>
    <t>Application and Instruction for Federal Assistance</t>
  </si>
  <si>
    <t>4040-0004</t>
  </si>
  <si>
    <t>SF-424A</t>
  </si>
  <si>
    <t>Budget Information for Non-Construction Programs</t>
  </si>
  <si>
    <t>4040-0006</t>
  </si>
  <si>
    <t>SF-424B</t>
  </si>
  <si>
    <t>Assurances for Non-Construction Programs</t>
  </si>
  <si>
    <t>4040-0007</t>
  </si>
  <si>
    <t>SF-424 R&amp;R</t>
  </si>
  <si>
    <t>Application for Federal Assistance (SF-424) Research &amp; Related Projects</t>
  </si>
  <si>
    <t>4040-0001</t>
  </si>
  <si>
    <t>SF-LLL</t>
  </si>
  <si>
    <t>Disclosure of Lobbying Activities</t>
  </si>
  <si>
    <t>4040-0013</t>
  </si>
  <si>
    <t>*Note that applicant will submit either AD-1049 or AD-1052, but not both</t>
  </si>
  <si>
    <t>Post-award Reporting &amp; Forms</t>
  </si>
  <si>
    <t>1 Awardee  (Respondent)</t>
  </si>
  <si>
    <t>Total SLT Burden per Form</t>
  </si>
  <si>
    <t>Progress Reports (Avg 3 annually)</t>
  </si>
  <si>
    <t>SLTPost</t>
  </si>
  <si>
    <t>BusPost</t>
  </si>
  <si>
    <t>Final Performance Report</t>
  </si>
  <si>
    <t>Reports Sub-total</t>
  </si>
  <si>
    <t>SF-425 Financial Report (Quarterly)</t>
  </si>
  <si>
    <t>Federal Financial Report - Quarterly Report</t>
  </si>
  <si>
    <t>4040-0014</t>
  </si>
  <si>
    <t>SF-425 Final Report</t>
  </si>
  <si>
    <t>Federal Financial Report - Final Report</t>
  </si>
  <si>
    <t>Forms Sub-total</t>
  </si>
  <si>
    <t>Post Award Recordkeeping</t>
  </si>
  <si>
    <t>SF-424 B</t>
  </si>
  <si>
    <t xml:space="preserve">SF-425 Quarterly Financial Reporting </t>
  </si>
  <si>
    <t>Grand total by form:</t>
  </si>
  <si>
    <t>Responses</t>
  </si>
  <si>
    <t>Hours</t>
  </si>
  <si>
    <t>AD-1049</t>
  </si>
  <si>
    <t>Certification Regarding Drug-Free Workplace Requirements (Grants) Alternative I – For Grantees Other Than Individuals</t>
  </si>
  <si>
    <t>AD-1052</t>
  </si>
  <si>
    <t>Certification Regarding Drug-Free Workplace, State and State Agencies</t>
  </si>
  <si>
    <t>USDA Forms Burden Subtotal</t>
  </si>
  <si>
    <t>SF-425</t>
  </si>
  <si>
    <t>Federal Financial Report</t>
  </si>
  <si>
    <t>Standard Forms Burden Subtotal</t>
  </si>
  <si>
    <t>A52</t>
  </si>
  <si>
    <t>A53</t>
  </si>
  <si>
    <t>A54</t>
  </si>
  <si>
    <t>A55</t>
  </si>
  <si>
    <t>A56</t>
  </si>
  <si>
    <t>A57</t>
  </si>
  <si>
    <t>A58</t>
  </si>
  <si>
    <t>A59</t>
  </si>
  <si>
    <t>SNAP E&amp;T National Partnership Grants</t>
  </si>
  <si>
    <t>Businesses (not-for profit)</t>
  </si>
  <si>
    <t>A60</t>
  </si>
  <si>
    <t>State and Local Agencies</t>
  </si>
  <si>
    <t>Healthy  Meals Incentives</t>
  </si>
  <si>
    <t>Total Pre-Award</t>
  </si>
  <si>
    <t>Burden</t>
  </si>
  <si>
    <t>Total Post Award</t>
  </si>
  <si>
    <t>Reporting</t>
  </si>
  <si>
    <t>Estimated No. of Annual Respondents (Applicants)</t>
  </si>
  <si>
    <t>Total Estimated Pre Award Burden Hours</t>
  </si>
  <si>
    <t>Pre-Award Reporting FORMS Responses (8 per</t>
  </si>
  <si>
    <t>SLT; 9 per business IC)</t>
  </si>
  <si>
    <t>Pre-Award Reporting FORMS burden (~6.4 / 6.7 hours TIME per grantee)</t>
  </si>
  <si>
    <t>Post Award FORMS</t>
  </si>
  <si>
    <t>Responses (5 per grantee)</t>
  </si>
  <si>
    <t>Post Award</t>
  </si>
  <si>
    <t>Reporting burden (14 hours TIME per grantee)</t>
  </si>
  <si>
    <t>Record-keeping Responses (9 per grantee)</t>
  </si>
  <si>
    <t>Total Responses</t>
  </si>
  <si>
    <t>Grand Total Burden Hours (Reporting &amp; Record-keeping)</t>
  </si>
  <si>
    <t xml:space="preserve">                                                                COMPETITIVE GRANT OPPORTUNITIES</t>
  </si>
  <si>
    <t>Subtotal for Competitive State,</t>
  </si>
  <si>
    <t>Local &amp; Tribal Government Agencies</t>
  </si>
  <si>
    <t xml:space="preserve">                                                                COMPETITIVE BUSINESS GRANT OPPORTUNITIES</t>
  </si>
  <si>
    <t xml:space="preserve">                                                                NONCOMPETITIVE GRANT OPPORTUNITIES</t>
  </si>
  <si>
    <t>Subtotal for Noncompetitive</t>
  </si>
  <si>
    <t>State, Local &amp; Tribal</t>
  </si>
  <si>
    <t xml:space="preserve">                                                                NONCOMPETITIVE BUSINESS GRANT OPPORTUNITIES</t>
  </si>
  <si>
    <t>Grand Total SLT &amp; Bus</t>
  </si>
  <si>
    <t>(competitive and non competitive)</t>
  </si>
  <si>
    <t xml:space="preserve">       </t>
  </si>
  <si>
    <t>Sub breakout by business</t>
  </si>
  <si>
    <t xml:space="preserve">Note for column D: Applicants. Did not use Total Annual responses which is a different number form the 2022 Burden Table </t>
  </si>
  <si>
    <t>Total Business</t>
  </si>
  <si>
    <t>A61</t>
  </si>
  <si>
    <t xml:space="preserve">Non Business: </t>
  </si>
  <si>
    <t>Pre-Award Reporting FORMS Responses (8  per SLT; 9 per business IC)</t>
  </si>
  <si>
    <t>Post Award Reporting Responses (4  per grantee)</t>
  </si>
  <si>
    <t>Post Award FORMS Responses (5  per grantee)</t>
  </si>
  <si>
    <t>Post Award Reporting burden (14 hours TIME per grantee)</t>
  </si>
  <si>
    <t>Record-keeping Responses (9  per grantee)</t>
  </si>
  <si>
    <t>burden used for the RFA/forms included in annual primary ICR , for the next 3 years - this number in v14 is mulitplied by 3</t>
  </si>
  <si>
    <t xml:space="preserve">Child Nutrition American Rescue Plan Grants (Miscellaneous Category) </t>
  </si>
  <si>
    <t>A62</t>
  </si>
  <si>
    <t>`</t>
  </si>
  <si>
    <t>A19</t>
  </si>
  <si>
    <t>A49</t>
  </si>
  <si>
    <t>A50</t>
  </si>
  <si>
    <t xml:space="preserve">Affected Public </t>
  </si>
  <si>
    <t>Grand Total SLT &amp; Bus (competitive and non competitive)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</si>
</sst>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
    <numFmt numFmtId="165" formatCode="_(* #,##0_);_(* \(#,##0\);_(* &quot;-&quot;??_);_(@_)"/>
    <numFmt numFmtId="166" formatCode="0.00000000"/>
    <numFmt numFmtId="167" formatCode="0.000000"/>
    <numFmt numFmtId="168" formatCode="_(* #,##0.00000_);_(* \(#,##0.00000\);_(* &quot;-&quot;??_);_(@_)"/>
  </numFmts>
  <fonts count="45"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sz val="10"/>
      <color theme="1"/>
      <name val="Calibri"/>
      <family val="2"/>
      <scheme val="minor"/>
    </font>
    <font>
      <b/>
      <sz val="10"/>
      <color rgb="FF000000"/>
      <name val="Times New Roman"/>
      <family val="1"/>
    </font>
    <font>
      <b/>
      <sz val="10"/>
      <color theme="1"/>
      <name val="Times New Roman"/>
      <family val="1"/>
    </font>
    <font>
      <sz val="11"/>
      <color rgb="FF000000"/>
      <name val="Calibri"/>
      <family val="2"/>
    </font>
    <font>
      <b/>
      <sz val="12"/>
      <color rgb="FF000000"/>
      <name val="Times New Roman"/>
      <family val="1"/>
    </font>
    <font>
      <b/>
      <sz val="10"/>
      <color rgb="FFFF0000"/>
      <name val="Times New Roman"/>
      <family val="1"/>
    </font>
    <font>
      <b/>
      <sz val="10"/>
      <name val="Times New Roman"/>
      <family val="1"/>
    </font>
    <font>
      <sz val="8"/>
      <color theme="1"/>
      <name val="Calibri"/>
      <family val="2"/>
      <scheme val="minor"/>
    </font>
    <font>
      <sz val="14"/>
      <color theme="1"/>
      <name val="Calibri"/>
      <family val="2"/>
      <scheme val="minor"/>
    </font>
    <font>
      <sz val="12"/>
      <color theme="1"/>
      <name val="Times New Roman"/>
      <family val="1"/>
    </font>
    <font>
      <b/>
      <sz val="12"/>
      <color theme="1"/>
      <name val="Times New Roman"/>
      <family val="1"/>
    </font>
    <font>
      <sz val="12"/>
      <name val="Times New Roman"/>
      <family val="1"/>
    </font>
    <font>
      <b/>
      <sz val="12"/>
      <name val="Times New Roman"/>
      <family val="1"/>
    </font>
    <font>
      <b/>
      <sz val="10"/>
      <color theme="0"/>
      <name val="Calibri"/>
      <family val="2"/>
      <scheme val="minor"/>
    </font>
    <font>
      <b/>
      <sz val="10"/>
      <color theme="1"/>
      <name val="Calibri"/>
      <family val="2"/>
      <scheme val="minor"/>
    </font>
    <font>
      <sz val="10"/>
      <color theme="0"/>
      <name val="Calibri"/>
      <family val="2"/>
      <scheme val="minor"/>
    </font>
    <font>
      <sz val="10"/>
      <color rgb="FF000000"/>
      <name val="Calibri"/>
      <family val="2"/>
      <scheme val="minor"/>
    </font>
    <font>
      <b/>
      <sz val="10"/>
      <color rgb="FFFF0000"/>
      <name val="Calibri"/>
      <family val="2"/>
      <scheme val="minor"/>
    </font>
    <font>
      <b/>
      <sz val="10"/>
      <color rgb="FF6600FF"/>
      <name val="Calibri"/>
      <family val="2"/>
      <scheme val="minor"/>
    </font>
    <font>
      <sz val="10"/>
      <color rgb="FFFF0000"/>
      <name val="Calibri"/>
      <family val="2"/>
      <scheme val="minor"/>
    </font>
    <font>
      <sz val="10"/>
      <name val="Calibri"/>
      <family val="2"/>
      <scheme val="minor"/>
    </font>
    <font>
      <sz val="14"/>
      <name val="Calibri"/>
      <family val="2"/>
      <scheme val="minor"/>
    </font>
    <font>
      <sz val="14"/>
      <color theme="0"/>
      <name val="Calibri"/>
      <family val="2"/>
      <scheme val="minor"/>
    </font>
    <font>
      <sz val="9"/>
      <color indexed="81"/>
      <name val="Tahoma"/>
      <family val="2"/>
    </font>
    <font>
      <b/>
      <sz val="9"/>
      <color indexed="81"/>
      <name val="Tahoma"/>
      <family val="2"/>
    </font>
    <font>
      <b/>
      <sz val="18"/>
      <color theme="1"/>
      <name val="Calibri"/>
      <family val="2"/>
      <scheme val="minor"/>
    </font>
    <font>
      <b/>
      <sz val="10"/>
      <name val="Calibri"/>
      <family val="2"/>
      <scheme val="minor"/>
    </font>
    <font>
      <sz val="8"/>
      <name val="Calibri"/>
      <family val="2"/>
      <scheme val="minor"/>
    </font>
    <font>
      <b/>
      <sz val="10"/>
      <color rgb="FF00B050"/>
      <name val="Calibri"/>
      <family val="2"/>
      <scheme val="minor"/>
    </font>
    <font>
      <b/>
      <sz val="10"/>
      <color theme="7" tint="0.59999389629810485"/>
      <name val="Calibri"/>
      <family val="2"/>
      <scheme val="minor"/>
    </font>
    <font>
      <sz val="9"/>
      <color theme="1"/>
      <name val="Calibri"/>
      <family val="2"/>
      <scheme val="minor"/>
    </font>
    <font>
      <sz val="11"/>
      <color rgb="FFFF0000"/>
      <name val="Calibri"/>
      <family val="2"/>
      <scheme val="minor"/>
    </font>
    <font>
      <b/>
      <u/>
      <sz val="12"/>
      <color rgb="FFFF0000"/>
      <name val="Verdana"/>
      <family val="2"/>
    </font>
    <font>
      <u/>
      <sz val="12"/>
      <color rgb="FFFF0000"/>
      <name val="Verdana"/>
      <family val="2"/>
    </font>
    <font>
      <sz val="12"/>
      <color rgb="FFFF0000"/>
      <name val="Verdana"/>
      <family val="2"/>
    </font>
    <font>
      <sz val="14"/>
      <color theme="1"/>
      <name val="Times New Roman"/>
      <family val="1"/>
    </font>
    <font>
      <sz val="8"/>
      <color theme="1"/>
      <name val="Calibri"/>
      <family val="2"/>
    </font>
    <font>
      <sz val="8"/>
      <color theme="1"/>
      <name val="Times New Roman"/>
      <family val="1"/>
    </font>
    <font>
      <sz val="11"/>
      <color theme="1"/>
      <name val="Times New Roman"/>
      <family val="1"/>
    </font>
    <font>
      <b/>
      <sz val="12.5"/>
      <color theme="1"/>
      <name val="Times New Roman"/>
      <family val="1"/>
    </font>
  </fonts>
  <fills count="32">
    <fill>
      <patternFill patternType="none"/>
    </fill>
    <fill>
      <patternFill patternType="gray125"/>
    </fill>
    <fill>
      <patternFill patternType="solid">
        <fgColor theme="0" tint="-4.9989318521683403E-2"/>
        <bgColor indexed="64"/>
      </patternFill>
    </fill>
    <fill>
      <patternFill patternType="solid">
        <fgColor rgb="FFDBE5F1"/>
        <bgColor indexed="64"/>
      </patternFill>
    </fill>
    <fill>
      <patternFill patternType="lightGrid">
        <bgColor rgb="FFDBE5F1"/>
      </patternFill>
    </fill>
    <fill>
      <patternFill patternType="lightGrid"/>
    </fill>
    <fill>
      <patternFill patternType="solid">
        <fgColor rgb="FFFFFF00"/>
        <bgColor indexed="64"/>
      </patternFill>
    </fill>
    <fill>
      <patternFill patternType="solid">
        <fgColor theme="9" tint="0.59999389629810485"/>
        <bgColor indexed="64"/>
      </patternFill>
    </fill>
    <fill>
      <patternFill patternType="solid">
        <fgColor rgb="FF6600FF"/>
        <bgColor indexed="64"/>
      </patternFill>
    </fill>
    <fill>
      <patternFill patternType="solid">
        <fgColor rgb="FFFFC000"/>
        <bgColor indexed="64"/>
      </patternFill>
    </fill>
    <fill>
      <patternFill patternType="solid">
        <fgColor rgb="FF92D050"/>
        <bgColor indexed="64"/>
      </patternFill>
    </fill>
    <fill>
      <patternFill patternType="solid">
        <fgColor theme="1"/>
        <bgColor indexed="64"/>
      </patternFill>
    </fill>
    <fill>
      <patternFill patternType="solid">
        <fgColor rgb="FF6666FF"/>
        <bgColor indexed="64"/>
      </patternFill>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lightUp">
        <bgColor theme="0" tint="-0.14996795556505021"/>
      </patternFill>
    </fill>
    <fill>
      <patternFill patternType="solid">
        <fgColor rgb="FFFF0000"/>
        <bgColor indexed="64"/>
      </patternFill>
    </fill>
    <fill>
      <patternFill patternType="solid">
        <fgColor theme="6" tint="0.59999389629810485"/>
        <bgColor indexed="64"/>
      </patternFill>
    </fill>
    <fill>
      <patternFill patternType="solid">
        <fgColor rgb="FFFF3399"/>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rgb="FFDDEBF7"/>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2" tint="-0.49998474074526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style="medium">
        <color indexed="64"/>
      </right>
      <top/>
      <bottom style="medium">
        <color rgb="FF000000"/>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top style="medium">
        <color rgb="FF000000"/>
      </top>
      <bottom/>
      <diagonal/>
    </border>
    <border>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style="medium">
        <color rgb="FF000000"/>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medium">
        <color rgb="FF000000"/>
      </top>
      <bottom style="medium">
        <color rgb="FF000000"/>
      </bottom>
      <diagonal/>
    </border>
    <border>
      <left/>
      <right/>
      <top style="medium">
        <color rgb="FF000000"/>
      </top>
      <bottom/>
      <diagonal/>
    </border>
    <border>
      <left style="thin">
        <color indexed="64"/>
      </left>
      <right style="medium">
        <color rgb="FF000000"/>
      </right>
      <top style="thin">
        <color indexed="64"/>
      </top>
      <bottom/>
      <diagonal/>
    </border>
    <border>
      <left style="medium">
        <color rgb="FF000000"/>
      </left>
      <right style="medium">
        <color rgb="FF000000"/>
      </right>
      <top style="thin">
        <color indexed="64"/>
      </top>
      <bottom/>
      <diagonal/>
    </border>
    <border>
      <left style="medium">
        <color rgb="FF000000"/>
      </left>
      <right/>
      <top style="thin">
        <color indexed="64"/>
      </top>
      <bottom/>
      <diagonal/>
    </border>
    <border>
      <left/>
      <right style="medium">
        <color rgb="FF00000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rgb="FF000000"/>
      </right>
      <top/>
      <bottom style="medium">
        <color rgb="FF000000"/>
      </bottom>
      <diagonal/>
    </border>
    <border>
      <left/>
      <right style="thin">
        <color indexed="64"/>
      </right>
      <top/>
      <bottom style="medium">
        <color rgb="FF000000"/>
      </bottom>
      <diagonal/>
    </border>
    <border>
      <left style="thin">
        <color indexed="64"/>
      </left>
      <right style="medium">
        <color rgb="FF000000"/>
      </right>
      <top/>
      <bottom/>
      <diagonal/>
    </border>
    <border>
      <left/>
      <right style="thin">
        <color indexed="64"/>
      </right>
      <top/>
      <bottom/>
      <diagonal/>
    </border>
    <border>
      <left style="thin">
        <color indexed="64"/>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top style="medium">
        <color rgb="FF000000"/>
      </top>
      <bottom/>
      <diagonal/>
    </border>
    <border>
      <left style="thin">
        <color indexed="64"/>
      </left>
      <right/>
      <top/>
      <bottom style="medium">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right style="medium">
        <color rgb="FF000000"/>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639">
    <xf numFmtId="0" fontId="0" fillId="0" borderId="0" xfId="0"/>
    <xf numFmtId="0" fontId="0" fillId="0" borderId="1" xfId="0" applyFont="1" applyBorder="1"/>
    <xf numFmtId="0" fontId="0" fillId="0" borderId="1" xfId="0" applyFont="1" applyBorder="1" applyAlignment="1">
      <alignment wrapText="1"/>
    </xf>
    <xf numFmtId="0" fontId="0" fillId="0" borderId="6" xfId="0" applyFont="1" applyBorder="1" applyAlignment="1">
      <alignment wrapText="1"/>
    </xf>
    <xf numFmtId="0" fontId="0" fillId="0" borderId="5" xfId="0" applyFont="1" applyBorder="1" applyAlignment="1">
      <alignment wrapText="1"/>
    </xf>
    <xf numFmtId="0" fontId="0" fillId="0" borderId="0" xfId="0" applyFont="1" applyBorder="1"/>
    <xf numFmtId="2" fontId="0" fillId="0" borderId="1" xfId="0" applyNumberFormat="1" applyFont="1" applyBorder="1"/>
    <xf numFmtId="0" fontId="0" fillId="0" borderId="3" xfId="0" applyFont="1" applyBorder="1"/>
    <xf numFmtId="0" fontId="0" fillId="0" borderId="4" xfId="0" applyFont="1" applyBorder="1"/>
    <xf numFmtId="0" fontId="0" fillId="0" borderId="5" xfId="0" applyFont="1" applyBorder="1"/>
    <xf numFmtId="0" fontId="0" fillId="0" borderId="6" xfId="0" applyFont="1" applyBorder="1"/>
    <xf numFmtId="0" fontId="1" fillId="0" borderId="8" xfId="0" applyFont="1" applyBorder="1" applyAlignment="1">
      <alignment wrapText="1"/>
    </xf>
    <xf numFmtId="0" fontId="1" fillId="0" borderId="9" xfId="0" applyFont="1" applyBorder="1"/>
    <xf numFmtId="0" fontId="1" fillId="0" borderId="9" xfId="0" applyFont="1" applyBorder="1" applyAlignment="1">
      <alignment wrapText="1"/>
    </xf>
    <xf numFmtId="0" fontId="1" fillId="0" borderId="18" xfId="0" applyFont="1" applyBorder="1" applyAlignment="1">
      <alignment wrapText="1"/>
    </xf>
    <xf numFmtId="0" fontId="1" fillId="0" borderId="23" xfId="0" applyFont="1" applyBorder="1"/>
    <xf numFmtId="0" fontId="0" fillId="0" borderId="16" xfId="0" applyFont="1" applyBorder="1"/>
    <xf numFmtId="0" fontId="0" fillId="0" borderId="11" xfId="0" applyFont="1" applyBorder="1"/>
    <xf numFmtId="0" fontId="0" fillId="0" borderId="12" xfId="0" applyFont="1" applyBorder="1"/>
    <xf numFmtId="0" fontId="1" fillId="0" borderId="18" xfId="0" applyFont="1" applyBorder="1"/>
    <xf numFmtId="0" fontId="0" fillId="0" borderId="11" xfId="0" applyFont="1" applyBorder="1" applyAlignment="1">
      <alignment wrapText="1"/>
    </xf>
    <xf numFmtId="0" fontId="0" fillId="0" borderId="10" xfId="0" applyFont="1" applyBorder="1"/>
    <xf numFmtId="0" fontId="1" fillId="0" borderId="8" xfId="0" applyFont="1" applyBorder="1"/>
    <xf numFmtId="164" fontId="1" fillId="0" borderId="9" xfId="0" applyNumberFormat="1" applyFont="1" applyBorder="1"/>
    <xf numFmtId="164" fontId="1" fillId="0" borderId="18" xfId="0" applyNumberFormat="1" applyFont="1" applyBorder="1"/>
    <xf numFmtId="0" fontId="1" fillId="0" borderId="23" xfId="0" applyFont="1" applyBorder="1" applyAlignment="1">
      <alignment wrapText="1"/>
    </xf>
    <xf numFmtId="0" fontId="1" fillId="0" borderId="0" xfId="0" applyFont="1" applyBorder="1"/>
    <xf numFmtId="164" fontId="1" fillId="0" borderId="0" xfId="0" applyNumberFormat="1" applyFont="1" applyBorder="1"/>
    <xf numFmtId="43" fontId="0" fillId="0" borderId="3" xfId="0" applyNumberFormat="1" applyFont="1" applyBorder="1"/>
    <xf numFmtId="43" fontId="0" fillId="0" borderId="1" xfId="0" applyNumberFormat="1" applyFont="1" applyBorder="1"/>
    <xf numFmtId="43" fontId="0" fillId="0" borderId="6" xfId="0" applyNumberFormat="1" applyFont="1" applyBorder="1"/>
    <xf numFmtId="43" fontId="0" fillId="0" borderId="7" xfId="0" applyNumberFormat="1" applyFont="1" applyBorder="1"/>
    <xf numFmtId="0" fontId="1" fillId="0" borderId="9" xfId="0" applyFont="1" applyBorder="1" applyAlignment="1">
      <alignment horizontal="center" wrapText="1"/>
    </xf>
    <xf numFmtId="0" fontId="1" fillId="0" borderId="26" xfId="0" applyFont="1" applyBorder="1"/>
    <xf numFmtId="0" fontId="1" fillId="0" borderId="27" xfId="0" applyFont="1" applyBorder="1"/>
    <xf numFmtId="0" fontId="1" fillId="0" borderId="28" xfId="0" applyFont="1" applyBorder="1"/>
    <xf numFmtId="0" fontId="0" fillId="0" borderId="9" xfId="0" applyFont="1" applyBorder="1" applyAlignment="1">
      <alignment wrapText="1"/>
    </xf>
    <xf numFmtId="0" fontId="0" fillId="0" borderId="0" xfId="0" applyFont="1"/>
    <xf numFmtId="43" fontId="0" fillId="0" borderId="0" xfId="0" applyNumberFormat="1" applyFont="1"/>
    <xf numFmtId="0" fontId="0" fillId="0" borderId="27" xfId="0" applyFont="1" applyBorder="1"/>
    <xf numFmtId="0" fontId="0" fillId="0" borderId="8" xfId="0" applyFont="1" applyBorder="1"/>
    <xf numFmtId="0" fontId="0" fillId="0" borderId="9" xfId="0" applyFont="1" applyBorder="1"/>
    <xf numFmtId="0" fontId="0" fillId="0" borderId="18" xfId="0" applyFont="1" applyBorder="1"/>
    <xf numFmtId="0" fontId="0" fillId="0" borderId="7" xfId="0" applyFont="1" applyBorder="1"/>
    <xf numFmtId="0" fontId="0" fillId="0" borderId="1" xfId="0" applyFont="1" applyFill="1" applyBorder="1"/>
    <xf numFmtId="0" fontId="0" fillId="0" borderId="10" xfId="0" applyFont="1" applyFill="1" applyBorder="1"/>
    <xf numFmtId="0" fontId="0" fillId="0" borderId="11" xfId="0" applyFont="1" applyFill="1" applyBorder="1"/>
    <xf numFmtId="0" fontId="0" fillId="0" borderId="8" xfId="0" applyFont="1" applyFill="1" applyBorder="1"/>
    <xf numFmtId="0" fontId="0" fillId="0" borderId="9" xfId="0" applyFont="1" applyFill="1" applyBorder="1"/>
    <xf numFmtId="0" fontId="0" fillId="0" borderId="18" xfId="0" applyFont="1" applyFill="1" applyBorder="1"/>
    <xf numFmtId="0" fontId="3" fillId="0" borderId="5" xfId="0" applyFont="1" applyBorder="1" applyAlignment="1">
      <alignment horizontal="center" wrapText="1"/>
    </xf>
    <xf numFmtId="0" fontId="3" fillId="0" borderId="6" xfId="0" applyFont="1" applyBorder="1" applyAlignment="1">
      <alignment horizontal="center" wrapText="1"/>
    </xf>
    <xf numFmtId="0" fontId="0" fillId="0" borderId="6" xfId="0" applyFont="1" applyBorder="1" applyAlignment="1"/>
    <xf numFmtId="0" fontId="3" fillId="0" borderId="6" xfId="0" applyFont="1" applyBorder="1" applyAlignment="1">
      <alignment wrapText="1"/>
    </xf>
    <xf numFmtId="0" fontId="0" fillId="0" borderId="24" xfId="0" applyFont="1" applyBorder="1" applyAlignment="1"/>
    <xf numFmtId="43" fontId="0" fillId="0" borderId="5" xfId="0" applyNumberFormat="1" applyFont="1" applyBorder="1" applyAlignment="1"/>
    <xf numFmtId="0" fontId="3" fillId="0" borderId="10" xfId="0" applyFont="1" applyBorder="1" applyAlignment="1">
      <alignment horizontal="center" wrapText="1"/>
    </xf>
    <xf numFmtId="0" fontId="3" fillId="0" borderId="11" xfId="0" applyFont="1" applyBorder="1" applyAlignment="1">
      <alignment horizontal="center" wrapText="1"/>
    </xf>
    <xf numFmtId="0" fontId="0" fillId="0" borderId="11" xfId="0" applyFont="1" applyBorder="1" applyAlignment="1"/>
    <xf numFmtId="0" fontId="3" fillId="0" borderId="11" xfId="0" applyFont="1" applyBorder="1" applyAlignment="1">
      <alignment wrapText="1"/>
    </xf>
    <xf numFmtId="0" fontId="0" fillId="0" borderId="25" xfId="0" applyFont="1" applyBorder="1" applyAlignment="1"/>
    <xf numFmtId="0" fontId="4" fillId="0" borderId="8" xfId="0" applyFont="1" applyBorder="1" applyAlignment="1">
      <alignment horizontal="center" wrapText="1"/>
    </xf>
    <xf numFmtId="0" fontId="4" fillId="0" borderId="9" xfId="0" applyFont="1" applyBorder="1" applyAlignment="1">
      <alignment horizontal="center" wrapText="1"/>
    </xf>
    <xf numFmtId="0" fontId="1" fillId="0" borderId="9" xfId="0" applyFont="1" applyBorder="1" applyAlignment="1"/>
    <xf numFmtId="0" fontId="4" fillId="0" borderId="9" xfId="0" applyFont="1" applyBorder="1" applyAlignment="1">
      <alignment wrapText="1"/>
    </xf>
    <xf numFmtId="0" fontId="1" fillId="0" borderId="23" xfId="0" applyFont="1" applyBorder="1" applyAlignment="1"/>
    <xf numFmtId="0" fontId="1" fillId="0" borderId="8" xfId="0" applyFont="1" applyFill="1" applyBorder="1" applyAlignment="1">
      <alignment horizontal="center" wrapText="1"/>
    </xf>
    <xf numFmtId="0" fontId="1" fillId="0" borderId="9" xfId="0" applyFont="1" applyFill="1" applyBorder="1" applyAlignment="1">
      <alignment horizontal="center" wrapText="1"/>
    </xf>
    <xf numFmtId="0" fontId="1" fillId="0" borderId="8" xfId="0" applyFont="1" applyFill="1" applyBorder="1" applyAlignment="1"/>
    <xf numFmtId="0" fontId="1" fillId="0" borderId="9" xfId="0" applyFont="1" applyFill="1" applyBorder="1" applyAlignment="1"/>
    <xf numFmtId="0" fontId="1" fillId="0" borderId="18" xfId="0" applyFont="1" applyFill="1" applyBorder="1" applyAlignment="1"/>
    <xf numFmtId="0" fontId="1" fillId="0" borderId="13" xfId="0" applyFont="1" applyFill="1" applyBorder="1" applyAlignment="1">
      <alignment horizontal="center" wrapText="1"/>
    </xf>
    <xf numFmtId="0" fontId="0" fillId="0" borderId="14" xfId="0" applyFont="1" applyFill="1" applyBorder="1" applyAlignment="1">
      <alignment horizontal="center" wrapText="1"/>
    </xf>
    <xf numFmtId="0" fontId="1" fillId="0" borderId="14" xfId="0" applyFont="1" applyBorder="1" applyAlignment="1"/>
    <xf numFmtId="0" fontId="4" fillId="0" borderId="14" xfId="0" applyFont="1" applyBorder="1" applyAlignment="1">
      <alignment wrapText="1"/>
    </xf>
    <xf numFmtId="0" fontId="1" fillId="0" borderId="21" xfId="0" applyFont="1" applyBorder="1" applyAlignment="1"/>
    <xf numFmtId="0" fontId="1" fillId="0" borderId="13" xfId="0" applyFont="1" applyBorder="1" applyAlignment="1"/>
    <xf numFmtId="0" fontId="1" fillId="0" borderId="15" xfId="0" applyFont="1" applyBorder="1" applyAlignment="1"/>
    <xf numFmtId="0" fontId="0" fillId="0" borderId="0" xfId="0" applyFont="1" applyFill="1" applyBorder="1" applyAlignment="1">
      <alignment horizontal="center" wrapText="1"/>
    </xf>
    <xf numFmtId="0" fontId="0" fillId="0" borderId="0" xfId="0" applyFont="1" applyBorder="1" applyAlignment="1"/>
    <xf numFmtId="0" fontId="3" fillId="0" borderId="0" xfId="0" applyFont="1" applyBorder="1" applyAlignment="1">
      <alignment wrapText="1"/>
    </xf>
    <xf numFmtId="0" fontId="0" fillId="0" borderId="0" xfId="0" applyFont="1" applyFill="1" applyBorder="1" applyAlignment="1"/>
    <xf numFmtId="0" fontId="0" fillId="0" borderId="6" xfId="0" applyFont="1" applyBorder="1" applyAlignment="1">
      <alignment horizontal="center" wrapText="1"/>
    </xf>
    <xf numFmtId="0" fontId="0" fillId="0" borderId="24" xfId="0" applyFont="1" applyBorder="1" applyAlignment="1">
      <alignment horizontal="center"/>
    </xf>
    <xf numFmtId="0" fontId="0" fillId="0" borderId="3" xfId="0" applyFont="1" applyBorder="1" applyAlignment="1">
      <alignment wrapText="1"/>
    </xf>
    <xf numFmtId="0" fontId="0" fillId="0" borderId="1" xfId="0" applyFont="1" applyBorder="1" applyAlignment="1">
      <alignment horizontal="center" wrapText="1"/>
    </xf>
    <xf numFmtId="0" fontId="0" fillId="0" borderId="16" xfId="0" applyFont="1" applyBorder="1" applyAlignment="1">
      <alignment horizontal="center"/>
    </xf>
    <xf numFmtId="0" fontId="0" fillId="0" borderId="1" xfId="0" applyFont="1" applyBorder="1" applyAlignment="1">
      <alignment horizontal="center"/>
    </xf>
    <xf numFmtId="0" fontId="0" fillId="0" borderId="10" xfId="0" applyFont="1" applyBorder="1" applyAlignment="1">
      <alignment wrapText="1"/>
    </xf>
    <xf numFmtId="0" fontId="0" fillId="0" borderId="11" xfId="0" applyFont="1" applyBorder="1" applyAlignment="1">
      <alignment horizontal="center" wrapText="1"/>
    </xf>
    <xf numFmtId="0" fontId="0" fillId="0" borderId="25" xfId="0" applyFont="1" applyBorder="1" applyAlignment="1">
      <alignment horizontal="center"/>
    </xf>
    <xf numFmtId="0" fontId="1" fillId="0" borderId="8" xfId="0" applyFont="1" applyFill="1" applyBorder="1" applyAlignment="1">
      <alignment wrapText="1"/>
    </xf>
    <xf numFmtId="0" fontId="1" fillId="0" borderId="9" xfId="0" applyFont="1" applyFill="1" applyBorder="1" applyAlignment="1">
      <alignment wrapText="1"/>
    </xf>
    <xf numFmtId="164" fontId="1" fillId="0" borderId="23" xfId="0" applyNumberFormat="1" applyFont="1" applyBorder="1"/>
    <xf numFmtId="164" fontId="1" fillId="0" borderId="8" xfId="0" applyNumberFormat="1" applyFont="1" applyBorder="1"/>
    <xf numFmtId="0" fontId="0" fillId="0" borderId="0" xfId="0" applyFont="1" applyFill="1" applyBorder="1" applyAlignment="1">
      <alignment horizontal="center"/>
    </xf>
    <xf numFmtId="0" fontId="0" fillId="0" borderId="0" xfId="0" applyFont="1" applyFill="1" applyBorder="1"/>
    <xf numFmtId="0" fontId="5" fillId="0" borderId="0" xfId="0" applyFont="1" applyAlignment="1">
      <alignment vertical="center" wrapText="1"/>
    </xf>
    <xf numFmtId="0" fontId="6" fillId="0" borderId="31" xfId="0" applyFont="1" applyBorder="1" applyAlignment="1">
      <alignment horizontal="center" vertical="center" wrapText="1"/>
    </xf>
    <xf numFmtId="0" fontId="6" fillId="3" borderId="31" xfId="0" applyFont="1" applyFill="1" applyBorder="1" applyAlignment="1">
      <alignment horizontal="center" vertical="center"/>
    </xf>
    <xf numFmtId="0" fontId="6" fillId="3" borderId="31" xfId="0" applyFont="1" applyFill="1" applyBorder="1" applyAlignment="1">
      <alignment horizontal="center" vertical="center" wrapText="1"/>
    </xf>
    <xf numFmtId="3" fontId="6" fillId="3" borderId="31" xfId="0" applyNumberFormat="1" applyFont="1" applyFill="1" applyBorder="1" applyAlignment="1">
      <alignment horizontal="center" vertical="center" wrapText="1"/>
    </xf>
    <xf numFmtId="0" fontId="6" fillId="0" borderId="40" xfId="0" applyFont="1" applyBorder="1" applyAlignment="1">
      <alignment vertical="center" wrapText="1"/>
    </xf>
    <xf numFmtId="0" fontId="0" fillId="0" borderId="0" xfId="0" applyAlignment="1">
      <alignment wrapText="1"/>
    </xf>
    <xf numFmtId="0" fontId="10" fillId="3" borderId="31" xfId="0" applyFont="1" applyFill="1" applyBorder="1" applyAlignment="1">
      <alignment horizontal="center" vertical="center" wrapText="1"/>
    </xf>
    <xf numFmtId="3" fontId="10" fillId="3" borderId="31" xfId="0" applyNumberFormat="1" applyFont="1" applyFill="1" applyBorder="1" applyAlignment="1">
      <alignment horizontal="center" vertical="center" wrapText="1"/>
    </xf>
    <xf numFmtId="0" fontId="10" fillId="3" borderId="31" xfId="0" applyFont="1" applyFill="1" applyBorder="1" applyAlignment="1">
      <alignment horizontal="center" vertical="center"/>
    </xf>
    <xf numFmtId="3" fontId="10" fillId="3" borderId="32" xfId="0" applyNumberFormat="1" applyFont="1" applyFill="1" applyBorder="1" applyAlignment="1">
      <alignment horizontal="center" vertical="center" wrapText="1"/>
    </xf>
    <xf numFmtId="3" fontId="10" fillId="3" borderId="31" xfId="0" applyNumberFormat="1" applyFont="1" applyFill="1" applyBorder="1" applyAlignment="1">
      <alignment horizontal="center" vertical="center"/>
    </xf>
    <xf numFmtId="0" fontId="10" fillId="3" borderId="32" xfId="0" applyFont="1" applyFill="1" applyBorder="1" applyAlignment="1">
      <alignment horizontal="center" vertical="center" wrapText="1"/>
    </xf>
    <xf numFmtId="3" fontId="10" fillId="4" borderId="31" xfId="0" applyNumberFormat="1" applyFont="1" applyFill="1" applyBorder="1" applyAlignment="1">
      <alignment horizontal="center" vertical="center" wrapText="1"/>
    </xf>
    <xf numFmtId="43" fontId="10" fillId="3" borderId="31" xfId="1" applyFont="1" applyFill="1" applyBorder="1" applyAlignment="1">
      <alignment horizontal="center" vertical="center"/>
    </xf>
    <xf numFmtId="0" fontId="13" fillId="0" borderId="0" xfId="0" applyFont="1"/>
    <xf numFmtId="43" fontId="13" fillId="0" borderId="0" xfId="0" applyNumberFormat="1" applyFont="1"/>
    <xf numFmtId="0" fontId="13" fillId="0" borderId="0" xfId="0" applyFont="1" applyFill="1"/>
    <xf numFmtId="0" fontId="13" fillId="0" borderId="0" xfId="0" applyFont="1" applyAlignment="1">
      <alignment horizontal="right"/>
    </xf>
    <xf numFmtId="0" fontId="13" fillId="0" borderId="0" xfId="0" applyFont="1" applyFill="1" applyAlignment="1">
      <alignment horizontal="right"/>
    </xf>
    <xf numFmtId="44" fontId="13" fillId="0" borderId="0" xfId="2" applyFont="1" applyFill="1"/>
    <xf numFmtId="0" fontId="14" fillId="0" borderId="38" xfId="0" applyFont="1" applyBorder="1" applyAlignment="1">
      <alignment vertical="center" wrapText="1"/>
    </xf>
    <xf numFmtId="0" fontId="14" fillId="0" borderId="40" xfId="0" applyFont="1" applyBorder="1" applyAlignment="1">
      <alignment vertical="center" wrapText="1"/>
    </xf>
    <xf numFmtId="0" fontId="14" fillId="0" borderId="31" xfId="0" applyFont="1" applyBorder="1" applyAlignment="1">
      <alignment horizontal="center" vertical="center" wrapText="1"/>
    </xf>
    <xf numFmtId="4" fontId="14" fillId="0" borderId="31" xfId="0" applyNumberFormat="1" applyFont="1" applyBorder="1" applyAlignment="1">
      <alignment horizontal="center" vertical="center" wrapText="1"/>
    </xf>
    <xf numFmtId="0" fontId="14" fillId="0" borderId="38" xfId="0" applyFont="1" applyBorder="1" applyAlignment="1">
      <alignment horizontal="center" vertical="center" wrapText="1"/>
    </xf>
    <xf numFmtId="3" fontId="14" fillId="13" borderId="31" xfId="0" applyNumberFormat="1" applyFont="1" applyFill="1" applyBorder="1" applyAlignment="1">
      <alignment horizontal="center" vertical="center" wrapText="1"/>
    </xf>
    <xf numFmtId="3" fontId="15" fillId="14" borderId="31" xfId="0" applyNumberFormat="1" applyFont="1" applyFill="1" applyBorder="1" applyAlignment="1">
      <alignment horizontal="center" vertical="center" wrapText="1"/>
    </xf>
    <xf numFmtId="4" fontId="15" fillId="14" borderId="31" xfId="0" applyNumberFormat="1" applyFont="1" applyFill="1" applyBorder="1" applyAlignment="1">
      <alignment horizontal="center" vertical="center" wrapText="1"/>
    </xf>
    <xf numFmtId="4" fontId="16" fillId="0" borderId="38" xfId="0" applyNumberFormat="1" applyFont="1" applyBorder="1" applyAlignment="1">
      <alignment horizontal="center" vertical="center" wrapText="1"/>
    </xf>
    <xf numFmtId="4" fontId="15" fillId="14" borderId="58" xfId="0" applyNumberFormat="1" applyFont="1" applyFill="1" applyBorder="1" applyAlignment="1">
      <alignment horizontal="center" vertical="center" wrapText="1"/>
    </xf>
    <xf numFmtId="4" fontId="17" fillId="14" borderId="58" xfId="0" applyNumberFormat="1" applyFont="1" applyFill="1" applyBorder="1" applyAlignment="1">
      <alignment horizontal="center" vertical="center" wrapText="1"/>
    </xf>
    <xf numFmtId="0" fontId="15" fillId="14" borderId="58" xfId="0" applyFont="1" applyFill="1" applyBorder="1" applyAlignment="1">
      <alignment horizontal="center" vertical="center" wrapText="1"/>
    </xf>
    <xf numFmtId="0" fontId="15" fillId="14" borderId="39" xfId="0" applyFont="1" applyFill="1" applyBorder="1" applyAlignment="1">
      <alignment vertical="center" wrapText="1"/>
    </xf>
    <xf numFmtId="0" fontId="15" fillId="16" borderId="58" xfId="0" applyFont="1" applyFill="1" applyBorder="1" applyAlignment="1">
      <alignment horizontal="center" vertical="center" wrapText="1"/>
    </xf>
    <xf numFmtId="0" fontId="0" fillId="6" borderId="5" xfId="0" applyFont="1" applyFill="1" applyBorder="1"/>
    <xf numFmtId="0" fontId="0" fillId="6" borderId="6" xfId="0" applyFont="1" applyFill="1" applyBorder="1" applyAlignment="1">
      <alignment wrapText="1"/>
    </xf>
    <xf numFmtId="0" fontId="0" fillId="6" borderId="24" xfId="0" applyFont="1" applyFill="1" applyBorder="1"/>
    <xf numFmtId="0" fontId="0" fillId="6" borderId="6" xfId="0" applyFont="1" applyFill="1" applyBorder="1"/>
    <xf numFmtId="0" fontId="0" fillId="6" borderId="7" xfId="0" applyFont="1" applyFill="1" applyBorder="1" applyAlignment="1">
      <alignment wrapText="1"/>
    </xf>
    <xf numFmtId="0" fontId="0" fillId="6" borderId="5" xfId="0" applyFont="1" applyFill="1" applyBorder="1" applyAlignment="1">
      <alignment wrapText="1"/>
    </xf>
    <xf numFmtId="43" fontId="0" fillId="6" borderId="6" xfId="0" applyNumberFormat="1" applyFont="1" applyFill="1" applyBorder="1"/>
    <xf numFmtId="43" fontId="0" fillId="6" borderId="7" xfId="0" applyNumberFormat="1" applyFont="1" applyFill="1" applyBorder="1"/>
    <xf numFmtId="0" fontId="0" fillId="6" borderId="3" xfId="0" applyFont="1" applyFill="1" applyBorder="1"/>
    <xf numFmtId="0" fontId="0" fillId="6" borderId="1" xfId="0" applyFont="1" applyFill="1" applyBorder="1" applyAlignment="1">
      <alignment wrapText="1"/>
    </xf>
    <xf numFmtId="0" fontId="0" fillId="6" borderId="16" xfId="0" applyFont="1" applyFill="1" applyBorder="1"/>
    <xf numFmtId="0" fontId="0" fillId="6" borderId="1" xfId="0" applyFont="1" applyFill="1" applyBorder="1"/>
    <xf numFmtId="0" fontId="0" fillId="6" borderId="4" xfId="0" applyFont="1" applyFill="1" applyBorder="1"/>
    <xf numFmtId="43" fontId="0" fillId="6" borderId="3" xfId="0" applyNumberFormat="1" applyFont="1" applyFill="1" applyBorder="1"/>
    <xf numFmtId="43" fontId="0" fillId="6" borderId="1" xfId="0" applyNumberFormat="1" applyFont="1" applyFill="1" applyBorder="1"/>
    <xf numFmtId="0" fontId="0" fillId="0" borderId="5" xfId="0" applyFont="1" applyFill="1" applyBorder="1"/>
    <xf numFmtId="0" fontId="0" fillId="0" borderId="0" xfId="0" applyFont="1" applyFill="1"/>
    <xf numFmtId="43" fontId="0" fillId="0" borderId="0" xfId="0" applyNumberFormat="1" applyFont="1" applyFill="1"/>
    <xf numFmtId="0" fontId="0" fillId="0" borderId="3" xfId="0" applyFont="1" applyFill="1" applyBorder="1"/>
    <xf numFmtId="0" fontId="13" fillId="0" borderId="59" xfId="0" applyFont="1" applyFill="1" applyBorder="1"/>
    <xf numFmtId="0" fontId="5" fillId="0" borderId="0" xfId="0" applyFont="1"/>
    <xf numFmtId="0" fontId="19" fillId="2" borderId="0" xfId="0" applyFont="1" applyFill="1" applyBorder="1" applyAlignment="1">
      <alignment horizontal="left" wrapText="1"/>
    </xf>
    <xf numFmtId="0" fontId="19" fillId="2" borderId="0" xfId="0" applyFont="1" applyFill="1" applyAlignment="1">
      <alignment wrapText="1"/>
    </xf>
    <xf numFmtId="0" fontId="5" fillId="0" borderId="0" xfId="0" applyFont="1" applyFill="1"/>
    <xf numFmtId="43" fontId="5" fillId="0" borderId="0" xfId="0" applyNumberFormat="1" applyFont="1" applyFill="1"/>
    <xf numFmtId="43" fontId="5" fillId="0" borderId="0" xfId="0" applyNumberFormat="1" applyFont="1"/>
    <xf numFmtId="0" fontId="5" fillId="0" borderId="59" xfId="0" applyFont="1" applyFill="1" applyBorder="1"/>
    <xf numFmtId="43" fontId="5" fillId="0" borderId="59" xfId="0" applyNumberFormat="1" applyFont="1" applyFill="1" applyBorder="1"/>
    <xf numFmtId="0" fontId="5" fillId="0" borderId="0" xfId="0" applyFont="1" applyFill="1" applyBorder="1" applyAlignment="1">
      <alignment horizontal="left"/>
    </xf>
    <xf numFmtId="0" fontId="5" fillId="0" borderId="0" xfId="0" applyFont="1" applyAlignment="1">
      <alignment horizontal="right"/>
    </xf>
    <xf numFmtId="0" fontId="5" fillId="0" borderId="0" xfId="0" applyFont="1" applyFill="1" applyAlignment="1">
      <alignment horizontal="right"/>
    </xf>
    <xf numFmtId="43" fontId="24" fillId="0" borderId="0" xfId="0" applyNumberFormat="1" applyFont="1"/>
    <xf numFmtId="0" fontId="18" fillId="11" borderId="22" xfId="0" applyFont="1" applyFill="1" applyBorder="1" applyAlignment="1">
      <alignment horizontal="left" vertical="center" wrapText="1"/>
    </xf>
    <xf numFmtId="0" fontId="19" fillId="7" borderId="18" xfId="0" applyFont="1" applyFill="1" applyBorder="1" applyAlignment="1">
      <alignment horizontal="left" vertical="center" wrapText="1"/>
    </xf>
    <xf numFmtId="0" fontId="19" fillId="0" borderId="1" xfId="0" applyFont="1" applyBorder="1" applyAlignment="1">
      <alignment horizontal="left" vertical="center"/>
    </xf>
    <xf numFmtId="0" fontId="19" fillId="0" borderId="1" xfId="0" applyFont="1" applyBorder="1" applyAlignment="1">
      <alignment horizontal="left" vertical="center" wrapText="1"/>
    </xf>
    <xf numFmtId="0" fontId="18" fillId="11" borderId="4" xfId="0" applyFont="1" applyFill="1" applyBorder="1" applyAlignment="1">
      <alignment horizontal="left" vertical="center" wrapText="1"/>
    </xf>
    <xf numFmtId="0" fontId="19" fillId="7" borderId="20" xfId="0" applyFont="1" applyFill="1" applyBorder="1" applyAlignment="1">
      <alignment horizontal="left" vertical="center" wrapText="1"/>
    </xf>
    <xf numFmtId="0" fontId="19" fillId="7" borderId="6" xfId="0" applyFont="1" applyFill="1" applyBorder="1" applyAlignment="1">
      <alignment horizontal="left" vertical="center" wrapText="1"/>
    </xf>
    <xf numFmtId="0" fontId="19" fillId="7" borderId="7" xfId="0" applyFont="1" applyFill="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25" fillId="0" borderId="0" xfId="0" applyFont="1"/>
    <xf numFmtId="43" fontId="25" fillId="0" borderId="0" xfId="0" applyNumberFormat="1" applyFont="1"/>
    <xf numFmtId="0" fontId="26" fillId="0" borderId="0" xfId="0" applyFont="1"/>
    <xf numFmtId="3" fontId="15" fillId="14" borderId="58" xfId="0" applyNumberFormat="1" applyFont="1" applyFill="1" applyBorder="1" applyAlignment="1">
      <alignment horizontal="center" vertical="center" wrapText="1"/>
    </xf>
    <xf numFmtId="0" fontId="25" fillId="15" borderId="1" xfId="0" applyFont="1" applyFill="1" applyBorder="1" applyAlignment="1">
      <alignment horizontal="left" vertical="center" wrapText="1"/>
    </xf>
    <xf numFmtId="0" fontId="25" fillId="15" borderId="1" xfId="0" applyFont="1" applyFill="1" applyBorder="1"/>
    <xf numFmtId="0" fontId="26" fillId="15" borderId="1" xfId="0" applyFont="1" applyFill="1" applyBorder="1"/>
    <xf numFmtId="0" fontId="25" fillId="0" borderId="1" xfId="0" applyFont="1" applyFill="1" applyBorder="1" applyAlignment="1">
      <alignment horizontal="left" vertical="center" wrapText="1"/>
    </xf>
    <xf numFmtId="0" fontId="25" fillId="0" borderId="1" xfId="0" applyFont="1" applyFill="1" applyBorder="1"/>
    <xf numFmtId="43" fontId="25" fillId="0" borderId="1" xfId="0" applyNumberFormat="1" applyFont="1" applyFill="1" applyBorder="1"/>
    <xf numFmtId="0" fontId="26" fillId="0" borderId="1" xfId="0" applyFont="1" applyFill="1" applyBorder="1"/>
    <xf numFmtId="0" fontId="25" fillId="0" borderId="0" xfId="0" applyFont="1" applyFill="1"/>
    <xf numFmtId="0" fontId="26" fillId="0" borderId="0" xfId="0" applyFont="1" applyFill="1"/>
    <xf numFmtId="0" fontId="20" fillId="0" borderId="0" xfId="0" applyFont="1"/>
    <xf numFmtId="0" fontId="27" fillId="0" borderId="0" xfId="0" applyFont="1"/>
    <xf numFmtId="0" fontId="25" fillId="0" borderId="0" xfId="0" applyFont="1" applyFill="1" applyBorder="1"/>
    <xf numFmtId="0" fontId="26" fillId="0" borderId="0" xfId="0" applyFont="1" applyFill="1" applyBorder="1"/>
    <xf numFmtId="43" fontId="13" fillId="0" borderId="0" xfId="0" applyNumberFormat="1" applyFont="1" applyFill="1"/>
    <xf numFmtId="43" fontId="13" fillId="0" borderId="0" xfId="1" applyFont="1" applyFill="1"/>
    <xf numFmtId="0" fontId="25" fillId="6" borderId="1" xfId="0" applyFont="1" applyFill="1" applyBorder="1" applyAlignment="1">
      <alignment horizontal="left" vertical="center" wrapText="1"/>
    </xf>
    <xf numFmtId="0" fontId="25" fillId="6" borderId="1" xfId="0" applyFont="1" applyFill="1" applyBorder="1"/>
    <xf numFmtId="43" fontId="25" fillId="6" borderId="1" xfId="0" applyNumberFormat="1" applyFont="1" applyFill="1" applyBorder="1"/>
    <xf numFmtId="0" fontId="26" fillId="6" borderId="1" xfId="0" applyFont="1" applyFill="1" applyBorder="1"/>
    <xf numFmtId="0" fontId="5" fillId="6" borderId="0" xfId="0" applyFont="1" applyFill="1"/>
    <xf numFmtId="43" fontId="5" fillId="6" borderId="0" xfId="0" applyNumberFormat="1" applyFont="1" applyFill="1"/>
    <xf numFmtId="0" fontId="13" fillId="6" borderId="0" xfId="0" applyFont="1" applyFill="1"/>
    <xf numFmtId="0" fontId="25" fillId="6" borderId="0" xfId="0" applyFont="1" applyFill="1"/>
    <xf numFmtId="43" fontId="25" fillId="6" borderId="0" xfId="0" applyNumberFormat="1" applyFont="1" applyFill="1"/>
    <xf numFmtId="0" fontId="26" fillId="6" borderId="0" xfId="0" applyFont="1" applyFill="1"/>
    <xf numFmtId="0" fontId="5" fillId="6" borderId="1" xfId="0" applyFont="1" applyFill="1" applyBorder="1" applyAlignment="1">
      <alignment horizontal="left" vertical="center" wrapText="1"/>
    </xf>
    <xf numFmtId="0" fontId="5" fillId="6" borderId="59" xfId="0" applyFont="1" applyFill="1" applyBorder="1"/>
    <xf numFmtId="43" fontId="5" fillId="6" borderId="59" xfId="0" applyNumberFormat="1" applyFont="1" applyFill="1" applyBorder="1"/>
    <xf numFmtId="0" fontId="13" fillId="6" borderId="59" xfId="0" applyFont="1" applyFill="1" applyBorder="1"/>
    <xf numFmtId="43" fontId="5" fillId="10" borderId="0" xfId="0" applyNumberFormat="1" applyFont="1" applyFill="1"/>
    <xf numFmtId="0" fontId="5" fillId="10" borderId="0" xfId="0" applyFont="1" applyFill="1"/>
    <xf numFmtId="0" fontId="13" fillId="10" borderId="0" xfId="0" applyFont="1" applyFill="1"/>
    <xf numFmtId="43" fontId="13" fillId="10" borderId="0" xfId="0" applyNumberFormat="1" applyFont="1" applyFill="1"/>
    <xf numFmtId="43" fontId="13" fillId="10" borderId="0" xfId="1" applyFont="1" applyFill="1"/>
    <xf numFmtId="165" fontId="5" fillId="0" borderId="1" xfId="1" applyNumberFormat="1" applyFont="1" applyFill="1" applyBorder="1" applyAlignment="1">
      <alignment horizontal="left" vertical="center"/>
    </xf>
    <xf numFmtId="165" fontId="25" fillId="0" borderId="1" xfId="1" applyNumberFormat="1" applyFont="1" applyFill="1" applyBorder="1" applyAlignment="1">
      <alignment horizontal="left" vertical="center"/>
    </xf>
    <xf numFmtId="165" fontId="25" fillId="6" borderId="1" xfId="1" applyNumberFormat="1" applyFont="1" applyFill="1" applyBorder="1" applyAlignment="1">
      <alignment horizontal="left" vertical="center"/>
    </xf>
    <xf numFmtId="165" fontId="25" fillId="15" borderId="1" xfId="1" applyNumberFormat="1" applyFont="1" applyFill="1" applyBorder="1" applyAlignment="1">
      <alignment horizontal="left" vertical="center"/>
    </xf>
    <xf numFmtId="165" fontId="5" fillId="0" borderId="1" xfId="1" applyNumberFormat="1" applyFont="1" applyBorder="1" applyAlignment="1">
      <alignment horizontal="left" vertical="center" wrapText="1"/>
    </xf>
    <xf numFmtId="165" fontId="5" fillId="0" borderId="1" xfId="1" applyNumberFormat="1" applyFont="1" applyFill="1" applyBorder="1" applyAlignment="1">
      <alignment horizontal="left" vertical="center" wrapText="1"/>
    </xf>
    <xf numFmtId="165" fontId="25" fillId="0" borderId="1" xfId="1" applyNumberFormat="1" applyFont="1" applyBorder="1" applyAlignment="1">
      <alignment horizontal="left" vertical="center" wrapText="1"/>
    </xf>
    <xf numFmtId="165" fontId="25" fillId="6" borderId="1" xfId="1" applyNumberFormat="1" applyFont="1" applyFill="1" applyBorder="1" applyAlignment="1">
      <alignment horizontal="left" vertical="center" wrapText="1"/>
    </xf>
    <xf numFmtId="165" fontId="5" fillId="6" borderId="1" xfId="1" applyNumberFormat="1" applyFont="1" applyFill="1" applyBorder="1" applyAlignment="1">
      <alignment horizontal="left" vertical="center" wrapText="1"/>
    </xf>
    <xf numFmtId="165" fontId="21" fillId="0" borderId="1" xfId="1" applyNumberFormat="1" applyFont="1" applyFill="1" applyBorder="1" applyAlignment="1">
      <alignment horizontal="left" vertical="center" wrapText="1"/>
    </xf>
    <xf numFmtId="165" fontId="25" fillId="0" borderId="1" xfId="1" applyNumberFormat="1" applyFont="1" applyFill="1" applyBorder="1" applyAlignment="1">
      <alignment horizontal="left" vertical="center" wrapText="1"/>
    </xf>
    <xf numFmtId="165" fontId="21" fillId="6" borderId="1" xfId="1" applyNumberFormat="1" applyFont="1" applyFill="1" applyBorder="1" applyAlignment="1">
      <alignment horizontal="left" vertical="center" wrapText="1"/>
    </xf>
    <xf numFmtId="165" fontId="25" fillId="15" borderId="1" xfId="1" applyNumberFormat="1" applyFont="1" applyFill="1" applyBorder="1" applyAlignment="1">
      <alignment horizontal="left" vertical="center" wrapText="1"/>
    </xf>
    <xf numFmtId="165" fontId="20" fillId="11" borderId="1" xfId="1" applyNumberFormat="1" applyFont="1" applyFill="1" applyBorder="1" applyAlignment="1">
      <alignment horizontal="left" vertical="center" wrapText="1"/>
    </xf>
    <xf numFmtId="165" fontId="5" fillId="0" borderId="11" xfId="1" applyNumberFormat="1" applyFont="1" applyFill="1" applyBorder="1" applyAlignment="1">
      <alignment horizontal="left" vertical="center" wrapText="1"/>
    </xf>
    <xf numFmtId="165" fontId="5" fillId="7" borderId="1" xfId="1" applyNumberFormat="1" applyFont="1" applyFill="1" applyBorder="1" applyAlignment="1">
      <alignment horizontal="left" vertical="center"/>
    </xf>
    <xf numFmtId="165" fontId="5" fillId="0" borderId="4" xfId="1" applyNumberFormat="1" applyFont="1" applyFill="1" applyBorder="1" applyAlignment="1">
      <alignment horizontal="left" vertical="center"/>
    </xf>
    <xf numFmtId="165" fontId="5" fillId="0" borderId="3" xfId="1" applyNumberFormat="1" applyFont="1" applyFill="1" applyBorder="1" applyAlignment="1">
      <alignment horizontal="left" vertical="center"/>
    </xf>
    <xf numFmtId="165" fontId="25" fillId="7" borderId="1" xfId="1" applyNumberFormat="1" applyFont="1" applyFill="1" applyBorder="1" applyAlignment="1">
      <alignment horizontal="left" vertical="center"/>
    </xf>
    <xf numFmtId="165" fontId="5" fillId="6" borderId="1" xfId="1" applyNumberFormat="1" applyFont="1" applyFill="1" applyBorder="1" applyAlignment="1">
      <alignment horizontal="left" vertical="center"/>
    </xf>
    <xf numFmtId="0" fontId="5" fillId="19" borderId="1" xfId="0" applyFont="1" applyFill="1" applyBorder="1" applyAlignment="1">
      <alignment horizontal="left" vertical="center" wrapText="1"/>
    </xf>
    <xf numFmtId="0" fontId="13" fillId="19" borderId="1" xfId="0" applyFont="1" applyFill="1" applyBorder="1"/>
    <xf numFmtId="165" fontId="5" fillId="7" borderId="1" xfId="1" applyNumberFormat="1" applyFont="1" applyFill="1" applyBorder="1" applyAlignment="1">
      <alignment horizontal="left" vertical="center" wrapText="1"/>
    </xf>
    <xf numFmtId="165" fontId="5" fillId="0" borderId="1" xfId="1" applyNumberFormat="1" applyFont="1" applyBorder="1" applyAlignment="1">
      <alignment horizontal="left" vertical="center"/>
    </xf>
    <xf numFmtId="165" fontId="19" fillId="10" borderId="1" xfId="1" applyNumberFormat="1" applyFont="1" applyFill="1" applyBorder="1" applyAlignment="1">
      <alignment horizontal="left" vertical="center" wrapText="1"/>
    </xf>
    <xf numFmtId="165" fontId="19" fillId="10" borderId="1" xfId="1" applyNumberFormat="1" applyFont="1" applyFill="1" applyBorder="1" applyAlignment="1">
      <alignment horizontal="left" vertical="center"/>
    </xf>
    <xf numFmtId="165" fontId="25" fillId="13" borderId="1" xfId="1" applyNumberFormat="1" applyFont="1" applyFill="1" applyBorder="1" applyAlignment="1">
      <alignment horizontal="left" vertical="center" wrapText="1"/>
    </xf>
    <xf numFmtId="165" fontId="5" fillId="19" borderId="1" xfId="1" applyNumberFormat="1" applyFont="1" applyFill="1" applyBorder="1" applyAlignment="1">
      <alignment horizontal="left" vertical="center" wrapText="1"/>
    </xf>
    <xf numFmtId="165" fontId="25" fillId="19" borderId="1" xfId="1" applyNumberFormat="1" applyFont="1" applyFill="1" applyBorder="1" applyAlignment="1">
      <alignment horizontal="left" vertical="center" wrapText="1"/>
    </xf>
    <xf numFmtId="165" fontId="5" fillId="19" borderId="1" xfId="1" applyNumberFormat="1" applyFont="1" applyFill="1" applyBorder="1" applyAlignment="1">
      <alignment horizontal="left" vertical="center"/>
    </xf>
    <xf numFmtId="43" fontId="5" fillId="20" borderId="0" xfId="0" applyNumberFormat="1" applyFont="1" applyFill="1"/>
    <xf numFmtId="0" fontId="5" fillId="20" borderId="0" xfId="0" applyFont="1" applyFill="1"/>
    <xf numFmtId="0" fontId="13" fillId="20" borderId="0" xfId="0" applyFont="1" applyFill="1"/>
    <xf numFmtId="43" fontId="13" fillId="20" borderId="0" xfId="0" applyNumberFormat="1" applyFont="1" applyFill="1"/>
    <xf numFmtId="43" fontId="13" fillId="20" borderId="0" xfId="1" applyFont="1" applyFill="1"/>
    <xf numFmtId="165" fontId="19" fillId="20" borderId="1" xfId="1" applyNumberFormat="1" applyFont="1" applyFill="1" applyBorder="1" applyAlignment="1">
      <alignment horizontal="left" vertical="center" wrapText="1"/>
    </xf>
    <xf numFmtId="0" fontId="5" fillId="0" borderId="61" xfId="0" applyFont="1" applyFill="1" applyBorder="1" applyAlignment="1">
      <alignment horizontal="left" vertical="center" wrapText="1"/>
    </xf>
    <xf numFmtId="0" fontId="21" fillId="0" borderId="62" xfId="0" applyFont="1" applyFill="1" applyBorder="1" applyAlignment="1">
      <alignment horizontal="left" vertical="center" wrapText="1"/>
    </xf>
    <xf numFmtId="165" fontId="5" fillId="0" borderId="61" xfId="1" applyNumberFormat="1" applyFont="1" applyFill="1" applyBorder="1" applyAlignment="1">
      <alignment horizontal="left" vertical="center" wrapText="1"/>
    </xf>
    <xf numFmtId="165" fontId="5" fillId="0" borderId="0" xfId="1" applyNumberFormat="1" applyFont="1" applyFill="1" applyBorder="1" applyAlignment="1">
      <alignment horizontal="left" vertical="center" wrapText="1"/>
    </xf>
    <xf numFmtId="0" fontId="5" fillId="19" borderId="1" xfId="0" applyFont="1" applyFill="1" applyBorder="1"/>
    <xf numFmtId="0" fontId="0" fillId="19" borderId="1" xfId="0" applyFont="1" applyFill="1" applyBorder="1"/>
    <xf numFmtId="165" fontId="25" fillId="19" borderId="1" xfId="1" applyNumberFormat="1" applyFont="1" applyFill="1" applyBorder="1" applyAlignment="1">
      <alignment horizontal="left" vertical="center"/>
    </xf>
    <xf numFmtId="165" fontId="20" fillId="11" borderId="16" xfId="1" applyNumberFormat="1" applyFont="1" applyFill="1" applyBorder="1" applyAlignment="1">
      <alignment horizontal="left" vertical="center" wrapText="1"/>
    </xf>
    <xf numFmtId="165" fontId="5" fillId="19" borderId="4" xfId="1" applyNumberFormat="1" applyFont="1" applyFill="1" applyBorder="1" applyAlignment="1">
      <alignment horizontal="left" vertical="center"/>
    </xf>
    <xf numFmtId="43" fontId="5" fillId="15" borderId="59" xfId="0" applyNumberFormat="1" applyFont="1" applyFill="1" applyBorder="1"/>
    <xf numFmtId="43" fontId="5" fillId="15" borderId="0" xfId="0" applyNumberFormat="1" applyFont="1" applyFill="1"/>
    <xf numFmtId="0" fontId="5" fillId="0" borderId="0" xfId="0" applyFont="1" applyBorder="1" applyAlignment="1">
      <alignment horizontal="left" vertical="center"/>
    </xf>
    <xf numFmtId="0" fontId="19" fillId="0" borderId="17" xfId="0" applyFont="1" applyBorder="1" applyAlignment="1">
      <alignment horizontal="left" vertical="center" wrapText="1"/>
    </xf>
    <xf numFmtId="165" fontId="5" fillId="0" borderId="13" xfId="1" applyNumberFormat="1" applyFont="1" applyFill="1" applyBorder="1" applyAlignment="1">
      <alignment horizontal="left" vertical="center" wrapText="1"/>
    </xf>
    <xf numFmtId="165" fontId="5" fillId="13" borderId="1" xfId="1" applyNumberFormat="1" applyFont="1" applyFill="1" applyBorder="1" applyAlignment="1">
      <alignment horizontal="left" vertical="center" wrapText="1"/>
    </xf>
    <xf numFmtId="165" fontId="20" fillId="8" borderId="1" xfId="1" applyNumberFormat="1" applyFont="1" applyFill="1" applyBorder="1" applyAlignment="1">
      <alignment horizontal="left" vertical="center"/>
    </xf>
    <xf numFmtId="0" fontId="18" fillId="21" borderId="1" xfId="0" applyFont="1" applyFill="1" applyBorder="1" applyAlignment="1">
      <alignment horizontal="left" vertical="center" wrapText="1"/>
    </xf>
    <xf numFmtId="0" fontId="35" fillId="6" borderId="1" xfId="0" applyFont="1" applyFill="1" applyBorder="1" applyAlignment="1">
      <alignment horizontal="left" vertical="center" wrapText="1"/>
    </xf>
    <xf numFmtId="0" fontId="5" fillId="15" borderId="1"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22" borderId="1" xfId="0" applyFont="1" applyFill="1" applyBorder="1" applyAlignment="1">
      <alignment horizontal="left" vertical="center" wrapText="1"/>
    </xf>
    <xf numFmtId="165" fontId="5" fillId="22" borderId="1" xfId="1" applyNumberFormat="1" applyFont="1" applyFill="1" applyBorder="1" applyAlignment="1">
      <alignment horizontal="left" vertical="center" wrapText="1"/>
    </xf>
    <xf numFmtId="165" fontId="25" fillId="22" borderId="1" xfId="1" applyNumberFormat="1" applyFont="1" applyFill="1" applyBorder="1" applyAlignment="1">
      <alignment horizontal="left" vertical="center" wrapText="1"/>
    </xf>
    <xf numFmtId="165" fontId="25" fillId="22" borderId="1" xfId="1" applyNumberFormat="1" applyFont="1" applyFill="1" applyBorder="1" applyAlignment="1">
      <alignment horizontal="left" vertical="center"/>
    </xf>
    <xf numFmtId="0" fontId="25" fillId="13" borderId="1" xfId="0" applyFont="1" applyFill="1" applyBorder="1" applyAlignment="1">
      <alignment horizontal="left" vertical="center" wrapText="1"/>
    </xf>
    <xf numFmtId="0" fontId="5" fillId="13" borderId="60" xfId="0" applyFont="1" applyFill="1" applyBorder="1" applyAlignment="1">
      <alignment horizontal="left" vertical="center" wrapText="1"/>
    </xf>
    <xf numFmtId="0" fontId="0" fillId="22" borderId="1" xfId="0" applyFont="1" applyFill="1" applyBorder="1" applyAlignment="1">
      <alignment wrapText="1"/>
    </xf>
    <xf numFmtId="0" fontId="0" fillId="22" borderId="16" xfId="0" applyFont="1" applyFill="1" applyBorder="1"/>
    <xf numFmtId="0" fontId="0" fillId="22" borderId="3" xfId="0" applyFont="1" applyFill="1" applyBorder="1"/>
    <xf numFmtId="0" fontId="0" fillId="22" borderId="1" xfId="0" applyFont="1" applyFill="1" applyBorder="1"/>
    <xf numFmtId="0" fontId="0" fillId="22" borderId="4" xfId="0" applyFont="1" applyFill="1" applyBorder="1"/>
    <xf numFmtId="0" fontId="0" fillId="22" borderId="5" xfId="0" applyFont="1" applyFill="1" applyBorder="1" applyAlignment="1">
      <alignment wrapText="1"/>
    </xf>
    <xf numFmtId="0" fontId="0" fillId="22" borderId="6" xfId="0" applyFont="1" applyFill="1" applyBorder="1" applyAlignment="1">
      <alignment wrapText="1"/>
    </xf>
    <xf numFmtId="43" fontId="0" fillId="22" borderId="6" xfId="0" applyNumberFormat="1" applyFont="1" applyFill="1" applyBorder="1"/>
    <xf numFmtId="43" fontId="0" fillId="22" borderId="7" xfId="0" applyNumberFormat="1" applyFont="1" applyFill="1" applyBorder="1"/>
    <xf numFmtId="0" fontId="1" fillId="22" borderId="8" xfId="0" applyFont="1" applyFill="1" applyBorder="1"/>
    <xf numFmtId="165" fontId="0" fillId="0" borderId="0" xfId="0" applyNumberFormat="1"/>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166" fontId="0" fillId="0" borderId="0" xfId="0" applyNumberFormat="1"/>
    <xf numFmtId="165" fontId="0" fillId="0" borderId="0" xfId="1" applyNumberFormat="1" applyFont="1"/>
    <xf numFmtId="165" fontId="13" fillId="0" borderId="0" xfId="0" applyNumberFormat="1" applyFont="1"/>
    <xf numFmtId="165" fontId="24" fillId="0" borderId="0" xfId="0" applyNumberFormat="1" applyFont="1"/>
    <xf numFmtId="0" fontId="40" fillId="0" borderId="0" xfId="0" applyFont="1"/>
    <xf numFmtId="165" fontId="40" fillId="0" borderId="0" xfId="1" applyNumberFormat="1" applyFont="1"/>
    <xf numFmtId="0" fontId="14" fillId="0" borderId="0" xfId="0" applyFont="1"/>
    <xf numFmtId="167" fontId="13" fillId="0" borderId="0" xfId="0" applyNumberFormat="1" applyFont="1"/>
    <xf numFmtId="2" fontId="13" fillId="0" borderId="0" xfId="0" applyNumberFormat="1" applyFont="1"/>
    <xf numFmtId="165" fontId="25" fillId="23" borderId="1" xfId="1" applyNumberFormat="1" applyFont="1" applyFill="1" applyBorder="1" applyAlignment="1">
      <alignment horizontal="left" vertical="center"/>
    </xf>
    <xf numFmtId="0" fontId="5" fillId="23" borderId="0" xfId="0" applyFont="1" applyFill="1"/>
    <xf numFmtId="43" fontId="5" fillId="23" borderId="59" xfId="0" applyNumberFormat="1" applyFont="1" applyFill="1" applyBorder="1"/>
    <xf numFmtId="43" fontId="5" fillId="23" borderId="0" xfId="0" applyNumberFormat="1" applyFont="1" applyFill="1"/>
    <xf numFmtId="0" fontId="13" fillId="23" borderId="0" xfId="0" applyFont="1" applyFill="1"/>
    <xf numFmtId="0" fontId="25" fillId="23" borderId="1" xfId="0" applyFont="1" applyFill="1" applyBorder="1" applyAlignment="1">
      <alignment horizontal="left" vertical="center" wrapText="1"/>
    </xf>
    <xf numFmtId="165" fontId="25" fillId="23" borderId="1" xfId="1" applyNumberFormat="1" applyFont="1" applyFill="1" applyBorder="1" applyAlignment="1">
      <alignment horizontal="left" vertical="center" wrapText="1"/>
    </xf>
    <xf numFmtId="0" fontId="25" fillId="23" borderId="0" xfId="0" applyFont="1" applyFill="1"/>
    <xf numFmtId="43" fontId="25" fillId="23" borderId="0" xfId="0" applyNumberFormat="1" applyFont="1" applyFill="1"/>
    <xf numFmtId="0" fontId="26" fillId="23" borderId="0" xfId="0" applyFont="1" applyFill="1"/>
    <xf numFmtId="0" fontId="18" fillId="11" borderId="2" xfId="0" applyFont="1" applyFill="1" applyBorder="1" applyAlignment="1">
      <alignment horizontal="left" vertical="center"/>
    </xf>
    <xf numFmtId="0" fontId="15" fillId="14" borderId="40" xfId="0" applyFont="1" applyFill="1" applyBorder="1" applyAlignment="1">
      <alignment vertical="center" wrapText="1"/>
    </xf>
    <xf numFmtId="0" fontId="15" fillId="14" borderId="46" xfId="0" applyFont="1" applyFill="1" applyBorder="1" applyAlignment="1">
      <alignment horizontal="center" vertical="center" wrapText="1"/>
    </xf>
    <xf numFmtId="0" fontId="25" fillId="24" borderId="1" xfId="0" applyFont="1" applyFill="1" applyBorder="1" applyAlignment="1">
      <alignment horizontal="left" vertical="center" wrapText="1"/>
    </xf>
    <xf numFmtId="0" fontId="5" fillId="24" borderId="1" xfId="0" applyFont="1" applyFill="1" applyBorder="1" applyAlignment="1">
      <alignment horizontal="left" vertical="center" wrapText="1"/>
    </xf>
    <xf numFmtId="165" fontId="25" fillId="24" borderId="1" xfId="1" applyNumberFormat="1" applyFont="1" applyFill="1" applyBorder="1" applyAlignment="1">
      <alignment horizontal="left" vertical="center" wrapText="1"/>
    </xf>
    <xf numFmtId="165" fontId="25" fillId="24" borderId="1" xfId="1" applyNumberFormat="1" applyFont="1" applyFill="1" applyBorder="1" applyAlignment="1">
      <alignment horizontal="left" vertical="center"/>
    </xf>
    <xf numFmtId="0" fontId="25" fillId="24" borderId="1" xfId="0" applyFont="1" applyFill="1" applyBorder="1"/>
    <xf numFmtId="43" fontId="25" fillId="24" borderId="1" xfId="0" applyNumberFormat="1" applyFont="1" applyFill="1" applyBorder="1"/>
    <xf numFmtId="0" fontId="26" fillId="24" borderId="1" xfId="0" applyFont="1" applyFill="1" applyBorder="1"/>
    <xf numFmtId="0" fontId="5" fillId="25" borderId="1" xfId="0" applyFont="1" applyFill="1" applyBorder="1" applyAlignment="1">
      <alignment horizontal="left" vertical="center" wrapText="1"/>
    </xf>
    <xf numFmtId="165" fontId="5" fillId="25" borderId="1" xfId="1" applyNumberFormat="1" applyFont="1" applyFill="1" applyBorder="1" applyAlignment="1">
      <alignment horizontal="left" vertical="center" wrapText="1"/>
    </xf>
    <xf numFmtId="165" fontId="5" fillId="25" borderId="1" xfId="1" applyNumberFormat="1" applyFont="1" applyFill="1" applyBorder="1" applyAlignment="1">
      <alignment horizontal="left" vertical="center"/>
    </xf>
    <xf numFmtId="165" fontId="21" fillId="25" borderId="1" xfId="1" applyNumberFormat="1" applyFont="1" applyFill="1" applyBorder="1" applyAlignment="1">
      <alignment horizontal="left" vertical="center" wrapText="1"/>
    </xf>
    <xf numFmtId="0" fontId="25" fillId="0" borderId="17" xfId="0" applyFont="1" applyFill="1" applyBorder="1"/>
    <xf numFmtId="0" fontId="25" fillId="24" borderId="17" xfId="0" applyFont="1" applyFill="1" applyBorder="1"/>
    <xf numFmtId="0" fontId="18" fillId="11" borderId="27" xfId="0" applyFont="1" applyFill="1" applyBorder="1" applyAlignment="1">
      <alignment horizontal="left" vertical="center"/>
    </xf>
    <xf numFmtId="0" fontId="18" fillId="11" borderId="28" xfId="0" applyFont="1" applyFill="1" applyBorder="1" applyAlignment="1">
      <alignment horizontal="left" vertical="center" wrapText="1"/>
    </xf>
    <xf numFmtId="0" fontId="19" fillId="7" borderId="28" xfId="0" applyFont="1" applyFill="1" applyBorder="1" applyAlignment="1">
      <alignment horizontal="left" vertical="center" wrapText="1"/>
    </xf>
    <xf numFmtId="0" fontId="18" fillId="11" borderId="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5" fillId="0" borderId="1" xfId="0" applyFont="1" applyBorder="1" applyAlignment="1">
      <alignment horizontal="left" vertical="center" wrapText="1"/>
    </xf>
    <xf numFmtId="165" fontId="25" fillId="7" borderId="1" xfId="1" applyNumberFormat="1" applyFont="1" applyFill="1" applyBorder="1" applyAlignment="1">
      <alignment horizontal="left" vertical="center" wrapText="1"/>
    </xf>
    <xf numFmtId="165" fontId="25" fillId="0" borderId="1" xfId="1" applyNumberFormat="1" applyFont="1" applyBorder="1" applyAlignment="1">
      <alignment horizontal="left" vertical="center"/>
    </xf>
    <xf numFmtId="0" fontId="21" fillId="0" borderId="1" xfId="0" applyFont="1" applyBorder="1" applyAlignment="1">
      <alignment horizontal="left" vertical="center" wrapText="1"/>
    </xf>
    <xf numFmtId="165" fontId="5" fillId="13" borderId="1" xfId="1" applyNumberFormat="1" applyFont="1" applyFill="1" applyBorder="1" applyAlignment="1">
      <alignment horizontal="left" vertical="center"/>
    </xf>
    <xf numFmtId="0" fontId="21" fillId="0" borderId="1" xfId="0" applyFont="1" applyFill="1" applyBorder="1" applyAlignment="1">
      <alignment horizontal="left" vertical="center" wrapText="1"/>
    </xf>
    <xf numFmtId="0" fontId="21" fillId="25"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165" fontId="5" fillId="15" borderId="1" xfId="1" applyNumberFormat="1" applyFont="1" applyFill="1" applyBorder="1" applyAlignment="1">
      <alignment horizontal="left" vertical="center"/>
    </xf>
    <xf numFmtId="165" fontId="19" fillId="20" borderId="1" xfId="1" applyNumberFormat="1" applyFont="1" applyFill="1" applyBorder="1" applyAlignment="1">
      <alignment horizontal="left" vertical="center"/>
    </xf>
    <xf numFmtId="165" fontId="31" fillId="20" borderId="1" xfId="1" applyNumberFormat="1" applyFont="1" applyFill="1" applyBorder="1" applyAlignment="1">
      <alignment horizontal="left" vertical="center" wrapText="1"/>
    </xf>
    <xf numFmtId="165" fontId="5" fillId="22" borderId="1" xfId="1" applyNumberFormat="1" applyFont="1" applyFill="1" applyBorder="1" applyAlignment="1">
      <alignment horizontal="left" vertical="center"/>
    </xf>
    <xf numFmtId="0" fontId="5" fillId="23" borderId="1" xfId="0" applyFont="1" applyFill="1" applyBorder="1" applyAlignment="1">
      <alignment horizontal="left" vertical="center" wrapText="1"/>
    </xf>
    <xf numFmtId="165" fontId="19" fillId="18" borderId="1" xfId="1" applyNumberFormat="1" applyFont="1" applyFill="1" applyBorder="1" applyAlignment="1">
      <alignment horizontal="left" vertical="center"/>
    </xf>
    <xf numFmtId="165" fontId="19" fillId="0" borderId="1" xfId="1" applyNumberFormat="1" applyFont="1" applyBorder="1" applyAlignment="1">
      <alignment horizontal="left" vertical="center"/>
    </xf>
    <xf numFmtId="165" fontId="19" fillId="13" borderId="1" xfId="1" applyNumberFormat="1" applyFont="1" applyFill="1" applyBorder="1" applyAlignment="1">
      <alignment horizontal="left" vertical="center"/>
    </xf>
    <xf numFmtId="43" fontId="19" fillId="17" borderId="1" xfId="1" applyFont="1" applyFill="1" applyBorder="1" applyAlignment="1">
      <alignment horizontal="left" vertical="center"/>
    </xf>
    <xf numFmtId="165" fontId="22" fillId="9" borderId="1" xfId="1" applyNumberFormat="1" applyFont="1" applyFill="1" applyBorder="1" applyAlignment="1">
      <alignment horizontal="left" vertical="center"/>
    </xf>
    <xf numFmtId="165" fontId="18" fillId="11" borderId="1" xfId="1" applyNumberFormat="1" applyFont="1" applyFill="1" applyBorder="1" applyAlignment="1">
      <alignment horizontal="left" vertical="center"/>
    </xf>
    <xf numFmtId="165" fontId="5" fillId="13" borderId="61" xfId="1" applyNumberFormat="1" applyFont="1" applyFill="1" applyBorder="1" applyAlignment="1">
      <alignment horizontal="left" vertical="center" wrapText="1"/>
    </xf>
    <xf numFmtId="165" fontId="20" fillId="11" borderId="0" xfId="1" applyNumberFormat="1" applyFont="1" applyFill="1" applyBorder="1" applyAlignment="1">
      <alignment horizontal="left" vertical="center" wrapText="1"/>
    </xf>
    <xf numFmtId="0" fontId="5" fillId="26" borderId="11" xfId="0" applyFont="1" applyFill="1" applyBorder="1" applyAlignment="1">
      <alignment horizontal="left" vertical="center" wrapText="1"/>
    </xf>
    <xf numFmtId="0" fontId="5" fillId="26" borderId="1" xfId="0" applyFont="1" applyFill="1" applyBorder="1" applyAlignment="1">
      <alignment horizontal="left" vertical="center" wrapText="1"/>
    </xf>
    <xf numFmtId="0" fontId="25" fillId="13" borderId="0" xfId="0" applyFont="1" applyFill="1" applyBorder="1"/>
    <xf numFmtId="43" fontId="25" fillId="13" borderId="0" xfId="0" applyNumberFormat="1" applyFont="1" applyFill="1" applyBorder="1"/>
    <xf numFmtId="0" fontId="26" fillId="13" borderId="0" xfId="0" applyFont="1" applyFill="1" applyBorder="1"/>
    <xf numFmtId="0" fontId="25" fillId="27" borderId="1" xfId="0" applyFont="1" applyFill="1" applyBorder="1" applyAlignment="1">
      <alignment horizontal="left" vertical="center" wrapText="1"/>
    </xf>
    <xf numFmtId="0" fontId="5" fillId="27" borderId="1" xfId="0" applyFont="1" applyFill="1" applyBorder="1" applyAlignment="1">
      <alignment horizontal="left" vertical="center" wrapText="1"/>
    </xf>
    <xf numFmtId="165" fontId="25" fillId="27" borderId="1" xfId="1" applyNumberFormat="1" applyFont="1" applyFill="1" applyBorder="1" applyAlignment="1">
      <alignment horizontal="left" vertical="center" wrapText="1"/>
    </xf>
    <xf numFmtId="165" fontId="25" fillId="27" borderId="1" xfId="1" applyNumberFormat="1" applyFont="1" applyFill="1" applyBorder="1" applyAlignment="1">
      <alignment horizontal="left" vertical="center"/>
    </xf>
    <xf numFmtId="0" fontId="5" fillId="28" borderId="1" xfId="0" applyFont="1" applyFill="1" applyBorder="1" applyAlignment="1">
      <alignment horizontal="left" vertical="center" wrapText="1"/>
    </xf>
    <xf numFmtId="0" fontId="21" fillId="28" borderId="1" xfId="0" applyFont="1" applyFill="1" applyBorder="1" applyAlignment="1">
      <alignment horizontal="left" vertical="center" wrapText="1"/>
    </xf>
    <xf numFmtId="165" fontId="5" fillId="28" borderId="1" xfId="1" applyNumberFormat="1" applyFont="1" applyFill="1" applyBorder="1" applyAlignment="1">
      <alignment horizontal="left" vertical="center" wrapText="1"/>
    </xf>
    <xf numFmtId="165" fontId="5" fillId="28" borderId="1" xfId="1" applyNumberFormat="1" applyFont="1" applyFill="1" applyBorder="1" applyAlignment="1">
      <alignment horizontal="left" vertical="center"/>
    </xf>
    <xf numFmtId="0" fontId="41" fillId="0" borderId="0" xfId="0" applyFont="1" applyBorder="1" applyAlignment="1">
      <alignment horizontal="center" vertical="center" wrapText="1"/>
    </xf>
    <xf numFmtId="3" fontId="41" fillId="0" borderId="0" xfId="0" applyNumberFormat="1" applyFont="1" applyBorder="1" applyAlignment="1">
      <alignment horizontal="center" vertical="center" wrapText="1"/>
    </xf>
    <xf numFmtId="0" fontId="19" fillId="0" borderId="1" xfId="0" applyFont="1" applyFill="1" applyBorder="1" applyAlignment="1">
      <alignment horizontal="left" vertical="center" wrapText="1"/>
    </xf>
    <xf numFmtId="0" fontId="18" fillId="11" borderId="27" xfId="0" applyFont="1" applyFill="1" applyBorder="1" applyAlignment="1">
      <alignment horizontal="left" vertical="center"/>
    </xf>
    <xf numFmtId="0" fontId="41" fillId="0" borderId="1" xfId="0" applyFont="1" applyBorder="1" applyAlignment="1">
      <alignment horizontal="center" vertical="center" wrapText="1"/>
    </xf>
    <xf numFmtId="1" fontId="41"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0" fontId="42" fillId="0" borderId="75"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80"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81" xfId="0" applyFont="1" applyBorder="1" applyAlignment="1">
      <alignment horizontal="center" vertical="center" wrapText="1"/>
    </xf>
    <xf numFmtId="0" fontId="42" fillId="0" borderId="78" xfId="0" applyFont="1" applyBorder="1" applyAlignment="1">
      <alignment horizontal="center" vertical="center" wrapText="1"/>
    </xf>
    <xf numFmtId="0" fontId="43" fillId="0" borderId="37" xfId="0" applyFont="1" applyBorder="1" applyAlignment="1">
      <alignment vertical="center" wrapText="1"/>
    </xf>
    <xf numFmtId="0" fontId="43" fillId="0" borderId="79" xfId="0" applyFont="1" applyBorder="1" applyAlignment="1">
      <alignment vertical="center" wrapText="1"/>
    </xf>
    <xf numFmtId="3" fontId="42" fillId="0" borderId="37"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3" fontId="42" fillId="0" borderId="79" xfId="0" applyNumberFormat="1" applyFont="1" applyBorder="1" applyAlignment="1">
      <alignment horizontal="center" vertical="center" wrapText="1"/>
    </xf>
    <xf numFmtId="0" fontId="42" fillId="0" borderId="35" xfId="0" applyFont="1" applyBorder="1" applyAlignment="1">
      <alignment vertical="center" wrapText="1"/>
    </xf>
    <xf numFmtId="3" fontId="42" fillId="6" borderId="88" xfId="0" applyNumberFormat="1" applyFont="1" applyFill="1" applyBorder="1" applyAlignment="1">
      <alignment horizontal="center" vertical="center" wrapText="1"/>
    </xf>
    <xf numFmtId="3" fontId="42" fillId="6" borderId="20" xfId="0" applyNumberFormat="1" applyFont="1" applyFill="1" applyBorder="1" applyAlignment="1">
      <alignment horizontal="center" vertical="center" wrapText="1"/>
    </xf>
    <xf numFmtId="43" fontId="5" fillId="13" borderId="0" xfId="0" applyNumberFormat="1" applyFont="1" applyFill="1"/>
    <xf numFmtId="0" fontId="5" fillId="13" borderId="0" xfId="0" applyFont="1" applyFill="1"/>
    <xf numFmtId="0" fontId="13" fillId="13" borderId="0" xfId="0" applyFont="1" applyFill="1"/>
    <xf numFmtId="43" fontId="13" fillId="13" borderId="0" xfId="0" applyNumberFormat="1" applyFont="1" applyFill="1"/>
    <xf numFmtId="43" fontId="13" fillId="13" borderId="0" xfId="1" applyFont="1" applyFill="1"/>
    <xf numFmtId="165" fontId="19" fillId="29" borderId="1" xfId="1" applyNumberFormat="1" applyFont="1" applyFill="1" applyBorder="1" applyAlignment="1">
      <alignment horizontal="left" vertical="center" wrapText="1"/>
    </xf>
    <xf numFmtId="165" fontId="19" fillId="29" borderId="1" xfId="1" applyNumberFormat="1" applyFont="1" applyFill="1" applyBorder="1" applyAlignment="1">
      <alignment horizontal="left" vertical="center"/>
    </xf>
    <xf numFmtId="165" fontId="31" fillId="29" borderId="1" xfId="1" applyNumberFormat="1" applyFont="1" applyFill="1" applyBorder="1" applyAlignment="1">
      <alignment horizontal="left" vertical="center" wrapText="1"/>
    </xf>
    <xf numFmtId="0" fontId="19" fillId="2" borderId="1" xfId="0" applyFont="1" applyFill="1" applyBorder="1" applyAlignment="1">
      <alignment horizontal="left" vertical="center" wrapText="1"/>
    </xf>
    <xf numFmtId="43" fontId="19" fillId="13" borderId="1" xfId="1" applyFont="1" applyFill="1" applyBorder="1" applyAlignment="1">
      <alignment horizontal="left" vertical="center"/>
    </xf>
    <xf numFmtId="165" fontId="31" fillId="13" borderId="1" xfId="1" applyNumberFormat="1" applyFont="1" applyFill="1" applyBorder="1" applyAlignment="1">
      <alignment horizontal="left" vertical="center"/>
    </xf>
    <xf numFmtId="0" fontId="31" fillId="0" borderId="1" xfId="0" applyFont="1" applyBorder="1" applyAlignment="1">
      <alignment horizontal="left" vertical="center" wrapText="1"/>
    </xf>
    <xf numFmtId="0" fontId="31" fillId="2" borderId="1" xfId="0" applyFont="1" applyFill="1" applyBorder="1" applyAlignment="1">
      <alignment horizontal="left" vertical="center" wrapText="1"/>
    </xf>
    <xf numFmtId="168" fontId="22" fillId="29" borderId="1" xfId="1" applyNumberFormat="1" applyFont="1" applyFill="1" applyBorder="1" applyAlignment="1">
      <alignment horizontal="left" vertical="center"/>
    </xf>
    <xf numFmtId="168" fontId="22" fillId="13" borderId="1" xfId="1" applyNumberFormat="1" applyFont="1" applyFill="1" applyBorder="1" applyAlignment="1">
      <alignment horizontal="left" vertical="center"/>
    </xf>
    <xf numFmtId="0" fontId="31" fillId="19" borderId="1" xfId="0" applyFont="1" applyFill="1" applyBorder="1" applyAlignment="1">
      <alignment horizontal="left" vertical="center" wrapText="1"/>
    </xf>
    <xf numFmtId="0" fontId="31" fillId="10" borderId="1" xfId="0" applyFont="1" applyFill="1" applyBorder="1" applyAlignment="1">
      <alignment horizontal="left" vertical="center" wrapText="1"/>
    </xf>
    <xf numFmtId="165" fontId="19" fillId="13" borderId="1" xfId="1" applyNumberFormat="1" applyFont="1" applyFill="1" applyBorder="1" applyAlignment="1">
      <alignment horizontal="left" vertical="center" wrapText="1"/>
    </xf>
    <xf numFmtId="168" fontId="22" fillId="13" borderId="1" xfId="1" applyNumberFormat="1" applyFont="1" applyFill="1" applyBorder="1" applyAlignment="1">
      <alignment horizontal="left" vertical="center" wrapText="1"/>
    </xf>
    <xf numFmtId="43" fontId="19" fillId="0" borderId="0" xfId="0" applyNumberFormat="1" applyFont="1" applyFill="1"/>
    <xf numFmtId="0" fontId="19" fillId="30" borderId="1" xfId="0" applyFont="1" applyFill="1" applyBorder="1" applyAlignment="1">
      <alignment horizontal="left" vertical="center" wrapText="1"/>
    </xf>
    <xf numFmtId="165" fontId="31" fillId="30" borderId="1" xfId="1" applyNumberFormat="1" applyFont="1" applyFill="1" applyBorder="1" applyAlignment="1">
      <alignment horizontal="left" vertical="center"/>
    </xf>
    <xf numFmtId="0" fontId="18" fillId="30" borderId="1" xfId="0" applyFont="1" applyFill="1" applyBorder="1" applyAlignment="1">
      <alignment horizontal="left" vertical="center" wrapText="1"/>
    </xf>
    <xf numFmtId="0" fontId="19" fillId="30" borderId="28" xfId="0" applyFont="1" applyFill="1" applyBorder="1" applyAlignment="1">
      <alignment horizontal="left" vertical="center" wrapText="1"/>
    </xf>
    <xf numFmtId="165" fontId="19" fillId="30" borderId="1" xfId="1" applyNumberFormat="1" applyFont="1" applyFill="1" applyBorder="1" applyAlignment="1">
      <alignment horizontal="left" vertical="center"/>
    </xf>
    <xf numFmtId="43" fontId="22" fillId="0" borderId="1" xfId="1" applyNumberFormat="1" applyFont="1" applyBorder="1" applyAlignment="1">
      <alignment horizontal="left" vertical="center"/>
    </xf>
    <xf numFmtId="0" fontId="25" fillId="2" borderId="17" xfId="0" applyFont="1" applyFill="1" applyBorder="1"/>
    <xf numFmtId="0" fontId="25" fillId="2" borderId="1" xfId="0" applyFont="1" applyFill="1" applyBorder="1"/>
    <xf numFmtId="43" fontId="25" fillId="2" borderId="1" xfId="0" applyNumberFormat="1" applyFont="1" applyFill="1" applyBorder="1"/>
    <xf numFmtId="0" fontId="26" fillId="2" borderId="1" xfId="0" applyFont="1" applyFill="1" applyBorder="1"/>
    <xf numFmtId="168" fontId="19" fillId="29" borderId="1" xfId="1" applyNumberFormat="1" applyFont="1" applyFill="1" applyBorder="1" applyAlignment="1">
      <alignment horizontal="left" vertical="center"/>
    </xf>
    <xf numFmtId="168" fontId="19" fillId="29" borderId="1" xfId="1" applyNumberFormat="1" applyFont="1" applyFill="1" applyBorder="1" applyAlignment="1">
      <alignment horizontal="left" vertical="center" wrapText="1"/>
    </xf>
    <xf numFmtId="0" fontId="13" fillId="0" borderId="0" xfId="0" applyFont="1" applyAlignment="1">
      <alignment horizontal="center"/>
    </xf>
    <xf numFmtId="0" fontId="5" fillId="0" borderId="0" xfId="0" applyFont="1" applyAlignment="1">
      <alignment horizontal="center"/>
    </xf>
    <xf numFmtId="43" fontId="5" fillId="0" borderId="0" xfId="0" applyNumberFormat="1" applyFont="1" applyAlignment="1">
      <alignment horizontal="center"/>
    </xf>
    <xf numFmtId="43" fontId="13" fillId="0" borderId="0" xfId="0" applyNumberFormat="1" applyFont="1" applyAlignment="1">
      <alignment horizontal="center"/>
    </xf>
    <xf numFmtId="0" fontId="25" fillId="2" borderId="0" xfId="0" applyFont="1" applyFill="1"/>
    <xf numFmtId="0" fontId="26" fillId="2" borderId="0" xfId="0" applyFont="1" applyFill="1"/>
    <xf numFmtId="0" fontId="25" fillId="2" borderId="46" xfId="0" applyFont="1" applyFill="1" applyBorder="1" applyAlignment="1">
      <alignment horizontal="left" vertical="center"/>
    </xf>
    <xf numFmtId="0" fontId="31" fillId="2" borderId="9" xfId="0" applyFont="1" applyFill="1" applyBorder="1" applyAlignment="1">
      <alignment horizontal="left" vertical="center"/>
    </xf>
    <xf numFmtId="0" fontId="31" fillId="2" borderId="18" xfId="0" applyFont="1" applyFill="1" applyBorder="1" applyAlignment="1">
      <alignment horizontal="left" vertical="center" wrapText="1"/>
    </xf>
    <xf numFmtId="0" fontId="25" fillId="2" borderId="23" xfId="0" applyFont="1" applyFill="1" applyBorder="1" applyAlignment="1">
      <alignment horizontal="left" vertical="center"/>
    </xf>
    <xf numFmtId="0" fontId="13" fillId="13" borderId="1" xfId="0" applyFont="1" applyFill="1" applyBorder="1" applyAlignment="1"/>
    <xf numFmtId="0" fontId="5" fillId="13" borderId="1" xfId="0" applyFont="1" applyFill="1" applyBorder="1" applyAlignment="1"/>
    <xf numFmtId="0" fontId="19" fillId="0" borderId="6" xfId="0" applyFont="1" applyBorder="1" applyAlignment="1"/>
    <xf numFmtId="0" fontId="19" fillId="0" borderId="6" xfId="0" applyFont="1" applyBorder="1" applyAlignment="1">
      <alignment wrapText="1"/>
    </xf>
    <xf numFmtId="0" fontId="31" fillId="0" borderId="6" xfId="0" applyFont="1" applyBorder="1" applyAlignment="1">
      <alignment wrapText="1"/>
    </xf>
    <xf numFmtId="0" fontId="18" fillId="21" borderId="6" xfId="0" applyFont="1" applyFill="1" applyBorder="1" applyAlignment="1">
      <alignment wrapText="1"/>
    </xf>
    <xf numFmtId="0" fontId="31" fillId="13" borderId="6" xfId="0" applyFont="1" applyFill="1" applyBorder="1" applyAlignment="1">
      <alignment wrapText="1"/>
    </xf>
    <xf numFmtId="0" fontId="19" fillId="7" borderId="6" xfId="0" applyFont="1" applyFill="1" applyBorder="1" applyAlignment="1">
      <alignment wrapText="1"/>
    </xf>
    <xf numFmtId="0" fontId="19" fillId="13" borderId="6" xfId="0" applyFont="1" applyFill="1" applyBorder="1" applyAlignment="1">
      <alignment wrapText="1"/>
    </xf>
    <xf numFmtId="0" fontId="19" fillId="0" borderId="6" xfId="0" applyFont="1" applyFill="1" applyBorder="1" applyAlignment="1">
      <alignment wrapText="1"/>
    </xf>
    <xf numFmtId="0" fontId="31" fillId="0" borderId="6" xfId="0" applyFont="1" applyFill="1" applyBorder="1" applyAlignment="1">
      <alignment wrapText="1"/>
    </xf>
    <xf numFmtId="0" fontId="19" fillId="0" borderId="7" xfId="0" applyFont="1" applyFill="1" applyBorder="1" applyAlignment="1">
      <alignment wrapText="1"/>
    </xf>
    <xf numFmtId="0" fontId="5" fillId="13" borderId="1" xfId="0" applyFont="1" applyFill="1" applyBorder="1" applyAlignment="1">
      <alignment wrapText="1"/>
    </xf>
    <xf numFmtId="165" fontId="5" fillId="13" borderId="1" xfId="1" applyNumberFormat="1" applyFont="1" applyFill="1" applyBorder="1" applyAlignment="1">
      <alignment wrapText="1"/>
    </xf>
    <xf numFmtId="165" fontId="20" fillId="13" borderId="1" xfId="1" applyNumberFormat="1" applyFont="1" applyFill="1" applyBorder="1" applyAlignment="1">
      <alignment wrapText="1"/>
    </xf>
    <xf numFmtId="165" fontId="5" fillId="13" borderId="1" xfId="1" applyNumberFormat="1" applyFont="1" applyFill="1" applyBorder="1" applyAlignment="1"/>
    <xf numFmtId="165" fontId="5" fillId="13" borderId="4" xfId="1" applyNumberFormat="1" applyFont="1" applyFill="1" applyBorder="1" applyAlignment="1"/>
    <xf numFmtId="0" fontId="25" fillId="13" borderId="1" xfId="0" applyFont="1" applyFill="1" applyBorder="1" applyAlignment="1">
      <alignment wrapText="1"/>
    </xf>
    <xf numFmtId="165" fontId="25" fillId="13" borderId="1" xfId="1" applyNumberFormat="1" applyFont="1" applyFill="1" applyBorder="1" applyAlignment="1">
      <alignment wrapText="1"/>
    </xf>
    <xf numFmtId="165" fontId="25" fillId="13" borderId="1" xfId="1" applyNumberFormat="1" applyFont="1" applyFill="1" applyBorder="1" applyAlignment="1"/>
    <xf numFmtId="165" fontId="25" fillId="13" borderId="4" xfId="1" applyNumberFormat="1" applyFont="1" applyFill="1" applyBorder="1" applyAlignment="1"/>
    <xf numFmtId="0" fontId="21" fillId="13" borderId="1" xfId="0" applyFont="1" applyFill="1" applyBorder="1" applyAlignment="1">
      <alignment wrapText="1"/>
    </xf>
    <xf numFmtId="165" fontId="21" fillId="13" borderId="1" xfId="1" applyNumberFormat="1" applyFont="1" applyFill="1" applyBorder="1" applyAlignment="1">
      <alignment wrapText="1"/>
    </xf>
    <xf numFmtId="0" fontId="35" fillId="13" borderId="1" xfId="0" applyFont="1" applyFill="1" applyBorder="1" applyAlignment="1">
      <alignment wrapText="1"/>
    </xf>
    <xf numFmtId="165" fontId="19" fillId="13" borderId="1" xfId="1" applyNumberFormat="1" applyFont="1" applyFill="1" applyBorder="1" applyAlignment="1">
      <alignment wrapText="1"/>
    </xf>
    <xf numFmtId="165" fontId="19" fillId="13" borderId="1" xfId="1" applyNumberFormat="1" applyFont="1" applyFill="1" applyBorder="1" applyAlignment="1"/>
    <xf numFmtId="165" fontId="31" fillId="13" borderId="1" xfId="1" applyNumberFormat="1" applyFont="1" applyFill="1" applyBorder="1" applyAlignment="1">
      <alignment wrapText="1"/>
    </xf>
    <xf numFmtId="165" fontId="19" fillId="13" borderId="4" xfId="1" applyNumberFormat="1" applyFont="1" applyFill="1" applyBorder="1" applyAlignment="1">
      <alignment wrapText="1"/>
    </xf>
    <xf numFmtId="0" fontId="5" fillId="13" borderId="11" xfId="0" applyFont="1" applyFill="1" applyBorder="1" applyAlignment="1">
      <alignment wrapText="1"/>
    </xf>
    <xf numFmtId="165" fontId="5" fillId="13" borderId="61" xfId="1" applyNumberFormat="1" applyFont="1" applyFill="1" applyBorder="1" applyAlignment="1">
      <alignment wrapText="1"/>
    </xf>
    <xf numFmtId="165" fontId="20" fillId="13" borderId="0" xfId="1" applyNumberFormat="1" applyFont="1" applyFill="1" applyBorder="1" applyAlignment="1">
      <alignment wrapText="1"/>
    </xf>
    <xf numFmtId="0" fontId="25" fillId="13" borderId="3" xfId="0" applyFont="1" applyFill="1" applyBorder="1" applyAlignment="1">
      <alignment wrapText="1"/>
    </xf>
    <xf numFmtId="0" fontId="5" fillId="13" borderId="3" xfId="0" applyFont="1" applyFill="1" applyBorder="1" applyAlignment="1">
      <alignment wrapText="1"/>
    </xf>
    <xf numFmtId="0" fontId="0" fillId="13" borderId="1" xfId="0" applyFont="1" applyFill="1" applyBorder="1" applyAlignment="1"/>
    <xf numFmtId="0" fontId="5" fillId="23" borderId="3" xfId="0" applyFont="1" applyFill="1" applyBorder="1" applyAlignment="1">
      <alignment wrapText="1"/>
    </xf>
    <xf numFmtId="0" fontId="5" fillId="23" borderId="1" xfId="0" applyFont="1" applyFill="1" applyBorder="1" applyAlignment="1">
      <alignment wrapText="1"/>
    </xf>
    <xf numFmtId="0" fontId="25" fillId="23" borderId="1" xfId="0" applyFont="1" applyFill="1" applyBorder="1" applyAlignment="1">
      <alignment wrapText="1"/>
    </xf>
    <xf numFmtId="165" fontId="25" fillId="23" borderId="1" xfId="1" applyNumberFormat="1" applyFont="1" applyFill="1" applyBorder="1" applyAlignment="1">
      <alignment wrapText="1"/>
    </xf>
    <xf numFmtId="165" fontId="25" fillId="24" borderId="1" xfId="1" applyNumberFormat="1" applyFont="1" applyFill="1" applyBorder="1" applyAlignment="1">
      <alignment wrapText="1"/>
    </xf>
    <xf numFmtId="165" fontId="20" fillId="11" borderId="1" xfId="1" applyNumberFormat="1" applyFont="1" applyFill="1" applyBorder="1" applyAlignment="1">
      <alignment wrapText="1"/>
    </xf>
    <xf numFmtId="165" fontId="25" fillId="23" borderId="1" xfId="1" applyNumberFormat="1" applyFont="1" applyFill="1" applyBorder="1" applyAlignment="1"/>
    <xf numFmtId="165" fontId="25" fillId="24" borderId="1" xfId="1" applyNumberFormat="1" applyFont="1" applyFill="1" applyBorder="1" applyAlignment="1"/>
    <xf numFmtId="165" fontId="25" fillId="24" borderId="4" xfId="1" applyNumberFormat="1" applyFont="1" applyFill="1" applyBorder="1" applyAlignment="1"/>
    <xf numFmtId="0" fontId="5" fillId="24" borderId="1" xfId="0" applyFont="1" applyFill="1" applyBorder="1" applyAlignment="1">
      <alignment wrapText="1"/>
    </xf>
    <xf numFmtId="0" fontId="25" fillId="24" borderId="1" xfId="0" applyFont="1" applyFill="1" applyBorder="1" applyAlignment="1">
      <alignment wrapText="1"/>
    </xf>
    <xf numFmtId="0" fontId="25" fillId="6" borderId="3" xfId="0" applyFont="1" applyFill="1" applyBorder="1" applyAlignment="1">
      <alignment wrapText="1"/>
    </xf>
    <xf numFmtId="0" fontId="5" fillId="6" borderId="1" xfId="0" applyFont="1" applyFill="1" applyBorder="1" applyAlignment="1">
      <alignment wrapText="1"/>
    </xf>
    <xf numFmtId="0" fontId="25" fillId="6" borderId="1" xfId="0" applyFont="1" applyFill="1" applyBorder="1" applyAlignment="1">
      <alignment wrapText="1"/>
    </xf>
    <xf numFmtId="165" fontId="25" fillId="6" borderId="1" xfId="1" applyNumberFormat="1" applyFont="1" applyFill="1" applyBorder="1" applyAlignment="1">
      <alignment wrapText="1"/>
    </xf>
    <xf numFmtId="165" fontId="25" fillId="6" borderId="1" xfId="1" applyNumberFormat="1" applyFont="1" applyFill="1" applyBorder="1" applyAlignment="1"/>
    <xf numFmtId="165" fontId="25" fillId="6" borderId="4" xfId="1" applyNumberFormat="1" applyFont="1" applyFill="1" applyBorder="1" applyAlignment="1"/>
    <xf numFmtId="0" fontId="5" fillId="24" borderId="3" xfId="0" applyFont="1" applyFill="1" applyBorder="1" applyAlignment="1">
      <alignment wrapText="1"/>
    </xf>
    <xf numFmtId="0" fontId="5" fillId="0" borderId="3" xfId="0" applyFont="1" applyFill="1" applyBorder="1" applyAlignment="1">
      <alignment wrapText="1"/>
    </xf>
    <xf numFmtId="0" fontId="5" fillId="0" borderId="1" xfId="0" applyFont="1" applyBorder="1" applyAlignment="1">
      <alignment wrapText="1"/>
    </xf>
    <xf numFmtId="0" fontId="21" fillId="0" borderId="1" xfId="0" applyFont="1" applyBorder="1" applyAlignment="1">
      <alignment wrapText="1"/>
    </xf>
    <xf numFmtId="165" fontId="5" fillId="0" borderId="1" xfId="1" applyNumberFormat="1" applyFont="1" applyFill="1" applyBorder="1" applyAlignment="1">
      <alignment wrapText="1"/>
    </xf>
    <xf numFmtId="165" fontId="5" fillId="0" borderId="1" xfId="1" applyNumberFormat="1" applyFont="1" applyBorder="1" applyAlignment="1">
      <alignment wrapText="1"/>
    </xf>
    <xf numFmtId="165" fontId="5" fillId="7" borderId="1" xfId="1" applyNumberFormat="1" applyFont="1" applyFill="1" applyBorder="1" applyAlignment="1">
      <alignment wrapText="1"/>
    </xf>
    <xf numFmtId="165" fontId="20" fillId="8" borderId="1" xfId="1" applyNumberFormat="1" applyFont="1" applyFill="1" applyBorder="1" applyAlignment="1"/>
    <xf numFmtId="165" fontId="20" fillId="8" borderId="4" xfId="1" applyNumberFormat="1" applyFont="1" applyFill="1" applyBorder="1" applyAlignment="1"/>
    <xf numFmtId="165" fontId="19" fillId="0" borderId="1" xfId="1" applyNumberFormat="1" applyFont="1" applyFill="1" applyBorder="1" applyAlignment="1"/>
    <xf numFmtId="165" fontId="31" fillId="0" borderId="1" xfId="1" applyNumberFormat="1" applyFont="1" applyFill="1" applyBorder="1" applyAlignment="1">
      <alignment wrapText="1"/>
    </xf>
    <xf numFmtId="165" fontId="19" fillId="0" borderId="4" xfId="1" applyNumberFormat="1" applyFont="1" applyFill="1" applyBorder="1" applyAlignment="1"/>
    <xf numFmtId="165" fontId="19" fillId="0" borderId="90" xfId="1" applyNumberFormat="1" applyFont="1" applyBorder="1" applyAlignment="1"/>
    <xf numFmtId="165" fontId="19" fillId="13" borderId="90" xfId="1" applyNumberFormat="1" applyFont="1" applyFill="1" applyBorder="1" applyAlignment="1"/>
    <xf numFmtId="43" fontId="19" fillId="0" borderId="90" xfId="1" applyFont="1" applyFill="1" applyBorder="1" applyAlignment="1"/>
    <xf numFmtId="165" fontId="31" fillId="0" borderId="90" xfId="1" applyNumberFormat="1" applyFont="1" applyFill="1" applyBorder="1" applyAlignment="1"/>
    <xf numFmtId="165" fontId="19" fillId="0" borderId="91" xfId="1" applyNumberFormat="1" applyFont="1" applyBorder="1" applyAlignment="1"/>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19" fillId="10" borderId="1" xfId="0" applyFont="1" applyFill="1" applyBorder="1" applyAlignment="1">
      <alignment horizontal="left" vertical="center" wrapText="1"/>
    </xf>
    <xf numFmtId="0" fontId="19" fillId="18"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11" borderId="64" xfId="0" applyFont="1" applyFill="1" applyBorder="1" applyAlignment="1">
      <alignment horizontal="left" vertical="center"/>
    </xf>
    <xf numFmtId="0" fontId="18" fillId="11" borderId="27" xfId="0" applyFont="1" applyFill="1" applyBorder="1" applyAlignment="1">
      <alignment horizontal="left" vertical="center"/>
    </xf>
    <xf numFmtId="0" fontId="19" fillId="7" borderId="64" xfId="0" applyFont="1" applyFill="1" applyBorder="1" applyAlignment="1">
      <alignment horizontal="left" vertical="center" wrapText="1"/>
    </xf>
    <xf numFmtId="0" fontId="19" fillId="7" borderId="27" xfId="0" applyFont="1" applyFill="1" applyBorder="1" applyAlignment="1">
      <alignment horizontal="left" vertical="center" wrapText="1"/>
    </xf>
    <xf numFmtId="0" fontId="19" fillId="0" borderId="26" xfId="0" applyFont="1" applyBorder="1" applyAlignment="1">
      <alignment horizontal="left" vertical="center" wrapText="1"/>
    </xf>
    <xf numFmtId="0" fontId="19" fillId="0" borderId="28" xfId="0" applyFont="1" applyBorder="1" applyAlignment="1">
      <alignment horizontal="left" vertical="center" wrapText="1"/>
    </xf>
    <xf numFmtId="0" fontId="19" fillId="2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31" borderId="1" xfId="0" applyFont="1" applyFill="1" applyBorder="1" applyAlignment="1">
      <alignment horizontal="center" vertical="center"/>
    </xf>
    <xf numFmtId="0" fontId="19" fillId="20" borderId="1" xfId="0" applyFont="1" applyFill="1" applyBorder="1" applyAlignment="1">
      <alignment horizontal="center" vertical="center" wrapText="1"/>
    </xf>
    <xf numFmtId="0" fontId="30" fillId="0" borderId="1" xfId="0" applyFont="1" applyBorder="1" applyAlignment="1">
      <alignment horizontal="center" vertical="center"/>
    </xf>
    <xf numFmtId="0" fontId="19" fillId="2" borderId="64"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7" xfId="0" applyFont="1" applyFill="1" applyBorder="1" applyAlignment="1">
      <alignment horizontal="left" vertical="center" wrapText="1"/>
    </xf>
    <xf numFmtId="0" fontId="19" fillId="29" borderId="1" xfId="0" applyFont="1" applyFill="1" applyBorder="1" applyAlignment="1">
      <alignment horizontal="left" vertical="center" wrapText="1"/>
    </xf>
    <xf numFmtId="0" fontId="19" fillId="29" borderId="1" xfId="0" applyFont="1" applyFill="1" applyBorder="1" applyAlignment="1">
      <alignment horizontal="center" vertical="center" wrapText="1"/>
    </xf>
    <xf numFmtId="0" fontId="19" fillId="13" borderId="1" xfId="0" applyFont="1" applyFill="1" applyBorder="1" applyAlignment="1">
      <alignment horizontal="left" vertical="center" wrapText="1"/>
    </xf>
    <xf numFmtId="0" fontId="6" fillId="3" borderId="39" xfId="0" applyFont="1" applyFill="1" applyBorder="1" applyAlignment="1">
      <alignment vertical="center" wrapText="1"/>
    </xf>
    <xf numFmtId="0" fontId="6" fillId="3" borderId="33" xfId="0" applyFont="1" applyFill="1" applyBorder="1" applyAlignment="1">
      <alignment vertical="center" wrapText="1"/>
    </xf>
    <xf numFmtId="0" fontId="12" fillId="0" borderId="34" xfId="0" applyFont="1" applyBorder="1" applyAlignment="1">
      <alignment horizontal="left" wrapText="1"/>
    </xf>
    <xf numFmtId="0" fontId="12" fillId="0" borderId="0" xfId="0" applyFont="1" applyAlignment="1">
      <alignment horizontal="left" vertical="top" wrapText="1"/>
    </xf>
    <xf numFmtId="0" fontId="6" fillId="0" borderId="56" xfId="0" applyFont="1" applyBorder="1" applyAlignment="1">
      <alignment horizontal="center" vertical="center" wrapText="1"/>
    </xf>
    <xf numFmtId="0" fontId="6"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33" xfId="0" applyFont="1" applyBorder="1" applyAlignment="1">
      <alignment horizontal="center" vertical="center" wrapText="1"/>
    </xf>
    <xf numFmtId="0" fontId="7" fillId="3" borderId="49" xfId="0" applyFont="1" applyFill="1" applyBorder="1" applyAlignment="1">
      <alignment vertical="center" wrapText="1"/>
    </xf>
    <xf numFmtId="0" fontId="7" fillId="3" borderId="50" xfId="0" applyFont="1" applyFill="1" applyBorder="1" applyAlignment="1">
      <alignment vertical="center" wrapText="1"/>
    </xf>
    <xf numFmtId="0" fontId="6" fillId="3" borderId="51" xfId="0" applyFont="1" applyFill="1" applyBorder="1" applyAlignment="1">
      <alignment vertical="center" wrapText="1"/>
    </xf>
    <xf numFmtId="0" fontId="6" fillId="3" borderId="52" xfId="0" applyFont="1" applyFill="1" applyBorder="1" applyAlignment="1">
      <alignment vertical="center" wrapText="1"/>
    </xf>
    <xf numFmtId="0" fontId="8" fillId="5" borderId="53" xfId="0" applyFont="1" applyFill="1" applyBorder="1" applyAlignment="1">
      <alignment horizontal="center" vertical="center"/>
    </xf>
    <xf numFmtId="0" fontId="8" fillId="5" borderId="54"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5" xfId="0" applyFont="1" applyFill="1" applyBorder="1" applyAlignment="1">
      <alignment horizontal="center" vertical="center"/>
    </xf>
    <xf numFmtId="0" fontId="6" fillId="0" borderId="55" xfId="0" applyFont="1" applyBorder="1" applyAlignment="1">
      <alignment horizontal="center" vertical="center" wrapText="1"/>
    </xf>
    <xf numFmtId="0" fontId="6" fillId="0" borderId="57" xfId="0" applyFont="1" applyBorder="1" applyAlignment="1">
      <alignment horizontal="center" vertical="center" wrapText="1"/>
    </xf>
    <xf numFmtId="0" fontId="1" fillId="0" borderId="39" xfId="0" applyFont="1" applyBorder="1" applyAlignment="1">
      <alignment horizontal="center"/>
    </xf>
    <xf numFmtId="0" fontId="1" fillId="0" borderId="46" xfId="0" applyFont="1" applyBorder="1" applyAlignment="1">
      <alignment horizontal="center"/>
    </xf>
    <xf numFmtId="0" fontId="1" fillId="0" borderId="33" xfId="0" applyFont="1" applyBorder="1" applyAlignment="1">
      <alignment horizontal="center"/>
    </xf>
    <xf numFmtId="3" fontId="10" fillId="4" borderId="46" xfId="0" applyNumberFormat="1" applyFont="1" applyFill="1" applyBorder="1" applyAlignment="1">
      <alignment horizontal="center" vertical="center" wrapText="1"/>
    </xf>
    <xf numFmtId="3" fontId="10" fillId="4" borderId="33" xfId="0" applyNumberFormat="1" applyFont="1" applyFill="1" applyBorder="1" applyAlignment="1">
      <alignment horizontal="center" vertical="center" wrapText="1"/>
    </xf>
    <xf numFmtId="0" fontId="6" fillId="3" borderId="43" xfId="0" applyFont="1" applyFill="1" applyBorder="1" applyAlignment="1">
      <alignment vertical="center" wrapText="1"/>
    </xf>
    <xf numFmtId="0" fontId="6" fillId="5" borderId="29" xfId="0" applyFont="1" applyFill="1" applyBorder="1" applyAlignment="1">
      <alignment horizontal="center" vertical="center" wrapText="1"/>
    </xf>
    <xf numFmtId="0" fontId="6" fillId="5" borderId="44"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33" xfId="0" applyFont="1" applyBorder="1" applyAlignment="1">
      <alignment horizontal="center" vertical="center"/>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9" fillId="0" borderId="9" xfId="0" applyFont="1" applyBorder="1" applyAlignment="1">
      <alignment horizontal="left" vertical="center"/>
    </xf>
    <xf numFmtId="0" fontId="19" fillId="0" borderId="18" xfId="0" applyFont="1" applyBorder="1" applyAlignment="1">
      <alignment horizontal="left" vertical="center"/>
    </xf>
    <xf numFmtId="0" fontId="0" fillId="0" borderId="0" xfId="0" applyAlignment="1">
      <alignment horizontal="center" vertical="center"/>
    </xf>
    <xf numFmtId="0" fontId="18" fillId="11" borderId="63" xfId="0" applyFont="1" applyFill="1" applyBorder="1" applyAlignment="1">
      <alignment horizontal="left" vertical="center"/>
    </xf>
    <xf numFmtId="0" fontId="18" fillId="11" borderId="2" xfId="0" applyFont="1" applyFill="1" applyBorder="1" applyAlignment="1">
      <alignment horizontal="left" vertical="center"/>
    </xf>
    <xf numFmtId="0" fontId="19" fillId="7" borderId="19" xfId="0" applyFont="1" applyFill="1" applyBorder="1" applyAlignment="1">
      <alignment horizontal="left" vertical="center" wrapText="1"/>
    </xf>
    <xf numFmtId="0" fontId="19" fillId="7" borderId="9" xfId="0" applyFont="1" applyFill="1" applyBorder="1" applyAlignment="1">
      <alignment horizontal="left" vertical="center" wrapText="1"/>
    </xf>
    <xf numFmtId="0" fontId="19" fillId="0" borderId="8" xfId="0" applyFont="1" applyBorder="1" applyAlignment="1">
      <alignment horizontal="left" vertical="center" wrapText="1"/>
    </xf>
    <xf numFmtId="0" fontId="19" fillId="0" borderId="18" xfId="0" applyFont="1" applyBorder="1" applyAlignment="1">
      <alignment horizontal="left" vertical="center" wrapText="1"/>
    </xf>
    <xf numFmtId="0" fontId="19" fillId="0" borderId="3" xfId="0" applyFont="1" applyFill="1" applyBorder="1" applyAlignment="1">
      <alignment wrapText="1"/>
    </xf>
    <xf numFmtId="0" fontId="19" fillId="0" borderId="1" xfId="0" applyFont="1" applyFill="1" applyBorder="1" applyAlignment="1">
      <alignment wrapText="1"/>
    </xf>
    <xf numFmtId="0" fontId="19" fillId="0" borderId="89" xfId="0" applyFont="1" applyFill="1" applyBorder="1" applyAlignment="1">
      <alignment wrapText="1"/>
    </xf>
    <xf numFmtId="0" fontId="19" fillId="0" borderId="90" xfId="0" applyFont="1" applyFill="1" applyBorder="1" applyAlignment="1">
      <alignment wrapText="1"/>
    </xf>
    <xf numFmtId="0" fontId="19" fillId="13" borderId="1" xfId="0" applyFont="1" applyFill="1" applyBorder="1" applyAlignment="1">
      <alignment wrapText="1"/>
    </xf>
    <xf numFmtId="0" fontId="30" fillId="14" borderId="1" xfId="0" applyFont="1" applyFill="1" applyBorder="1" applyAlignment="1"/>
    <xf numFmtId="0" fontId="30" fillId="14" borderId="4" xfId="0" applyFont="1" applyFill="1" applyBorder="1" applyAlignment="1"/>
    <xf numFmtId="0" fontId="30" fillId="14" borderId="3" xfId="0" applyFont="1" applyFill="1" applyBorder="1" applyAlignment="1"/>
    <xf numFmtId="0" fontId="19" fillId="13" borderId="3" xfId="0" applyFont="1" applyFill="1" applyBorder="1" applyAlignment="1">
      <alignment wrapText="1"/>
    </xf>
    <xf numFmtId="0" fontId="31" fillId="2" borderId="19" xfId="0" applyFont="1" applyFill="1" applyBorder="1" applyAlignment="1">
      <alignment horizontal="left" vertical="center"/>
    </xf>
    <xf numFmtId="0" fontId="31" fillId="2" borderId="9" xfId="0" applyFont="1" applyFill="1" applyBorder="1" applyAlignment="1">
      <alignment horizontal="left" vertical="center"/>
    </xf>
    <xf numFmtId="0" fontId="31" fillId="2" borderId="19"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18" xfId="0" applyFont="1" applyFill="1" applyBorder="1" applyAlignment="1">
      <alignment horizontal="left" vertical="center" wrapText="1"/>
    </xf>
    <xf numFmtId="0" fontId="31" fillId="2" borderId="18" xfId="0" applyFont="1" applyFill="1" applyBorder="1" applyAlignment="1">
      <alignment horizontal="left" vertical="center"/>
    </xf>
    <xf numFmtId="0" fontId="1" fillId="0" borderId="27" xfId="0" applyFont="1" applyBorder="1" applyAlignment="1">
      <alignment horizontal="center"/>
    </xf>
    <xf numFmtId="0" fontId="1" fillId="0" borderId="28" xfId="0" applyFont="1" applyBorder="1" applyAlignment="1">
      <alignment horizontal="center"/>
    </xf>
    <xf numFmtId="0" fontId="15" fillId="14" borderId="38" xfId="0" applyFont="1" applyFill="1" applyBorder="1" applyAlignment="1">
      <alignment vertical="center" wrapText="1"/>
    </xf>
    <xf numFmtId="0" fontId="15" fillId="14" borderId="40" xfId="0" applyFont="1" applyFill="1" applyBorder="1" applyAlignment="1">
      <alignment vertical="center" wrapText="1"/>
    </xf>
    <xf numFmtId="0" fontId="15" fillId="14" borderId="39" xfId="0" applyFont="1" applyFill="1" applyBorder="1" applyAlignment="1">
      <alignment horizontal="center" vertical="center" wrapText="1"/>
    </xf>
    <xf numFmtId="0" fontId="15" fillId="14" borderId="46" xfId="0" applyFont="1" applyFill="1" applyBorder="1" applyAlignment="1">
      <alignment horizontal="center" vertical="center" wrapText="1"/>
    </xf>
    <xf numFmtId="0" fontId="15" fillId="14" borderId="33" xfId="0" applyFont="1" applyFill="1" applyBorder="1" applyAlignment="1">
      <alignment horizontal="center" vertical="center" wrapText="1"/>
    </xf>
    <xf numFmtId="0" fontId="15" fillId="15" borderId="41" xfId="0" applyFont="1" applyFill="1" applyBorder="1" applyAlignment="1">
      <alignment horizontal="center" vertical="center" wrapText="1"/>
    </xf>
    <xf numFmtId="0" fontId="15" fillId="15" borderId="38" xfId="0" applyFont="1" applyFill="1" applyBorder="1" applyAlignment="1">
      <alignment horizontal="center" vertical="center" wrapText="1"/>
    </xf>
    <xf numFmtId="0" fontId="15" fillId="15" borderId="40" xfId="0" applyFont="1" applyFill="1" applyBorder="1" applyAlignment="1">
      <alignment horizontal="center" vertical="center" wrapText="1"/>
    </xf>
    <xf numFmtId="0" fontId="15" fillId="12" borderId="39" xfId="0" applyFont="1" applyFill="1" applyBorder="1" applyAlignment="1">
      <alignment horizontal="center" vertical="center" wrapText="1"/>
    </xf>
    <xf numFmtId="0" fontId="15" fillId="12" borderId="46" xfId="0" applyFont="1" applyFill="1" applyBorder="1" applyAlignment="1">
      <alignment horizontal="center" vertical="center" wrapText="1"/>
    </xf>
    <xf numFmtId="0" fontId="15" fillId="12" borderId="33" xfId="0" applyFont="1" applyFill="1" applyBorder="1" applyAlignment="1">
      <alignment horizontal="center" vertical="center" wrapText="1"/>
    </xf>
    <xf numFmtId="0" fontId="15" fillId="15" borderId="41" xfId="0" applyFont="1" applyFill="1" applyBorder="1" applyAlignment="1">
      <alignment vertical="center" wrapText="1"/>
    </xf>
    <xf numFmtId="0" fontId="15" fillId="15" borderId="38" xfId="0" applyFont="1" applyFill="1" applyBorder="1" applyAlignment="1">
      <alignment vertical="center" wrapText="1"/>
    </xf>
    <xf numFmtId="0" fontId="15" fillId="15" borderId="40" xfId="0" applyFont="1" applyFill="1" applyBorder="1" applyAlignment="1">
      <alignment vertical="center" wrapText="1"/>
    </xf>
    <xf numFmtId="0" fontId="15" fillId="6" borderId="39"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33" xfId="0" applyFont="1" applyFill="1" applyBorder="1" applyAlignment="1">
      <alignment horizontal="center" vertical="center" wrapText="1"/>
    </xf>
    <xf numFmtId="0" fontId="15" fillId="16" borderId="41" xfId="0" applyFont="1" applyFill="1" applyBorder="1" applyAlignment="1">
      <alignment horizontal="center" vertical="center" wrapText="1"/>
    </xf>
    <xf numFmtId="0" fontId="15" fillId="16" borderId="40" xfId="0" applyFont="1" applyFill="1" applyBorder="1" applyAlignment="1">
      <alignment horizontal="center" vertical="center" wrapText="1"/>
    </xf>
    <xf numFmtId="3" fontId="15" fillId="14" borderId="41" xfId="0" applyNumberFormat="1" applyFont="1" applyFill="1" applyBorder="1" applyAlignment="1">
      <alignment horizontal="center" vertical="center" wrapText="1"/>
    </xf>
    <xf numFmtId="3" fontId="15" fillId="14" borderId="40" xfId="0" applyNumberFormat="1" applyFont="1" applyFill="1" applyBorder="1" applyAlignment="1">
      <alignment horizontal="center" vertical="center" wrapText="1"/>
    </xf>
    <xf numFmtId="4" fontId="15" fillId="14" borderId="41" xfId="0" applyNumberFormat="1" applyFont="1" applyFill="1" applyBorder="1" applyAlignment="1">
      <alignment horizontal="center" vertical="center" wrapText="1"/>
    </xf>
    <xf numFmtId="0" fontId="15" fillId="14" borderId="40" xfId="0" applyFont="1" applyFill="1" applyBorder="1" applyAlignment="1">
      <alignment horizontal="center" vertical="center" wrapText="1"/>
    </xf>
    <xf numFmtId="0" fontId="44" fillId="0" borderId="82" xfId="0" applyFont="1" applyBorder="1" applyAlignment="1">
      <alignment horizontal="center" vertical="center" wrapText="1"/>
    </xf>
    <xf numFmtId="0" fontId="44" fillId="0" borderId="70" xfId="0" applyFont="1" applyBorder="1" applyAlignment="1">
      <alignment horizontal="center" vertical="center" wrapText="1"/>
    </xf>
    <xf numFmtId="0" fontId="44" fillId="0" borderId="83" xfId="0" applyFont="1" applyBorder="1" applyAlignment="1">
      <alignment horizontal="center" vertical="center" wrapText="1"/>
    </xf>
    <xf numFmtId="0" fontId="42" fillId="0" borderId="72" xfId="0" applyFont="1" applyBorder="1" applyAlignment="1">
      <alignment horizontal="center" vertical="center" wrapText="1"/>
    </xf>
    <xf numFmtId="0" fontId="42" fillId="0" borderId="78"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74" xfId="0" applyFont="1" applyBorder="1" applyAlignment="1">
      <alignment horizontal="center" vertical="center" wrapText="1"/>
    </xf>
    <xf numFmtId="0" fontId="42" fillId="0" borderId="75" xfId="0" applyFont="1" applyBorder="1" applyAlignment="1">
      <alignment horizontal="center" vertical="center" wrapText="1"/>
    </xf>
    <xf numFmtId="0" fontId="42" fillId="0" borderId="67"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76" xfId="0" applyFont="1" applyBorder="1" applyAlignment="1">
      <alignment horizontal="center" vertical="center" wrapText="1"/>
    </xf>
    <xf numFmtId="0" fontId="42" fillId="0" borderId="77"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79" xfId="0" applyFont="1" applyBorder="1" applyAlignment="1">
      <alignment horizontal="center" vertical="center" wrapText="1"/>
    </xf>
    <xf numFmtId="0" fontId="42" fillId="0" borderId="68" xfId="0" applyFont="1" applyBorder="1" applyAlignment="1">
      <alignment horizontal="center" vertical="center" wrapText="1"/>
    </xf>
    <xf numFmtId="0" fontId="42" fillId="0" borderId="69" xfId="0" applyFont="1" applyBorder="1" applyAlignment="1">
      <alignment horizontal="center" vertical="center" wrapText="1"/>
    </xf>
    <xf numFmtId="0" fontId="42" fillId="0" borderId="84" xfId="0" applyFont="1" applyBorder="1" applyAlignment="1">
      <alignment horizontal="center" vertical="center" wrapText="1"/>
    </xf>
    <xf numFmtId="0" fontId="42" fillId="0" borderId="71"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85" xfId="0" applyFont="1" applyBorder="1" applyAlignment="1">
      <alignment horizontal="center" vertical="center" wrapText="1"/>
    </xf>
    <xf numFmtId="3" fontId="42" fillId="0" borderId="68" xfId="0" applyNumberFormat="1" applyFont="1" applyBorder="1" applyAlignment="1">
      <alignment horizontal="center" vertical="center" wrapText="1"/>
    </xf>
    <xf numFmtId="3" fontId="42" fillId="0" borderId="66" xfId="0" applyNumberFormat="1" applyFont="1" applyBorder="1" applyAlignment="1">
      <alignment horizontal="center" vertical="center" wrapText="1"/>
    </xf>
    <xf numFmtId="3" fontId="42" fillId="0" borderId="86" xfId="0" applyNumberFormat="1" applyFont="1" applyBorder="1" applyAlignment="1">
      <alignment horizontal="center" vertical="center" wrapText="1"/>
    </xf>
    <xf numFmtId="3" fontId="42" fillId="0" borderId="87" xfId="0" applyNumberFormat="1" applyFont="1" applyBorder="1" applyAlignment="1">
      <alignment horizontal="center" vertical="center" wrapText="1"/>
    </xf>
    <xf numFmtId="0" fontId="42" fillId="6" borderId="24" xfId="0" applyFont="1" applyFill="1" applyBorder="1" applyAlignment="1">
      <alignment horizontal="center" vertical="center" wrapText="1"/>
    </xf>
    <xf numFmtId="0" fontId="42" fillId="6" borderId="59" xfId="0" applyFont="1" applyFill="1" applyBorder="1" applyAlignment="1">
      <alignment horizontal="center" vertical="center" wrapText="1"/>
    </xf>
    <xf numFmtId="0" fontId="42" fillId="6" borderId="88" xfId="0" applyFont="1" applyFill="1" applyBorder="1" applyAlignment="1">
      <alignment horizontal="center" vertical="center" wrapText="1"/>
    </xf>
    <xf numFmtId="0" fontId="41" fillId="0" borderId="1" xfId="0" applyFont="1" applyBorder="1" applyAlignment="1">
      <alignment horizontal="center" vertical="center" wrapText="1"/>
    </xf>
    <xf numFmtId="1" fontId="42" fillId="0" borderId="68" xfId="0" applyNumberFormat="1" applyFont="1" applyBorder="1" applyAlignment="1">
      <alignment horizontal="center" vertical="center" wrapText="1"/>
    </xf>
    <xf numFmtId="1" fontId="42" fillId="0" borderId="66" xfId="0" applyNumberFormat="1" applyFont="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FF3399"/>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Ragland-Greene, Rachelle - FNS" id="{B3BB39A3-D017-4D11-9CA3-5ECC835349BC}" userId="S::rachelle.ragland-greene@usda.gov::b22f69bd-7b27-4450-9903-9c04f006b98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 dT="2022-06-07T10:55:13.09" personId="{B3BB39A3-D017-4D11-9CA3-5ECC835349BC}" id="{03DA04B4-DEFF-4FE3-A83D-2A3A45A9EEC0}">
    <text>leave these frequency per respondent flushed out past the decimal; 3320 x1 = 3320 and since there is more responses, we have to use 3320 x 1.02632 to equal column F which is 3330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D85"/>
  <sheetViews>
    <sheetView tabSelected="1" zoomScale="80" zoomScaleNormal="80" workbookViewId="0">
      <selection activeCell="B2" sqref="B2"/>
    </sheetView>
  </sheetViews>
  <sheetFormatPr defaultColWidth="33.7265625" defaultRowHeight="18.5" x14ac:dyDescent="0.45"/>
  <cols>
    <col min="1" max="1" width="8.6328125" style="112" customWidth="1"/>
    <col min="2" max="2" width="38.54296875" style="112" customWidth="1"/>
    <col min="3" max="3" width="18.26953125" style="112" customWidth="1"/>
    <col min="4" max="10" width="33.7265625" style="112"/>
    <col min="11" max="11" width="33.7265625" style="191"/>
    <col min="12" max="17" width="33.7265625" style="114"/>
    <col min="18" max="18" width="33.7265625" style="112"/>
    <col min="19" max="21" width="33.7265625" style="114"/>
    <col min="22" max="16384" width="33.7265625" style="112"/>
  </cols>
  <sheetData>
    <row r="1" spans="1:26" ht="55.5" customHeight="1" x14ac:dyDescent="0.45">
      <c r="A1" s="262"/>
      <c r="B1" s="262"/>
      <c r="C1" s="262"/>
      <c r="D1" s="503" t="s">
        <v>0</v>
      </c>
      <c r="E1" s="504"/>
      <c r="F1" s="504"/>
      <c r="G1" s="504"/>
      <c r="H1" s="504"/>
      <c r="I1" s="327" t="s">
        <v>1</v>
      </c>
      <c r="J1" s="327"/>
      <c r="K1" s="328" t="s">
        <v>2</v>
      </c>
      <c r="L1" s="505" t="s">
        <v>3</v>
      </c>
      <c r="M1" s="506"/>
      <c r="N1" s="506"/>
      <c r="O1" s="506" t="s">
        <v>4</v>
      </c>
      <c r="P1" s="506"/>
      <c r="Q1" s="329" t="s">
        <v>5</v>
      </c>
      <c r="R1" s="507" t="s">
        <v>6</v>
      </c>
      <c r="S1" s="508"/>
      <c r="T1" s="498" t="s">
        <v>7</v>
      </c>
      <c r="U1" s="498"/>
      <c r="V1" s="499"/>
      <c r="W1" s="155"/>
      <c r="X1" s="152"/>
      <c r="Y1" s="152"/>
      <c r="Z1" s="152"/>
    </row>
    <row r="2" spans="1:26" ht="42" customHeight="1" x14ac:dyDescent="0.45">
      <c r="A2" s="166" t="s">
        <v>8</v>
      </c>
      <c r="B2" s="166" t="s">
        <v>9</v>
      </c>
      <c r="C2" s="167" t="s">
        <v>10</v>
      </c>
      <c r="D2" s="167" t="s">
        <v>11</v>
      </c>
      <c r="E2" s="167" t="s">
        <v>12</v>
      </c>
      <c r="F2" s="167" t="s">
        <v>13</v>
      </c>
      <c r="G2" s="167" t="s">
        <v>14</v>
      </c>
      <c r="H2" s="167" t="s">
        <v>15</v>
      </c>
      <c r="I2" s="267" t="s">
        <v>16</v>
      </c>
      <c r="J2" s="167" t="s">
        <v>17</v>
      </c>
      <c r="K2" s="330" t="s">
        <v>18</v>
      </c>
      <c r="L2" s="331" t="s">
        <v>19</v>
      </c>
      <c r="M2" s="331" t="s">
        <v>20</v>
      </c>
      <c r="N2" s="331" t="s">
        <v>21</v>
      </c>
      <c r="O2" s="331" t="s">
        <v>22</v>
      </c>
      <c r="P2" s="331" t="s">
        <v>23</v>
      </c>
      <c r="Q2" s="331" t="s">
        <v>24</v>
      </c>
      <c r="R2" s="167" t="s">
        <v>25</v>
      </c>
      <c r="S2" s="332" t="s">
        <v>26</v>
      </c>
      <c r="T2" s="332" t="s">
        <v>27</v>
      </c>
      <c r="U2" s="332" t="s">
        <v>28</v>
      </c>
      <c r="V2" s="332" t="s">
        <v>29</v>
      </c>
      <c r="W2" s="155"/>
      <c r="X2" s="153" t="s">
        <v>30</v>
      </c>
      <c r="Y2" s="154" t="s">
        <v>31</v>
      </c>
      <c r="Z2" s="153" t="s">
        <v>32</v>
      </c>
    </row>
    <row r="3" spans="1:26" ht="23.5" x14ac:dyDescent="0.45">
      <c r="A3" s="511" t="s">
        <v>33</v>
      </c>
      <c r="B3" s="511"/>
      <c r="C3" s="511"/>
      <c r="D3" s="511"/>
      <c r="E3" s="511"/>
      <c r="F3" s="511"/>
      <c r="G3" s="511"/>
      <c r="H3" s="511"/>
      <c r="I3" s="511"/>
      <c r="J3" s="511"/>
      <c r="K3" s="511"/>
      <c r="L3" s="511"/>
      <c r="M3" s="511"/>
      <c r="N3" s="511"/>
      <c r="O3" s="511"/>
      <c r="P3" s="511"/>
      <c r="Q3" s="511"/>
      <c r="R3" s="511"/>
      <c r="S3" s="511"/>
      <c r="T3" s="511"/>
      <c r="U3" s="511"/>
      <c r="V3" s="511"/>
      <c r="W3" s="155"/>
      <c r="X3" s="153"/>
      <c r="Y3" s="154"/>
      <c r="Z3" s="153"/>
    </row>
    <row r="4" spans="1:26" s="114" customFormat="1" x14ac:dyDescent="0.45">
      <c r="A4" s="175" t="s">
        <v>34</v>
      </c>
      <c r="B4" s="175" t="s">
        <v>35</v>
      </c>
      <c r="C4" s="175" t="s">
        <v>36</v>
      </c>
      <c r="D4" s="219">
        <v>30</v>
      </c>
      <c r="E4" s="219">
        <v>1</v>
      </c>
      <c r="F4" s="219">
        <f t="shared" ref="F4:F40" si="0">D4*E4</f>
        <v>30</v>
      </c>
      <c r="G4" s="219">
        <v>53.582999999999998</v>
      </c>
      <c r="H4" s="219">
        <f>F4*G4</f>
        <v>1607.49</v>
      </c>
      <c r="I4" s="219">
        <f t="shared" ref="I4:I40" si="1">D4*8</f>
        <v>240</v>
      </c>
      <c r="J4" s="219">
        <f t="shared" ref="J4" si="2">F4*6.417</f>
        <v>192.51</v>
      </c>
      <c r="K4" s="228">
        <f>J4+H4</f>
        <v>1800</v>
      </c>
      <c r="L4" s="237">
        <v>20</v>
      </c>
      <c r="M4" s="230">
        <f t="shared" ref="M4" si="3">L4*4</f>
        <v>80</v>
      </c>
      <c r="N4" s="230">
        <f t="shared" ref="N4" si="4">L4*14</f>
        <v>280</v>
      </c>
      <c r="O4" s="230">
        <f t="shared" ref="O4" si="5">L4*5</f>
        <v>100</v>
      </c>
      <c r="P4" s="230">
        <f t="shared" ref="P4" si="6">L4*14</f>
        <v>280</v>
      </c>
      <c r="Q4" s="230">
        <f t="shared" ref="Q4" si="7">N4+P4</f>
        <v>560</v>
      </c>
      <c r="R4" s="238">
        <f t="shared" ref="R4" si="8">L4*RecordResponse</f>
        <v>180</v>
      </c>
      <c r="S4" s="215">
        <f>L4*RecordHours</f>
        <v>4.5</v>
      </c>
      <c r="T4" s="215">
        <f>K4+Q4</f>
        <v>2360</v>
      </c>
      <c r="U4" s="215">
        <f>F4+M4+R4+I4+O4</f>
        <v>630</v>
      </c>
      <c r="V4" s="238">
        <f>S4+T4</f>
        <v>2364.5</v>
      </c>
      <c r="W4" s="155"/>
      <c r="X4" s="155">
        <v>1.1333333333333333</v>
      </c>
      <c r="Y4" s="156">
        <f>F4+M4</f>
        <v>110</v>
      </c>
      <c r="Z4" s="156">
        <f t="shared" ref="Z4:Z39" si="9">H4+N4</f>
        <v>1887.49</v>
      </c>
    </row>
    <row r="5" spans="1:26" s="114" customFormat="1" x14ac:dyDescent="0.45">
      <c r="A5" s="175" t="s">
        <v>37</v>
      </c>
      <c r="B5" s="175" t="s">
        <v>38</v>
      </c>
      <c r="C5" s="175" t="s">
        <v>39</v>
      </c>
      <c r="D5" s="220">
        <f>12*4</f>
        <v>48</v>
      </c>
      <c r="E5" s="220">
        <v>1</v>
      </c>
      <c r="F5" s="220">
        <f t="shared" si="0"/>
        <v>48</v>
      </c>
      <c r="G5" s="220">
        <v>33.582999999999998</v>
      </c>
      <c r="H5" s="220">
        <f t="shared" ref="H5:H40" si="10">F5*G5</f>
        <v>1611.9839999999999</v>
      </c>
      <c r="I5" s="220">
        <f t="shared" si="1"/>
        <v>384</v>
      </c>
      <c r="J5" s="220">
        <f t="shared" ref="J5:J40" si="11">F5*6.417</f>
        <v>308.01599999999996</v>
      </c>
      <c r="K5" s="228">
        <f t="shared" ref="K5:K71" si="12">J5+H5</f>
        <v>1920</v>
      </c>
      <c r="L5" s="215">
        <v>48</v>
      </c>
      <c r="M5" s="215">
        <f t="shared" ref="M5:M40" si="13">L5*4</f>
        <v>192</v>
      </c>
      <c r="N5" s="215">
        <f t="shared" ref="N5:N40" si="14">L5*14</f>
        <v>672</v>
      </c>
      <c r="O5" s="215">
        <f t="shared" ref="O5:O40" si="15">L5*5</f>
        <v>240</v>
      </c>
      <c r="P5" s="215">
        <f t="shared" ref="P5:P40" si="16">L5*14</f>
        <v>672</v>
      </c>
      <c r="Q5" s="215">
        <f t="shared" ref="Q5:Q40" si="17">N5+P5</f>
        <v>1344</v>
      </c>
      <c r="R5" s="215">
        <f t="shared" ref="R5:R40" si="18">L5*RecordResponse</f>
        <v>432</v>
      </c>
      <c r="S5" s="215">
        <f t="shared" ref="S5:S40" si="19">L5*RecordHours</f>
        <v>10.8</v>
      </c>
      <c r="T5" s="215">
        <f>K5+Q5</f>
        <v>3264</v>
      </c>
      <c r="U5" s="215">
        <f t="shared" ref="U5:U39" si="20">F5+M5+R5+I5+O5</f>
        <v>1296</v>
      </c>
      <c r="V5" s="238">
        <f t="shared" ref="V5:V7" si="21">S5+T5</f>
        <v>3274.8</v>
      </c>
      <c r="W5" s="155"/>
      <c r="X5" s="155">
        <v>5</v>
      </c>
      <c r="Y5" s="156">
        <f t="shared" ref="Y5:Y71" si="22">F5+M5</f>
        <v>240</v>
      </c>
      <c r="Z5" s="156">
        <f t="shared" si="9"/>
        <v>2283.9839999999999</v>
      </c>
    </row>
    <row r="6" spans="1:26" s="114" customFormat="1" ht="26" x14ac:dyDescent="0.45">
      <c r="A6" s="175" t="s">
        <v>40</v>
      </c>
      <c r="B6" s="175" t="s">
        <v>41</v>
      </c>
      <c r="C6" s="175" t="s">
        <v>42</v>
      </c>
      <c r="D6" s="220">
        <v>10</v>
      </c>
      <c r="E6" s="220">
        <v>1</v>
      </c>
      <c r="F6" s="220">
        <f t="shared" si="0"/>
        <v>10</v>
      </c>
      <c r="G6" s="220">
        <v>38.582999999999998</v>
      </c>
      <c r="H6" s="220">
        <f>F6*G6</f>
        <v>385.83</v>
      </c>
      <c r="I6" s="220">
        <f t="shared" si="1"/>
        <v>80</v>
      </c>
      <c r="J6" s="220">
        <f t="shared" ref="J6" si="23">F6*6.417</f>
        <v>64.17</v>
      </c>
      <c r="K6" s="228">
        <f t="shared" ref="K6" si="24">J6+H6</f>
        <v>450</v>
      </c>
      <c r="L6" s="220">
        <v>3</v>
      </c>
      <c r="M6" s="215">
        <f t="shared" ref="M6" si="25">L6*4</f>
        <v>12</v>
      </c>
      <c r="N6" s="215">
        <f t="shared" ref="N6" si="26">L6*14</f>
        <v>42</v>
      </c>
      <c r="O6" s="215">
        <f t="shared" ref="O6" si="27">L6*5</f>
        <v>15</v>
      </c>
      <c r="P6" s="215">
        <f t="shared" ref="P6" si="28">L6*14</f>
        <v>42</v>
      </c>
      <c r="Q6" s="215">
        <f t="shared" ref="Q6" si="29">N6+P6</f>
        <v>84</v>
      </c>
      <c r="R6" s="215">
        <f t="shared" ref="R6" si="30">L6*RecordResponse</f>
        <v>27</v>
      </c>
      <c r="S6" s="215">
        <f t="shared" ref="S6" si="31">L6*RecordHours</f>
        <v>0.67500000000000004</v>
      </c>
      <c r="T6" s="215">
        <f t="shared" ref="T6" si="32">K6+Q6</f>
        <v>534</v>
      </c>
      <c r="U6" s="215">
        <f t="shared" ref="U6" si="33">F6+M6+R6+I6+O6</f>
        <v>144</v>
      </c>
      <c r="V6" s="238">
        <f t="shared" si="21"/>
        <v>534.67499999999995</v>
      </c>
      <c r="W6" s="155"/>
      <c r="X6" s="155">
        <v>2.2000000000000002</v>
      </c>
      <c r="Y6" s="156">
        <f t="shared" ref="Y6" si="34">F6+M6</f>
        <v>22</v>
      </c>
      <c r="Z6" s="156">
        <f t="shared" ref="Z6" si="35">H6+N6</f>
        <v>427.83</v>
      </c>
    </row>
    <row r="7" spans="1:26" s="179" customFormat="1" ht="26" x14ac:dyDescent="0.45">
      <c r="A7" s="275" t="s">
        <v>43</v>
      </c>
      <c r="B7" s="176" t="s">
        <v>44</v>
      </c>
      <c r="C7" s="333" t="s">
        <v>45</v>
      </c>
      <c r="D7" s="221">
        <v>195</v>
      </c>
      <c r="E7" s="221">
        <v>1</v>
      </c>
      <c r="F7" s="221">
        <f t="shared" si="0"/>
        <v>195</v>
      </c>
      <c r="G7" s="221">
        <v>53.582999999999998</v>
      </c>
      <c r="H7" s="221">
        <f t="shared" si="10"/>
        <v>10448.684999999999</v>
      </c>
      <c r="I7" s="221">
        <f t="shared" si="1"/>
        <v>1560</v>
      </c>
      <c r="J7" s="221">
        <f t="shared" si="11"/>
        <v>1251.3150000000001</v>
      </c>
      <c r="K7" s="228">
        <f t="shared" si="12"/>
        <v>11700</v>
      </c>
      <c r="L7" s="334">
        <v>150</v>
      </c>
      <c r="M7" s="233">
        <f t="shared" si="13"/>
        <v>600</v>
      </c>
      <c r="N7" s="233">
        <f t="shared" si="14"/>
        <v>2100</v>
      </c>
      <c r="O7" s="233">
        <f t="shared" si="15"/>
        <v>750</v>
      </c>
      <c r="P7" s="233">
        <f t="shared" si="16"/>
        <v>2100</v>
      </c>
      <c r="Q7" s="233">
        <f t="shared" si="17"/>
        <v>4200</v>
      </c>
      <c r="R7" s="335">
        <f t="shared" si="18"/>
        <v>1350</v>
      </c>
      <c r="S7" s="216">
        <f t="shared" si="19"/>
        <v>33.75</v>
      </c>
      <c r="T7" s="216">
        <f t="shared" ref="T7:T40" si="36">K7+Q7</f>
        <v>15900</v>
      </c>
      <c r="U7" s="216">
        <f t="shared" si="20"/>
        <v>4455</v>
      </c>
      <c r="V7" s="238">
        <f t="shared" si="21"/>
        <v>15933.75</v>
      </c>
      <c r="W7" s="188"/>
      <c r="X7" s="177">
        <f>Y7/D7</f>
        <v>4.0769230769230766</v>
      </c>
      <c r="Y7" s="178">
        <f t="shared" si="22"/>
        <v>795</v>
      </c>
      <c r="Z7" s="178">
        <f t="shared" si="9"/>
        <v>12548.684999999999</v>
      </c>
    </row>
    <row r="8" spans="1:26" s="417" customFormat="1" ht="39" x14ac:dyDescent="0.45">
      <c r="A8" s="196" t="s">
        <v>46</v>
      </c>
      <c r="B8" s="206" t="s">
        <v>47</v>
      </c>
      <c r="C8" s="196" t="s">
        <v>48</v>
      </c>
      <c r="D8" s="222">
        <v>110</v>
      </c>
      <c r="E8" s="222">
        <v>1</v>
      </c>
      <c r="F8" s="222">
        <f t="shared" si="0"/>
        <v>110</v>
      </c>
      <c r="G8" s="222">
        <v>53.582999999999998</v>
      </c>
      <c r="H8" s="222">
        <f t="shared" si="10"/>
        <v>5894.13</v>
      </c>
      <c r="I8" s="222">
        <f t="shared" si="1"/>
        <v>880</v>
      </c>
      <c r="J8" s="222">
        <f t="shared" si="11"/>
        <v>705.87</v>
      </c>
      <c r="K8" s="228">
        <f t="shared" si="12"/>
        <v>6600</v>
      </c>
      <c r="L8" s="222">
        <v>103</v>
      </c>
      <c r="M8" s="217">
        <f t="shared" si="13"/>
        <v>412</v>
      </c>
      <c r="N8" s="217">
        <f t="shared" si="14"/>
        <v>1442</v>
      </c>
      <c r="O8" s="217">
        <f t="shared" si="15"/>
        <v>515</v>
      </c>
      <c r="P8" s="217">
        <f>L8*14</f>
        <v>1442</v>
      </c>
      <c r="Q8" s="217">
        <f t="shared" si="17"/>
        <v>2884</v>
      </c>
      <c r="R8" s="217">
        <f t="shared" ref="R8" si="37">L8*RecordResponse</f>
        <v>927</v>
      </c>
      <c r="S8" s="217">
        <f t="shared" ref="S8" si="38">L8*RecordHours</f>
        <v>23.175000000000001</v>
      </c>
      <c r="T8" s="217">
        <f t="shared" si="36"/>
        <v>9484</v>
      </c>
      <c r="U8" s="217">
        <f>F8+M8+R8+I8+O8</f>
        <v>2844</v>
      </c>
      <c r="V8" s="217">
        <f t="shared" ref="V8:V40" si="39">S8+T8</f>
        <v>9507.1749999999993</v>
      </c>
      <c r="W8" s="414"/>
      <c r="X8" s="415">
        <v>3.6666666666666665</v>
      </c>
      <c r="Y8" s="416">
        <f t="shared" si="22"/>
        <v>522</v>
      </c>
      <c r="Z8" s="416">
        <f t="shared" si="9"/>
        <v>7336.13</v>
      </c>
    </row>
    <row r="9" spans="1:26" ht="26" x14ac:dyDescent="0.45">
      <c r="A9" s="176" t="s">
        <v>49</v>
      </c>
      <c r="B9" s="176" t="s">
        <v>50</v>
      </c>
      <c r="C9" s="336" t="s">
        <v>48</v>
      </c>
      <c r="D9" s="219">
        <v>30</v>
      </c>
      <c r="E9" s="219">
        <v>1</v>
      </c>
      <c r="F9" s="219">
        <f t="shared" si="0"/>
        <v>30</v>
      </c>
      <c r="G9" s="219">
        <v>53.582999999999998</v>
      </c>
      <c r="H9" s="220">
        <f t="shared" si="10"/>
        <v>1607.49</v>
      </c>
      <c r="I9" s="219">
        <f t="shared" si="1"/>
        <v>240</v>
      </c>
      <c r="J9" s="219">
        <f t="shared" si="11"/>
        <v>192.51</v>
      </c>
      <c r="K9" s="228">
        <f t="shared" si="12"/>
        <v>1800</v>
      </c>
      <c r="L9" s="237">
        <v>20</v>
      </c>
      <c r="M9" s="230">
        <f t="shared" si="13"/>
        <v>80</v>
      </c>
      <c r="N9" s="230">
        <f t="shared" si="14"/>
        <v>280</v>
      </c>
      <c r="O9" s="230">
        <f t="shared" si="15"/>
        <v>100</v>
      </c>
      <c r="P9" s="230">
        <f t="shared" si="16"/>
        <v>280</v>
      </c>
      <c r="Q9" s="230">
        <f t="shared" si="17"/>
        <v>560</v>
      </c>
      <c r="R9" s="238">
        <f t="shared" si="18"/>
        <v>180</v>
      </c>
      <c r="S9" s="215">
        <f t="shared" si="19"/>
        <v>4.5</v>
      </c>
      <c r="T9" s="215">
        <f t="shared" si="36"/>
        <v>2360</v>
      </c>
      <c r="U9" s="215">
        <f t="shared" si="20"/>
        <v>630</v>
      </c>
      <c r="V9" s="238">
        <f t="shared" si="39"/>
        <v>2364.5</v>
      </c>
      <c r="W9" s="155"/>
      <c r="X9" s="152">
        <v>3.6666666666666665</v>
      </c>
      <c r="Y9" s="157">
        <f t="shared" si="22"/>
        <v>110</v>
      </c>
      <c r="Z9" s="157">
        <f t="shared" si="9"/>
        <v>1887.49</v>
      </c>
    </row>
    <row r="10" spans="1:26" s="114" customFormat="1" x14ac:dyDescent="0.45">
      <c r="A10" s="176" t="s">
        <v>51</v>
      </c>
      <c r="B10" s="175" t="s">
        <v>52</v>
      </c>
      <c r="C10" s="175" t="s">
        <v>36</v>
      </c>
      <c r="D10" s="220">
        <v>60</v>
      </c>
      <c r="E10" s="220">
        <v>1</v>
      </c>
      <c r="F10" s="219">
        <f t="shared" si="0"/>
        <v>60</v>
      </c>
      <c r="G10" s="220">
        <v>67.16</v>
      </c>
      <c r="H10" s="220">
        <f t="shared" si="10"/>
        <v>4029.6</v>
      </c>
      <c r="I10" s="219">
        <f t="shared" si="1"/>
        <v>480</v>
      </c>
      <c r="J10" s="220">
        <f>+F10*6.417</f>
        <v>385.02</v>
      </c>
      <c r="K10" s="228">
        <f t="shared" si="12"/>
        <v>4414.62</v>
      </c>
      <c r="L10" s="215">
        <v>60</v>
      </c>
      <c r="M10" s="215">
        <f>+L10*4</f>
        <v>240</v>
      </c>
      <c r="N10" s="215">
        <f>+L10*14</f>
        <v>840</v>
      </c>
      <c r="O10" s="215">
        <f>+L10*5</f>
        <v>300</v>
      </c>
      <c r="P10" s="215">
        <f>+L10*14</f>
        <v>840</v>
      </c>
      <c r="Q10" s="215">
        <f t="shared" si="17"/>
        <v>1680</v>
      </c>
      <c r="R10" s="337">
        <f t="shared" si="18"/>
        <v>540</v>
      </c>
      <c r="S10" s="215">
        <f>+L10*RecordHours</f>
        <v>13.5</v>
      </c>
      <c r="T10" s="215">
        <f t="shared" si="36"/>
        <v>6094.62</v>
      </c>
      <c r="U10" s="215">
        <f t="shared" si="20"/>
        <v>1620</v>
      </c>
      <c r="V10" s="238">
        <f t="shared" si="39"/>
        <v>6108.12</v>
      </c>
      <c r="W10" s="155"/>
      <c r="X10" s="155">
        <v>1.1333333333333333</v>
      </c>
      <c r="Y10" s="157">
        <f t="shared" si="22"/>
        <v>300</v>
      </c>
      <c r="Z10" s="157">
        <f t="shared" si="9"/>
        <v>4869.6000000000004</v>
      </c>
    </row>
    <row r="11" spans="1:26" s="202" customFormat="1" ht="26" x14ac:dyDescent="0.45">
      <c r="A11" s="206" t="s">
        <v>53</v>
      </c>
      <c r="B11" s="206" t="s">
        <v>54</v>
      </c>
      <c r="C11" s="206" t="s">
        <v>36</v>
      </c>
      <c r="D11" s="223">
        <v>30</v>
      </c>
      <c r="E11" s="223">
        <v>1</v>
      </c>
      <c r="F11" s="223">
        <f t="shared" si="0"/>
        <v>30</v>
      </c>
      <c r="G11" s="223">
        <v>33.58</v>
      </c>
      <c r="H11" s="223">
        <f t="shared" si="10"/>
        <v>1007.4</v>
      </c>
      <c r="I11" s="222">
        <f t="shared" si="1"/>
        <v>240</v>
      </c>
      <c r="J11" s="223">
        <f>+F11*6.417</f>
        <v>192.51</v>
      </c>
      <c r="K11" s="228">
        <f>J11+H11</f>
        <v>1199.9099999999999</v>
      </c>
      <c r="L11" s="223">
        <v>1</v>
      </c>
      <c r="M11" s="234">
        <f>+L11*4</f>
        <v>4</v>
      </c>
      <c r="N11" s="234">
        <f>+L11*14</f>
        <v>14</v>
      </c>
      <c r="O11" s="234">
        <f>+L11*5</f>
        <v>5</v>
      </c>
      <c r="P11" s="234">
        <f>+L11*14</f>
        <v>14</v>
      </c>
      <c r="Q11" s="217">
        <f t="shared" si="17"/>
        <v>28</v>
      </c>
      <c r="R11" s="234">
        <f t="shared" si="18"/>
        <v>9</v>
      </c>
      <c r="S11" s="234">
        <f>+L11*RecordHours</f>
        <v>0.22500000000000001</v>
      </c>
      <c r="T11" s="234">
        <f t="shared" si="36"/>
        <v>1227.9099999999999</v>
      </c>
      <c r="U11" s="217">
        <f>F11+M11+R11+I11+O11</f>
        <v>288</v>
      </c>
      <c r="V11" s="234">
        <f t="shared" si="39"/>
        <v>1228.1349999999998</v>
      </c>
      <c r="W11" s="155"/>
      <c r="X11" s="200">
        <v>1.1333333333333333</v>
      </c>
      <c r="Y11" s="198">
        <f t="shared" si="22"/>
        <v>34</v>
      </c>
      <c r="Z11" s="201">
        <f t="shared" si="9"/>
        <v>1021.4</v>
      </c>
    </row>
    <row r="12" spans="1:26" s="151" customFormat="1" ht="26" x14ac:dyDescent="0.45">
      <c r="A12" s="270" t="s">
        <v>55</v>
      </c>
      <c r="B12" s="175" t="s">
        <v>56</v>
      </c>
      <c r="C12" s="338" t="s">
        <v>45</v>
      </c>
      <c r="D12" s="224">
        <v>20</v>
      </c>
      <c r="E12" s="224">
        <v>1</v>
      </c>
      <c r="F12" s="220">
        <f t="shared" si="0"/>
        <v>20</v>
      </c>
      <c r="G12" s="224">
        <v>23.582999999999998</v>
      </c>
      <c r="H12" s="220">
        <f t="shared" si="10"/>
        <v>471.65999999999997</v>
      </c>
      <c r="I12" s="220">
        <f t="shared" si="1"/>
        <v>160</v>
      </c>
      <c r="J12" s="220">
        <f t="shared" ref="J12:J35" si="40">+F12*6.417</f>
        <v>128.34</v>
      </c>
      <c r="K12" s="228">
        <f t="shared" si="12"/>
        <v>600</v>
      </c>
      <c r="L12" s="215">
        <v>10</v>
      </c>
      <c r="M12" s="215">
        <f t="shared" si="13"/>
        <v>40</v>
      </c>
      <c r="N12" s="215">
        <f t="shared" ref="N12:N18" si="41">+L12*14</f>
        <v>140</v>
      </c>
      <c r="O12" s="215">
        <f t="shared" si="15"/>
        <v>50</v>
      </c>
      <c r="P12" s="215">
        <f>+L12*14</f>
        <v>140</v>
      </c>
      <c r="Q12" s="215">
        <f t="shared" si="17"/>
        <v>280</v>
      </c>
      <c r="R12" s="215">
        <f t="shared" si="18"/>
        <v>90</v>
      </c>
      <c r="S12" s="215">
        <f t="shared" si="19"/>
        <v>2.25</v>
      </c>
      <c r="T12" s="215">
        <f t="shared" si="36"/>
        <v>880</v>
      </c>
      <c r="U12" s="215">
        <f t="shared" si="20"/>
        <v>360</v>
      </c>
      <c r="V12" s="238">
        <f t="shared" si="39"/>
        <v>882.25</v>
      </c>
      <c r="W12" s="158"/>
      <c r="X12" s="158">
        <v>3</v>
      </c>
      <c r="Y12" s="159">
        <f t="shared" si="22"/>
        <v>60</v>
      </c>
      <c r="Z12" s="159">
        <f t="shared" si="9"/>
        <v>611.66</v>
      </c>
    </row>
    <row r="13" spans="1:26" s="114" customFormat="1" ht="26" x14ac:dyDescent="0.45">
      <c r="A13" s="270" t="s">
        <v>57</v>
      </c>
      <c r="B13" s="175" t="s">
        <v>58</v>
      </c>
      <c r="C13" s="338" t="s">
        <v>361</v>
      </c>
      <c r="D13" s="220">
        <v>15</v>
      </c>
      <c r="E13" s="220">
        <v>1</v>
      </c>
      <c r="F13" s="220">
        <f t="shared" si="0"/>
        <v>15</v>
      </c>
      <c r="G13" s="220">
        <v>33.582999999999998</v>
      </c>
      <c r="H13" s="220">
        <f t="shared" si="10"/>
        <v>503.745</v>
      </c>
      <c r="I13" s="220">
        <f t="shared" si="1"/>
        <v>120</v>
      </c>
      <c r="J13" s="220">
        <f t="shared" si="40"/>
        <v>96.254999999999995</v>
      </c>
      <c r="K13" s="228">
        <f t="shared" si="12"/>
        <v>600</v>
      </c>
      <c r="L13" s="220">
        <v>7</v>
      </c>
      <c r="M13" s="215">
        <f t="shared" si="13"/>
        <v>28</v>
      </c>
      <c r="N13" s="215">
        <f t="shared" si="41"/>
        <v>98</v>
      </c>
      <c r="O13" s="215">
        <f t="shared" si="15"/>
        <v>35</v>
      </c>
      <c r="P13" s="215">
        <f t="shared" si="16"/>
        <v>98</v>
      </c>
      <c r="Q13" s="215">
        <f t="shared" si="17"/>
        <v>196</v>
      </c>
      <c r="R13" s="215">
        <f t="shared" si="18"/>
        <v>63</v>
      </c>
      <c r="S13" s="215">
        <f t="shared" si="19"/>
        <v>1.575</v>
      </c>
      <c r="T13" s="215">
        <f t="shared" si="36"/>
        <v>796</v>
      </c>
      <c r="U13" s="215">
        <f t="shared" si="20"/>
        <v>261</v>
      </c>
      <c r="V13" s="238">
        <f t="shared" si="39"/>
        <v>797.57500000000005</v>
      </c>
      <c r="W13" s="155"/>
      <c r="X13" s="155">
        <v>2.8666666666666667</v>
      </c>
      <c r="Y13" s="156">
        <f t="shared" si="22"/>
        <v>43</v>
      </c>
      <c r="Z13" s="156">
        <f t="shared" si="9"/>
        <v>601.745</v>
      </c>
    </row>
    <row r="14" spans="1:26" s="114" customFormat="1" ht="26" x14ac:dyDescent="0.45">
      <c r="A14" s="270" t="s">
        <v>59</v>
      </c>
      <c r="B14" s="175" t="s">
        <v>60</v>
      </c>
      <c r="C14" s="175" t="s">
        <v>42</v>
      </c>
      <c r="D14" s="220">
        <v>10</v>
      </c>
      <c r="E14" s="220">
        <v>1</v>
      </c>
      <c r="F14" s="220">
        <f t="shared" si="0"/>
        <v>10</v>
      </c>
      <c r="G14" s="220">
        <v>38.582999999999998</v>
      </c>
      <c r="H14" s="220">
        <f t="shared" si="10"/>
        <v>385.83</v>
      </c>
      <c r="I14" s="220">
        <f t="shared" si="1"/>
        <v>80</v>
      </c>
      <c r="J14" s="220">
        <f t="shared" si="40"/>
        <v>64.17</v>
      </c>
      <c r="K14" s="228">
        <f t="shared" si="12"/>
        <v>450</v>
      </c>
      <c r="L14" s="220">
        <v>3</v>
      </c>
      <c r="M14" s="215">
        <f t="shared" si="13"/>
        <v>12</v>
      </c>
      <c r="N14" s="215">
        <f t="shared" si="41"/>
        <v>42</v>
      </c>
      <c r="O14" s="215">
        <f t="shared" si="15"/>
        <v>15</v>
      </c>
      <c r="P14" s="215">
        <f t="shared" si="16"/>
        <v>42</v>
      </c>
      <c r="Q14" s="215">
        <f t="shared" si="17"/>
        <v>84</v>
      </c>
      <c r="R14" s="215">
        <f t="shared" si="18"/>
        <v>27</v>
      </c>
      <c r="S14" s="215">
        <f t="shared" si="19"/>
        <v>0.67500000000000004</v>
      </c>
      <c r="T14" s="215">
        <f t="shared" si="36"/>
        <v>534</v>
      </c>
      <c r="U14" s="215">
        <f t="shared" si="20"/>
        <v>144</v>
      </c>
      <c r="V14" s="238">
        <f t="shared" si="39"/>
        <v>534.67499999999995</v>
      </c>
      <c r="W14" s="155"/>
      <c r="X14" s="155">
        <v>2.2000000000000002</v>
      </c>
      <c r="Y14" s="156">
        <f t="shared" si="22"/>
        <v>22</v>
      </c>
      <c r="Z14" s="156">
        <f t="shared" si="9"/>
        <v>427.83</v>
      </c>
    </row>
    <row r="15" spans="1:26" s="114" customFormat="1" ht="26" x14ac:dyDescent="0.45">
      <c r="A15" s="270" t="s">
        <v>61</v>
      </c>
      <c r="B15" s="175" t="s">
        <v>62</v>
      </c>
      <c r="C15" s="175" t="s">
        <v>42</v>
      </c>
      <c r="D15" s="220">
        <v>10</v>
      </c>
      <c r="E15" s="220">
        <v>1</v>
      </c>
      <c r="F15" s="220">
        <f t="shared" si="0"/>
        <v>10</v>
      </c>
      <c r="G15" s="220">
        <v>38.582999999999998</v>
      </c>
      <c r="H15" s="220">
        <f t="shared" si="10"/>
        <v>385.83</v>
      </c>
      <c r="I15" s="220">
        <f t="shared" si="1"/>
        <v>80</v>
      </c>
      <c r="J15" s="220">
        <f t="shared" si="40"/>
        <v>64.17</v>
      </c>
      <c r="K15" s="228">
        <f t="shared" ref="K15:K16" si="42">J15+H15</f>
        <v>450</v>
      </c>
      <c r="L15" s="220">
        <v>3</v>
      </c>
      <c r="M15" s="215">
        <f t="shared" ref="M15:M16" si="43">L15*4</f>
        <v>12</v>
      </c>
      <c r="N15" s="215">
        <f t="shared" si="41"/>
        <v>42</v>
      </c>
      <c r="O15" s="215">
        <f t="shared" ref="O15:O16" si="44">L15*5</f>
        <v>15</v>
      </c>
      <c r="P15" s="215">
        <f t="shared" si="16"/>
        <v>42</v>
      </c>
      <c r="Q15" s="215">
        <f t="shared" ref="Q15:Q20" si="45">N15+P15</f>
        <v>84</v>
      </c>
      <c r="R15" s="215">
        <f t="shared" si="18"/>
        <v>27</v>
      </c>
      <c r="S15" s="215">
        <f t="shared" si="19"/>
        <v>0.67500000000000004</v>
      </c>
      <c r="T15" s="215">
        <f t="shared" si="36"/>
        <v>534</v>
      </c>
      <c r="U15" s="215">
        <f t="shared" ref="U15" si="46">F15+M15+R15+I15+O15</f>
        <v>144</v>
      </c>
      <c r="V15" s="238">
        <f t="shared" si="39"/>
        <v>534.67499999999995</v>
      </c>
      <c r="W15" s="155"/>
      <c r="X15" s="155">
        <v>2.2000000000000002</v>
      </c>
      <c r="Y15" s="156">
        <f t="shared" ref="Y15:Y16" si="47">F15+M15</f>
        <v>22</v>
      </c>
      <c r="Z15" s="156">
        <f t="shared" ref="Z15:Z22" si="48">H15+N15</f>
        <v>427.83</v>
      </c>
    </row>
    <row r="16" spans="1:26" s="114" customFormat="1" ht="26" x14ac:dyDescent="0.45">
      <c r="A16" s="270" t="s">
        <v>63</v>
      </c>
      <c r="B16" s="175" t="s">
        <v>64</v>
      </c>
      <c r="C16" s="175" t="s">
        <v>39</v>
      </c>
      <c r="D16" s="220">
        <v>54</v>
      </c>
      <c r="E16" s="220">
        <v>1</v>
      </c>
      <c r="F16" s="220">
        <f t="shared" si="0"/>
        <v>54</v>
      </c>
      <c r="G16" s="220">
        <v>38.58</v>
      </c>
      <c r="H16" s="220">
        <f t="shared" si="10"/>
        <v>2083.3199999999997</v>
      </c>
      <c r="I16" s="220">
        <f t="shared" si="1"/>
        <v>432</v>
      </c>
      <c r="J16" s="220">
        <f t="shared" si="40"/>
        <v>346.51799999999997</v>
      </c>
      <c r="K16" s="228">
        <f t="shared" si="42"/>
        <v>2429.8379999999997</v>
      </c>
      <c r="L16" s="220">
        <v>10</v>
      </c>
      <c r="M16" s="215">
        <f t="shared" si="43"/>
        <v>40</v>
      </c>
      <c r="N16" s="215">
        <f t="shared" si="41"/>
        <v>140</v>
      </c>
      <c r="O16" s="215">
        <f t="shared" si="44"/>
        <v>50</v>
      </c>
      <c r="P16" s="215">
        <f t="shared" si="16"/>
        <v>140</v>
      </c>
      <c r="Q16" s="215">
        <f t="shared" si="45"/>
        <v>280</v>
      </c>
      <c r="R16" s="215">
        <f t="shared" si="18"/>
        <v>90</v>
      </c>
      <c r="S16" s="215">
        <f t="shared" si="19"/>
        <v>2.25</v>
      </c>
      <c r="T16" s="215">
        <f t="shared" si="36"/>
        <v>2709.8379999999997</v>
      </c>
      <c r="U16" s="215">
        <f t="shared" si="20"/>
        <v>666</v>
      </c>
      <c r="V16" s="238">
        <f t="shared" si="39"/>
        <v>2712.0879999999997</v>
      </c>
      <c r="W16" s="155"/>
      <c r="X16" s="155"/>
      <c r="Y16" s="156">
        <f t="shared" si="47"/>
        <v>94</v>
      </c>
      <c r="Z16" s="156">
        <f t="shared" si="48"/>
        <v>2223.3199999999997</v>
      </c>
    </row>
    <row r="17" spans="1:26" s="114" customFormat="1" ht="39" x14ac:dyDescent="0.45">
      <c r="A17" s="270" t="s">
        <v>65</v>
      </c>
      <c r="B17" s="175" t="s">
        <v>66</v>
      </c>
      <c r="C17" s="175" t="s">
        <v>36</v>
      </c>
      <c r="D17" s="220">
        <v>60</v>
      </c>
      <c r="E17" s="220">
        <v>1</v>
      </c>
      <c r="F17" s="220">
        <f t="shared" si="0"/>
        <v>60</v>
      </c>
      <c r="G17" s="220">
        <v>67.16</v>
      </c>
      <c r="H17" s="220">
        <f t="shared" si="10"/>
        <v>4029.6</v>
      </c>
      <c r="I17" s="220">
        <f t="shared" si="1"/>
        <v>480</v>
      </c>
      <c r="J17" s="220">
        <f t="shared" si="40"/>
        <v>385.02</v>
      </c>
      <c r="K17" s="228">
        <f>J17+H17</f>
        <v>4414.62</v>
      </c>
      <c r="L17" s="215">
        <v>60</v>
      </c>
      <c r="M17" s="215">
        <f>+L17*4</f>
        <v>240</v>
      </c>
      <c r="N17" s="215">
        <f t="shared" si="41"/>
        <v>840</v>
      </c>
      <c r="O17" s="215">
        <f t="shared" ref="O17:O25" si="49">+L17*5</f>
        <v>300</v>
      </c>
      <c r="P17" s="215">
        <f t="shared" si="16"/>
        <v>840</v>
      </c>
      <c r="Q17" s="215">
        <f t="shared" si="45"/>
        <v>1680</v>
      </c>
      <c r="R17" s="215">
        <f t="shared" si="18"/>
        <v>540</v>
      </c>
      <c r="S17" s="215">
        <f t="shared" si="19"/>
        <v>13.5</v>
      </c>
      <c r="T17" s="215">
        <f t="shared" si="36"/>
        <v>6094.62</v>
      </c>
      <c r="U17" s="215">
        <f t="shared" si="20"/>
        <v>1620</v>
      </c>
      <c r="V17" s="238">
        <f t="shared" si="39"/>
        <v>6108.12</v>
      </c>
      <c r="W17" s="155"/>
      <c r="X17" s="155">
        <v>1.1333333333333333</v>
      </c>
      <c r="Y17" s="159">
        <f t="shared" si="22"/>
        <v>300</v>
      </c>
      <c r="Z17" s="156">
        <f t="shared" si="48"/>
        <v>4869.6000000000004</v>
      </c>
    </row>
    <row r="18" spans="1:26" s="114" customFormat="1" ht="39" x14ac:dyDescent="0.45">
      <c r="A18" s="270" t="s">
        <v>67</v>
      </c>
      <c r="B18" s="175" t="s">
        <v>68</v>
      </c>
      <c r="C18" s="175" t="s">
        <v>36</v>
      </c>
      <c r="D18" s="220">
        <v>30</v>
      </c>
      <c r="E18" s="220">
        <v>1</v>
      </c>
      <c r="F18" s="220">
        <f t="shared" si="0"/>
        <v>30</v>
      </c>
      <c r="G18" s="220">
        <v>33.58</v>
      </c>
      <c r="H18" s="220">
        <f t="shared" si="10"/>
        <v>1007.4</v>
      </c>
      <c r="I18" s="220">
        <f t="shared" si="1"/>
        <v>240</v>
      </c>
      <c r="J18" s="220">
        <f t="shared" si="40"/>
        <v>192.51</v>
      </c>
      <c r="K18" s="228">
        <f t="shared" ref="K18:K41" si="50">J18+H18</f>
        <v>1199.9099999999999</v>
      </c>
      <c r="L18" s="220">
        <v>1</v>
      </c>
      <c r="M18" s="215">
        <f>+L18*4</f>
        <v>4</v>
      </c>
      <c r="N18" s="215">
        <f t="shared" si="41"/>
        <v>14</v>
      </c>
      <c r="O18" s="215">
        <f t="shared" si="49"/>
        <v>5</v>
      </c>
      <c r="P18" s="215">
        <f t="shared" si="16"/>
        <v>14</v>
      </c>
      <c r="Q18" s="215">
        <f t="shared" si="45"/>
        <v>28</v>
      </c>
      <c r="R18" s="215">
        <f t="shared" si="18"/>
        <v>9</v>
      </c>
      <c r="S18" s="215">
        <f t="shared" si="19"/>
        <v>0.22500000000000001</v>
      </c>
      <c r="T18" s="215">
        <f t="shared" si="36"/>
        <v>1227.9099999999999</v>
      </c>
      <c r="U18" s="215">
        <f t="shared" si="20"/>
        <v>288</v>
      </c>
      <c r="V18" s="238">
        <f t="shared" si="39"/>
        <v>1228.1349999999998</v>
      </c>
      <c r="W18" s="155"/>
      <c r="X18" s="155">
        <v>1.1333333333333333</v>
      </c>
      <c r="Y18" s="159">
        <f t="shared" si="22"/>
        <v>34</v>
      </c>
      <c r="Z18" s="156">
        <f t="shared" si="48"/>
        <v>1021.4</v>
      </c>
    </row>
    <row r="19" spans="1:26" s="189" customFormat="1" ht="52" x14ac:dyDescent="0.45">
      <c r="A19" s="275" t="s">
        <v>69</v>
      </c>
      <c r="B19" s="175" t="s">
        <v>70</v>
      </c>
      <c r="C19" s="184" t="s">
        <v>36</v>
      </c>
      <c r="D19" s="225">
        <v>60</v>
      </c>
      <c r="E19" s="225">
        <v>1</v>
      </c>
      <c r="F19" s="220">
        <f t="shared" si="0"/>
        <v>60</v>
      </c>
      <c r="G19" s="225">
        <v>67.16</v>
      </c>
      <c r="H19" s="220">
        <f t="shared" si="10"/>
        <v>4029.6</v>
      </c>
      <c r="I19" s="220">
        <f t="shared" si="1"/>
        <v>480</v>
      </c>
      <c r="J19" s="220">
        <f t="shared" si="40"/>
        <v>385.02</v>
      </c>
      <c r="K19" s="228">
        <f t="shared" si="50"/>
        <v>4414.62</v>
      </c>
      <c r="L19" s="216">
        <v>60</v>
      </c>
      <c r="M19" s="216">
        <f>+L19*4</f>
        <v>240</v>
      </c>
      <c r="N19" s="215">
        <f t="shared" ref="N19:N20" si="51">+L19*14</f>
        <v>840</v>
      </c>
      <c r="O19" s="216">
        <f t="shared" si="49"/>
        <v>300</v>
      </c>
      <c r="P19" s="215">
        <f t="shared" si="16"/>
        <v>840</v>
      </c>
      <c r="Q19" s="215">
        <f t="shared" si="45"/>
        <v>1680</v>
      </c>
      <c r="R19" s="215">
        <f t="shared" si="18"/>
        <v>540</v>
      </c>
      <c r="S19" s="215">
        <f t="shared" si="19"/>
        <v>13.5</v>
      </c>
      <c r="T19" s="215">
        <f t="shared" si="36"/>
        <v>6094.62</v>
      </c>
      <c r="U19" s="215">
        <f t="shared" si="20"/>
        <v>1620</v>
      </c>
      <c r="V19" s="238">
        <f t="shared" si="39"/>
        <v>6108.12</v>
      </c>
      <c r="W19" s="188"/>
      <c r="X19" s="188">
        <v>1.1333333333333333</v>
      </c>
      <c r="Y19" s="159">
        <f t="shared" si="22"/>
        <v>300</v>
      </c>
      <c r="Z19" s="156">
        <f t="shared" si="48"/>
        <v>4869.6000000000004</v>
      </c>
    </row>
    <row r="20" spans="1:26" s="114" customFormat="1" ht="39" x14ac:dyDescent="0.45">
      <c r="A20" s="270" t="s">
        <v>71</v>
      </c>
      <c r="B20" s="175" t="s">
        <v>72</v>
      </c>
      <c r="C20" s="338" t="s">
        <v>45</v>
      </c>
      <c r="D20" s="224">
        <v>20</v>
      </c>
      <c r="E20" s="224">
        <v>1</v>
      </c>
      <c r="F20" s="220">
        <f t="shared" si="0"/>
        <v>20</v>
      </c>
      <c r="G20" s="224">
        <v>23.582999999999998</v>
      </c>
      <c r="H20" s="220">
        <f t="shared" si="10"/>
        <v>471.65999999999997</v>
      </c>
      <c r="I20" s="220">
        <f t="shared" si="1"/>
        <v>160</v>
      </c>
      <c r="J20" s="220">
        <f t="shared" si="40"/>
        <v>128.34</v>
      </c>
      <c r="K20" s="228">
        <f t="shared" si="50"/>
        <v>600</v>
      </c>
      <c r="L20" s="215">
        <v>10</v>
      </c>
      <c r="M20" s="216">
        <f>+L20*4</f>
        <v>40</v>
      </c>
      <c r="N20" s="215">
        <f t="shared" si="51"/>
        <v>140</v>
      </c>
      <c r="O20" s="216">
        <f t="shared" si="49"/>
        <v>50</v>
      </c>
      <c r="P20" s="215">
        <f t="shared" si="16"/>
        <v>140</v>
      </c>
      <c r="Q20" s="215">
        <f t="shared" si="45"/>
        <v>280</v>
      </c>
      <c r="R20" s="215">
        <f t="shared" si="18"/>
        <v>90</v>
      </c>
      <c r="S20" s="215">
        <f t="shared" si="19"/>
        <v>2.25</v>
      </c>
      <c r="T20" s="215">
        <f>K20+Q20</f>
        <v>880</v>
      </c>
      <c r="U20" s="215">
        <f t="shared" si="20"/>
        <v>360</v>
      </c>
      <c r="V20" s="238">
        <f t="shared" si="39"/>
        <v>882.25</v>
      </c>
      <c r="W20" s="155"/>
      <c r="X20" s="155">
        <v>3</v>
      </c>
      <c r="Y20" s="159">
        <f t="shared" si="22"/>
        <v>60</v>
      </c>
      <c r="Z20" s="156">
        <f t="shared" si="48"/>
        <v>611.66</v>
      </c>
    </row>
    <row r="21" spans="1:26" s="305" customFormat="1" ht="26" x14ac:dyDescent="0.45">
      <c r="A21" s="321" t="s">
        <v>308</v>
      </c>
      <c r="B21" s="321" t="s">
        <v>73</v>
      </c>
      <c r="C21" s="339" t="s">
        <v>74</v>
      </c>
      <c r="D21" s="324">
        <v>5</v>
      </c>
      <c r="E21" s="324">
        <v>1</v>
      </c>
      <c r="F21" s="322">
        <f t="shared" si="0"/>
        <v>5</v>
      </c>
      <c r="G21" s="324">
        <v>40</v>
      </c>
      <c r="H21" s="322">
        <f t="shared" si="10"/>
        <v>200</v>
      </c>
      <c r="I21" s="322">
        <f t="shared" si="1"/>
        <v>40</v>
      </c>
      <c r="J21" s="322">
        <f t="shared" si="40"/>
        <v>32.085000000000001</v>
      </c>
      <c r="K21" s="228">
        <f t="shared" si="50"/>
        <v>232.08500000000001</v>
      </c>
      <c r="L21" s="323">
        <v>1</v>
      </c>
      <c r="M21" s="323">
        <f t="shared" ref="M21" si="52">+L21*4</f>
        <v>4</v>
      </c>
      <c r="N21" s="323">
        <f>+L21*14</f>
        <v>14</v>
      </c>
      <c r="O21" s="323">
        <f t="shared" ref="O21" si="53">+L21*5</f>
        <v>5</v>
      </c>
      <c r="P21" s="323">
        <f t="shared" ref="P21" si="54">L21*14</f>
        <v>14</v>
      </c>
      <c r="Q21" s="323">
        <v>279</v>
      </c>
      <c r="R21" s="323">
        <f t="shared" ref="R21" si="55">L21*RecordResponse</f>
        <v>9</v>
      </c>
      <c r="S21" s="323">
        <f t="shared" ref="S21" si="56">L21*RecordHours</f>
        <v>0.22500000000000001</v>
      </c>
      <c r="T21" s="323">
        <f>K21+Q21</f>
        <v>511.08500000000004</v>
      </c>
      <c r="U21" s="323">
        <f t="shared" ref="U21" si="57">F21+M21+R21+I21+O21</f>
        <v>63</v>
      </c>
      <c r="V21" s="323">
        <f t="shared" ref="V21" si="58">S21+T21</f>
        <v>511.31000000000006</v>
      </c>
      <c r="W21" s="302"/>
      <c r="X21" s="302"/>
      <c r="Y21" s="303">
        <f t="shared" si="22"/>
        <v>9</v>
      </c>
      <c r="Z21" s="304"/>
    </row>
    <row r="22" spans="1:26" s="114" customFormat="1" ht="39" x14ac:dyDescent="0.45">
      <c r="A22" s="270" t="s">
        <v>75</v>
      </c>
      <c r="B22" s="175" t="s">
        <v>76</v>
      </c>
      <c r="C22" s="175" t="s">
        <v>36</v>
      </c>
      <c r="D22" s="220">
        <v>30</v>
      </c>
      <c r="E22" s="220">
        <v>1</v>
      </c>
      <c r="F22" s="220">
        <f t="shared" si="0"/>
        <v>30</v>
      </c>
      <c r="G22" s="220">
        <v>33.58</v>
      </c>
      <c r="H22" s="220">
        <f t="shared" si="10"/>
        <v>1007.4</v>
      </c>
      <c r="I22" s="220">
        <f t="shared" si="1"/>
        <v>240</v>
      </c>
      <c r="J22" s="220">
        <f t="shared" si="40"/>
        <v>192.51</v>
      </c>
      <c r="K22" s="228">
        <f t="shared" si="50"/>
        <v>1199.9099999999999</v>
      </c>
      <c r="L22" s="215">
        <v>10</v>
      </c>
      <c r="M22" s="215">
        <f t="shared" ref="M22:M31" si="59">+L22*4</f>
        <v>40</v>
      </c>
      <c r="N22" s="215">
        <f>+L22*14</f>
        <v>140</v>
      </c>
      <c r="O22" s="215">
        <f t="shared" si="49"/>
        <v>50</v>
      </c>
      <c r="P22" s="215">
        <f t="shared" si="16"/>
        <v>140</v>
      </c>
      <c r="Q22" s="215">
        <v>280</v>
      </c>
      <c r="R22" s="337">
        <f t="shared" si="18"/>
        <v>90</v>
      </c>
      <c r="S22" s="215">
        <f t="shared" si="19"/>
        <v>2.25</v>
      </c>
      <c r="T22" s="215">
        <f>K22+Q22</f>
        <v>1479.9099999999999</v>
      </c>
      <c r="U22" s="215">
        <f t="shared" si="20"/>
        <v>450</v>
      </c>
      <c r="V22" s="238">
        <f t="shared" si="39"/>
        <v>1482.1599999999999</v>
      </c>
      <c r="W22" s="155"/>
      <c r="X22" s="155">
        <v>1.1333333333333333</v>
      </c>
      <c r="Y22" s="159">
        <f t="shared" si="22"/>
        <v>70</v>
      </c>
      <c r="Z22" s="156">
        <f t="shared" si="48"/>
        <v>1147.4000000000001</v>
      </c>
    </row>
    <row r="23" spans="1:26" s="202" customFormat="1" ht="26" x14ac:dyDescent="0.45">
      <c r="A23" s="270" t="s">
        <v>77</v>
      </c>
      <c r="B23" s="206" t="s">
        <v>78</v>
      </c>
      <c r="C23" s="206" t="s">
        <v>45</v>
      </c>
      <c r="D23" s="223">
        <v>125</v>
      </c>
      <c r="E23" s="223">
        <v>1</v>
      </c>
      <c r="F23" s="223">
        <f t="shared" si="0"/>
        <v>125</v>
      </c>
      <c r="G23" s="223">
        <v>38.58</v>
      </c>
      <c r="H23" s="223">
        <f t="shared" si="10"/>
        <v>4822.5</v>
      </c>
      <c r="I23" s="223">
        <f t="shared" si="1"/>
        <v>1000</v>
      </c>
      <c r="J23" s="223">
        <f t="shared" si="40"/>
        <v>802.125</v>
      </c>
      <c r="K23" s="228">
        <f t="shared" si="50"/>
        <v>5624.625</v>
      </c>
      <c r="L23" s="234">
        <v>55</v>
      </c>
      <c r="M23" s="234">
        <f t="shared" si="59"/>
        <v>220</v>
      </c>
      <c r="N23" s="217">
        <f t="shared" ref="N23:N26" si="60">L23*14</f>
        <v>770</v>
      </c>
      <c r="O23" s="234">
        <f t="shared" si="49"/>
        <v>275</v>
      </c>
      <c r="P23" s="234">
        <f>+L23*14</f>
        <v>770</v>
      </c>
      <c r="Q23" s="217">
        <f t="shared" si="17"/>
        <v>1540</v>
      </c>
      <c r="R23" s="234">
        <f t="shared" si="18"/>
        <v>495</v>
      </c>
      <c r="S23" s="234">
        <f t="shared" si="19"/>
        <v>12.375</v>
      </c>
      <c r="T23" s="234">
        <f t="shared" ref="T23:T29" si="61">K23+Q23</f>
        <v>7164.625</v>
      </c>
      <c r="U23" s="217">
        <f t="shared" si="20"/>
        <v>2115</v>
      </c>
      <c r="V23" s="234">
        <f t="shared" si="39"/>
        <v>7177</v>
      </c>
      <c r="W23" s="155"/>
      <c r="X23" s="200"/>
      <c r="Y23" s="201"/>
      <c r="Z23" s="201"/>
    </row>
    <row r="24" spans="1:26" s="202" customFormat="1" ht="26" x14ac:dyDescent="0.45">
      <c r="A24" s="270" t="s">
        <v>79</v>
      </c>
      <c r="B24" s="206" t="s">
        <v>80</v>
      </c>
      <c r="C24" s="206" t="s">
        <v>45</v>
      </c>
      <c r="D24" s="223">
        <v>125</v>
      </c>
      <c r="E24" s="223">
        <v>1</v>
      </c>
      <c r="F24" s="223">
        <f t="shared" si="0"/>
        <v>125</v>
      </c>
      <c r="G24" s="223">
        <v>38.58</v>
      </c>
      <c r="H24" s="223">
        <f t="shared" si="10"/>
        <v>4822.5</v>
      </c>
      <c r="I24" s="223">
        <f t="shared" si="1"/>
        <v>1000</v>
      </c>
      <c r="J24" s="223">
        <f t="shared" si="40"/>
        <v>802.125</v>
      </c>
      <c r="K24" s="228">
        <f t="shared" si="50"/>
        <v>5624.625</v>
      </c>
      <c r="L24" s="234">
        <v>55</v>
      </c>
      <c r="M24" s="234">
        <f t="shared" si="59"/>
        <v>220</v>
      </c>
      <c r="N24" s="217">
        <f t="shared" si="60"/>
        <v>770</v>
      </c>
      <c r="O24" s="234">
        <f t="shared" si="49"/>
        <v>275</v>
      </c>
      <c r="P24" s="234">
        <f t="shared" ref="P24:P35" si="62">+L24*14</f>
        <v>770</v>
      </c>
      <c r="Q24" s="217">
        <f t="shared" si="17"/>
        <v>1540</v>
      </c>
      <c r="R24" s="234">
        <f t="shared" si="18"/>
        <v>495</v>
      </c>
      <c r="S24" s="234">
        <f t="shared" si="19"/>
        <v>12.375</v>
      </c>
      <c r="T24" s="234">
        <f t="shared" si="61"/>
        <v>7164.625</v>
      </c>
      <c r="U24" s="217">
        <f t="shared" si="20"/>
        <v>2115</v>
      </c>
      <c r="V24" s="234">
        <f t="shared" si="39"/>
        <v>7177</v>
      </c>
      <c r="W24" s="155"/>
      <c r="X24" s="200"/>
      <c r="Y24" s="201"/>
      <c r="Z24" s="201"/>
    </row>
    <row r="25" spans="1:26" s="202" customFormat="1" ht="26" x14ac:dyDescent="0.45">
      <c r="A25" s="270" t="s">
        <v>81</v>
      </c>
      <c r="B25" s="206" t="s">
        <v>82</v>
      </c>
      <c r="C25" s="206" t="s">
        <v>45</v>
      </c>
      <c r="D25" s="223">
        <v>125</v>
      </c>
      <c r="E25" s="223">
        <v>1</v>
      </c>
      <c r="F25" s="223">
        <f t="shared" si="0"/>
        <v>125</v>
      </c>
      <c r="G25" s="223">
        <v>38.58</v>
      </c>
      <c r="H25" s="223">
        <f t="shared" si="10"/>
        <v>4822.5</v>
      </c>
      <c r="I25" s="223">
        <f t="shared" si="1"/>
        <v>1000</v>
      </c>
      <c r="J25" s="223">
        <f t="shared" si="40"/>
        <v>802.125</v>
      </c>
      <c r="K25" s="228">
        <f t="shared" si="50"/>
        <v>5624.625</v>
      </c>
      <c r="L25" s="234">
        <v>55</v>
      </c>
      <c r="M25" s="234">
        <f t="shared" si="59"/>
        <v>220</v>
      </c>
      <c r="N25" s="217">
        <f t="shared" si="60"/>
        <v>770</v>
      </c>
      <c r="O25" s="234">
        <f t="shared" si="49"/>
        <v>275</v>
      </c>
      <c r="P25" s="234">
        <f t="shared" si="62"/>
        <v>770</v>
      </c>
      <c r="Q25" s="217">
        <f t="shared" si="17"/>
        <v>1540</v>
      </c>
      <c r="R25" s="234">
        <f t="shared" si="18"/>
        <v>495</v>
      </c>
      <c r="S25" s="234">
        <f t="shared" si="19"/>
        <v>12.375</v>
      </c>
      <c r="T25" s="234">
        <f t="shared" si="61"/>
        <v>7164.625</v>
      </c>
      <c r="U25" s="217">
        <f t="shared" si="20"/>
        <v>2115</v>
      </c>
      <c r="V25" s="234">
        <f t="shared" si="39"/>
        <v>7177</v>
      </c>
      <c r="W25" s="155"/>
      <c r="X25" s="200"/>
      <c r="Y25" s="201"/>
      <c r="Z25" s="201"/>
    </row>
    <row r="26" spans="1:26" s="202" customFormat="1" ht="26" x14ac:dyDescent="0.45">
      <c r="A26" s="270" t="s">
        <v>83</v>
      </c>
      <c r="B26" s="206" t="s">
        <v>84</v>
      </c>
      <c r="C26" s="206" t="s">
        <v>45</v>
      </c>
      <c r="D26" s="223">
        <v>125</v>
      </c>
      <c r="E26" s="223">
        <v>1</v>
      </c>
      <c r="F26" s="223">
        <f t="shared" si="0"/>
        <v>125</v>
      </c>
      <c r="G26" s="223">
        <v>38.58</v>
      </c>
      <c r="H26" s="223">
        <f t="shared" si="10"/>
        <v>4822.5</v>
      </c>
      <c r="I26" s="223">
        <f t="shared" si="1"/>
        <v>1000</v>
      </c>
      <c r="J26" s="223">
        <f t="shared" si="40"/>
        <v>802.125</v>
      </c>
      <c r="K26" s="228">
        <f t="shared" si="50"/>
        <v>5624.625</v>
      </c>
      <c r="L26" s="234">
        <v>55</v>
      </c>
      <c r="M26" s="234">
        <f t="shared" si="59"/>
        <v>220</v>
      </c>
      <c r="N26" s="217">
        <f t="shared" si="60"/>
        <v>770</v>
      </c>
      <c r="O26" s="234">
        <f t="shared" ref="O26:O32" si="63">+L26*5</f>
        <v>275</v>
      </c>
      <c r="P26" s="234">
        <f>+L26*14</f>
        <v>770</v>
      </c>
      <c r="Q26" s="217">
        <f t="shared" si="17"/>
        <v>1540</v>
      </c>
      <c r="R26" s="234">
        <f t="shared" si="18"/>
        <v>495</v>
      </c>
      <c r="S26" s="234">
        <f t="shared" si="19"/>
        <v>12.375</v>
      </c>
      <c r="T26" s="234">
        <f t="shared" si="61"/>
        <v>7164.625</v>
      </c>
      <c r="U26" s="217">
        <f t="shared" si="20"/>
        <v>2115</v>
      </c>
      <c r="V26" s="234">
        <f t="shared" si="39"/>
        <v>7177</v>
      </c>
      <c r="W26" s="155"/>
      <c r="X26" s="200"/>
      <c r="Y26" s="201"/>
      <c r="Z26" s="201"/>
    </row>
    <row r="27" spans="1:26" s="202" customFormat="1" ht="26" x14ac:dyDescent="0.45">
      <c r="A27" s="270" t="s">
        <v>85</v>
      </c>
      <c r="B27" s="206" t="s">
        <v>86</v>
      </c>
      <c r="C27" s="206" t="s">
        <v>45</v>
      </c>
      <c r="D27" s="223">
        <v>125</v>
      </c>
      <c r="E27" s="223">
        <v>1</v>
      </c>
      <c r="F27" s="223">
        <f t="shared" si="0"/>
        <v>125</v>
      </c>
      <c r="G27" s="223">
        <v>38.58</v>
      </c>
      <c r="H27" s="223">
        <f t="shared" si="10"/>
        <v>4822.5</v>
      </c>
      <c r="I27" s="223">
        <f t="shared" si="1"/>
        <v>1000</v>
      </c>
      <c r="J27" s="223">
        <f t="shared" si="40"/>
        <v>802.125</v>
      </c>
      <c r="K27" s="228">
        <f t="shared" si="50"/>
        <v>5624.625</v>
      </c>
      <c r="L27" s="234">
        <v>55</v>
      </c>
      <c r="M27" s="234">
        <f t="shared" si="59"/>
        <v>220</v>
      </c>
      <c r="N27" s="217">
        <f t="shared" ref="N27:N30" si="64">L27*14</f>
        <v>770</v>
      </c>
      <c r="O27" s="234">
        <f t="shared" si="63"/>
        <v>275</v>
      </c>
      <c r="P27" s="234">
        <f t="shared" si="62"/>
        <v>770</v>
      </c>
      <c r="Q27" s="217">
        <f t="shared" si="17"/>
        <v>1540</v>
      </c>
      <c r="R27" s="234">
        <f t="shared" si="18"/>
        <v>495</v>
      </c>
      <c r="S27" s="234">
        <f t="shared" si="19"/>
        <v>12.375</v>
      </c>
      <c r="T27" s="234">
        <f t="shared" si="61"/>
        <v>7164.625</v>
      </c>
      <c r="U27" s="217">
        <f t="shared" si="20"/>
        <v>2115</v>
      </c>
      <c r="V27" s="234">
        <f t="shared" si="39"/>
        <v>7177</v>
      </c>
      <c r="W27" s="155"/>
      <c r="X27" s="200"/>
      <c r="Y27" s="201"/>
      <c r="Z27" s="201"/>
    </row>
    <row r="28" spans="1:26" s="202" customFormat="1" ht="26" x14ac:dyDescent="0.45">
      <c r="A28" s="270" t="s">
        <v>87</v>
      </c>
      <c r="B28" s="206" t="s">
        <v>88</v>
      </c>
      <c r="C28" s="206" t="s">
        <v>45</v>
      </c>
      <c r="D28" s="223">
        <v>125</v>
      </c>
      <c r="E28" s="223">
        <v>1</v>
      </c>
      <c r="F28" s="223">
        <f t="shared" si="0"/>
        <v>125</v>
      </c>
      <c r="G28" s="223">
        <v>38.58</v>
      </c>
      <c r="H28" s="223">
        <f t="shared" si="10"/>
        <v>4822.5</v>
      </c>
      <c r="I28" s="223">
        <f t="shared" si="1"/>
        <v>1000</v>
      </c>
      <c r="J28" s="223">
        <f t="shared" si="40"/>
        <v>802.125</v>
      </c>
      <c r="K28" s="228">
        <f t="shared" si="50"/>
        <v>5624.625</v>
      </c>
      <c r="L28" s="234">
        <v>55</v>
      </c>
      <c r="M28" s="234">
        <f t="shared" si="59"/>
        <v>220</v>
      </c>
      <c r="N28" s="217">
        <f t="shared" si="64"/>
        <v>770</v>
      </c>
      <c r="O28" s="234">
        <f t="shared" si="63"/>
        <v>275</v>
      </c>
      <c r="P28" s="234">
        <f t="shared" si="62"/>
        <v>770</v>
      </c>
      <c r="Q28" s="217">
        <f t="shared" si="17"/>
        <v>1540</v>
      </c>
      <c r="R28" s="234">
        <f t="shared" si="18"/>
        <v>495</v>
      </c>
      <c r="S28" s="234">
        <f t="shared" si="19"/>
        <v>12.375</v>
      </c>
      <c r="T28" s="234">
        <f t="shared" si="61"/>
        <v>7164.625</v>
      </c>
      <c r="U28" s="217">
        <f t="shared" si="20"/>
        <v>2115</v>
      </c>
      <c r="V28" s="234">
        <f t="shared" si="39"/>
        <v>7177</v>
      </c>
      <c r="W28" s="155"/>
      <c r="X28" s="200"/>
      <c r="Y28" s="201"/>
      <c r="Z28" s="201"/>
    </row>
    <row r="29" spans="1:26" s="205" customFormat="1" ht="52" x14ac:dyDescent="0.45">
      <c r="A29" s="270" t="s">
        <v>89</v>
      </c>
      <c r="B29" s="206" t="s">
        <v>90</v>
      </c>
      <c r="C29" s="196" t="s">
        <v>45</v>
      </c>
      <c r="D29" s="222">
        <v>89</v>
      </c>
      <c r="E29" s="222">
        <v>1</v>
      </c>
      <c r="F29" s="223">
        <f t="shared" si="0"/>
        <v>89</v>
      </c>
      <c r="G29" s="222">
        <v>38.58</v>
      </c>
      <c r="H29" s="223">
        <f t="shared" si="10"/>
        <v>3433.62</v>
      </c>
      <c r="I29" s="223">
        <f t="shared" si="1"/>
        <v>712</v>
      </c>
      <c r="J29" s="223">
        <f t="shared" si="40"/>
        <v>571.11299999999994</v>
      </c>
      <c r="K29" s="228">
        <f t="shared" si="50"/>
        <v>4004.7329999999997</v>
      </c>
      <c r="L29" s="217">
        <v>55</v>
      </c>
      <c r="M29" s="217">
        <f t="shared" si="59"/>
        <v>220</v>
      </c>
      <c r="N29" s="217">
        <f t="shared" si="64"/>
        <v>770</v>
      </c>
      <c r="O29" s="234">
        <f t="shared" si="63"/>
        <v>275</v>
      </c>
      <c r="P29" s="234">
        <f>+L29*14</f>
        <v>770</v>
      </c>
      <c r="Q29" s="217">
        <f t="shared" si="17"/>
        <v>1540</v>
      </c>
      <c r="R29" s="234">
        <f t="shared" si="18"/>
        <v>495</v>
      </c>
      <c r="S29" s="234">
        <f t="shared" si="19"/>
        <v>12.375</v>
      </c>
      <c r="T29" s="234">
        <f t="shared" si="61"/>
        <v>5544.7330000000002</v>
      </c>
      <c r="U29" s="217">
        <f t="shared" si="20"/>
        <v>1791</v>
      </c>
      <c r="V29" s="234">
        <f t="shared" si="39"/>
        <v>5557.1080000000002</v>
      </c>
      <c r="W29" s="188"/>
      <c r="X29" s="203"/>
      <c r="Y29" s="204"/>
      <c r="Z29" s="204"/>
    </row>
    <row r="30" spans="1:26" s="205" customFormat="1" ht="39" x14ac:dyDescent="0.45">
      <c r="A30" s="270" t="s">
        <v>91</v>
      </c>
      <c r="B30" s="206" t="s">
        <v>92</v>
      </c>
      <c r="C30" s="196" t="s">
        <v>48</v>
      </c>
      <c r="D30" s="222">
        <v>89</v>
      </c>
      <c r="E30" s="222">
        <v>1</v>
      </c>
      <c r="F30" s="223">
        <f t="shared" si="0"/>
        <v>89</v>
      </c>
      <c r="G30" s="222">
        <v>38.58</v>
      </c>
      <c r="H30" s="223">
        <f t="shared" si="10"/>
        <v>3433.62</v>
      </c>
      <c r="I30" s="223">
        <f t="shared" si="1"/>
        <v>712</v>
      </c>
      <c r="J30" s="223">
        <f t="shared" si="40"/>
        <v>571.11299999999994</v>
      </c>
      <c r="K30" s="228">
        <f t="shared" si="50"/>
        <v>4004.7329999999997</v>
      </c>
      <c r="L30" s="217">
        <v>55</v>
      </c>
      <c r="M30" s="217">
        <f t="shared" si="59"/>
        <v>220</v>
      </c>
      <c r="N30" s="217">
        <f t="shared" si="64"/>
        <v>770</v>
      </c>
      <c r="O30" s="234">
        <f t="shared" si="63"/>
        <v>275</v>
      </c>
      <c r="P30" s="234">
        <f t="shared" si="62"/>
        <v>770</v>
      </c>
      <c r="Q30" s="217">
        <f t="shared" si="17"/>
        <v>1540</v>
      </c>
      <c r="R30" s="234">
        <f t="shared" si="18"/>
        <v>495</v>
      </c>
      <c r="S30" s="234">
        <f t="shared" si="19"/>
        <v>12.375</v>
      </c>
      <c r="T30" s="217">
        <f t="shared" ref="T30:T35" si="65">K30+Q30</f>
        <v>5544.7330000000002</v>
      </c>
      <c r="U30" s="217">
        <f t="shared" si="20"/>
        <v>1791</v>
      </c>
      <c r="V30" s="234">
        <f t="shared" si="39"/>
        <v>5557.1080000000002</v>
      </c>
      <c r="W30" s="188"/>
      <c r="X30" s="203"/>
      <c r="Y30" s="204"/>
      <c r="Z30" s="204"/>
    </row>
    <row r="31" spans="1:26" s="205" customFormat="1" ht="52" x14ac:dyDescent="0.45">
      <c r="A31" s="270" t="s">
        <v>93</v>
      </c>
      <c r="B31" s="206" t="s">
        <v>94</v>
      </c>
      <c r="C31" s="196" t="s">
        <v>48</v>
      </c>
      <c r="D31" s="222">
        <v>10</v>
      </c>
      <c r="E31" s="222">
        <v>1</v>
      </c>
      <c r="F31" s="223">
        <f t="shared" si="0"/>
        <v>10</v>
      </c>
      <c r="G31" s="222">
        <v>33.58</v>
      </c>
      <c r="H31" s="223">
        <f t="shared" si="10"/>
        <v>335.79999999999995</v>
      </c>
      <c r="I31" s="223">
        <f t="shared" si="1"/>
        <v>80</v>
      </c>
      <c r="J31" s="223">
        <f t="shared" si="40"/>
        <v>64.17</v>
      </c>
      <c r="K31" s="228">
        <f t="shared" si="50"/>
        <v>399.96999999999997</v>
      </c>
      <c r="L31" s="217">
        <v>10</v>
      </c>
      <c r="M31" s="217">
        <f t="shared" si="59"/>
        <v>40</v>
      </c>
      <c r="N31" s="217">
        <f t="shared" ref="N31:N36" si="66">L31*14</f>
        <v>140</v>
      </c>
      <c r="O31" s="234">
        <f t="shared" si="63"/>
        <v>50</v>
      </c>
      <c r="P31" s="234">
        <f>+L31*14</f>
        <v>140</v>
      </c>
      <c r="Q31" s="217">
        <f t="shared" si="17"/>
        <v>280</v>
      </c>
      <c r="R31" s="234">
        <f t="shared" si="18"/>
        <v>90</v>
      </c>
      <c r="S31" s="234">
        <f t="shared" si="19"/>
        <v>2.25</v>
      </c>
      <c r="T31" s="217">
        <f t="shared" si="65"/>
        <v>679.97</v>
      </c>
      <c r="U31" s="217">
        <f t="shared" si="20"/>
        <v>270</v>
      </c>
      <c r="V31" s="234">
        <f t="shared" si="39"/>
        <v>682.22</v>
      </c>
      <c r="W31" s="188"/>
      <c r="X31" s="203"/>
      <c r="Y31" s="204"/>
      <c r="Z31" s="204"/>
    </row>
    <row r="32" spans="1:26" s="199" customFormat="1" ht="26" x14ac:dyDescent="0.45">
      <c r="A32" s="270" t="s">
        <v>95</v>
      </c>
      <c r="B32" s="268" t="s">
        <v>96</v>
      </c>
      <c r="C32" s="196" t="s">
        <v>48</v>
      </c>
      <c r="D32" s="222">
        <v>30</v>
      </c>
      <c r="E32" s="222">
        <v>1</v>
      </c>
      <c r="F32" s="222">
        <f t="shared" si="0"/>
        <v>30</v>
      </c>
      <c r="G32" s="222">
        <v>33.58</v>
      </c>
      <c r="H32" s="222">
        <f t="shared" ref="H32" si="67">G32*F32</f>
        <v>1007.4</v>
      </c>
      <c r="I32" s="223">
        <f t="shared" si="1"/>
        <v>240</v>
      </c>
      <c r="J32" s="223">
        <f t="shared" si="40"/>
        <v>192.51</v>
      </c>
      <c r="K32" s="228">
        <f t="shared" si="50"/>
        <v>1199.9099999999999</v>
      </c>
      <c r="L32" s="217">
        <v>15</v>
      </c>
      <c r="M32" s="217">
        <f t="shared" ref="M32:M35" si="68">+L32*4</f>
        <v>60</v>
      </c>
      <c r="N32" s="217">
        <f t="shared" si="66"/>
        <v>210</v>
      </c>
      <c r="O32" s="234">
        <f t="shared" si="63"/>
        <v>75</v>
      </c>
      <c r="P32" s="234">
        <f t="shared" si="62"/>
        <v>210</v>
      </c>
      <c r="Q32" s="217">
        <f t="shared" si="17"/>
        <v>420</v>
      </c>
      <c r="R32" s="234">
        <f t="shared" si="18"/>
        <v>135</v>
      </c>
      <c r="S32" s="234">
        <f t="shared" si="19"/>
        <v>3.375</v>
      </c>
      <c r="T32" s="217">
        <f t="shared" si="65"/>
        <v>1619.9099999999999</v>
      </c>
      <c r="U32" s="217">
        <f t="shared" si="20"/>
        <v>540</v>
      </c>
      <c r="V32" s="234">
        <f t="shared" si="39"/>
        <v>1623.2849999999999</v>
      </c>
      <c r="W32" s="325"/>
      <c r="X32" s="197"/>
      <c r="Y32" s="198"/>
      <c r="Z32" s="198"/>
    </row>
    <row r="33" spans="1:30" s="205" customFormat="1" ht="52" x14ac:dyDescent="0.45">
      <c r="A33" s="270" t="s">
        <v>97</v>
      </c>
      <c r="B33" s="206" t="s">
        <v>98</v>
      </c>
      <c r="C33" s="196" t="s">
        <v>48</v>
      </c>
      <c r="D33" s="222">
        <v>30</v>
      </c>
      <c r="E33" s="222">
        <v>1</v>
      </c>
      <c r="F33" s="222">
        <f t="shared" si="0"/>
        <v>30</v>
      </c>
      <c r="G33" s="222">
        <v>33.58</v>
      </c>
      <c r="H33" s="222">
        <f t="shared" ref="H33:H38" si="69">G33*F33</f>
        <v>1007.4</v>
      </c>
      <c r="I33" s="223">
        <f t="shared" si="1"/>
        <v>240</v>
      </c>
      <c r="J33" s="223">
        <f t="shared" si="40"/>
        <v>192.51</v>
      </c>
      <c r="K33" s="228">
        <f t="shared" si="50"/>
        <v>1199.9099999999999</v>
      </c>
      <c r="L33" s="217">
        <v>15</v>
      </c>
      <c r="M33" s="217">
        <f t="shared" si="68"/>
        <v>60</v>
      </c>
      <c r="N33" s="217">
        <f t="shared" si="66"/>
        <v>210</v>
      </c>
      <c r="O33" s="217">
        <f t="shared" ref="O33:O36" si="70">L33*5</f>
        <v>75</v>
      </c>
      <c r="P33" s="234">
        <f t="shared" si="62"/>
        <v>210</v>
      </c>
      <c r="Q33" s="217">
        <f t="shared" si="17"/>
        <v>420</v>
      </c>
      <c r="R33" s="234">
        <f t="shared" si="18"/>
        <v>135</v>
      </c>
      <c r="S33" s="234">
        <f t="shared" si="19"/>
        <v>3.375</v>
      </c>
      <c r="T33" s="217">
        <f t="shared" si="65"/>
        <v>1619.9099999999999</v>
      </c>
      <c r="U33" s="217">
        <f t="shared" si="20"/>
        <v>540</v>
      </c>
      <c r="V33" s="234">
        <f t="shared" si="39"/>
        <v>1623.2849999999999</v>
      </c>
      <c r="W33" s="188"/>
      <c r="X33" s="203"/>
      <c r="Y33" s="204"/>
      <c r="Z33" s="204"/>
    </row>
    <row r="34" spans="1:30" s="209" customFormat="1" ht="52" x14ac:dyDescent="0.45">
      <c r="A34" s="270" t="s">
        <v>99</v>
      </c>
      <c r="B34" s="206" t="s">
        <v>100</v>
      </c>
      <c r="C34" s="340" t="s">
        <v>45</v>
      </c>
      <c r="D34" s="226">
        <v>89</v>
      </c>
      <c r="E34" s="226">
        <v>1</v>
      </c>
      <c r="F34" s="223">
        <f t="shared" si="0"/>
        <v>89</v>
      </c>
      <c r="G34" s="226">
        <v>33.58</v>
      </c>
      <c r="H34" s="222">
        <f t="shared" si="69"/>
        <v>2988.62</v>
      </c>
      <c r="I34" s="223">
        <f t="shared" si="1"/>
        <v>712</v>
      </c>
      <c r="J34" s="223">
        <f t="shared" si="40"/>
        <v>571.11299999999994</v>
      </c>
      <c r="K34" s="228">
        <f t="shared" si="50"/>
        <v>3559.7329999999997</v>
      </c>
      <c r="L34" s="234">
        <v>89</v>
      </c>
      <c r="M34" s="217">
        <f t="shared" si="68"/>
        <v>356</v>
      </c>
      <c r="N34" s="217">
        <f t="shared" si="66"/>
        <v>1246</v>
      </c>
      <c r="O34" s="217">
        <f t="shared" si="70"/>
        <v>445</v>
      </c>
      <c r="P34" s="234">
        <f t="shared" si="62"/>
        <v>1246</v>
      </c>
      <c r="Q34" s="217">
        <f t="shared" si="17"/>
        <v>2492</v>
      </c>
      <c r="R34" s="234">
        <f t="shared" si="18"/>
        <v>801</v>
      </c>
      <c r="S34" s="234">
        <f t="shared" si="19"/>
        <v>20.025000000000002</v>
      </c>
      <c r="T34" s="217">
        <f t="shared" si="65"/>
        <v>6051.7330000000002</v>
      </c>
      <c r="U34" s="217">
        <f t="shared" si="20"/>
        <v>2403</v>
      </c>
      <c r="V34" s="234">
        <f t="shared" si="39"/>
        <v>6071.7579999999998</v>
      </c>
      <c r="W34" s="158"/>
      <c r="X34" s="207">
        <v>3</v>
      </c>
      <c r="Y34" s="208">
        <f t="shared" si="22"/>
        <v>445</v>
      </c>
      <c r="Z34" s="201">
        <f t="shared" ref="Z34:Z36" si="71">H34+N34</f>
        <v>4234.62</v>
      </c>
    </row>
    <row r="35" spans="1:30" s="199" customFormat="1" ht="52" x14ac:dyDescent="0.45">
      <c r="A35" s="270" t="s">
        <v>101</v>
      </c>
      <c r="B35" s="206" t="s">
        <v>102</v>
      </c>
      <c r="C35" s="196" t="s">
        <v>48</v>
      </c>
      <c r="D35" s="222">
        <v>60</v>
      </c>
      <c r="E35" s="222">
        <v>1</v>
      </c>
      <c r="F35" s="222">
        <f t="shared" si="0"/>
        <v>60</v>
      </c>
      <c r="G35" s="222">
        <v>67.16</v>
      </c>
      <c r="H35" s="222">
        <f>G35*F35</f>
        <v>4029.6</v>
      </c>
      <c r="I35" s="223">
        <f t="shared" si="1"/>
        <v>480</v>
      </c>
      <c r="J35" s="223">
        <f t="shared" si="40"/>
        <v>385.02</v>
      </c>
      <c r="K35" s="228">
        <f t="shared" si="50"/>
        <v>4414.62</v>
      </c>
      <c r="L35" s="217">
        <v>45</v>
      </c>
      <c r="M35" s="217">
        <f t="shared" si="68"/>
        <v>180</v>
      </c>
      <c r="N35" s="217">
        <f t="shared" si="66"/>
        <v>630</v>
      </c>
      <c r="O35" s="217">
        <f t="shared" si="70"/>
        <v>225</v>
      </c>
      <c r="P35" s="234">
        <f t="shared" si="62"/>
        <v>630</v>
      </c>
      <c r="Q35" s="217">
        <f t="shared" si="17"/>
        <v>1260</v>
      </c>
      <c r="R35" s="234">
        <f t="shared" si="18"/>
        <v>405</v>
      </c>
      <c r="S35" s="234">
        <f t="shared" si="19"/>
        <v>10.125</v>
      </c>
      <c r="T35" s="217">
        <f t="shared" si="65"/>
        <v>5674.62</v>
      </c>
      <c r="U35" s="217">
        <f t="shared" si="20"/>
        <v>1350</v>
      </c>
      <c r="V35" s="234">
        <f t="shared" si="39"/>
        <v>5684.7449999999999</v>
      </c>
      <c r="W35" s="325"/>
      <c r="X35" s="197"/>
      <c r="Y35" s="198"/>
      <c r="Z35" s="198"/>
    </row>
    <row r="36" spans="1:30" s="183" customFormat="1" ht="52" x14ac:dyDescent="0.45">
      <c r="A36" s="270" t="s">
        <v>103</v>
      </c>
      <c r="B36" s="269" t="s">
        <v>104</v>
      </c>
      <c r="C36" s="181" t="s">
        <v>45</v>
      </c>
      <c r="D36" s="227">
        <v>89</v>
      </c>
      <c r="E36" s="227">
        <v>1</v>
      </c>
      <c r="F36" s="227">
        <f t="shared" si="0"/>
        <v>89</v>
      </c>
      <c r="G36" s="227">
        <v>33.58</v>
      </c>
      <c r="H36" s="227">
        <f t="shared" si="69"/>
        <v>2988.62</v>
      </c>
      <c r="I36" s="227">
        <f t="shared" si="1"/>
        <v>712</v>
      </c>
      <c r="J36" s="227">
        <f>F36*6.417</f>
        <v>571.11299999999994</v>
      </c>
      <c r="K36" s="228">
        <f t="shared" si="50"/>
        <v>3559.7329999999997</v>
      </c>
      <c r="L36" s="218">
        <v>89</v>
      </c>
      <c r="M36" s="218">
        <f>L36*4</f>
        <v>356</v>
      </c>
      <c r="N36" s="218">
        <f t="shared" si="66"/>
        <v>1246</v>
      </c>
      <c r="O36" s="218">
        <f t="shared" si="70"/>
        <v>445</v>
      </c>
      <c r="P36" s="218">
        <f t="shared" ref="P36" si="72">L36*14</f>
        <v>1246</v>
      </c>
      <c r="Q36" s="218">
        <f t="shared" ref="Q36" si="73">N36+P36</f>
        <v>2492</v>
      </c>
      <c r="R36" s="341">
        <f t="shared" si="18"/>
        <v>801</v>
      </c>
      <c r="S36" s="218">
        <f>L36*RecordHours</f>
        <v>20.025000000000002</v>
      </c>
      <c r="T36" s="218">
        <f t="shared" ref="T36" si="74">K36+Q36</f>
        <v>6051.7330000000002</v>
      </c>
      <c r="U36" s="218">
        <f t="shared" ref="U36" si="75">F36+M36+R36+I36+O36</f>
        <v>2403</v>
      </c>
      <c r="V36" s="218">
        <f t="shared" ref="V36" si="76">S36+T36</f>
        <v>6071.7579999999998</v>
      </c>
      <c r="W36" s="325"/>
      <c r="X36" s="182">
        <v>3</v>
      </c>
      <c r="Y36" s="260">
        <f t="shared" si="22"/>
        <v>445</v>
      </c>
      <c r="Z36" s="261">
        <f t="shared" si="71"/>
        <v>4234.62</v>
      </c>
    </row>
    <row r="37" spans="1:30" s="320" customFormat="1" ht="39" x14ac:dyDescent="0.45">
      <c r="A37" s="314" t="s">
        <v>309</v>
      </c>
      <c r="B37" s="315" t="s">
        <v>105</v>
      </c>
      <c r="C37" s="314" t="s">
        <v>45</v>
      </c>
      <c r="D37" s="316">
        <v>15</v>
      </c>
      <c r="E37" s="316">
        <v>1</v>
      </c>
      <c r="F37" s="316">
        <f>D37*E37</f>
        <v>15</v>
      </c>
      <c r="G37" s="316">
        <v>20</v>
      </c>
      <c r="H37" s="316">
        <f t="shared" ref="H37" si="77">G37*F37</f>
        <v>300</v>
      </c>
      <c r="I37" s="316">
        <f>D37*8</f>
        <v>120</v>
      </c>
      <c r="J37" s="316">
        <f t="shared" ref="J37" si="78">F37*6.417</f>
        <v>96.254999999999995</v>
      </c>
      <c r="K37" s="228">
        <f>J37+H37</f>
        <v>396.255</v>
      </c>
      <c r="L37" s="317">
        <v>15</v>
      </c>
      <c r="M37" s="317">
        <f>L37*4</f>
        <v>60</v>
      </c>
      <c r="N37" s="317">
        <f>L37*14</f>
        <v>210</v>
      </c>
      <c r="O37" s="317">
        <f>L37*5</f>
        <v>75</v>
      </c>
      <c r="P37" s="317">
        <f>L37*14</f>
        <v>210</v>
      </c>
      <c r="Q37" s="317">
        <f>N37+P37</f>
        <v>420</v>
      </c>
      <c r="R37" s="317">
        <f t="shared" ref="R37" si="79">L37*RecordResponse</f>
        <v>135</v>
      </c>
      <c r="S37" s="317">
        <f t="shared" ref="S37" si="80">L37*RecordHours</f>
        <v>3.375</v>
      </c>
      <c r="T37" s="317">
        <f>K37+Q37</f>
        <v>816.255</v>
      </c>
      <c r="U37" s="317">
        <f>F37+M37+R37+I37+O37</f>
        <v>405</v>
      </c>
      <c r="V37" s="317">
        <f>S37+T37</f>
        <v>819.63</v>
      </c>
      <c r="W37" s="326"/>
      <c r="X37" s="318"/>
      <c r="Y37" s="319"/>
      <c r="Z37" s="319"/>
    </row>
    <row r="38" spans="1:30" s="320" customFormat="1" ht="39" x14ac:dyDescent="0.45">
      <c r="A38" s="314" t="s">
        <v>310</v>
      </c>
      <c r="B38" s="315" t="s">
        <v>106</v>
      </c>
      <c r="C38" s="314" t="s">
        <v>45</v>
      </c>
      <c r="D38" s="316">
        <v>10</v>
      </c>
      <c r="E38" s="316">
        <v>2</v>
      </c>
      <c r="F38" s="316">
        <f>D38*E38</f>
        <v>20</v>
      </c>
      <c r="G38" s="316">
        <v>20</v>
      </c>
      <c r="H38" s="316">
        <f t="shared" si="69"/>
        <v>400</v>
      </c>
      <c r="I38" s="316">
        <f>D38*8</f>
        <v>80</v>
      </c>
      <c r="J38" s="316">
        <f t="shared" ref="J38" si="81">F38*6.417</f>
        <v>128.34</v>
      </c>
      <c r="K38" s="228">
        <f>J38+H38</f>
        <v>528.34</v>
      </c>
      <c r="L38" s="317">
        <v>7</v>
      </c>
      <c r="M38" s="317">
        <f>L38*4</f>
        <v>28</v>
      </c>
      <c r="N38" s="317">
        <f>L38*14</f>
        <v>98</v>
      </c>
      <c r="O38" s="317">
        <f>L38*5</f>
        <v>35</v>
      </c>
      <c r="P38" s="317">
        <f>L38*14</f>
        <v>98</v>
      </c>
      <c r="Q38" s="317">
        <f>N38+P38</f>
        <v>196</v>
      </c>
      <c r="R38" s="317">
        <f t="shared" si="18"/>
        <v>63</v>
      </c>
      <c r="S38" s="317">
        <f t="shared" ref="S38" si="82">L38*RecordHours</f>
        <v>1.575</v>
      </c>
      <c r="T38" s="317">
        <f>K38+Q38</f>
        <v>724.34</v>
      </c>
      <c r="U38" s="317">
        <f>F38+M38+R38+I38+O38</f>
        <v>226</v>
      </c>
      <c r="V38" s="317">
        <f>S38+T38</f>
        <v>725.91500000000008</v>
      </c>
      <c r="W38" s="326"/>
      <c r="X38" s="318"/>
      <c r="Y38" s="319"/>
      <c r="Z38" s="319"/>
    </row>
    <row r="39" spans="1:30" s="114" customFormat="1" ht="26" x14ac:dyDescent="0.45">
      <c r="A39" s="270" t="s">
        <v>107</v>
      </c>
      <c r="B39" s="175" t="s">
        <v>108</v>
      </c>
      <c r="C39" s="338" t="s">
        <v>45</v>
      </c>
      <c r="D39" s="220">
        <v>125</v>
      </c>
      <c r="E39" s="220">
        <v>1</v>
      </c>
      <c r="F39" s="220">
        <f t="shared" si="0"/>
        <v>125</v>
      </c>
      <c r="G39" s="220">
        <v>38.582999999999998</v>
      </c>
      <c r="H39" s="220">
        <f t="shared" si="10"/>
        <v>4822.875</v>
      </c>
      <c r="I39" s="220">
        <f t="shared" si="1"/>
        <v>1000</v>
      </c>
      <c r="J39" s="220">
        <f t="shared" si="11"/>
        <v>802.125</v>
      </c>
      <c r="K39" s="228">
        <f t="shared" si="50"/>
        <v>5625</v>
      </c>
      <c r="L39" s="220">
        <v>55</v>
      </c>
      <c r="M39" s="215">
        <f t="shared" si="13"/>
        <v>220</v>
      </c>
      <c r="N39" s="215">
        <f t="shared" si="14"/>
        <v>770</v>
      </c>
      <c r="O39" s="215">
        <f t="shared" si="15"/>
        <v>275</v>
      </c>
      <c r="P39" s="215">
        <f t="shared" si="16"/>
        <v>770</v>
      </c>
      <c r="Q39" s="215">
        <f t="shared" si="17"/>
        <v>1540</v>
      </c>
      <c r="R39" s="215">
        <f t="shared" si="18"/>
        <v>495</v>
      </c>
      <c r="S39" s="215">
        <f t="shared" si="19"/>
        <v>12.375</v>
      </c>
      <c r="T39" s="215">
        <f t="shared" si="36"/>
        <v>7165</v>
      </c>
      <c r="U39" s="215">
        <f t="shared" si="20"/>
        <v>2115</v>
      </c>
      <c r="V39" s="215">
        <f t="shared" si="39"/>
        <v>7177.375</v>
      </c>
      <c r="W39" s="155"/>
      <c r="X39" s="155">
        <v>2.6923076923076925</v>
      </c>
      <c r="Y39" s="156">
        <f t="shared" si="22"/>
        <v>345</v>
      </c>
      <c r="Z39" s="156">
        <f t="shared" si="9"/>
        <v>5592.875</v>
      </c>
    </row>
    <row r="40" spans="1:30" s="114" customFormat="1" x14ac:dyDescent="0.45">
      <c r="A40" s="270" t="s">
        <v>109</v>
      </c>
      <c r="B40" s="175" t="s">
        <v>110</v>
      </c>
      <c r="C40" s="338" t="s">
        <v>36</v>
      </c>
      <c r="D40" s="220">
        <v>1092</v>
      </c>
      <c r="E40" s="220">
        <v>1</v>
      </c>
      <c r="F40" s="220">
        <f t="shared" si="0"/>
        <v>1092</v>
      </c>
      <c r="G40" s="220">
        <v>40</v>
      </c>
      <c r="H40" s="220">
        <f t="shared" si="10"/>
        <v>43680</v>
      </c>
      <c r="I40" s="220">
        <f t="shared" si="1"/>
        <v>8736</v>
      </c>
      <c r="J40" s="220">
        <f t="shared" si="11"/>
        <v>7007.3639999999996</v>
      </c>
      <c r="K40" s="228">
        <f t="shared" si="50"/>
        <v>50687.364000000001</v>
      </c>
      <c r="L40" s="265">
        <v>1092</v>
      </c>
      <c r="M40" s="215">
        <f t="shared" si="13"/>
        <v>4368</v>
      </c>
      <c r="N40" s="215">
        <f t="shared" si="14"/>
        <v>15288</v>
      </c>
      <c r="O40" s="215">
        <f t="shared" si="15"/>
        <v>5460</v>
      </c>
      <c r="P40" s="215">
        <f t="shared" si="16"/>
        <v>15288</v>
      </c>
      <c r="Q40" s="215">
        <f t="shared" si="17"/>
        <v>30576</v>
      </c>
      <c r="R40" s="215">
        <f t="shared" si="18"/>
        <v>9828</v>
      </c>
      <c r="S40" s="215">
        <f t="shared" si="19"/>
        <v>245.70000000000002</v>
      </c>
      <c r="T40" s="215">
        <f t="shared" si="36"/>
        <v>81263.364000000001</v>
      </c>
      <c r="U40" s="215">
        <f>F40+M40+R40+I40+O40</f>
        <v>29484</v>
      </c>
      <c r="V40" s="215">
        <f t="shared" si="39"/>
        <v>81509.063999999998</v>
      </c>
      <c r="W40" s="155"/>
      <c r="X40" s="155"/>
      <c r="Y40" s="156"/>
      <c r="Z40" s="156"/>
    </row>
    <row r="41" spans="1:30" s="114" customFormat="1" ht="26" x14ac:dyDescent="0.45">
      <c r="A41" s="363" t="s">
        <v>311</v>
      </c>
      <c r="B41" s="363" t="s">
        <v>111</v>
      </c>
      <c r="C41" s="364" t="s">
        <v>36</v>
      </c>
      <c r="D41" s="365">
        <v>15</v>
      </c>
      <c r="E41" s="365">
        <v>1</v>
      </c>
      <c r="F41" s="365">
        <f t="shared" ref="F41" si="83">D41*E41</f>
        <v>15</v>
      </c>
      <c r="G41" s="365">
        <v>33.582999999999998</v>
      </c>
      <c r="H41" s="365">
        <f t="shared" ref="H41" si="84">F41*G41</f>
        <v>503.745</v>
      </c>
      <c r="I41" s="365">
        <f t="shared" ref="I41" si="85">D41*8</f>
        <v>120</v>
      </c>
      <c r="J41" s="365">
        <f t="shared" ref="J41" si="86">+F41*6.417</f>
        <v>96.254999999999995</v>
      </c>
      <c r="K41" s="365">
        <f t="shared" si="50"/>
        <v>600</v>
      </c>
      <c r="L41" s="365">
        <v>10</v>
      </c>
      <c r="M41" s="366">
        <f t="shared" ref="M41" si="87">L41*4</f>
        <v>40</v>
      </c>
      <c r="N41" s="366">
        <f t="shared" ref="N41" si="88">+L41*14</f>
        <v>140</v>
      </c>
      <c r="O41" s="366">
        <f t="shared" ref="O41" si="89">L41*5</f>
        <v>50</v>
      </c>
      <c r="P41" s="366">
        <f t="shared" ref="P41" si="90">L41*14</f>
        <v>140</v>
      </c>
      <c r="Q41" s="366">
        <f t="shared" ref="Q41" si="91">N41+P41</f>
        <v>280</v>
      </c>
      <c r="R41" s="366">
        <f t="shared" ref="R41" si="92">L41*RecordResponse</f>
        <v>90</v>
      </c>
      <c r="S41" s="366">
        <f t="shared" ref="S41" si="93">L41*RecordHours</f>
        <v>2.25</v>
      </c>
      <c r="T41" s="366">
        <f t="shared" ref="T41" si="94">K41+Q41</f>
        <v>880</v>
      </c>
      <c r="U41" s="366">
        <f t="shared" ref="U41" si="95">F41+M41+R41+I41+O41</f>
        <v>315</v>
      </c>
      <c r="V41" s="366">
        <f t="shared" ref="V41" si="96">S41+T41</f>
        <v>882.25</v>
      </c>
      <c r="W41" s="155"/>
      <c r="X41" s="155"/>
      <c r="Y41" s="156"/>
      <c r="Z41" s="156"/>
    </row>
    <row r="42" spans="1:30" s="247" customFormat="1" x14ac:dyDescent="0.45">
      <c r="A42" s="509" t="s">
        <v>112</v>
      </c>
      <c r="B42" s="509"/>
      <c r="C42" s="509"/>
      <c r="D42" s="250">
        <f>SUM(D4:D41)</f>
        <v>3320</v>
      </c>
      <c r="E42" s="342">
        <f>AVERAGE(E4:E41)</f>
        <v>1.0263157894736843</v>
      </c>
      <c r="F42" s="250">
        <f>SUM(F4:F41)</f>
        <v>3330</v>
      </c>
      <c r="G42" s="250">
        <f>H42/F42</f>
        <v>41.752238438438432</v>
      </c>
      <c r="H42" s="250">
        <f t="shared" ref="H42:V42" si="97">SUM(H4:H41)</f>
        <v>139034.95399999997</v>
      </c>
      <c r="I42" s="250">
        <f t="shared" si="97"/>
        <v>26560</v>
      </c>
      <c r="J42" s="250">
        <f t="shared" si="97"/>
        <v>21368.609999999997</v>
      </c>
      <c r="K42" s="343">
        <f t="shared" si="97"/>
        <v>160403.56399999998</v>
      </c>
      <c r="L42" s="250">
        <f t="shared" si="97"/>
        <v>2462</v>
      </c>
      <c r="M42" s="250">
        <f>SUM(M4:M41)</f>
        <v>9848</v>
      </c>
      <c r="N42" s="250">
        <f>SUM(N4:N41)</f>
        <v>34468</v>
      </c>
      <c r="O42" s="250">
        <f>SUM(O4:O41)</f>
        <v>12310</v>
      </c>
      <c r="P42" s="250">
        <f t="shared" si="97"/>
        <v>34468</v>
      </c>
      <c r="Q42" s="250">
        <f t="shared" si="97"/>
        <v>69187</v>
      </c>
      <c r="R42" s="250">
        <f t="shared" si="97"/>
        <v>22158</v>
      </c>
      <c r="S42" s="250">
        <f t="shared" si="97"/>
        <v>553.94999999999993</v>
      </c>
      <c r="T42" s="250">
        <f t="shared" si="97"/>
        <v>229590.56400000004</v>
      </c>
      <c r="U42" s="250">
        <f t="shared" si="97"/>
        <v>74206</v>
      </c>
      <c r="V42" s="250">
        <f t="shared" si="97"/>
        <v>230144.51400000002</v>
      </c>
      <c r="W42" s="156"/>
      <c r="X42" s="246"/>
      <c r="Y42" s="245"/>
      <c r="Z42" s="245"/>
      <c r="AB42" s="248"/>
      <c r="AD42" s="249"/>
    </row>
    <row r="43" spans="1:30" s="114" customFormat="1" ht="23.5" x14ac:dyDescent="0.45">
      <c r="A43" s="511" t="s">
        <v>113</v>
      </c>
      <c r="B43" s="511"/>
      <c r="C43" s="511"/>
      <c r="D43" s="511"/>
      <c r="E43" s="511"/>
      <c r="F43" s="511"/>
      <c r="G43" s="511"/>
      <c r="H43" s="511"/>
      <c r="I43" s="511"/>
      <c r="J43" s="511"/>
      <c r="K43" s="511"/>
      <c r="L43" s="511"/>
      <c r="M43" s="511"/>
      <c r="N43" s="511"/>
      <c r="O43" s="511"/>
      <c r="P43" s="511"/>
      <c r="Q43" s="511"/>
      <c r="R43" s="511"/>
      <c r="S43" s="511"/>
      <c r="T43" s="511"/>
      <c r="U43" s="511"/>
      <c r="V43" s="511"/>
      <c r="W43" s="155"/>
      <c r="X43" s="155"/>
      <c r="Y43" s="156"/>
      <c r="Z43" s="156"/>
    </row>
    <row r="44" spans="1:30" x14ac:dyDescent="0.45">
      <c r="A44" s="270" t="s">
        <v>360</v>
      </c>
      <c r="B44" s="176" t="s">
        <v>44</v>
      </c>
      <c r="C44" s="176" t="s">
        <v>114</v>
      </c>
      <c r="D44" s="219">
        <v>160</v>
      </c>
      <c r="E44" s="219">
        <v>1</v>
      </c>
      <c r="F44" s="219">
        <f>D44*E44</f>
        <v>160</v>
      </c>
      <c r="G44" s="219">
        <v>59.332999999999998</v>
      </c>
      <c r="H44" s="225">
        <f t="shared" ref="H44:H45" si="98">G44*F44</f>
        <v>9493.2799999999988</v>
      </c>
      <c r="I44" s="219">
        <f>D44*9</f>
        <v>1440</v>
      </c>
      <c r="J44" s="219">
        <f>F44*6.667</f>
        <v>1066.72</v>
      </c>
      <c r="K44" s="228">
        <f>J44+H44</f>
        <v>10559.999999999998</v>
      </c>
      <c r="L44" s="265">
        <v>36</v>
      </c>
      <c r="M44" s="337">
        <f>L44*4</f>
        <v>144</v>
      </c>
      <c r="N44" s="337">
        <f>L44*14</f>
        <v>504</v>
      </c>
      <c r="O44" s="337">
        <f>L44*5</f>
        <v>180</v>
      </c>
      <c r="P44" s="337">
        <f>L44*14</f>
        <v>504</v>
      </c>
      <c r="Q44" s="337">
        <f>N44+P44</f>
        <v>1008</v>
      </c>
      <c r="R44" s="238">
        <f>L44*RecordResponse</f>
        <v>324</v>
      </c>
      <c r="S44" s="215">
        <f>L44*RecordHours</f>
        <v>8.1</v>
      </c>
      <c r="T44" s="215">
        <f>K44+Q44</f>
        <v>11567.999999999998</v>
      </c>
      <c r="U44" s="215">
        <f>F44+M44+R44+I44+O44</f>
        <v>2248</v>
      </c>
      <c r="V44" s="238">
        <f>S44+T44</f>
        <v>11576.099999999999</v>
      </c>
      <c r="W44" s="155"/>
      <c r="X44" s="152">
        <f>Y44/D44</f>
        <v>1.9</v>
      </c>
      <c r="Y44" s="157">
        <f>F44+M44</f>
        <v>304</v>
      </c>
      <c r="Z44" s="157">
        <f>H44+N44</f>
        <v>9997.2799999999988</v>
      </c>
    </row>
    <row r="45" spans="1:30" ht="26" x14ac:dyDescent="0.45">
      <c r="A45" s="270" t="s">
        <v>363</v>
      </c>
      <c r="B45" s="176" t="s">
        <v>58</v>
      </c>
      <c r="C45" s="176" t="s">
        <v>114</v>
      </c>
      <c r="D45" s="219">
        <v>15</v>
      </c>
      <c r="E45" s="219">
        <v>1</v>
      </c>
      <c r="F45" s="219">
        <f>D45*E45</f>
        <v>15</v>
      </c>
      <c r="G45" s="219">
        <v>39.332999999999998</v>
      </c>
      <c r="H45" s="225">
        <f t="shared" si="98"/>
        <v>589.995</v>
      </c>
      <c r="I45" s="219">
        <f>D45*9</f>
        <v>135</v>
      </c>
      <c r="J45" s="219">
        <f>F45*6.667</f>
        <v>100.005</v>
      </c>
      <c r="K45" s="228">
        <f>J45+H45</f>
        <v>690</v>
      </c>
      <c r="L45" s="265">
        <v>4</v>
      </c>
      <c r="M45" s="337">
        <f>L45*4</f>
        <v>16</v>
      </c>
      <c r="N45" s="337">
        <f>L45*14</f>
        <v>56</v>
      </c>
      <c r="O45" s="337">
        <f>L45*5</f>
        <v>20</v>
      </c>
      <c r="P45" s="337">
        <f>L45*14</f>
        <v>56</v>
      </c>
      <c r="Q45" s="337">
        <f>N45+P45</f>
        <v>112</v>
      </c>
      <c r="R45" s="238">
        <f>L45*RecordResponse</f>
        <v>36</v>
      </c>
      <c r="S45" s="215">
        <f>L45*RecordHours</f>
        <v>0.9</v>
      </c>
      <c r="T45" s="215">
        <f>K45+Q45</f>
        <v>802</v>
      </c>
      <c r="U45" s="215">
        <f>F45+M45+R45+I45+O45</f>
        <v>222</v>
      </c>
      <c r="V45" s="238">
        <f>S45+T45</f>
        <v>802.9</v>
      </c>
      <c r="W45" s="155"/>
      <c r="X45" s="152">
        <v>2.0666666666666669</v>
      </c>
      <c r="Y45" s="157">
        <f>F45+M45</f>
        <v>31</v>
      </c>
      <c r="Z45" s="157">
        <f>H45+N45</f>
        <v>645.995</v>
      </c>
    </row>
    <row r="46" spans="1:30" ht="26" x14ac:dyDescent="0.45">
      <c r="A46" s="235" t="s">
        <v>115</v>
      </c>
      <c r="B46" s="235" t="s">
        <v>108</v>
      </c>
      <c r="C46" s="235"/>
      <c r="D46" s="242">
        <v>125</v>
      </c>
      <c r="E46" s="242">
        <v>1</v>
      </c>
      <c r="F46" s="242">
        <f>D46*E46</f>
        <v>125</v>
      </c>
      <c r="G46" s="242">
        <v>38.58</v>
      </c>
      <c r="H46" s="243">
        <f>G46*F46</f>
        <v>4822.5</v>
      </c>
      <c r="I46" s="242">
        <f>D46*9</f>
        <v>1125</v>
      </c>
      <c r="J46" s="242">
        <f>F46*6.667</f>
        <v>833.375</v>
      </c>
      <c r="K46" s="228">
        <f>J46+H46</f>
        <v>5655.875</v>
      </c>
      <c r="L46" s="242">
        <v>55</v>
      </c>
      <c r="M46" s="244">
        <f>L46*4</f>
        <v>220</v>
      </c>
      <c r="N46" s="244">
        <f t="shared" ref="N46" si="99">L46*14</f>
        <v>770</v>
      </c>
      <c r="O46" s="244">
        <f>L46*5</f>
        <v>275</v>
      </c>
      <c r="P46" s="244">
        <f>L46*14</f>
        <v>770</v>
      </c>
      <c r="Q46" s="244">
        <f>N46+P46</f>
        <v>1540</v>
      </c>
      <c r="R46" s="244">
        <f>L46*RecordResponse</f>
        <v>495</v>
      </c>
      <c r="S46" s="244">
        <f>L46*RecordHours</f>
        <v>12.375</v>
      </c>
      <c r="T46" s="244">
        <f>K46+Q46</f>
        <v>7195.875</v>
      </c>
      <c r="U46" s="244">
        <f>F46+M46+R46+I46+O46</f>
        <v>2240</v>
      </c>
      <c r="V46" s="244">
        <f>S46+T46</f>
        <v>7208.25</v>
      </c>
      <c r="W46" s="155"/>
      <c r="X46" s="152"/>
      <c r="Y46" s="157"/>
      <c r="Z46" s="157"/>
    </row>
    <row r="47" spans="1:30" ht="26" x14ac:dyDescent="0.45">
      <c r="A47" s="354" t="s">
        <v>318</v>
      </c>
      <c r="B47" s="354" t="s">
        <v>316</v>
      </c>
      <c r="C47" s="355" t="s">
        <v>317</v>
      </c>
      <c r="D47" s="265">
        <v>10</v>
      </c>
      <c r="E47" s="352">
        <v>1</v>
      </c>
      <c r="F47" s="265">
        <v>10</v>
      </c>
      <c r="G47" s="265">
        <v>40</v>
      </c>
      <c r="H47" s="241">
        <v>400</v>
      </c>
      <c r="I47" s="265">
        <f>D47*9</f>
        <v>90</v>
      </c>
      <c r="J47" s="265">
        <f>F47*6.667</f>
        <v>66.67</v>
      </c>
      <c r="K47" s="353">
        <f>J47+H47</f>
        <v>466.67</v>
      </c>
      <c r="L47" s="265">
        <v>5</v>
      </c>
      <c r="M47" s="337">
        <f>L47*4</f>
        <v>20</v>
      </c>
      <c r="N47" s="337">
        <f>L47*14</f>
        <v>70</v>
      </c>
      <c r="O47" s="337">
        <f>L47*5</f>
        <v>25</v>
      </c>
      <c r="P47" s="337">
        <f>L47*14</f>
        <v>70</v>
      </c>
      <c r="Q47" s="337">
        <f>N47+P47</f>
        <v>140</v>
      </c>
      <c r="R47" s="337">
        <f>L47*RecordResponse</f>
        <v>45</v>
      </c>
      <c r="S47" s="337">
        <f>L47*RecordHours</f>
        <v>1.125</v>
      </c>
      <c r="T47" s="337">
        <f>K47+Q47</f>
        <v>606.67000000000007</v>
      </c>
      <c r="U47" s="337">
        <f>F47+M47+R47+I47+O47</f>
        <v>190</v>
      </c>
      <c r="V47" s="337">
        <f>S47+T47</f>
        <v>607.79500000000007</v>
      </c>
      <c r="W47" s="113">
        <f>+U48-W48</f>
        <v>687.5</v>
      </c>
    </row>
    <row r="48" spans="1:30" s="247" customFormat="1" x14ac:dyDescent="0.45">
      <c r="A48" s="512" t="s">
        <v>116</v>
      </c>
      <c r="B48" s="512"/>
      <c r="C48" s="512"/>
      <c r="D48" s="250">
        <f>SUM(D44:D47)</f>
        <v>310</v>
      </c>
      <c r="E48" s="342">
        <f>AVERAGE(E9:E47)</f>
        <v>1.0270083102493075</v>
      </c>
      <c r="F48" s="250">
        <f>SUM(F44:F47)</f>
        <v>310</v>
      </c>
      <c r="G48" s="250">
        <f>H48/F48</f>
        <v>49.373467741935485</v>
      </c>
      <c r="H48" s="250">
        <f t="shared" ref="H48:V48" si="100">SUM(H44:H47)</f>
        <v>15305.775</v>
      </c>
      <c r="I48" s="250">
        <f t="shared" si="100"/>
        <v>2790</v>
      </c>
      <c r="J48" s="250">
        <f t="shared" si="100"/>
        <v>2066.77</v>
      </c>
      <c r="K48" s="343">
        <f t="shared" si="100"/>
        <v>17372.544999999998</v>
      </c>
      <c r="L48" s="250">
        <f t="shared" si="100"/>
        <v>100</v>
      </c>
      <c r="M48" s="250">
        <f t="shared" si="100"/>
        <v>400</v>
      </c>
      <c r="N48" s="250">
        <f t="shared" si="100"/>
        <v>1400</v>
      </c>
      <c r="O48" s="250">
        <f>SUM(O44:O47)</f>
        <v>500</v>
      </c>
      <c r="P48" s="250">
        <f t="shared" si="100"/>
        <v>1400</v>
      </c>
      <c r="Q48" s="250">
        <f t="shared" si="100"/>
        <v>2800</v>
      </c>
      <c r="R48" s="250">
        <f>SUM(R44:R47)</f>
        <v>900</v>
      </c>
      <c r="S48" s="250">
        <f>SUM(S44:S47)</f>
        <v>22.5</v>
      </c>
      <c r="T48" s="250">
        <f t="shared" si="100"/>
        <v>20172.544999999998</v>
      </c>
      <c r="U48" s="250">
        <f t="shared" si="100"/>
        <v>4900</v>
      </c>
      <c r="V48" s="250">
        <f t="shared" si="100"/>
        <v>20195.044999999998</v>
      </c>
      <c r="W48" s="156">
        <f>+S48+R48+O48+I48</f>
        <v>4212.5</v>
      </c>
      <c r="X48" s="246"/>
      <c r="Y48" s="245"/>
      <c r="Z48" s="245"/>
      <c r="AB48" s="248"/>
      <c r="AD48" s="249"/>
    </row>
    <row r="49" spans="1:82" s="114" customFormat="1" ht="23.5" x14ac:dyDescent="0.45">
      <c r="A49" s="510" t="s">
        <v>117</v>
      </c>
      <c r="B49" s="510"/>
      <c r="C49" s="510"/>
      <c r="D49" s="510"/>
      <c r="E49" s="510"/>
      <c r="F49" s="510"/>
      <c r="G49" s="510"/>
      <c r="H49" s="510"/>
      <c r="I49" s="510"/>
      <c r="J49" s="510"/>
      <c r="K49" s="510"/>
      <c r="L49" s="510"/>
      <c r="M49" s="510"/>
      <c r="N49" s="510"/>
      <c r="O49" s="510"/>
      <c r="P49" s="510"/>
      <c r="Q49" s="510"/>
      <c r="R49" s="510"/>
      <c r="S49" s="510"/>
      <c r="T49" s="510"/>
      <c r="U49" s="510"/>
      <c r="V49" s="510"/>
      <c r="W49" s="155"/>
      <c r="X49" s="155"/>
      <c r="Y49" s="156"/>
      <c r="Z49" s="156"/>
    </row>
    <row r="50" spans="1:82" s="187" customFormat="1" ht="39" x14ac:dyDescent="0.45">
      <c r="A50" s="275" t="s">
        <v>118</v>
      </c>
      <c r="B50" s="175" t="s">
        <v>47</v>
      </c>
      <c r="C50" s="184" t="s">
        <v>48</v>
      </c>
      <c r="D50" s="225">
        <v>195</v>
      </c>
      <c r="E50" s="225">
        <v>1</v>
      </c>
      <c r="F50" s="225">
        <f t="shared" ref="F50:F64" si="101">D50*E50</f>
        <v>195</v>
      </c>
      <c r="G50" s="225">
        <v>53.582999999999998</v>
      </c>
      <c r="H50" s="225">
        <f>+G50*F50</f>
        <v>10448.684999999999</v>
      </c>
      <c r="I50" s="225">
        <f t="shared" ref="I50:I64" si="102">D50*8</f>
        <v>1560</v>
      </c>
      <c r="J50" s="225">
        <f t="shared" ref="J50" si="103">F50*6.417</f>
        <v>1251.3150000000001</v>
      </c>
      <c r="K50" s="228">
        <f t="shared" ref="K50" si="104">J50+H50</f>
        <v>11700</v>
      </c>
      <c r="L50" s="225">
        <v>105</v>
      </c>
      <c r="M50" s="216">
        <f t="shared" ref="M50" si="105">L50*4</f>
        <v>420</v>
      </c>
      <c r="N50" s="216">
        <f t="shared" ref="N50:N64" si="106">L50*14</f>
        <v>1470</v>
      </c>
      <c r="O50" s="216">
        <f t="shared" ref="O50" si="107">L50*5</f>
        <v>525</v>
      </c>
      <c r="P50" s="216">
        <f t="shared" ref="P50:P64" si="108">L50*14</f>
        <v>1470</v>
      </c>
      <c r="Q50" s="216">
        <f t="shared" ref="Q50:Q64" si="109">N50+P50</f>
        <v>2940</v>
      </c>
      <c r="R50" s="216">
        <f t="shared" ref="R50:R64" si="110">L50*RecordResponse</f>
        <v>945</v>
      </c>
      <c r="S50" s="216">
        <f t="shared" ref="S50:S57" si="111">L50*RecordHours</f>
        <v>23.625</v>
      </c>
      <c r="T50" s="216">
        <f t="shared" ref="T50:T57" si="112">K50+Q50</f>
        <v>14640</v>
      </c>
      <c r="U50" s="216">
        <f t="shared" ref="U50:U64" si="113">F50+M50+R50+I50+O50</f>
        <v>3645</v>
      </c>
      <c r="V50" s="216">
        <f t="shared" ref="V50" si="114">S50+T50</f>
        <v>14663.625</v>
      </c>
      <c r="W50" s="325"/>
      <c r="X50" s="185">
        <v>3.6666666666666665</v>
      </c>
      <c r="Y50" s="186">
        <f t="shared" ref="Y50:Y54" si="115">F50+M50</f>
        <v>615</v>
      </c>
      <c r="Z50" s="186">
        <f t="shared" ref="Z50:Z54" si="116">H50+N50</f>
        <v>11918.684999999999</v>
      </c>
    </row>
    <row r="51" spans="1:82" s="199" customFormat="1" ht="52" x14ac:dyDescent="0.45">
      <c r="A51" s="196" t="s">
        <v>119</v>
      </c>
      <c r="B51" s="206" t="s">
        <v>120</v>
      </c>
      <c r="C51" s="196" t="s">
        <v>45</v>
      </c>
      <c r="D51" s="222">
        <v>89</v>
      </c>
      <c r="E51" s="222">
        <v>1</v>
      </c>
      <c r="F51" s="222">
        <f t="shared" si="101"/>
        <v>89</v>
      </c>
      <c r="G51" s="222">
        <v>38.58</v>
      </c>
      <c r="H51" s="222">
        <f t="shared" ref="H51:H57" si="117">+G51*F51</f>
        <v>3433.62</v>
      </c>
      <c r="I51" s="222">
        <f t="shared" si="102"/>
        <v>712</v>
      </c>
      <c r="J51" s="222">
        <f t="shared" ref="J51:J58" si="118">D51*6.417</f>
        <v>571.11299999999994</v>
      </c>
      <c r="K51" s="228">
        <f t="shared" ref="K51:K64" si="119">J51+H51</f>
        <v>4004.7329999999997</v>
      </c>
      <c r="L51" s="217">
        <v>89</v>
      </c>
      <c r="M51" s="217">
        <f t="shared" ref="M51:M64" si="120">L51*4</f>
        <v>356</v>
      </c>
      <c r="N51" s="217">
        <f>L51*14</f>
        <v>1246</v>
      </c>
      <c r="O51" s="217">
        <f>L51*5</f>
        <v>445</v>
      </c>
      <c r="P51" s="217">
        <f>L51*14</f>
        <v>1246</v>
      </c>
      <c r="Q51" s="217">
        <f>N51+P51</f>
        <v>2492</v>
      </c>
      <c r="R51" s="217">
        <f t="shared" si="110"/>
        <v>801</v>
      </c>
      <c r="S51" s="217">
        <f t="shared" si="111"/>
        <v>20.025000000000002</v>
      </c>
      <c r="T51" s="217">
        <f t="shared" si="112"/>
        <v>6496.7330000000002</v>
      </c>
      <c r="U51" s="217">
        <f>F51+M51+R51+I51+O51</f>
        <v>2403</v>
      </c>
      <c r="V51" s="217">
        <f>S51+T51</f>
        <v>6516.7579999999998</v>
      </c>
      <c r="W51" s="325"/>
      <c r="X51" s="197"/>
      <c r="Y51" s="198"/>
      <c r="Z51" s="198"/>
    </row>
    <row r="52" spans="1:82" s="202" customFormat="1" ht="26" x14ac:dyDescent="0.45">
      <c r="A52" s="271" t="s">
        <v>121</v>
      </c>
      <c r="B52" s="271" t="s">
        <v>122</v>
      </c>
      <c r="C52" s="271" t="s">
        <v>45</v>
      </c>
      <c r="D52" s="272">
        <v>125</v>
      </c>
      <c r="E52" s="272">
        <v>1</v>
      </c>
      <c r="F52" s="273">
        <f t="shared" si="101"/>
        <v>125</v>
      </c>
      <c r="G52" s="272">
        <v>39</v>
      </c>
      <c r="H52" s="273">
        <f t="shared" ref="H52" si="121">+G52*F52</f>
        <v>4875</v>
      </c>
      <c r="I52" s="273">
        <f t="shared" si="102"/>
        <v>1000</v>
      </c>
      <c r="J52" s="273">
        <f t="shared" si="118"/>
        <v>802.125</v>
      </c>
      <c r="K52" s="228">
        <f t="shared" ref="K52" si="122">J52+H52</f>
        <v>5677.125</v>
      </c>
      <c r="L52" s="344">
        <v>50</v>
      </c>
      <c r="M52" s="274">
        <f t="shared" ref="M52" si="123">L52*4</f>
        <v>200</v>
      </c>
      <c r="N52" s="274">
        <f>L52*14</f>
        <v>700</v>
      </c>
      <c r="O52" s="274">
        <f t="shared" ref="O52" si="124">L52*5</f>
        <v>250</v>
      </c>
      <c r="P52" s="274">
        <f t="shared" ref="P52" si="125">L52*14</f>
        <v>700</v>
      </c>
      <c r="Q52" s="274">
        <f t="shared" ref="Q52" si="126">N52+P52</f>
        <v>1400</v>
      </c>
      <c r="R52" s="274">
        <f t="shared" ref="R52" si="127">L52*RecordResponse</f>
        <v>450</v>
      </c>
      <c r="S52" s="274">
        <f t="shared" ref="S52" si="128">L52*RecordHours</f>
        <v>11.25</v>
      </c>
      <c r="T52" s="274">
        <f t="shared" ref="T52" si="129">K52+Q52</f>
        <v>7077.125</v>
      </c>
      <c r="U52" s="274">
        <f t="shared" ref="U52" si="130">F52+M52+R52+I52+O52</f>
        <v>2025</v>
      </c>
      <c r="V52" s="274">
        <f t="shared" ref="V52" si="131">S52+T52</f>
        <v>7088.375</v>
      </c>
      <c r="W52" s="155"/>
      <c r="X52" s="200"/>
      <c r="Y52" s="201"/>
      <c r="Z52" s="201"/>
    </row>
    <row r="53" spans="1:82" s="114" customFormat="1" ht="26" x14ac:dyDescent="0.45">
      <c r="A53" s="270" t="s">
        <v>123</v>
      </c>
      <c r="B53" s="175" t="s">
        <v>124</v>
      </c>
      <c r="C53" s="175" t="s">
        <v>36</v>
      </c>
      <c r="D53" s="220">
        <v>60</v>
      </c>
      <c r="E53" s="220">
        <v>1</v>
      </c>
      <c r="F53" s="225">
        <f t="shared" si="101"/>
        <v>60</v>
      </c>
      <c r="G53" s="220">
        <v>67.16</v>
      </c>
      <c r="H53" s="225">
        <f t="shared" si="117"/>
        <v>4029.6</v>
      </c>
      <c r="I53" s="225">
        <f t="shared" si="102"/>
        <v>480</v>
      </c>
      <c r="J53" s="225">
        <f t="shared" si="118"/>
        <v>385.02</v>
      </c>
      <c r="K53" s="228">
        <f t="shared" si="119"/>
        <v>4414.62</v>
      </c>
      <c r="L53" s="215">
        <v>60</v>
      </c>
      <c r="M53" s="215">
        <f t="shared" si="120"/>
        <v>240</v>
      </c>
      <c r="N53" s="216">
        <f t="shared" si="106"/>
        <v>840</v>
      </c>
      <c r="O53" s="216">
        <f>L53*5</f>
        <v>300</v>
      </c>
      <c r="P53" s="216">
        <f t="shared" si="108"/>
        <v>840</v>
      </c>
      <c r="Q53" s="216">
        <f t="shared" si="109"/>
        <v>1680</v>
      </c>
      <c r="R53" s="216">
        <f t="shared" si="110"/>
        <v>540</v>
      </c>
      <c r="S53" s="216">
        <f t="shared" si="111"/>
        <v>13.5</v>
      </c>
      <c r="T53" s="216">
        <f t="shared" si="112"/>
        <v>6094.62</v>
      </c>
      <c r="U53" s="216">
        <f t="shared" si="113"/>
        <v>1620</v>
      </c>
      <c r="V53" s="215">
        <f>+T53+S53</f>
        <v>6108.12</v>
      </c>
      <c r="W53" s="155"/>
      <c r="X53" s="155">
        <v>1.1333333333333333</v>
      </c>
      <c r="Y53" s="186">
        <f t="shared" si="115"/>
        <v>300</v>
      </c>
      <c r="Z53" s="186">
        <f t="shared" si="116"/>
        <v>4869.6000000000004</v>
      </c>
    </row>
    <row r="54" spans="1:82" s="193" customFormat="1" ht="78" x14ac:dyDescent="0.45">
      <c r="A54" s="275" t="s">
        <v>125</v>
      </c>
      <c r="B54" s="175" t="s">
        <v>126</v>
      </c>
      <c r="C54" s="184" t="s">
        <v>45</v>
      </c>
      <c r="D54" s="225">
        <v>89</v>
      </c>
      <c r="E54" s="225">
        <v>1</v>
      </c>
      <c r="F54" s="225">
        <f t="shared" si="101"/>
        <v>89</v>
      </c>
      <c r="G54" s="225">
        <v>33.58</v>
      </c>
      <c r="H54" s="225">
        <f t="shared" si="117"/>
        <v>2988.62</v>
      </c>
      <c r="I54" s="225">
        <f t="shared" si="102"/>
        <v>712</v>
      </c>
      <c r="J54" s="225">
        <f t="shared" si="118"/>
        <v>571.11299999999994</v>
      </c>
      <c r="K54" s="228">
        <f t="shared" si="119"/>
        <v>3559.7329999999997</v>
      </c>
      <c r="L54" s="216">
        <v>89</v>
      </c>
      <c r="M54" s="215">
        <f t="shared" si="120"/>
        <v>356</v>
      </c>
      <c r="N54" s="216">
        <f t="shared" si="106"/>
        <v>1246</v>
      </c>
      <c r="O54" s="216">
        <f>L54*5</f>
        <v>445</v>
      </c>
      <c r="P54" s="216">
        <f t="shared" si="108"/>
        <v>1246</v>
      </c>
      <c r="Q54" s="216">
        <f t="shared" si="109"/>
        <v>2492</v>
      </c>
      <c r="R54" s="216">
        <f t="shared" si="110"/>
        <v>801</v>
      </c>
      <c r="S54" s="216">
        <f t="shared" si="111"/>
        <v>20.025000000000002</v>
      </c>
      <c r="T54" s="216">
        <f t="shared" si="112"/>
        <v>6051.7330000000002</v>
      </c>
      <c r="U54" s="216">
        <f t="shared" si="113"/>
        <v>2403</v>
      </c>
      <c r="V54" s="215">
        <f>+T54+S54</f>
        <v>6071.7579999999998</v>
      </c>
      <c r="W54" s="192"/>
      <c r="X54" s="192">
        <v>3</v>
      </c>
      <c r="Y54" s="186">
        <f t="shared" si="115"/>
        <v>445</v>
      </c>
      <c r="Z54" s="186">
        <f t="shared" si="116"/>
        <v>4234.62</v>
      </c>
    </row>
    <row r="55" spans="1:82" s="202" customFormat="1" ht="26" x14ac:dyDescent="0.45">
      <c r="A55" s="206" t="s">
        <v>127</v>
      </c>
      <c r="B55" s="206" t="s">
        <v>359</v>
      </c>
      <c r="C55" s="206" t="s">
        <v>45</v>
      </c>
      <c r="D55" s="223">
        <v>125</v>
      </c>
      <c r="E55" s="223">
        <v>1</v>
      </c>
      <c r="F55" s="222">
        <f t="shared" si="101"/>
        <v>125</v>
      </c>
      <c r="G55" s="223">
        <v>38.58</v>
      </c>
      <c r="H55" s="222">
        <f t="shared" si="117"/>
        <v>4822.5</v>
      </c>
      <c r="I55" s="222">
        <f t="shared" si="102"/>
        <v>1000</v>
      </c>
      <c r="J55" s="222">
        <f t="shared" si="118"/>
        <v>802.125</v>
      </c>
      <c r="K55" s="228">
        <f t="shared" si="119"/>
        <v>5624.625</v>
      </c>
      <c r="L55" s="234">
        <v>55</v>
      </c>
      <c r="M55" s="217">
        <f t="shared" si="120"/>
        <v>220</v>
      </c>
      <c r="N55" s="217">
        <f>L55*14</f>
        <v>770</v>
      </c>
      <c r="O55" s="217">
        <f t="shared" ref="O55:O57" si="132">L55*5</f>
        <v>275</v>
      </c>
      <c r="P55" s="217">
        <f t="shared" si="108"/>
        <v>770</v>
      </c>
      <c r="Q55" s="217">
        <f t="shared" si="109"/>
        <v>1540</v>
      </c>
      <c r="R55" s="217">
        <f t="shared" si="110"/>
        <v>495</v>
      </c>
      <c r="S55" s="217">
        <f t="shared" si="111"/>
        <v>12.375</v>
      </c>
      <c r="T55" s="217">
        <f t="shared" si="112"/>
        <v>7164.625</v>
      </c>
      <c r="U55" s="217">
        <f t="shared" si="113"/>
        <v>2115</v>
      </c>
      <c r="V55" s="217">
        <f t="shared" ref="V55:V57" si="133">S55+T55</f>
        <v>7177</v>
      </c>
      <c r="W55" s="155"/>
      <c r="X55" s="200"/>
      <c r="Y55" s="201"/>
      <c r="Z55" s="201"/>
    </row>
    <row r="56" spans="1:82" s="202" customFormat="1" ht="26" x14ac:dyDescent="0.45">
      <c r="A56" s="206" t="s">
        <v>128</v>
      </c>
      <c r="B56" s="206" t="s">
        <v>82</v>
      </c>
      <c r="C56" s="206" t="s">
        <v>45</v>
      </c>
      <c r="D56" s="223">
        <v>125</v>
      </c>
      <c r="E56" s="223">
        <v>1</v>
      </c>
      <c r="F56" s="222">
        <f t="shared" si="101"/>
        <v>125</v>
      </c>
      <c r="G56" s="223">
        <v>38.58</v>
      </c>
      <c r="H56" s="222">
        <f t="shared" si="117"/>
        <v>4822.5</v>
      </c>
      <c r="I56" s="222">
        <f t="shared" si="102"/>
        <v>1000</v>
      </c>
      <c r="J56" s="222">
        <f t="shared" si="118"/>
        <v>802.125</v>
      </c>
      <c r="K56" s="228">
        <f t="shared" si="119"/>
        <v>5624.625</v>
      </c>
      <c r="L56" s="234">
        <v>55</v>
      </c>
      <c r="M56" s="217">
        <f t="shared" si="120"/>
        <v>220</v>
      </c>
      <c r="N56" s="217">
        <f>L56*14</f>
        <v>770</v>
      </c>
      <c r="O56" s="217">
        <f t="shared" si="132"/>
        <v>275</v>
      </c>
      <c r="P56" s="217">
        <f t="shared" si="108"/>
        <v>770</v>
      </c>
      <c r="Q56" s="217">
        <f t="shared" si="109"/>
        <v>1540</v>
      </c>
      <c r="R56" s="217">
        <f t="shared" si="110"/>
        <v>495</v>
      </c>
      <c r="S56" s="217">
        <f t="shared" si="111"/>
        <v>12.375</v>
      </c>
      <c r="T56" s="217">
        <f t="shared" si="112"/>
        <v>7164.625</v>
      </c>
      <c r="U56" s="217">
        <f t="shared" si="113"/>
        <v>2115</v>
      </c>
      <c r="V56" s="217">
        <f t="shared" si="133"/>
        <v>7177</v>
      </c>
      <c r="W56" s="155"/>
      <c r="X56" s="200"/>
      <c r="Y56" s="201"/>
      <c r="Z56" s="201"/>
    </row>
    <row r="57" spans="1:82" s="202" customFormat="1" ht="26" x14ac:dyDescent="0.45">
      <c r="A57" s="206" t="s">
        <v>129</v>
      </c>
      <c r="B57" s="206" t="s">
        <v>84</v>
      </c>
      <c r="C57" s="206" t="s">
        <v>45</v>
      </c>
      <c r="D57" s="223">
        <v>125</v>
      </c>
      <c r="E57" s="223">
        <v>1</v>
      </c>
      <c r="F57" s="222">
        <f t="shared" si="101"/>
        <v>125</v>
      </c>
      <c r="G57" s="223">
        <v>38.58</v>
      </c>
      <c r="H57" s="222">
        <f t="shared" si="117"/>
        <v>4822.5</v>
      </c>
      <c r="I57" s="222">
        <f t="shared" si="102"/>
        <v>1000</v>
      </c>
      <c r="J57" s="222">
        <f t="shared" si="118"/>
        <v>802.125</v>
      </c>
      <c r="K57" s="228">
        <f t="shared" si="119"/>
        <v>5624.625</v>
      </c>
      <c r="L57" s="234">
        <v>55</v>
      </c>
      <c r="M57" s="217">
        <f t="shared" si="120"/>
        <v>220</v>
      </c>
      <c r="N57" s="217">
        <f>L57*14</f>
        <v>770</v>
      </c>
      <c r="O57" s="217">
        <f t="shared" si="132"/>
        <v>275</v>
      </c>
      <c r="P57" s="217">
        <f t="shared" si="108"/>
        <v>770</v>
      </c>
      <c r="Q57" s="217">
        <f t="shared" si="109"/>
        <v>1540</v>
      </c>
      <c r="R57" s="217">
        <f t="shared" si="110"/>
        <v>495</v>
      </c>
      <c r="S57" s="217">
        <f t="shared" si="111"/>
        <v>12.375</v>
      </c>
      <c r="T57" s="217">
        <f t="shared" si="112"/>
        <v>7164.625</v>
      </c>
      <c r="U57" s="217">
        <f t="shared" si="113"/>
        <v>2115</v>
      </c>
      <c r="V57" s="217">
        <f t="shared" si="133"/>
        <v>7177</v>
      </c>
      <c r="W57" s="155"/>
      <c r="X57" s="200"/>
      <c r="Y57" s="201"/>
      <c r="Z57" s="201"/>
    </row>
    <row r="58" spans="1:82" s="151" customFormat="1" ht="52" x14ac:dyDescent="0.45">
      <c r="A58" s="270" t="s">
        <v>130</v>
      </c>
      <c r="B58" s="175" t="s">
        <v>131</v>
      </c>
      <c r="C58" s="338" t="s">
        <v>45</v>
      </c>
      <c r="D58" s="224">
        <v>89</v>
      </c>
      <c r="E58" s="224">
        <v>1</v>
      </c>
      <c r="F58" s="225">
        <f t="shared" si="101"/>
        <v>89</v>
      </c>
      <c r="G58" s="224">
        <v>33.58</v>
      </c>
      <c r="H58" s="225">
        <f>+G58*F58</f>
        <v>2988.62</v>
      </c>
      <c r="I58" s="225">
        <f t="shared" si="102"/>
        <v>712</v>
      </c>
      <c r="J58" s="225">
        <f t="shared" si="118"/>
        <v>571.11299999999994</v>
      </c>
      <c r="K58" s="228">
        <f t="shared" si="119"/>
        <v>3559.7329999999997</v>
      </c>
      <c r="L58" s="215">
        <v>89</v>
      </c>
      <c r="M58" s="215">
        <f t="shared" si="120"/>
        <v>356</v>
      </c>
      <c r="N58" s="216">
        <f t="shared" si="106"/>
        <v>1246</v>
      </c>
      <c r="O58" s="216">
        <f t="shared" ref="O58:O64" si="134">L58*5</f>
        <v>445</v>
      </c>
      <c r="P58" s="216">
        <f t="shared" si="108"/>
        <v>1246</v>
      </c>
      <c r="Q58" s="216">
        <f t="shared" si="109"/>
        <v>2492</v>
      </c>
      <c r="R58" s="216">
        <f t="shared" si="110"/>
        <v>801</v>
      </c>
      <c r="S58" s="216">
        <f>L58*RecordHours</f>
        <v>20.025000000000002</v>
      </c>
      <c r="T58" s="216">
        <f>K58+Q58</f>
        <v>6051.7330000000002</v>
      </c>
      <c r="U58" s="216">
        <f t="shared" si="113"/>
        <v>2403</v>
      </c>
      <c r="V58" s="215">
        <f>+T58+S58</f>
        <v>6071.7579999999998</v>
      </c>
      <c r="W58" s="158"/>
      <c r="X58" s="158">
        <v>3</v>
      </c>
      <c r="Y58" s="186">
        <f t="shared" ref="Y58" si="135">F58+M58</f>
        <v>445</v>
      </c>
      <c r="Z58" s="186">
        <f t="shared" ref="Z58" si="136">H58+N58</f>
        <v>4234.62</v>
      </c>
    </row>
    <row r="59" spans="1:82" s="196" customFormat="1" ht="52" x14ac:dyDescent="0.45">
      <c r="A59" s="196" t="s">
        <v>132</v>
      </c>
      <c r="B59" s="206" t="s">
        <v>120</v>
      </c>
      <c r="C59" s="340" t="s">
        <v>45</v>
      </c>
      <c r="D59" s="222">
        <v>89</v>
      </c>
      <c r="E59" s="222">
        <v>1</v>
      </c>
      <c r="F59" s="222">
        <f>D59*E59</f>
        <v>89</v>
      </c>
      <c r="G59" s="222">
        <v>38.58</v>
      </c>
      <c r="H59" s="222">
        <f>G59*F59</f>
        <v>3433.62</v>
      </c>
      <c r="I59" s="222">
        <f>D59*8</f>
        <v>712</v>
      </c>
      <c r="J59" s="222">
        <f t="shared" ref="J59" si="137">F59*6.417</f>
        <v>571.11299999999994</v>
      </c>
      <c r="K59" s="228">
        <f>J59+H59</f>
        <v>4004.7329999999997</v>
      </c>
      <c r="L59" s="217">
        <v>89</v>
      </c>
      <c r="M59" s="217">
        <f>L59*4</f>
        <v>356</v>
      </c>
      <c r="N59" s="217">
        <f>L59*14</f>
        <v>1246</v>
      </c>
      <c r="O59" s="217">
        <f t="shared" si="134"/>
        <v>445</v>
      </c>
      <c r="P59" s="217">
        <f>L59*14</f>
        <v>1246</v>
      </c>
      <c r="Q59" s="217">
        <f>N59+P59</f>
        <v>2492</v>
      </c>
      <c r="R59" s="217">
        <f t="shared" si="110"/>
        <v>801</v>
      </c>
      <c r="S59" s="217">
        <f>L59*RecordHours</f>
        <v>20.025000000000002</v>
      </c>
      <c r="T59" s="217">
        <f>K59+Q59</f>
        <v>6496.7330000000002</v>
      </c>
      <c r="U59" s="217">
        <f>F59+M59+R59+I59+O59</f>
        <v>2403</v>
      </c>
      <c r="V59" s="217">
        <f>S59+T59</f>
        <v>6516.7579999999998</v>
      </c>
      <c r="W59" s="325"/>
      <c r="X59" s="197"/>
      <c r="Y59" s="198"/>
      <c r="Z59" s="198"/>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99"/>
      <c r="BX59" s="199"/>
      <c r="BY59" s="199"/>
      <c r="BZ59" s="199"/>
      <c r="CA59" s="199"/>
      <c r="CB59" s="199"/>
      <c r="CC59" s="199"/>
      <c r="CD59" s="199"/>
    </row>
    <row r="60" spans="1:82" s="199" customFormat="1" ht="52" x14ac:dyDescent="0.45">
      <c r="A60" s="196" t="s">
        <v>133</v>
      </c>
      <c r="B60" s="206" t="s">
        <v>134</v>
      </c>
      <c r="C60" s="196" t="s">
        <v>36</v>
      </c>
      <c r="D60" s="222">
        <v>89</v>
      </c>
      <c r="E60" s="222">
        <v>1</v>
      </c>
      <c r="F60" s="222">
        <f>D60*E60</f>
        <v>89</v>
      </c>
      <c r="G60" s="222">
        <v>38.58</v>
      </c>
      <c r="H60" s="222">
        <f t="shared" ref="H60:H61" si="138">G60*F60</f>
        <v>3433.62</v>
      </c>
      <c r="I60" s="222">
        <f>D60*8</f>
        <v>712</v>
      </c>
      <c r="J60" s="222">
        <f t="shared" ref="J60:J61" si="139">F60*6.417</f>
        <v>571.11299999999994</v>
      </c>
      <c r="K60" s="228">
        <f>J60+H60</f>
        <v>4004.7329999999997</v>
      </c>
      <c r="L60" s="217">
        <v>89</v>
      </c>
      <c r="M60" s="217">
        <f>L60*4</f>
        <v>356</v>
      </c>
      <c r="N60" s="217">
        <f>L60*14</f>
        <v>1246</v>
      </c>
      <c r="O60" s="217">
        <f t="shared" si="134"/>
        <v>445</v>
      </c>
      <c r="P60" s="217">
        <f>L60*14</f>
        <v>1246</v>
      </c>
      <c r="Q60" s="217">
        <f>N60+P60</f>
        <v>2492</v>
      </c>
      <c r="R60" s="217">
        <f t="shared" ref="R60:R61" si="140">L60*RecordResponse</f>
        <v>801</v>
      </c>
      <c r="S60" s="217">
        <f t="shared" ref="S60:S61" si="141">L60*RecordHours</f>
        <v>20.025000000000002</v>
      </c>
      <c r="T60" s="217">
        <f>K60+Q60</f>
        <v>6496.7330000000002</v>
      </c>
      <c r="U60" s="217">
        <f>F60+M60+R60+I60+O60</f>
        <v>2403</v>
      </c>
      <c r="V60" s="217">
        <f>S60+T60</f>
        <v>6516.7579999999998</v>
      </c>
      <c r="W60" s="325"/>
      <c r="X60" s="197"/>
      <c r="Y60" s="198"/>
      <c r="Z60" s="198"/>
    </row>
    <row r="61" spans="1:82" s="320" customFormat="1" ht="52" x14ac:dyDescent="0.45">
      <c r="A61" s="314" t="s">
        <v>312</v>
      </c>
      <c r="B61" s="315" t="s">
        <v>135</v>
      </c>
      <c r="C61" s="314" t="s">
        <v>36</v>
      </c>
      <c r="D61" s="316">
        <v>89</v>
      </c>
      <c r="E61" s="316">
        <v>2</v>
      </c>
      <c r="F61" s="316">
        <f>D61*E61</f>
        <v>178</v>
      </c>
      <c r="G61" s="316">
        <v>20</v>
      </c>
      <c r="H61" s="316">
        <f t="shared" si="138"/>
        <v>3560</v>
      </c>
      <c r="I61" s="316">
        <f>D61*8</f>
        <v>712</v>
      </c>
      <c r="J61" s="316">
        <f t="shared" si="139"/>
        <v>1142.2259999999999</v>
      </c>
      <c r="K61" s="228">
        <f>J61+H61</f>
        <v>4702.2259999999997</v>
      </c>
      <c r="L61" s="317">
        <v>70</v>
      </c>
      <c r="M61" s="317">
        <f>L61*4</f>
        <v>280</v>
      </c>
      <c r="N61" s="317">
        <f>L61*14</f>
        <v>980</v>
      </c>
      <c r="O61" s="317">
        <f t="shared" si="134"/>
        <v>350</v>
      </c>
      <c r="P61" s="317">
        <f>L61*14</f>
        <v>980</v>
      </c>
      <c r="Q61" s="317">
        <f>N61+P61</f>
        <v>1960</v>
      </c>
      <c r="R61" s="317">
        <f t="shared" si="140"/>
        <v>630</v>
      </c>
      <c r="S61" s="317">
        <f t="shared" si="141"/>
        <v>15.75</v>
      </c>
      <c r="T61" s="317">
        <f>K61+Q61</f>
        <v>6662.2259999999997</v>
      </c>
      <c r="U61" s="317">
        <f>F61+M61+R61+I61+O61</f>
        <v>2150</v>
      </c>
      <c r="V61" s="317">
        <f>S61+T61</f>
        <v>6677.9759999999997</v>
      </c>
      <c r="W61" s="326"/>
      <c r="X61" s="318"/>
      <c r="Y61" s="319"/>
      <c r="Z61" s="319"/>
    </row>
    <row r="62" spans="1:82" s="358" customFormat="1" ht="26" x14ac:dyDescent="0.45">
      <c r="A62" s="359" t="s">
        <v>351</v>
      </c>
      <c r="B62" s="360" t="s">
        <v>320</v>
      </c>
      <c r="C62" s="359" t="s">
        <v>319</v>
      </c>
      <c r="D62" s="361">
        <v>600</v>
      </c>
      <c r="E62" s="361">
        <v>1</v>
      </c>
      <c r="F62" s="361">
        <f>D62*E62</f>
        <v>600</v>
      </c>
      <c r="G62" s="361">
        <v>4</v>
      </c>
      <c r="H62" s="361">
        <f>G62*F62</f>
        <v>2400</v>
      </c>
      <c r="I62" s="361">
        <f>D62*8</f>
        <v>4800</v>
      </c>
      <c r="J62" s="361">
        <f t="shared" ref="J62" si="142">F62*6.417</f>
        <v>3850.2</v>
      </c>
      <c r="K62" s="228">
        <f>J62+H62</f>
        <v>6250.2</v>
      </c>
      <c r="L62" s="362">
        <v>450</v>
      </c>
      <c r="M62" s="362">
        <f>L62*4</f>
        <v>1800</v>
      </c>
      <c r="N62" s="362">
        <f>L62*14</f>
        <v>6300</v>
      </c>
      <c r="O62" s="362">
        <f t="shared" ref="O62" si="143">L62*5</f>
        <v>2250</v>
      </c>
      <c r="P62" s="362">
        <f>L62*14</f>
        <v>6300</v>
      </c>
      <c r="Q62" s="362">
        <f>N62+P62</f>
        <v>12600</v>
      </c>
      <c r="R62" s="362">
        <f t="shared" ref="R62" si="144">L62*RecordResponse</f>
        <v>4050</v>
      </c>
      <c r="S62" s="362">
        <f t="shared" ref="S62" si="145">L62*RecordHours</f>
        <v>101.25</v>
      </c>
      <c r="T62" s="362">
        <f>K62+Q62</f>
        <v>18850.2</v>
      </c>
      <c r="U62" s="362">
        <f>F62+M62+R62+I62+O62</f>
        <v>13500</v>
      </c>
      <c r="V62" s="362">
        <f>S62+T62</f>
        <v>18951.45</v>
      </c>
      <c r="W62" s="356"/>
      <c r="X62" s="356"/>
      <c r="Y62" s="357"/>
      <c r="Z62" s="357"/>
    </row>
    <row r="63" spans="1:82" ht="26" x14ac:dyDescent="0.45">
      <c r="A63" s="235" t="s">
        <v>364</v>
      </c>
      <c r="B63" s="235" t="s">
        <v>108</v>
      </c>
      <c r="C63" s="236"/>
      <c r="D63" s="243">
        <v>125</v>
      </c>
      <c r="E63" s="243">
        <v>1</v>
      </c>
      <c r="F63" s="243">
        <f t="shared" si="101"/>
        <v>125</v>
      </c>
      <c r="G63" s="243">
        <v>38.58</v>
      </c>
      <c r="H63" s="243">
        <f>G63*F63</f>
        <v>4822.5</v>
      </c>
      <c r="I63" s="243">
        <f t="shared" si="102"/>
        <v>1000</v>
      </c>
      <c r="J63" s="243">
        <f>D63*6.418</f>
        <v>802.25</v>
      </c>
      <c r="K63" s="228">
        <f t="shared" si="119"/>
        <v>5624.75</v>
      </c>
      <c r="L63" s="243">
        <v>55</v>
      </c>
      <c r="M63" s="244">
        <f t="shared" si="120"/>
        <v>220</v>
      </c>
      <c r="N63" s="257">
        <f t="shared" si="106"/>
        <v>770</v>
      </c>
      <c r="O63" s="257">
        <f t="shared" si="134"/>
        <v>275</v>
      </c>
      <c r="P63" s="257">
        <f t="shared" si="108"/>
        <v>770</v>
      </c>
      <c r="Q63" s="257">
        <f t="shared" si="109"/>
        <v>1540</v>
      </c>
      <c r="R63" s="257">
        <f t="shared" si="110"/>
        <v>495</v>
      </c>
      <c r="S63" s="257">
        <f>L63*RecordHours</f>
        <v>12.375</v>
      </c>
      <c r="T63" s="257">
        <f t="shared" ref="T63:T64" si="146">K63+Q63</f>
        <v>7164.75</v>
      </c>
      <c r="U63" s="257">
        <f t="shared" si="113"/>
        <v>2115</v>
      </c>
      <c r="V63" s="244">
        <f>+T63+S63</f>
        <v>7177.125</v>
      </c>
      <c r="W63" s="114"/>
    </row>
    <row r="64" spans="1:82" ht="26" x14ac:dyDescent="0.45">
      <c r="A64" s="235" t="s">
        <v>136</v>
      </c>
      <c r="B64" s="235" t="s">
        <v>137</v>
      </c>
      <c r="C64" s="255" t="s">
        <v>36</v>
      </c>
      <c r="D64" s="243">
        <v>1092</v>
      </c>
      <c r="E64" s="256">
        <v>1</v>
      </c>
      <c r="F64" s="243">
        <f t="shared" si="101"/>
        <v>1092</v>
      </c>
      <c r="G64" s="243">
        <v>40</v>
      </c>
      <c r="H64" s="243">
        <f>G64*F64</f>
        <v>43680</v>
      </c>
      <c r="I64" s="243">
        <f t="shared" si="102"/>
        <v>8736</v>
      </c>
      <c r="J64" s="243">
        <f>D64*6.417</f>
        <v>7007.3639999999996</v>
      </c>
      <c r="K64" s="228">
        <f t="shared" si="119"/>
        <v>50687.364000000001</v>
      </c>
      <c r="L64" s="243">
        <v>1092</v>
      </c>
      <c r="M64" s="244">
        <f t="shared" si="120"/>
        <v>4368</v>
      </c>
      <c r="N64" s="257">
        <f t="shared" si="106"/>
        <v>15288</v>
      </c>
      <c r="O64" s="257">
        <f t="shared" si="134"/>
        <v>5460</v>
      </c>
      <c r="P64" s="257">
        <f t="shared" si="108"/>
        <v>15288</v>
      </c>
      <c r="Q64" s="257">
        <f t="shared" si="109"/>
        <v>30576</v>
      </c>
      <c r="R64" s="257">
        <f t="shared" si="110"/>
        <v>9828</v>
      </c>
      <c r="S64" s="257">
        <f>L64*RecordHours</f>
        <v>245.70000000000002</v>
      </c>
      <c r="T64" s="257">
        <f t="shared" si="146"/>
        <v>81263.364000000001</v>
      </c>
      <c r="U64" s="257">
        <f t="shared" si="113"/>
        <v>29484</v>
      </c>
      <c r="V64" s="244">
        <f>+T64+S64</f>
        <v>81509.063999999998</v>
      </c>
      <c r="W64" s="114"/>
    </row>
    <row r="65" spans="1:30" s="212" customFormat="1" x14ac:dyDescent="0.45">
      <c r="A65" s="500" t="s">
        <v>138</v>
      </c>
      <c r="B65" s="500"/>
      <c r="C65" s="500"/>
      <c r="D65" s="239">
        <f>SUM(D50:D64)</f>
        <v>3106</v>
      </c>
      <c r="E65" s="239">
        <f>AVERAGE(E22:E64)</f>
        <v>1.0500810756029999</v>
      </c>
      <c r="F65" s="239">
        <f>SUM(F50:F64)</f>
        <v>3195</v>
      </c>
      <c r="G65" s="240">
        <f>H65/F65</f>
        <v>32.72656807511737</v>
      </c>
      <c r="H65" s="239">
        <f t="shared" ref="H65:V65" si="147">SUM(H50:H64)</f>
        <v>104561.38500000001</v>
      </c>
      <c r="I65" s="239">
        <f t="shared" si="147"/>
        <v>24848</v>
      </c>
      <c r="J65" s="239">
        <f t="shared" si="147"/>
        <v>20502.440000000002</v>
      </c>
      <c r="K65" s="239">
        <f t="shared" si="147"/>
        <v>125063.825</v>
      </c>
      <c r="L65" s="239">
        <f t="shared" si="147"/>
        <v>2492</v>
      </c>
      <c r="M65" s="239">
        <f t="shared" si="147"/>
        <v>9968</v>
      </c>
      <c r="N65" s="239">
        <f t="shared" si="147"/>
        <v>34888</v>
      </c>
      <c r="O65" s="239">
        <f t="shared" si="147"/>
        <v>12460</v>
      </c>
      <c r="P65" s="239">
        <f t="shared" si="147"/>
        <v>34888</v>
      </c>
      <c r="Q65" s="239">
        <f t="shared" si="147"/>
        <v>69776</v>
      </c>
      <c r="R65" s="239">
        <f t="shared" si="147"/>
        <v>22428</v>
      </c>
      <c r="S65" s="239">
        <f t="shared" si="147"/>
        <v>560.70000000000005</v>
      </c>
      <c r="T65" s="239">
        <f t="shared" si="147"/>
        <v>194839.82500000001</v>
      </c>
      <c r="U65" s="239">
        <f t="shared" si="147"/>
        <v>72899</v>
      </c>
      <c r="V65" s="239">
        <f t="shared" si="147"/>
        <v>195400.52499999999</v>
      </c>
      <c r="W65" s="156"/>
      <c r="X65" s="211"/>
      <c r="Y65" s="210"/>
      <c r="Z65" s="210"/>
      <c r="AB65" s="213"/>
      <c r="AD65" s="214"/>
    </row>
    <row r="66" spans="1:30" s="114" customFormat="1" ht="23.5" x14ac:dyDescent="0.45">
      <c r="A66" s="511" t="s">
        <v>139</v>
      </c>
      <c r="B66" s="511"/>
      <c r="C66" s="511"/>
      <c r="D66" s="511"/>
      <c r="E66" s="511"/>
      <c r="F66" s="511"/>
      <c r="G66" s="511"/>
      <c r="H66" s="511"/>
      <c r="I66" s="511"/>
      <c r="J66" s="511"/>
      <c r="K66" s="511"/>
      <c r="L66" s="511"/>
      <c r="M66" s="511"/>
      <c r="N66" s="511"/>
      <c r="O66" s="511"/>
      <c r="P66" s="511"/>
      <c r="Q66" s="511"/>
      <c r="R66" s="511"/>
      <c r="S66" s="511"/>
      <c r="T66" s="511"/>
      <c r="U66" s="511"/>
      <c r="V66" s="511"/>
      <c r="W66" s="155"/>
      <c r="X66" s="155"/>
      <c r="Y66" s="156"/>
      <c r="Z66" s="156"/>
    </row>
    <row r="67" spans="1:30" s="310" customFormat="1" ht="39" x14ac:dyDescent="0.45">
      <c r="A67" s="345" t="s">
        <v>313</v>
      </c>
      <c r="B67" s="345" t="s">
        <v>140</v>
      </c>
      <c r="C67" s="306" t="s">
        <v>74</v>
      </c>
      <c r="D67" s="307">
        <v>1</v>
      </c>
      <c r="E67" s="307">
        <v>1</v>
      </c>
      <c r="F67" s="307">
        <v>1</v>
      </c>
      <c r="G67" s="307">
        <v>35</v>
      </c>
      <c r="H67" s="316">
        <f>G67*F67</f>
        <v>35</v>
      </c>
      <c r="I67" s="316">
        <f>D67*9</f>
        <v>9</v>
      </c>
      <c r="J67" s="316">
        <f>F67*6.667</f>
        <v>6.6669999999999998</v>
      </c>
      <c r="K67" s="228">
        <f>J67+H67</f>
        <v>41.667000000000002</v>
      </c>
      <c r="L67" s="301">
        <v>1</v>
      </c>
      <c r="M67" s="317">
        <f>L67*4</f>
        <v>4</v>
      </c>
      <c r="N67" s="317">
        <f>L67*14</f>
        <v>14</v>
      </c>
      <c r="O67" s="317">
        <f>L67*5</f>
        <v>5</v>
      </c>
      <c r="P67" s="317">
        <f>L67*14</f>
        <v>14</v>
      </c>
      <c r="Q67" s="317">
        <f>N67+P67</f>
        <v>28</v>
      </c>
      <c r="R67" s="317">
        <f t="shared" ref="R67:R68" si="148">L67*RecordResponse</f>
        <v>9</v>
      </c>
      <c r="S67" s="317">
        <f>L67*RecordHours</f>
        <v>0.22500000000000001</v>
      </c>
      <c r="T67" s="317">
        <f>K67+Q67</f>
        <v>69.667000000000002</v>
      </c>
      <c r="U67" s="317">
        <f>F67+M67+R67+I67+O67</f>
        <v>28</v>
      </c>
      <c r="V67" s="317">
        <f>S67+T67</f>
        <v>69.891999999999996</v>
      </c>
      <c r="W67" s="308"/>
      <c r="X67" s="308"/>
      <c r="Y67" s="309"/>
      <c r="Z67" s="309"/>
    </row>
    <row r="68" spans="1:30" s="320" customFormat="1" ht="39" x14ac:dyDescent="0.45">
      <c r="A68" s="345" t="s">
        <v>314</v>
      </c>
      <c r="B68" s="315" t="s">
        <v>141</v>
      </c>
      <c r="C68" s="314" t="s">
        <v>142</v>
      </c>
      <c r="D68" s="316">
        <v>20</v>
      </c>
      <c r="E68" s="316">
        <v>1</v>
      </c>
      <c r="F68" s="316">
        <f>D68*E68</f>
        <v>20</v>
      </c>
      <c r="G68" s="316">
        <v>38.58</v>
      </c>
      <c r="H68" s="316">
        <f>G68*F68</f>
        <v>771.59999999999991</v>
      </c>
      <c r="I68" s="316">
        <f>D68*9</f>
        <v>180</v>
      </c>
      <c r="J68" s="316">
        <f>F68*6.667</f>
        <v>133.34</v>
      </c>
      <c r="K68" s="228">
        <f>J68+H68</f>
        <v>904.93999999999994</v>
      </c>
      <c r="L68" s="317">
        <v>15</v>
      </c>
      <c r="M68" s="317">
        <f>L68*4</f>
        <v>60</v>
      </c>
      <c r="N68" s="317">
        <f>L68*14</f>
        <v>210</v>
      </c>
      <c r="O68" s="317">
        <f>L68*5</f>
        <v>75</v>
      </c>
      <c r="P68" s="317">
        <f>L68*14</f>
        <v>210</v>
      </c>
      <c r="Q68" s="317">
        <f>N68+P68</f>
        <v>420</v>
      </c>
      <c r="R68" s="317">
        <f t="shared" si="148"/>
        <v>135</v>
      </c>
      <c r="S68" s="317">
        <f>L68*RecordHours</f>
        <v>3.375</v>
      </c>
      <c r="T68" s="317">
        <f>K68+Q68</f>
        <v>1324.94</v>
      </c>
      <c r="U68" s="317">
        <f>F68+M68+R68+I68+O68</f>
        <v>470</v>
      </c>
      <c r="V68" s="317">
        <f>S68+T68</f>
        <v>1328.3150000000001</v>
      </c>
      <c r="W68" s="326"/>
      <c r="X68" s="318"/>
      <c r="Y68" s="319"/>
      <c r="Z68" s="319"/>
    </row>
    <row r="69" spans="1:30" s="199" customFormat="1" ht="39" x14ac:dyDescent="0.45">
      <c r="A69" s="196" t="s">
        <v>362</v>
      </c>
      <c r="B69" s="206" t="s">
        <v>47</v>
      </c>
      <c r="C69" s="196" t="s">
        <v>142</v>
      </c>
      <c r="D69" s="222">
        <v>110</v>
      </c>
      <c r="E69" s="222">
        <v>1</v>
      </c>
      <c r="F69" s="222">
        <f>D69*E69</f>
        <v>110</v>
      </c>
      <c r="G69" s="222">
        <v>53.582999999999998</v>
      </c>
      <c r="H69" s="222">
        <f t="shared" ref="H69:H71" si="149">G69*F69</f>
        <v>5894.13</v>
      </c>
      <c r="I69" s="222">
        <f>D69*9</f>
        <v>990</v>
      </c>
      <c r="J69" s="222">
        <f>F69*6.667</f>
        <v>733.37</v>
      </c>
      <c r="K69" s="228">
        <f t="shared" si="12"/>
        <v>6627.5</v>
      </c>
      <c r="L69" s="222">
        <v>103</v>
      </c>
      <c r="M69" s="217">
        <f t="shared" ref="M69:M71" si="150">L69*4</f>
        <v>412</v>
      </c>
      <c r="N69" s="217">
        <f t="shared" ref="N69:N71" si="151">L69*14</f>
        <v>1442</v>
      </c>
      <c r="O69" s="217">
        <f t="shared" ref="O69:O71" si="152">L69*5</f>
        <v>515</v>
      </c>
      <c r="P69" s="217">
        <f t="shared" ref="P69:P71" si="153">L69*14</f>
        <v>1442</v>
      </c>
      <c r="Q69" s="217">
        <f t="shared" ref="Q69:Q71" si="154">N69+P69</f>
        <v>2884</v>
      </c>
      <c r="R69" s="217">
        <f t="shared" ref="R69:R70" si="155">L69*RecordResponse</f>
        <v>927</v>
      </c>
      <c r="S69" s="217">
        <f t="shared" ref="S69:S70" si="156">L69*RecordHours</f>
        <v>23.175000000000001</v>
      </c>
      <c r="T69" s="217">
        <f t="shared" ref="T69" si="157">K69+Q69</f>
        <v>9511.5</v>
      </c>
      <c r="U69" s="217">
        <f t="shared" ref="U69" si="158">F69+M69+R69+I69+O69</f>
        <v>2954</v>
      </c>
      <c r="V69" s="217">
        <f t="shared" ref="V69" si="159">S69+T69</f>
        <v>9534.6749999999993</v>
      </c>
      <c r="W69" s="325"/>
      <c r="X69" s="197">
        <v>3.6666666666666665</v>
      </c>
      <c r="Y69" s="198">
        <f t="shared" si="22"/>
        <v>522</v>
      </c>
      <c r="Z69" s="198">
        <f t="shared" ref="Z69" si="160">H69+N69</f>
        <v>7336.13</v>
      </c>
    </row>
    <row r="70" spans="1:30" s="320" customFormat="1" ht="66.5" customHeight="1" x14ac:dyDescent="0.45">
      <c r="A70" s="315" t="s">
        <v>315</v>
      </c>
      <c r="B70" s="315" t="s">
        <v>143</v>
      </c>
      <c r="C70" s="314" t="s">
        <v>142</v>
      </c>
      <c r="D70" s="316">
        <v>50</v>
      </c>
      <c r="E70" s="316">
        <v>1</v>
      </c>
      <c r="F70" s="316">
        <f>D70*E70</f>
        <v>50</v>
      </c>
      <c r="G70" s="316">
        <v>50</v>
      </c>
      <c r="H70" s="316">
        <f t="shared" si="149"/>
        <v>2500</v>
      </c>
      <c r="I70" s="316">
        <f>D70*9</f>
        <v>450</v>
      </c>
      <c r="J70" s="316">
        <f>F70*6.667</f>
        <v>333.34999999999997</v>
      </c>
      <c r="K70" s="228">
        <f>J70+H70</f>
        <v>2833.35</v>
      </c>
      <c r="L70" s="317">
        <v>30</v>
      </c>
      <c r="M70" s="317">
        <f>L70*4</f>
        <v>120</v>
      </c>
      <c r="N70" s="317">
        <f>L70*14</f>
        <v>420</v>
      </c>
      <c r="O70" s="317">
        <f>L70*5</f>
        <v>150</v>
      </c>
      <c r="P70" s="317">
        <f>L70*14</f>
        <v>420</v>
      </c>
      <c r="Q70" s="317">
        <f>N70+P70</f>
        <v>840</v>
      </c>
      <c r="R70" s="317">
        <f t="shared" si="155"/>
        <v>270</v>
      </c>
      <c r="S70" s="317">
        <f t="shared" si="156"/>
        <v>6.75</v>
      </c>
      <c r="T70" s="317">
        <f>K70+Q70</f>
        <v>3673.35</v>
      </c>
      <c r="U70" s="317">
        <f>F70+M70+R70+I70+O70</f>
        <v>1040</v>
      </c>
      <c r="V70" s="317">
        <f>S70+T70</f>
        <v>3680.1</v>
      </c>
      <c r="W70" s="326"/>
      <c r="X70" s="318"/>
      <c r="Y70" s="319"/>
      <c r="Z70" s="319"/>
    </row>
    <row r="71" spans="1:30" ht="26" x14ac:dyDescent="0.45">
      <c r="A71" s="175" t="s">
        <v>144</v>
      </c>
      <c r="B71" s="176" t="s">
        <v>108</v>
      </c>
      <c r="C71" s="336" t="s">
        <v>142</v>
      </c>
      <c r="D71" s="220">
        <v>50</v>
      </c>
      <c r="E71" s="220">
        <v>1</v>
      </c>
      <c r="F71" s="220">
        <f>D71*E71</f>
        <v>50</v>
      </c>
      <c r="G71" s="220">
        <v>44.332999999999998</v>
      </c>
      <c r="H71" s="241">
        <f t="shared" si="149"/>
        <v>2216.65</v>
      </c>
      <c r="I71" s="219">
        <f>D71*9</f>
        <v>450</v>
      </c>
      <c r="J71" s="219">
        <f>F71*6.667</f>
        <v>333.34999999999997</v>
      </c>
      <c r="K71" s="228">
        <f t="shared" si="12"/>
        <v>2550</v>
      </c>
      <c r="L71" s="237">
        <v>20</v>
      </c>
      <c r="M71" s="237">
        <f t="shared" si="150"/>
        <v>80</v>
      </c>
      <c r="N71" s="237">
        <f t="shared" si="151"/>
        <v>280</v>
      </c>
      <c r="O71" s="237">
        <f t="shared" si="152"/>
        <v>100</v>
      </c>
      <c r="P71" s="237">
        <f t="shared" si="153"/>
        <v>280</v>
      </c>
      <c r="Q71" s="237">
        <f t="shared" si="154"/>
        <v>560</v>
      </c>
      <c r="R71" s="237">
        <f>L71*RecordResponse</f>
        <v>180</v>
      </c>
      <c r="S71" s="237">
        <f>L71*RecordHours</f>
        <v>4.5</v>
      </c>
      <c r="T71" s="266">
        <f>K71+Q71</f>
        <v>3110</v>
      </c>
      <c r="U71" s="266">
        <f>F71+M71+R71+I71+O71</f>
        <v>860</v>
      </c>
      <c r="V71" s="266">
        <f>S71+T71</f>
        <v>3114.5</v>
      </c>
      <c r="W71" s="155"/>
      <c r="X71" s="152">
        <v>2.4545454545454546</v>
      </c>
      <c r="Y71" s="157">
        <f t="shared" si="22"/>
        <v>130</v>
      </c>
      <c r="Z71" s="157">
        <f>H71+N71</f>
        <v>2496.65</v>
      </c>
    </row>
    <row r="72" spans="1:30" s="114" customFormat="1" ht="34.5" customHeight="1" x14ac:dyDescent="0.45">
      <c r="A72" s="501" t="s">
        <v>145</v>
      </c>
      <c r="B72" s="501"/>
      <c r="C72" s="501"/>
      <c r="D72" s="346">
        <f>SUM(D67:D71)</f>
        <v>231</v>
      </c>
      <c r="E72" s="346">
        <f>AVERAGE(E28:E71)</f>
        <v>1.0513025652518533</v>
      </c>
      <c r="F72" s="346">
        <f>SUM(F67:F71)</f>
        <v>231</v>
      </c>
      <c r="G72" s="346">
        <f>H72/F72</f>
        <v>49.42588744588744</v>
      </c>
      <c r="H72" s="346">
        <f t="shared" ref="H72:V72" si="161">SUM(H67:H71)</f>
        <v>11417.38</v>
      </c>
      <c r="I72" s="346">
        <f t="shared" si="161"/>
        <v>2079</v>
      </c>
      <c r="J72" s="346">
        <f t="shared" si="161"/>
        <v>1540.0769999999998</v>
      </c>
      <c r="K72" s="228">
        <f t="shared" si="161"/>
        <v>12957.457</v>
      </c>
      <c r="L72" s="346">
        <f t="shared" si="161"/>
        <v>169</v>
      </c>
      <c r="M72" s="346">
        <f t="shared" si="161"/>
        <v>676</v>
      </c>
      <c r="N72" s="346">
        <f t="shared" si="161"/>
        <v>2366</v>
      </c>
      <c r="O72" s="346">
        <f t="shared" si="161"/>
        <v>845</v>
      </c>
      <c r="P72" s="346">
        <f t="shared" si="161"/>
        <v>2366</v>
      </c>
      <c r="Q72" s="346">
        <f t="shared" si="161"/>
        <v>4732</v>
      </c>
      <c r="R72" s="346">
        <f t="shared" si="161"/>
        <v>1521</v>
      </c>
      <c r="S72" s="346">
        <f t="shared" si="161"/>
        <v>38.025000000000006</v>
      </c>
      <c r="T72" s="346">
        <f t="shared" si="161"/>
        <v>17689.457000000002</v>
      </c>
      <c r="U72" s="346">
        <f t="shared" si="161"/>
        <v>5352</v>
      </c>
      <c r="V72" s="346">
        <f t="shared" si="161"/>
        <v>17727.482</v>
      </c>
      <c r="W72" s="156"/>
      <c r="X72" s="156"/>
      <c r="Y72" s="156"/>
      <c r="Z72" s="156"/>
      <c r="AA72" s="194"/>
      <c r="AB72" s="195"/>
      <c r="AD72" s="195"/>
    </row>
    <row r="73" spans="1:30" ht="34.5" customHeight="1" x14ac:dyDescent="0.45">
      <c r="A73" s="502" t="s">
        <v>146</v>
      </c>
      <c r="B73" s="502"/>
      <c r="C73" s="502"/>
      <c r="D73" s="347">
        <f>D72+D65+D48+D42</f>
        <v>6967</v>
      </c>
      <c r="E73" s="348">
        <f>AVERAGE(E29:E72)</f>
        <v>1.0525538473311669</v>
      </c>
      <c r="F73" s="347">
        <f>F72+F65+F48+F42</f>
        <v>7066</v>
      </c>
      <c r="G73" s="349">
        <f>H73/F73</f>
        <v>38.256367676195858</v>
      </c>
      <c r="H73" s="350">
        <f t="shared" ref="H73:U73" si="162">H72+H65+H48+H42</f>
        <v>270319.49399999995</v>
      </c>
      <c r="I73" s="347">
        <f t="shared" si="162"/>
        <v>56277</v>
      </c>
      <c r="J73" s="347">
        <f t="shared" si="162"/>
        <v>45477.896999999997</v>
      </c>
      <c r="K73" s="351">
        <f t="shared" si="162"/>
        <v>315797.39099999995</v>
      </c>
      <c r="L73" s="347">
        <f t="shared" si="162"/>
        <v>5223</v>
      </c>
      <c r="M73" s="347">
        <f t="shared" si="162"/>
        <v>20892</v>
      </c>
      <c r="N73" s="347">
        <f t="shared" si="162"/>
        <v>73122</v>
      </c>
      <c r="O73" s="347">
        <f t="shared" si="162"/>
        <v>26115</v>
      </c>
      <c r="P73" s="347">
        <f t="shared" si="162"/>
        <v>73122</v>
      </c>
      <c r="Q73" s="347">
        <f t="shared" si="162"/>
        <v>146495</v>
      </c>
      <c r="R73" s="347">
        <f t="shared" si="162"/>
        <v>47007</v>
      </c>
      <c r="S73" s="347">
        <f t="shared" si="162"/>
        <v>1175.175</v>
      </c>
      <c r="T73" s="347">
        <f t="shared" si="162"/>
        <v>462292.39100000006</v>
      </c>
      <c r="U73" s="348">
        <f t="shared" si="162"/>
        <v>157357</v>
      </c>
      <c r="V73" s="347">
        <f>V72+V65+V48+V42</f>
        <v>463467.56599999999</v>
      </c>
      <c r="W73" s="294">
        <f>+V75-1390407</f>
        <v>109593</v>
      </c>
      <c r="X73" s="157"/>
      <c r="Y73" s="157"/>
      <c r="Z73" s="157"/>
      <c r="AA73" s="113"/>
      <c r="AB73" s="113"/>
      <c r="AD73" s="113"/>
    </row>
    <row r="74" spans="1:30" x14ac:dyDescent="0.45">
      <c r="A74" s="160"/>
      <c r="E74" s="152"/>
      <c r="F74" s="157"/>
      <c r="H74" s="157"/>
      <c r="I74" s="152"/>
      <c r="J74" s="152"/>
      <c r="K74" s="190"/>
      <c r="L74" s="155"/>
      <c r="M74" s="155"/>
      <c r="N74" s="155"/>
      <c r="O74" s="155"/>
      <c r="P74" s="155"/>
      <c r="Q74" s="155"/>
      <c r="R74" s="152"/>
      <c r="S74" s="155"/>
      <c r="T74" s="155"/>
      <c r="U74" s="155"/>
      <c r="V74" s="156"/>
      <c r="W74" s="155"/>
      <c r="X74" s="152"/>
      <c r="Y74" s="157"/>
      <c r="Z74" s="157"/>
    </row>
    <row r="75" spans="1:30" x14ac:dyDescent="0.45">
      <c r="A75"/>
      <c r="E75" s="161"/>
      <c r="F75" s="157"/>
      <c r="G75" s="152"/>
      <c r="H75" s="157"/>
      <c r="I75" s="157"/>
      <c r="J75" s="152"/>
      <c r="K75" s="190"/>
      <c r="L75" s="155"/>
      <c r="M75" s="155"/>
      <c r="N75" s="155"/>
      <c r="O75" s="155"/>
      <c r="P75" s="155"/>
      <c r="Q75" s="155"/>
      <c r="R75" s="152"/>
      <c r="S75" s="155" t="s">
        <v>147</v>
      </c>
      <c r="T75" s="162" t="s">
        <v>148</v>
      </c>
      <c r="U75" s="295">
        <f>+U73*3</f>
        <v>472071</v>
      </c>
      <c r="V75" s="295">
        <f>500000*3</f>
        <v>1500000</v>
      </c>
      <c r="W75" s="152" t="s">
        <v>149</v>
      </c>
      <c r="X75" s="152"/>
      <c r="Y75" s="152"/>
      <c r="Z75" s="163"/>
      <c r="AA75" s="113"/>
    </row>
    <row r="76" spans="1:30" x14ac:dyDescent="0.45">
      <c r="A76" s="152"/>
      <c r="E76" s="161"/>
      <c r="F76" s="157"/>
      <c r="G76" s="157"/>
      <c r="H76" s="152"/>
      <c r="I76" s="152"/>
      <c r="J76" s="152"/>
      <c r="K76" s="190"/>
      <c r="L76" s="155"/>
      <c r="M76" s="155"/>
      <c r="N76" s="155"/>
      <c r="O76" s="155"/>
      <c r="P76" s="155"/>
      <c r="Q76" s="155"/>
      <c r="R76" s="152"/>
      <c r="S76" s="155" t="s">
        <v>150</v>
      </c>
      <c r="T76" s="162" t="s">
        <v>151</v>
      </c>
      <c r="U76" s="295">
        <f>U73</f>
        <v>157357</v>
      </c>
      <c r="V76" s="295">
        <f>+V73</f>
        <v>463467.56599999999</v>
      </c>
      <c r="W76" s="156" t="s">
        <v>152</v>
      </c>
      <c r="X76" s="157"/>
      <c r="Y76" s="157"/>
      <c r="Z76" s="152"/>
    </row>
    <row r="77" spans="1:30" x14ac:dyDescent="0.45">
      <c r="A77" s="152"/>
      <c r="E77" s="161"/>
      <c r="F77" s="157"/>
      <c r="G77" s="152"/>
      <c r="H77" s="152"/>
      <c r="I77" s="152"/>
      <c r="J77" s="152"/>
      <c r="K77" s="190"/>
      <c r="L77" s="155"/>
      <c r="M77" s="155"/>
      <c r="N77" s="155"/>
      <c r="O77" s="155"/>
      <c r="P77" s="155"/>
      <c r="Q77" s="155"/>
      <c r="R77" s="152"/>
      <c r="S77" s="155"/>
      <c r="T77" s="162" t="s">
        <v>153</v>
      </c>
      <c r="U77" s="295">
        <f>U75-U76</f>
        <v>314714</v>
      </c>
      <c r="V77" s="295">
        <f>V75-V76</f>
        <v>1036532.434</v>
      </c>
      <c r="W77" s="155" t="s">
        <v>154</v>
      </c>
      <c r="X77" s="152"/>
      <c r="Y77" s="152"/>
      <c r="Z77" s="152"/>
    </row>
    <row r="78" spans="1:30" x14ac:dyDescent="0.45">
      <c r="E78" s="115"/>
      <c r="F78" s="113"/>
      <c r="T78" s="116"/>
      <c r="U78" s="113"/>
      <c r="V78" s="113"/>
      <c r="W78" s="114"/>
    </row>
    <row r="79" spans="1:30" x14ac:dyDescent="0.45">
      <c r="W79" s="114"/>
    </row>
    <row r="80" spans="1:30" x14ac:dyDescent="0.45">
      <c r="N80" s="117"/>
      <c r="P80" s="117"/>
      <c r="Q80" s="117"/>
      <c r="W80" s="114"/>
    </row>
    <row r="81" spans="23:23" x14ac:dyDescent="0.45">
      <c r="W81" s="114"/>
    </row>
    <row r="82" spans="23:23" x14ac:dyDescent="0.45">
      <c r="W82" s="114"/>
    </row>
    <row r="83" spans="23:23" x14ac:dyDescent="0.45">
      <c r="W83" s="114"/>
    </row>
    <row r="84" spans="23:23" x14ac:dyDescent="0.45">
      <c r="W84" s="114"/>
    </row>
    <row r="85" spans="23:23" x14ac:dyDescent="0.45">
      <c r="W85" s="114"/>
    </row>
  </sheetData>
  <mergeCells count="14">
    <mergeCell ref="T1:V1"/>
    <mergeCell ref="A65:C65"/>
    <mergeCell ref="A72:C72"/>
    <mergeCell ref="A73:C73"/>
    <mergeCell ref="D1:H1"/>
    <mergeCell ref="L1:N1"/>
    <mergeCell ref="R1:S1"/>
    <mergeCell ref="O1:P1"/>
    <mergeCell ref="A42:C42"/>
    <mergeCell ref="A49:V49"/>
    <mergeCell ref="A3:V3"/>
    <mergeCell ref="A43:V43"/>
    <mergeCell ref="A66:V66"/>
    <mergeCell ref="A48:C48"/>
  </mergeCells>
  <phoneticPr fontId="32" type="noConversion"/>
  <pageMargins left="0.7" right="0.7" top="0.75" bottom="0.75" header="0.3" footer="0.3"/>
  <pageSetup paperSize="5" fitToHeight="0" orientation="landscape" horizontalDpi="4294967293" r:id="rId1"/>
  <headerFooter>
    <oddHeader>&amp;F</oddHeader>
    <oddFooter>&amp;A&amp;RPage &amp;P</oddFooter>
  </headerFooter>
  <ignoredErrors>
    <ignoredError sqref="G72"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A82B2-2B6E-46CE-9DAF-747537B72A01}">
  <sheetPr>
    <tabColor rgb="FFFF0000"/>
  </sheetPr>
  <dimension ref="A1:AD23"/>
  <sheetViews>
    <sheetView zoomScale="110" zoomScaleNormal="110" workbookViewId="0">
      <pane xSplit="7" ySplit="2" topLeftCell="S11" activePane="bottomRight" state="frozen"/>
      <selection pane="topRight" activeCell="H1" sqref="H1"/>
      <selection pane="bottomLeft" activeCell="A3" sqref="A3"/>
      <selection pane="bottomRight" activeCell="E6" sqref="E6"/>
    </sheetView>
  </sheetViews>
  <sheetFormatPr defaultColWidth="33.7265625" defaultRowHeight="18.5" x14ac:dyDescent="0.45"/>
  <cols>
    <col min="1" max="1" width="16.36328125" style="112" customWidth="1"/>
    <col min="2" max="2" width="19.08984375" style="112" hidden="1" customWidth="1"/>
    <col min="3" max="3" width="18.26953125" style="112" hidden="1" customWidth="1"/>
    <col min="4" max="5" width="11.08984375" style="112" customWidth="1"/>
    <col min="6" max="6" width="10.36328125" style="112" customWidth="1"/>
    <col min="7" max="7" width="16.7265625" style="112" customWidth="1"/>
    <col min="8" max="8" width="17.36328125" style="112" customWidth="1"/>
    <col min="9" max="9" width="20.26953125" style="112" customWidth="1"/>
    <col min="10" max="10" width="20.1796875" style="112" customWidth="1"/>
    <col min="11" max="11" width="20.453125" style="191" customWidth="1"/>
    <col min="12" max="12" width="17.7265625" style="114" customWidth="1"/>
    <col min="13" max="13" width="19.54296875" style="114" customWidth="1"/>
    <col min="14" max="14" width="20.81640625" style="114" customWidth="1"/>
    <col min="15" max="15" width="16.08984375" style="114" customWidth="1"/>
    <col min="16" max="16" width="15.26953125" style="114" customWidth="1"/>
    <col min="17" max="17" width="14.36328125" style="114" customWidth="1"/>
    <col min="18" max="18" width="16.90625" style="112" customWidth="1"/>
    <col min="19" max="19" width="19.26953125" style="114" customWidth="1"/>
    <col min="20" max="20" width="18.81640625" style="114" customWidth="1"/>
    <col min="21" max="21" width="13.90625" style="114" customWidth="1"/>
    <col min="22" max="22" width="20.7265625" style="112" customWidth="1"/>
    <col min="23" max="16384" width="33.7265625" style="112"/>
  </cols>
  <sheetData>
    <row r="1" spans="1:30" ht="55.5" customHeight="1" x14ac:dyDescent="0.45">
      <c r="A1" s="262"/>
      <c r="B1" s="262"/>
      <c r="C1" s="262"/>
      <c r="D1" s="503" t="s">
        <v>0</v>
      </c>
      <c r="E1" s="504"/>
      <c r="F1" s="504"/>
      <c r="G1" s="504"/>
      <c r="H1" s="504"/>
      <c r="I1" s="370" t="s">
        <v>1</v>
      </c>
      <c r="J1" s="370"/>
      <c r="K1" s="328" t="s">
        <v>2</v>
      </c>
      <c r="L1" s="514" t="s">
        <v>3</v>
      </c>
      <c r="M1" s="515"/>
      <c r="N1" s="515"/>
      <c r="O1" s="516" t="s">
        <v>4</v>
      </c>
      <c r="P1" s="516"/>
      <c r="Q1" s="411" t="s">
        <v>5</v>
      </c>
      <c r="R1" s="507" t="s">
        <v>6</v>
      </c>
      <c r="S1" s="508"/>
      <c r="T1" s="498" t="s">
        <v>7</v>
      </c>
      <c r="U1" s="498"/>
      <c r="V1" s="499"/>
      <c r="W1" s="155"/>
      <c r="X1" s="152"/>
      <c r="Y1" s="152"/>
      <c r="Z1" s="152"/>
    </row>
    <row r="2" spans="1:30" ht="65" customHeight="1" x14ac:dyDescent="0.45">
      <c r="A2" s="166" t="s">
        <v>8</v>
      </c>
      <c r="B2" s="166" t="s">
        <v>9</v>
      </c>
      <c r="C2" s="167" t="s">
        <v>10</v>
      </c>
      <c r="D2" s="167" t="s">
        <v>11</v>
      </c>
      <c r="E2" s="167" t="s">
        <v>12</v>
      </c>
      <c r="F2" s="403" t="s">
        <v>180</v>
      </c>
      <c r="G2" s="167" t="s">
        <v>14</v>
      </c>
      <c r="H2" s="408" t="s">
        <v>15</v>
      </c>
      <c r="I2" s="403" t="s">
        <v>353</v>
      </c>
      <c r="J2" s="399" t="s">
        <v>329</v>
      </c>
      <c r="K2" s="410" t="s">
        <v>18</v>
      </c>
      <c r="L2" s="396" t="s">
        <v>19</v>
      </c>
      <c r="M2" s="403" t="s">
        <v>354</v>
      </c>
      <c r="N2" s="396" t="s">
        <v>21</v>
      </c>
      <c r="O2" s="403" t="s">
        <v>355</v>
      </c>
      <c r="P2" s="400" t="s">
        <v>356</v>
      </c>
      <c r="Q2" s="408" t="s">
        <v>24</v>
      </c>
      <c r="R2" s="403" t="s">
        <v>357</v>
      </c>
      <c r="S2" s="408" t="s">
        <v>26</v>
      </c>
      <c r="T2" s="369" t="s">
        <v>27</v>
      </c>
      <c r="U2" s="404" t="s">
        <v>335</v>
      </c>
      <c r="V2" s="369" t="s">
        <v>29</v>
      </c>
      <c r="W2" s="155"/>
      <c r="X2" s="153" t="s">
        <v>30</v>
      </c>
      <c r="Y2" s="154" t="s">
        <v>31</v>
      </c>
      <c r="Z2" s="153" t="s">
        <v>32</v>
      </c>
    </row>
    <row r="3" spans="1:30" ht="44" customHeight="1" x14ac:dyDescent="0.45">
      <c r="A3" s="513" t="s">
        <v>33</v>
      </c>
      <c r="B3" s="513"/>
      <c r="C3" s="513"/>
      <c r="D3" s="513"/>
      <c r="E3" s="513"/>
      <c r="F3" s="513"/>
      <c r="G3" s="513"/>
      <c r="H3" s="513"/>
      <c r="I3" s="513"/>
      <c r="J3" s="513"/>
      <c r="K3" s="513"/>
      <c r="L3" s="513"/>
      <c r="M3" s="513"/>
      <c r="N3" s="513"/>
      <c r="O3" s="513"/>
      <c r="P3" s="513"/>
      <c r="Q3" s="513"/>
      <c r="R3" s="513"/>
      <c r="S3" s="513"/>
      <c r="T3" s="513"/>
      <c r="U3" s="513"/>
      <c r="V3" s="513"/>
      <c r="W3" s="155"/>
      <c r="X3" s="153"/>
      <c r="Y3" s="154"/>
      <c r="Z3" s="153"/>
    </row>
    <row r="4" spans="1:30" s="390" customFormat="1" ht="73" customHeight="1" x14ac:dyDescent="0.45">
      <c r="A4" s="517" t="s">
        <v>112</v>
      </c>
      <c r="B4" s="517"/>
      <c r="C4" s="517"/>
      <c r="D4" s="393">
        <f>+'2022 Burden Table'!D42</f>
        <v>3320</v>
      </c>
      <c r="E4" s="401">
        <f>+'2022 Burden Table'!E42</f>
        <v>1.0263157894736843</v>
      </c>
      <c r="F4" s="393">
        <f>+'2022 Burden Table'!F42</f>
        <v>3330</v>
      </c>
      <c r="G4" s="393">
        <f>H4/F4</f>
        <v>41.752238438438432</v>
      </c>
      <c r="H4" s="393">
        <f>+'2022 Burden Table'!H42</f>
        <v>139034.95399999997</v>
      </c>
      <c r="I4" s="393">
        <f>+'2022 Burden Table'!I42</f>
        <v>26560</v>
      </c>
      <c r="J4" s="393">
        <f>+'2022 Burden Table'!J42</f>
        <v>21368.609999999997</v>
      </c>
      <c r="K4" s="395">
        <f>+'2022 Burden Table'!K42</f>
        <v>160403.56399999998</v>
      </c>
      <c r="L4" s="393">
        <f>+'2022 Burden Table'!L42</f>
        <v>2462</v>
      </c>
      <c r="M4" s="393">
        <f>+'2022 Burden Table'!M42</f>
        <v>9848</v>
      </c>
      <c r="N4" s="393">
        <f>+'2022 Burden Table'!N42</f>
        <v>34468</v>
      </c>
      <c r="O4" s="393">
        <f>+'2022 Burden Table'!O42</f>
        <v>12310</v>
      </c>
      <c r="P4" s="393">
        <f>+'2022 Burden Table'!P42</f>
        <v>34468</v>
      </c>
      <c r="Q4" s="393">
        <f>+'2022 Burden Table'!Q42</f>
        <v>69187</v>
      </c>
      <c r="R4" s="393">
        <f>+'2022 Burden Table'!R42</f>
        <v>22158</v>
      </c>
      <c r="S4" s="393">
        <f>+'2022 Burden Table'!S42</f>
        <v>553.94999999999993</v>
      </c>
      <c r="T4" s="393">
        <f>+'2022 Burden Table'!T42</f>
        <v>229590.56400000004</v>
      </c>
      <c r="U4" s="393">
        <f>+'2022 Burden Table'!U42</f>
        <v>74206</v>
      </c>
      <c r="V4" s="393">
        <f>+'2022 Burden Table'!V42</f>
        <v>230144.51400000002</v>
      </c>
      <c r="W4" s="388"/>
      <c r="X4" s="389"/>
      <c r="Y4" s="388"/>
      <c r="Z4" s="388"/>
      <c r="AB4" s="391"/>
      <c r="AD4" s="392"/>
    </row>
    <row r="5" spans="1:30" s="114" customFormat="1" ht="32" customHeight="1" x14ac:dyDescent="0.45">
      <c r="A5" s="510" t="s">
        <v>113</v>
      </c>
      <c r="B5" s="510"/>
      <c r="C5" s="510"/>
      <c r="D5" s="510"/>
      <c r="E5" s="510"/>
      <c r="F5" s="510"/>
      <c r="G5" s="510"/>
      <c r="H5" s="510"/>
      <c r="I5" s="510"/>
      <c r="J5" s="510"/>
      <c r="K5" s="510"/>
      <c r="L5" s="510"/>
      <c r="M5" s="510"/>
      <c r="N5" s="510"/>
      <c r="O5" s="510"/>
      <c r="P5" s="510"/>
      <c r="Q5" s="510"/>
      <c r="R5" s="510"/>
      <c r="S5" s="510"/>
      <c r="T5" s="510"/>
      <c r="U5" s="510"/>
      <c r="V5" s="510"/>
      <c r="W5" s="155"/>
      <c r="X5" s="155"/>
      <c r="Y5" s="156"/>
      <c r="Z5" s="156"/>
    </row>
    <row r="6" spans="1:30" s="390" customFormat="1" ht="56.5" customHeight="1" x14ac:dyDescent="0.45">
      <c r="A6" s="518" t="s">
        <v>116</v>
      </c>
      <c r="B6" s="518"/>
      <c r="C6" s="518"/>
      <c r="D6" s="393">
        <f>+'2022 Burden Table'!D48</f>
        <v>310</v>
      </c>
      <c r="E6" s="419">
        <f>+'2022 Burden Table'!E48</f>
        <v>1.0270083102493075</v>
      </c>
      <c r="F6" s="393">
        <f>+'2022 Burden Table'!F48</f>
        <v>310</v>
      </c>
      <c r="G6" s="393">
        <f>+'2022 Burden Table'!G48</f>
        <v>49.373467741935485</v>
      </c>
      <c r="H6" s="393">
        <f>+'2022 Burden Table'!H48</f>
        <v>15305.775</v>
      </c>
      <c r="I6" s="393">
        <f>+'2022 Burden Table'!I48</f>
        <v>2790</v>
      </c>
      <c r="J6" s="393">
        <f>+'2022 Burden Table'!J48</f>
        <v>2066.77</v>
      </c>
      <c r="K6" s="395">
        <f>+'2022 Burden Table'!K48</f>
        <v>17372.544999999998</v>
      </c>
      <c r="L6" s="393">
        <f>+'2022 Burden Table'!L48</f>
        <v>100</v>
      </c>
      <c r="M6" s="393">
        <f>+'2022 Burden Table'!M48</f>
        <v>400</v>
      </c>
      <c r="N6" s="393">
        <f>+'2022 Burden Table'!N48</f>
        <v>1400</v>
      </c>
      <c r="O6" s="393">
        <f>+'2022 Burden Table'!O48</f>
        <v>500</v>
      </c>
      <c r="P6" s="393">
        <f>+'2022 Burden Table'!P48</f>
        <v>1400</v>
      </c>
      <c r="Q6" s="393">
        <f>+'2022 Burden Table'!Q48</f>
        <v>2800</v>
      </c>
      <c r="R6" s="393">
        <f>+'2022 Burden Table'!R48</f>
        <v>900</v>
      </c>
      <c r="S6" s="393">
        <f>+'2022 Burden Table'!S48</f>
        <v>22.5</v>
      </c>
      <c r="T6" s="393">
        <f>+'2022 Burden Table'!T48</f>
        <v>20172.544999999998</v>
      </c>
      <c r="U6" s="393">
        <f>+'2022 Burden Table'!U48</f>
        <v>4900</v>
      </c>
      <c r="V6" s="393">
        <f>+'2022 Burden Table'!V48</f>
        <v>20195.044999999998</v>
      </c>
      <c r="W6" s="388"/>
      <c r="X6" s="389"/>
      <c r="Y6" s="388"/>
      <c r="Z6" s="388"/>
      <c r="AB6" s="391"/>
      <c r="AD6" s="392"/>
    </row>
    <row r="7" spans="1:30" s="114" customFormat="1" ht="32" customHeight="1" x14ac:dyDescent="0.45">
      <c r="A7" s="510" t="s">
        <v>117</v>
      </c>
      <c r="B7" s="510"/>
      <c r="C7" s="510"/>
      <c r="D7" s="510"/>
      <c r="E7" s="510"/>
      <c r="F7" s="510"/>
      <c r="G7" s="510"/>
      <c r="H7" s="510"/>
      <c r="I7" s="510"/>
      <c r="J7" s="510"/>
      <c r="K7" s="510"/>
      <c r="L7" s="510"/>
      <c r="M7" s="510"/>
      <c r="N7" s="510"/>
      <c r="O7" s="510"/>
      <c r="P7" s="510"/>
      <c r="Q7" s="510"/>
      <c r="R7" s="510"/>
      <c r="S7" s="510"/>
      <c r="T7" s="510"/>
      <c r="U7" s="510"/>
      <c r="V7" s="510"/>
      <c r="W7" s="155"/>
      <c r="X7" s="155"/>
      <c r="Y7" s="156"/>
      <c r="Z7" s="156"/>
    </row>
    <row r="8" spans="1:30" s="390" customFormat="1" ht="76" customHeight="1" x14ac:dyDescent="0.45">
      <c r="A8" s="519" t="s">
        <v>138</v>
      </c>
      <c r="B8" s="519"/>
      <c r="C8" s="519"/>
      <c r="D8" s="405">
        <f>+SLT_PreRespondents</f>
        <v>3106</v>
      </c>
      <c r="E8" s="406">
        <f>+'2022 Burden Table'!E65</f>
        <v>1.0500810756029999</v>
      </c>
      <c r="F8" s="405">
        <f>+'2022 Burden Table'!F65</f>
        <v>3195</v>
      </c>
      <c r="G8" s="405">
        <f>+'2022 Burden Table'!G65</f>
        <v>32.72656807511737</v>
      </c>
      <c r="H8" s="405">
        <f>+'2022 Burden Table'!H65</f>
        <v>104561.38500000001</v>
      </c>
      <c r="I8" s="405">
        <f>+'2022 Burden Table'!I65</f>
        <v>24848</v>
      </c>
      <c r="J8" s="405">
        <f>+'2022 Burden Table'!J65</f>
        <v>20502.440000000002</v>
      </c>
      <c r="K8" s="405">
        <f>+'2022 Burden Table'!K65</f>
        <v>125063.825</v>
      </c>
      <c r="L8" s="405">
        <f>+'2022 Burden Table'!L65</f>
        <v>2492</v>
      </c>
      <c r="M8" s="405">
        <f>+'2022 Burden Table'!M65</f>
        <v>9968</v>
      </c>
      <c r="N8" s="405">
        <f>+'2022 Burden Table'!N65</f>
        <v>34888</v>
      </c>
      <c r="O8" s="405">
        <f>+'2022 Burden Table'!O65</f>
        <v>12460</v>
      </c>
      <c r="P8" s="405">
        <f>+'2022 Burden Table'!P65</f>
        <v>34888</v>
      </c>
      <c r="Q8" s="405">
        <f>+'2022 Burden Table'!Q65</f>
        <v>69776</v>
      </c>
      <c r="R8" s="405">
        <f>+'2022 Burden Table'!R65</f>
        <v>22428</v>
      </c>
      <c r="S8" s="405">
        <f>+'2022 Burden Table'!S65</f>
        <v>560.70000000000005</v>
      </c>
      <c r="T8" s="405">
        <f>+'2022 Burden Table'!T65</f>
        <v>194839.82500000001</v>
      </c>
      <c r="U8" s="405">
        <f>+'2022 Burden Table'!U65</f>
        <v>72899</v>
      </c>
      <c r="V8" s="405">
        <f>+'2022 Burden Table'!V65</f>
        <v>195400.52499999999</v>
      </c>
      <c r="W8" s="388"/>
      <c r="X8" s="389"/>
      <c r="Y8" s="388"/>
      <c r="Z8" s="388"/>
      <c r="AB8" s="391"/>
      <c r="AD8" s="392"/>
    </row>
    <row r="9" spans="1:30" s="114" customFormat="1" ht="23" customHeight="1" x14ac:dyDescent="0.45">
      <c r="A9" s="510" t="s">
        <v>139</v>
      </c>
      <c r="B9" s="510"/>
      <c r="C9" s="510"/>
      <c r="D9" s="510"/>
      <c r="E9" s="510"/>
      <c r="F9" s="510"/>
      <c r="G9" s="510"/>
      <c r="H9" s="510"/>
      <c r="I9" s="510"/>
      <c r="J9" s="510"/>
      <c r="K9" s="510"/>
      <c r="L9" s="510"/>
      <c r="M9" s="510"/>
      <c r="N9" s="510"/>
      <c r="O9" s="510"/>
      <c r="P9" s="510"/>
      <c r="Q9" s="510"/>
      <c r="R9" s="510"/>
      <c r="S9" s="510"/>
      <c r="T9" s="510"/>
      <c r="U9" s="510"/>
      <c r="V9" s="510"/>
      <c r="W9" s="155"/>
      <c r="X9" s="155"/>
      <c r="Y9" s="156"/>
      <c r="Z9" s="156"/>
    </row>
    <row r="10" spans="1:30" s="114" customFormat="1" ht="46" customHeight="1" x14ac:dyDescent="0.45">
      <c r="A10" s="517" t="s">
        <v>145</v>
      </c>
      <c r="B10" s="517"/>
      <c r="C10" s="517"/>
      <c r="D10" s="394">
        <f>+Bus_PreRespondents</f>
        <v>231</v>
      </c>
      <c r="E10" s="418">
        <f>+'2022 Burden Table'!E72</f>
        <v>1.0513025652518533</v>
      </c>
      <c r="F10" s="394">
        <f>+'2022 Burden Table'!F72</f>
        <v>231</v>
      </c>
      <c r="G10" s="394">
        <f>+'2022 Burden Table'!G72</f>
        <v>49.42588744588744</v>
      </c>
      <c r="H10" s="394">
        <f>+'2022 Burden Table'!H72</f>
        <v>11417.38</v>
      </c>
      <c r="I10" s="394">
        <f>+'2022 Burden Table'!I72</f>
        <v>2079</v>
      </c>
      <c r="J10" s="394">
        <f>+'2022 Burden Table'!J72</f>
        <v>1540.0769999999998</v>
      </c>
      <c r="K10" s="394">
        <f>+'2022 Burden Table'!K72</f>
        <v>12957.457</v>
      </c>
      <c r="L10" s="394">
        <f>+'2022 Burden Table'!L72</f>
        <v>169</v>
      </c>
      <c r="M10" s="394">
        <f>+'2022 Burden Table'!M72</f>
        <v>676</v>
      </c>
      <c r="N10" s="394">
        <f>+'2022 Burden Table'!N72</f>
        <v>2366</v>
      </c>
      <c r="O10" s="394">
        <f>+'2022 Burden Table'!O72</f>
        <v>845</v>
      </c>
      <c r="P10" s="394">
        <f>+'2022 Burden Table'!P72</f>
        <v>2366</v>
      </c>
      <c r="Q10" s="394">
        <f>+'2022 Burden Table'!Q72</f>
        <v>4732</v>
      </c>
      <c r="R10" s="394">
        <f>+'2022 Burden Table'!R72</f>
        <v>1521</v>
      </c>
      <c r="S10" s="394">
        <f>+'2022 Burden Table'!S72</f>
        <v>38.025000000000006</v>
      </c>
      <c r="T10" s="394">
        <f>+'2022 Burden Table'!T72</f>
        <v>17689.457000000002</v>
      </c>
      <c r="U10" s="394">
        <f>+'2022 Burden Table'!U72</f>
        <v>5352</v>
      </c>
      <c r="V10" s="394">
        <f>+'2022 Burden Table'!V72</f>
        <v>17727.482</v>
      </c>
      <c r="W10" s="156"/>
      <c r="X10" s="156"/>
      <c r="Y10" s="156"/>
      <c r="Z10" s="156"/>
      <c r="AA10" s="194"/>
      <c r="AB10" s="195"/>
      <c r="AD10" s="195"/>
    </row>
    <row r="11" spans="1:30" ht="69.5" customHeight="1" x14ac:dyDescent="0.45">
      <c r="A11" s="502" t="s">
        <v>146</v>
      </c>
      <c r="B11" s="502"/>
      <c r="C11" s="502"/>
      <c r="D11" s="347">
        <f>D10+D8+D6+D4</f>
        <v>6967</v>
      </c>
      <c r="E11" s="402">
        <f>AVERAGE(E4:E10)</f>
        <v>1.0386769351444611</v>
      </c>
      <c r="F11" s="347">
        <f>F10+F8+F6+F4</f>
        <v>7066</v>
      </c>
      <c r="G11" s="397">
        <f>H11/F11</f>
        <v>38.256367676195858</v>
      </c>
      <c r="H11" s="398">
        <f t="shared" ref="H11:V11" si="0">H10+H8+H6+H4</f>
        <v>270319.49399999995</v>
      </c>
      <c r="I11" s="347">
        <f t="shared" si="0"/>
        <v>56277</v>
      </c>
      <c r="J11" s="347">
        <f t="shared" si="0"/>
        <v>45477.896999999997</v>
      </c>
      <c r="K11" s="409">
        <f t="shared" si="0"/>
        <v>315797.39099999995</v>
      </c>
      <c r="L11" s="347">
        <f t="shared" si="0"/>
        <v>5223</v>
      </c>
      <c r="M11" s="347">
        <f t="shared" si="0"/>
        <v>20892</v>
      </c>
      <c r="N11" s="347">
        <f t="shared" si="0"/>
        <v>73122</v>
      </c>
      <c r="O11" s="347">
        <f t="shared" si="0"/>
        <v>26115</v>
      </c>
      <c r="P11" s="347">
        <f t="shared" si="0"/>
        <v>73122</v>
      </c>
      <c r="Q11" s="412">
        <f t="shared" si="0"/>
        <v>146495</v>
      </c>
      <c r="R11" s="347">
        <f t="shared" si="0"/>
        <v>47007</v>
      </c>
      <c r="S11" s="412">
        <f t="shared" si="0"/>
        <v>1175.175</v>
      </c>
      <c r="T11" s="347">
        <f t="shared" si="0"/>
        <v>462292.39100000006</v>
      </c>
      <c r="U11" s="348">
        <f t="shared" si="0"/>
        <v>157357</v>
      </c>
      <c r="V11" s="413">
        <f t="shared" si="0"/>
        <v>463467.56599999999</v>
      </c>
      <c r="W11" s="113"/>
      <c r="X11" s="157"/>
      <c r="Y11" s="157"/>
      <c r="Z11" s="157"/>
      <c r="AA11" s="113"/>
      <c r="AB11" s="113"/>
      <c r="AD11" s="113"/>
    </row>
    <row r="12" spans="1:30" x14ac:dyDescent="0.45">
      <c r="A12" s="160"/>
      <c r="E12" s="152"/>
      <c r="F12" s="157"/>
      <c r="H12" s="157"/>
      <c r="I12" s="152"/>
      <c r="J12" s="152"/>
      <c r="K12" s="190"/>
      <c r="L12" s="155"/>
      <c r="M12" s="155"/>
      <c r="N12" s="155"/>
      <c r="O12" s="155"/>
      <c r="P12" s="155"/>
      <c r="Q12" s="155"/>
      <c r="R12" s="152"/>
      <c r="S12" s="155"/>
      <c r="T12" s="155"/>
      <c r="U12" s="155"/>
      <c r="V12" s="156"/>
      <c r="W12" s="155"/>
      <c r="X12" s="152"/>
      <c r="Y12" s="157"/>
      <c r="Z12" s="157"/>
    </row>
    <row r="13" spans="1:30" x14ac:dyDescent="0.45">
      <c r="A13"/>
      <c r="E13" s="161"/>
      <c r="F13" s="157"/>
      <c r="G13" s="152"/>
      <c r="H13" s="157"/>
      <c r="I13" s="157"/>
      <c r="J13" s="152"/>
      <c r="K13" s="190"/>
      <c r="L13" s="155"/>
      <c r="M13" s="155"/>
      <c r="N13" s="155"/>
      <c r="O13" s="155"/>
      <c r="P13" s="155"/>
      <c r="Q13" s="155"/>
      <c r="R13" s="152"/>
      <c r="S13" s="155" t="s">
        <v>147</v>
      </c>
      <c r="T13" s="162" t="s">
        <v>148</v>
      </c>
      <c r="U13" s="295">
        <f>+U11*3</f>
        <v>472071</v>
      </c>
      <c r="V13" s="295">
        <f>500000*3</f>
        <v>1500000</v>
      </c>
      <c r="W13" s="152" t="s">
        <v>149</v>
      </c>
      <c r="X13" s="152"/>
      <c r="Y13" s="152"/>
      <c r="Z13" s="163"/>
      <c r="AA13" s="113"/>
    </row>
    <row r="14" spans="1:30" x14ac:dyDescent="0.45">
      <c r="A14" s="152"/>
      <c r="E14" s="161"/>
      <c r="F14" s="157"/>
      <c r="G14" s="157"/>
      <c r="H14" s="152"/>
      <c r="I14" s="152"/>
      <c r="J14" s="152"/>
      <c r="K14" s="190"/>
      <c r="L14" s="155"/>
      <c r="M14" s="155"/>
      <c r="N14" s="155"/>
      <c r="O14" s="155"/>
      <c r="P14" s="155"/>
      <c r="Q14" s="155"/>
      <c r="R14" s="152"/>
      <c r="S14" s="155" t="s">
        <v>150</v>
      </c>
      <c r="T14" s="162" t="s">
        <v>151</v>
      </c>
      <c r="U14" s="295">
        <f>U11</f>
        <v>157357</v>
      </c>
      <c r="V14" s="295">
        <f>+V11</f>
        <v>463467.56599999999</v>
      </c>
      <c r="W14" s="407" t="s">
        <v>358</v>
      </c>
      <c r="X14" s="157"/>
      <c r="Y14" s="157"/>
      <c r="Z14" s="152"/>
    </row>
    <row r="15" spans="1:30" x14ac:dyDescent="0.45">
      <c r="A15" s="152"/>
      <c r="E15" s="161"/>
      <c r="F15" s="157"/>
      <c r="G15" s="152"/>
      <c r="H15" s="152"/>
      <c r="I15" s="152"/>
      <c r="J15" s="152"/>
      <c r="K15" s="190"/>
      <c r="L15" s="155"/>
      <c r="M15" s="155"/>
      <c r="N15" s="155"/>
      <c r="O15" s="155"/>
      <c r="P15" s="155"/>
      <c r="Q15" s="155"/>
      <c r="R15" s="152"/>
      <c r="S15" s="155"/>
      <c r="T15" s="162" t="s">
        <v>153</v>
      </c>
      <c r="U15" s="295">
        <f>U13-U14</f>
        <v>314714</v>
      </c>
      <c r="V15" s="295">
        <f>V13-V14</f>
        <v>1036532.434</v>
      </c>
      <c r="W15" s="155" t="s">
        <v>154</v>
      </c>
      <c r="X15" s="152"/>
      <c r="Y15" s="152"/>
      <c r="Z15" s="152"/>
    </row>
    <row r="16" spans="1:30" x14ac:dyDescent="0.45">
      <c r="E16" s="115"/>
      <c r="F16" s="113"/>
      <c r="T16" s="116"/>
      <c r="U16" s="113"/>
      <c r="V16" s="113"/>
      <c r="W16" s="114"/>
    </row>
    <row r="17" spans="14:23" x14ac:dyDescent="0.45">
      <c r="W17" s="114"/>
    </row>
    <row r="18" spans="14:23" x14ac:dyDescent="0.45">
      <c r="N18" s="117"/>
      <c r="P18" s="117"/>
      <c r="Q18" s="117"/>
      <c r="W18" s="114"/>
    </row>
    <row r="19" spans="14:23" x14ac:dyDescent="0.45">
      <c r="W19" s="114"/>
    </row>
    <row r="20" spans="14:23" x14ac:dyDescent="0.45">
      <c r="W20" s="114"/>
    </row>
    <row r="21" spans="14:23" x14ac:dyDescent="0.45">
      <c r="W21" s="114"/>
    </row>
    <row r="22" spans="14:23" x14ac:dyDescent="0.45">
      <c r="W22" s="114"/>
    </row>
    <row r="23" spans="14:23" x14ac:dyDescent="0.45">
      <c r="W23" s="114"/>
    </row>
  </sheetData>
  <mergeCells count="14">
    <mergeCell ref="A10:C10"/>
    <mergeCell ref="A11:C11"/>
    <mergeCell ref="A4:C4"/>
    <mergeCell ref="A5:V5"/>
    <mergeCell ref="A6:C6"/>
    <mergeCell ref="A7:V7"/>
    <mergeCell ref="A8:C8"/>
    <mergeCell ref="A9:V9"/>
    <mergeCell ref="A3:V3"/>
    <mergeCell ref="D1:H1"/>
    <mergeCell ref="L1:N1"/>
    <mergeCell ref="O1:P1"/>
    <mergeCell ref="R1:S1"/>
    <mergeCell ref="T1:V1"/>
  </mergeCell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I34"/>
  <sheetViews>
    <sheetView workbookViewId="0"/>
  </sheetViews>
  <sheetFormatPr defaultRowHeight="14.5" x14ac:dyDescent="0.35"/>
  <cols>
    <col min="3" max="3" width="21.1796875" customWidth="1"/>
    <col min="4" max="4" width="18.1796875" customWidth="1"/>
    <col min="5" max="5" width="11.1796875" customWidth="1"/>
    <col min="6" max="6" width="12.81640625" customWidth="1"/>
    <col min="7" max="7" width="11.81640625" customWidth="1"/>
    <col min="8" max="8" width="14.1796875" customWidth="1"/>
  </cols>
  <sheetData>
    <row r="1" spans="1:9" ht="15" thickBot="1" x14ac:dyDescent="0.4">
      <c r="B1" s="539" t="s">
        <v>170</v>
      </c>
      <c r="C1" s="540"/>
      <c r="D1" s="540"/>
      <c r="E1" s="540"/>
      <c r="F1" s="540"/>
      <c r="G1" s="540"/>
      <c r="H1" s="541"/>
    </row>
    <row r="2" spans="1:9" ht="39.5" thickBot="1" x14ac:dyDescent="0.4">
      <c r="A2" t="s">
        <v>10</v>
      </c>
      <c r="B2" s="542" t="s">
        <v>171</v>
      </c>
      <c r="C2" s="543"/>
      <c r="D2" s="102" t="s">
        <v>172</v>
      </c>
      <c r="E2" s="98" t="s">
        <v>173</v>
      </c>
      <c r="F2" s="98" t="s">
        <v>174</v>
      </c>
      <c r="G2" s="98" t="s">
        <v>175</v>
      </c>
      <c r="H2" s="98" t="s">
        <v>176</v>
      </c>
      <c r="I2" s="97"/>
    </row>
    <row r="3" spans="1:9" ht="41.25" customHeight="1" thickBot="1" x14ac:dyDescent="0.4">
      <c r="B3" s="520" t="s">
        <v>177</v>
      </c>
      <c r="C3" s="544"/>
      <c r="D3" s="106">
        <v>2359</v>
      </c>
      <c r="E3" s="106">
        <v>1</v>
      </c>
      <c r="F3" s="106">
        <v>2359</v>
      </c>
      <c r="G3" s="106">
        <v>60</v>
      </c>
      <c r="H3" s="108">
        <f>SUM(F3*G3)</f>
        <v>141540</v>
      </c>
      <c r="I3" s="97"/>
    </row>
    <row r="4" spans="1:9" ht="15" thickBot="1" x14ac:dyDescent="0.4">
      <c r="B4" s="545" t="s">
        <v>171</v>
      </c>
      <c r="C4" s="546"/>
      <c r="D4" s="551" t="s">
        <v>178</v>
      </c>
      <c r="E4" s="552"/>
      <c r="F4" s="552"/>
      <c r="G4" s="552"/>
      <c r="H4" s="553"/>
      <c r="I4" s="97"/>
    </row>
    <row r="5" spans="1:9" ht="48" customHeight="1" x14ac:dyDescent="0.35">
      <c r="B5" s="547"/>
      <c r="C5" s="548"/>
      <c r="D5" s="554" t="s">
        <v>172</v>
      </c>
      <c r="E5" s="556" t="s">
        <v>179</v>
      </c>
      <c r="F5" s="556" t="s">
        <v>180</v>
      </c>
      <c r="G5" s="556" t="s">
        <v>175</v>
      </c>
      <c r="H5" s="556" t="s">
        <v>181</v>
      </c>
      <c r="I5" s="97"/>
    </row>
    <row r="6" spans="1:9" ht="15" thickBot="1" x14ac:dyDescent="0.4">
      <c r="B6" s="549"/>
      <c r="C6" s="550"/>
      <c r="D6" s="555"/>
      <c r="E6" s="557"/>
      <c r="F6" s="557"/>
      <c r="G6" s="557"/>
      <c r="H6" s="557"/>
      <c r="I6" s="97"/>
    </row>
    <row r="7" spans="1:9" ht="25.5" customHeight="1" thickBot="1" x14ac:dyDescent="0.4">
      <c r="B7" s="529" t="s">
        <v>182</v>
      </c>
      <c r="C7" s="530"/>
      <c r="D7" s="106">
        <v>1272</v>
      </c>
      <c r="E7" s="106">
        <f>SUM(F7/D7)</f>
        <v>1</v>
      </c>
      <c r="F7" s="108">
        <v>1272</v>
      </c>
      <c r="G7" s="106">
        <v>2.2599999999999998</v>
      </c>
      <c r="H7" s="108">
        <f>SUM(F7*G7)</f>
        <v>2874.72</v>
      </c>
      <c r="I7" s="97"/>
    </row>
    <row r="8" spans="1:9" ht="30.75" customHeight="1" thickBot="1" x14ac:dyDescent="0.4">
      <c r="B8" s="531" t="s">
        <v>183</v>
      </c>
      <c r="C8" s="532"/>
      <c r="D8" s="107">
        <v>2455</v>
      </c>
      <c r="E8" s="106">
        <f>SUM(F8/D8)</f>
        <v>1</v>
      </c>
      <c r="F8" s="107">
        <v>2455</v>
      </c>
      <c r="G8" s="109">
        <v>62.26</v>
      </c>
      <c r="H8" s="107">
        <v>152876</v>
      </c>
      <c r="I8" s="97"/>
    </row>
    <row r="9" spans="1:9" ht="60.75" customHeight="1" x14ac:dyDescent="0.35">
      <c r="B9" s="533" t="s">
        <v>171</v>
      </c>
      <c r="C9" s="534"/>
      <c r="D9" s="537" t="s">
        <v>184</v>
      </c>
      <c r="E9" s="524" t="s">
        <v>185</v>
      </c>
      <c r="F9" s="524" t="s">
        <v>186</v>
      </c>
      <c r="G9" s="524" t="s">
        <v>187</v>
      </c>
      <c r="H9" s="524" t="s">
        <v>188</v>
      </c>
      <c r="I9" s="97"/>
    </row>
    <row r="10" spans="1:9" ht="15" thickBot="1" x14ac:dyDescent="0.4">
      <c r="B10" s="535"/>
      <c r="C10" s="536"/>
      <c r="D10" s="538"/>
      <c r="E10" s="525"/>
      <c r="F10" s="525"/>
      <c r="G10" s="525"/>
      <c r="H10" s="525"/>
      <c r="I10" s="97"/>
    </row>
    <row r="11" spans="1:9" ht="15.5" thickBot="1" x14ac:dyDescent="0.4">
      <c r="B11" s="526" t="s">
        <v>189</v>
      </c>
      <c r="C11" s="527"/>
      <c r="D11" s="527"/>
      <c r="E11" s="527"/>
      <c r="F11" s="527"/>
      <c r="G11" s="527"/>
      <c r="H11" s="528"/>
      <c r="I11" s="97"/>
    </row>
    <row r="12" spans="1:9" ht="38.25" customHeight="1" thickBot="1" x14ac:dyDescent="0.4">
      <c r="B12" s="520" t="s">
        <v>190</v>
      </c>
      <c r="C12" s="521"/>
      <c r="D12" s="104">
        <v>286</v>
      </c>
      <c r="E12" s="100">
        <v>10</v>
      </c>
      <c r="F12" s="101">
        <f>SUM(D12*E12)</f>
        <v>2860</v>
      </c>
      <c r="G12" s="100">
        <v>0.25</v>
      </c>
      <c r="H12" s="99">
        <f>SUM(F12*G12)</f>
        <v>715</v>
      </c>
      <c r="I12" s="97"/>
    </row>
    <row r="13" spans="1:9" ht="51" customHeight="1" thickBot="1" x14ac:dyDescent="0.4">
      <c r="B13" s="520" t="s">
        <v>191</v>
      </c>
      <c r="C13" s="521"/>
      <c r="D13" s="110" t="s">
        <v>171</v>
      </c>
      <c r="E13" s="110" t="s">
        <v>171</v>
      </c>
      <c r="F13" s="105">
        <v>152930</v>
      </c>
      <c r="G13" s="110" t="s">
        <v>171</v>
      </c>
      <c r="H13" s="108">
        <v>153162</v>
      </c>
      <c r="I13" s="97"/>
    </row>
    <row r="14" spans="1:9" ht="63.75" customHeight="1" thickBot="1" x14ac:dyDescent="0.4">
      <c r="B14" s="520" t="s">
        <v>192</v>
      </c>
      <c r="C14" s="521"/>
      <c r="D14" s="105">
        <v>409131.42</v>
      </c>
      <c r="E14" s="110" t="s">
        <v>171</v>
      </c>
      <c r="F14" s="105">
        <f>SUM(F13*3)</f>
        <v>458790</v>
      </c>
      <c r="G14" s="110" t="s">
        <v>171</v>
      </c>
      <c r="H14" s="111">
        <f>SUM(H13*3)</f>
        <v>459486</v>
      </c>
      <c r="I14" s="97"/>
    </row>
    <row r="15" spans="1:9" s="103" customFormat="1" ht="24.75" customHeight="1" x14ac:dyDescent="0.35">
      <c r="B15" s="522" t="s">
        <v>193</v>
      </c>
      <c r="C15" s="522"/>
      <c r="D15" s="522"/>
      <c r="E15" s="522"/>
      <c r="F15" s="522"/>
      <c r="G15" s="522"/>
      <c r="H15" s="522"/>
    </row>
    <row r="16" spans="1:9" ht="24" customHeight="1" x14ac:dyDescent="0.35">
      <c r="B16" s="523"/>
      <c r="C16" s="523"/>
      <c r="D16" s="523"/>
      <c r="E16" s="523"/>
      <c r="F16" s="523"/>
      <c r="G16" s="523"/>
      <c r="H16" s="523"/>
    </row>
    <row r="18" spans="2:9" ht="15" thickBot="1" x14ac:dyDescent="0.4"/>
    <row r="19" spans="2:9" ht="15" thickBot="1" x14ac:dyDescent="0.4">
      <c r="B19" s="539" t="s">
        <v>194</v>
      </c>
      <c r="C19" s="540"/>
      <c r="D19" s="540"/>
      <c r="E19" s="540"/>
      <c r="F19" s="540"/>
      <c r="G19" s="540"/>
      <c r="H19" s="541"/>
    </row>
    <row r="20" spans="2:9" ht="39.5" thickBot="1" x14ac:dyDescent="0.4">
      <c r="B20" s="542" t="s">
        <v>171</v>
      </c>
      <c r="C20" s="543"/>
      <c r="D20" s="102" t="s">
        <v>172</v>
      </c>
      <c r="E20" s="98" t="s">
        <v>173</v>
      </c>
      <c r="F20" s="98" t="s">
        <v>174</v>
      </c>
      <c r="G20" s="98" t="s">
        <v>175</v>
      </c>
      <c r="H20" s="98" t="s">
        <v>176</v>
      </c>
      <c r="I20" s="97"/>
    </row>
    <row r="21" spans="2:9" ht="41.25" customHeight="1" thickBot="1" x14ac:dyDescent="0.4">
      <c r="B21" s="520" t="s">
        <v>177</v>
      </c>
      <c r="C21" s="544"/>
      <c r="D21" s="106">
        <v>1237</v>
      </c>
      <c r="E21" s="106">
        <v>1</v>
      </c>
      <c r="F21" s="106">
        <v>1237</v>
      </c>
      <c r="G21" s="106">
        <v>60</v>
      </c>
      <c r="H21" s="108">
        <f>SUM(F21*G21)</f>
        <v>74220</v>
      </c>
      <c r="I21" s="97"/>
    </row>
    <row r="22" spans="2:9" ht="15" thickBot="1" x14ac:dyDescent="0.4">
      <c r="B22" s="545" t="s">
        <v>171</v>
      </c>
      <c r="C22" s="546"/>
      <c r="D22" s="551" t="s">
        <v>178</v>
      </c>
      <c r="E22" s="552"/>
      <c r="F22" s="552"/>
      <c r="G22" s="552"/>
      <c r="H22" s="553"/>
      <c r="I22" s="97"/>
    </row>
    <row r="23" spans="2:9" ht="48" customHeight="1" x14ac:dyDescent="0.35">
      <c r="B23" s="547"/>
      <c r="C23" s="548"/>
      <c r="D23" s="554" t="s">
        <v>172</v>
      </c>
      <c r="E23" s="556" t="s">
        <v>179</v>
      </c>
      <c r="F23" s="556" t="s">
        <v>180</v>
      </c>
      <c r="G23" s="556" t="s">
        <v>175</v>
      </c>
      <c r="H23" s="556" t="s">
        <v>181</v>
      </c>
      <c r="I23" s="97"/>
    </row>
    <row r="24" spans="2:9" ht="15" thickBot="1" x14ac:dyDescent="0.4">
      <c r="B24" s="549"/>
      <c r="C24" s="550"/>
      <c r="D24" s="555"/>
      <c r="E24" s="557"/>
      <c r="F24" s="557"/>
      <c r="G24" s="557"/>
      <c r="H24" s="557"/>
      <c r="I24" s="97"/>
    </row>
    <row r="25" spans="2:9" ht="25.5" customHeight="1" thickBot="1" x14ac:dyDescent="0.4">
      <c r="B25" s="529" t="s">
        <v>182</v>
      </c>
      <c r="C25" s="530"/>
      <c r="D25" s="106">
        <v>900</v>
      </c>
      <c r="E25" s="106">
        <f>SUM(F25/D25)</f>
        <v>1</v>
      </c>
      <c r="F25" s="108">
        <v>900</v>
      </c>
      <c r="G25" s="106">
        <v>2.2599999999999998</v>
      </c>
      <c r="H25" s="108">
        <f>SUM(F25*G25)</f>
        <v>2033.9999999999998</v>
      </c>
      <c r="I25" s="97"/>
    </row>
    <row r="26" spans="2:9" ht="30.75" customHeight="1" thickBot="1" x14ac:dyDescent="0.4">
      <c r="B26" s="531" t="s">
        <v>183</v>
      </c>
      <c r="C26" s="532"/>
      <c r="D26" s="107">
        <v>1232</v>
      </c>
      <c r="E26" s="106">
        <f>SUM(F26/D26)</f>
        <v>1</v>
      </c>
      <c r="F26" s="107">
        <v>1232</v>
      </c>
      <c r="G26" s="109">
        <v>62.26</v>
      </c>
      <c r="H26" s="107">
        <v>76704</v>
      </c>
      <c r="I26" s="97"/>
    </row>
    <row r="27" spans="2:9" ht="60.75" customHeight="1" x14ac:dyDescent="0.35">
      <c r="B27" s="533" t="s">
        <v>171</v>
      </c>
      <c r="C27" s="534"/>
      <c r="D27" s="537" t="s">
        <v>184</v>
      </c>
      <c r="E27" s="524" t="s">
        <v>185</v>
      </c>
      <c r="F27" s="524" t="s">
        <v>186</v>
      </c>
      <c r="G27" s="524" t="s">
        <v>187</v>
      </c>
      <c r="H27" s="524" t="s">
        <v>188</v>
      </c>
      <c r="I27" s="97"/>
    </row>
    <row r="28" spans="2:9" ht="15" thickBot="1" x14ac:dyDescent="0.4">
      <c r="B28" s="535"/>
      <c r="C28" s="536"/>
      <c r="D28" s="538"/>
      <c r="E28" s="525"/>
      <c r="F28" s="525"/>
      <c r="G28" s="525"/>
      <c r="H28" s="525"/>
      <c r="I28" s="97"/>
    </row>
    <row r="29" spans="2:9" ht="15.5" thickBot="1" x14ac:dyDescent="0.4">
      <c r="B29" s="526" t="s">
        <v>195</v>
      </c>
      <c r="C29" s="527"/>
      <c r="D29" s="527"/>
      <c r="E29" s="527"/>
      <c r="F29" s="527"/>
      <c r="G29" s="527"/>
      <c r="H29" s="528"/>
      <c r="I29" s="97"/>
    </row>
    <row r="30" spans="2:9" ht="38.25" customHeight="1" thickBot="1" x14ac:dyDescent="0.4">
      <c r="B30" s="520" t="s">
        <v>190</v>
      </c>
      <c r="C30" s="521"/>
      <c r="D30" s="104">
        <v>198</v>
      </c>
      <c r="E30" s="100">
        <v>10</v>
      </c>
      <c r="F30" s="101">
        <f>SUM(D30*E30)</f>
        <v>1980</v>
      </c>
      <c r="G30" s="100">
        <v>0.25</v>
      </c>
      <c r="H30" s="99">
        <f>SUM(F30*G30)</f>
        <v>495</v>
      </c>
      <c r="I30" s="97"/>
    </row>
    <row r="31" spans="2:9" ht="51" customHeight="1" thickBot="1" x14ac:dyDescent="0.4">
      <c r="B31" s="520" t="s">
        <v>191</v>
      </c>
      <c r="C31" s="521"/>
      <c r="D31" s="110" t="s">
        <v>171</v>
      </c>
      <c r="E31" s="110" t="s">
        <v>171</v>
      </c>
      <c r="F31" s="105">
        <v>84589</v>
      </c>
      <c r="G31" s="110" t="s">
        <v>171</v>
      </c>
      <c r="H31" s="108">
        <v>86588</v>
      </c>
      <c r="I31" s="97"/>
    </row>
    <row r="32" spans="2:9" ht="63.75" customHeight="1" thickBot="1" x14ac:dyDescent="0.4">
      <c r="B32" s="520" t="s">
        <v>192</v>
      </c>
      <c r="C32" s="521"/>
      <c r="D32" s="105">
        <v>86091</v>
      </c>
      <c r="E32" s="110" t="s">
        <v>171</v>
      </c>
      <c r="F32" s="105"/>
      <c r="G32" s="110" t="s">
        <v>171</v>
      </c>
      <c r="H32" s="111">
        <f>SUM(H31*3)</f>
        <v>259764</v>
      </c>
      <c r="I32" s="97"/>
    </row>
    <row r="33" spans="2:8" s="103" customFormat="1" ht="24.75" customHeight="1" x14ac:dyDescent="0.35">
      <c r="B33" s="522" t="s">
        <v>196</v>
      </c>
      <c r="C33" s="522"/>
      <c r="D33" s="522"/>
      <c r="E33" s="522"/>
      <c r="F33" s="522"/>
      <c r="G33" s="522"/>
      <c r="H33" s="522"/>
    </row>
    <row r="34" spans="2:8" ht="24" customHeight="1" x14ac:dyDescent="0.35">
      <c r="B34" s="523"/>
      <c r="C34" s="523"/>
      <c r="D34" s="523"/>
      <c r="E34" s="523"/>
      <c r="F34" s="523"/>
      <c r="G34" s="523"/>
      <c r="H34" s="523"/>
    </row>
  </sheetData>
  <mergeCells count="48">
    <mergeCell ref="B12:C12"/>
    <mergeCell ref="B13:C13"/>
    <mergeCell ref="B14:C14"/>
    <mergeCell ref="B11:H11"/>
    <mergeCell ref="B1:H1"/>
    <mergeCell ref="D5:D6"/>
    <mergeCell ref="E5:E6"/>
    <mergeCell ref="F5:F6"/>
    <mergeCell ref="B15:H15"/>
    <mergeCell ref="B16:H16"/>
    <mergeCell ref="B2:C2"/>
    <mergeCell ref="G5:G6"/>
    <mergeCell ref="H5:H6"/>
    <mergeCell ref="B7:C7"/>
    <mergeCell ref="B8:C8"/>
    <mergeCell ref="B9:C10"/>
    <mergeCell ref="D9:D10"/>
    <mergeCell ref="E9:E10"/>
    <mergeCell ref="F9:F10"/>
    <mergeCell ref="G9:G10"/>
    <mergeCell ref="H9:H10"/>
    <mergeCell ref="B3:C3"/>
    <mergeCell ref="B4:C6"/>
    <mergeCell ref="D4:H4"/>
    <mergeCell ref="B19:H19"/>
    <mergeCell ref="B20:C20"/>
    <mergeCell ref="B21:C21"/>
    <mergeCell ref="B22:C24"/>
    <mergeCell ref="D22:H22"/>
    <mergeCell ref="D23:D24"/>
    <mergeCell ref="E23:E24"/>
    <mergeCell ref="F23:F24"/>
    <mergeCell ref="G23:G24"/>
    <mergeCell ref="H23:H24"/>
    <mergeCell ref="B25:C25"/>
    <mergeCell ref="B26:C26"/>
    <mergeCell ref="B27:C28"/>
    <mergeCell ref="D27:D28"/>
    <mergeCell ref="E27:E28"/>
    <mergeCell ref="B31:C31"/>
    <mergeCell ref="B32:C32"/>
    <mergeCell ref="B33:H33"/>
    <mergeCell ref="B34:H34"/>
    <mergeCell ref="F27:F28"/>
    <mergeCell ref="G27:G28"/>
    <mergeCell ref="H27:H28"/>
    <mergeCell ref="B29:H29"/>
    <mergeCell ref="B30:C3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5"/>
  <sheetViews>
    <sheetView workbookViewId="0"/>
  </sheetViews>
  <sheetFormatPr defaultRowHeight="14.5" x14ac:dyDescent="0.35"/>
  <cols>
    <col min="1" max="1" width="27.453125" customWidth="1"/>
    <col min="2" max="2" width="15.81640625" customWidth="1"/>
    <col min="3" max="3" width="15.1796875" customWidth="1"/>
    <col min="4" max="4" width="34" customWidth="1"/>
    <col min="5" max="5" width="10.1796875" bestFit="1" customWidth="1"/>
    <col min="10" max="10" width="19.453125" customWidth="1"/>
    <col min="11" max="11" width="18.453125" customWidth="1"/>
    <col min="12" max="12" width="14.1796875" bestFit="1" customWidth="1"/>
    <col min="13" max="13" width="16.81640625" bestFit="1" customWidth="1"/>
    <col min="14" max="14" width="18.1796875" bestFit="1" customWidth="1"/>
    <col min="15" max="15" width="29.453125" bestFit="1" customWidth="1"/>
  </cols>
  <sheetData>
    <row r="1" spans="1:26" s="112" customFormat="1" ht="29" customHeight="1" thickBot="1" x14ac:dyDescent="0.5">
      <c r="A1" s="262"/>
      <c r="B1" s="262"/>
      <c r="C1" s="262"/>
      <c r="D1" s="561" t="s">
        <v>0</v>
      </c>
      <c r="E1" s="562"/>
      <c r="F1" s="562"/>
      <c r="G1" s="562"/>
      <c r="H1" s="562"/>
      <c r="I1" s="311" t="s">
        <v>1</v>
      </c>
      <c r="J1" s="311"/>
      <c r="K1" s="164" t="s">
        <v>2</v>
      </c>
      <c r="L1" s="563" t="s">
        <v>3</v>
      </c>
      <c r="M1" s="564"/>
      <c r="N1" s="564"/>
      <c r="O1" s="564" t="s">
        <v>4</v>
      </c>
      <c r="P1" s="564"/>
      <c r="Q1" s="165" t="s">
        <v>5</v>
      </c>
      <c r="R1" s="565" t="s">
        <v>6</v>
      </c>
      <c r="S1" s="566"/>
      <c r="T1" s="558" t="s">
        <v>7</v>
      </c>
      <c r="U1" s="558"/>
      <c r="V1" s="559"/>
      <c r="W1" s="155"/>
      <c r="X1" s="152"/>
      <c r="Y1" s="152"/>
      <c r="Z1" s="152"/>
    </row>
    <row r="2" spans="1:26" s="112" customFormat="1" ht="103.5" customHeight="1" x14ac:dyDescent="0.45">
      <c r="A2" s="166" t="s">
        <v>8</v>
      </c>
      <c r="B2" s="166" t="s">
        <v>9</v>
      </c>
      <c r="C2" s="167" t="s">
        <v>10</v>
      </c>
      <c r="D2" s="263" t="s">
        <v>11</v>
      </c>
      <c r="E2" s="167" t="s">
        <v>12</v>
      </c>
      <c r="F2" s="167" t="s">
        <v>13</v>
      </c>
      <c r="G2" s="167" t="s">
        <v>14</v>
      </c>
      <c r="H2" s="167" t="s">
        <v>15</v>
      </c>
      <c r="I2" s="267" t="s">
        <v>16</v>
      </c>
      <c r="J2" s="167" t="s">
        <v>17</v>
      </c>
      <c r="K2" s="168" t="s">
        <v>18</v>
      </c>
      <c r="L2" s="169" t="s">
        <v>19</v>
      </c>
      <c r="M2" s="170" t="s">
        <v>20</v>
      </c>
      <c r="N2" s="170" t="s">
        <v>21</v>
      </c>
      <c r="O2" s="170" t="s">
        <v>22</v>
      </c>
      <c r="P2" s="170" t="s">
        <v>23</v>
      </c>
      <c r="Q2" s="171" t="s">
        <v>24</v>
      </c>
      <c r="R2" s="172" t="s">
        <v>25</v>
      </c>
      <c r="S2" s="173" t="s">
        <v>26</v>
      </c>
      <c r="T2" s="174" t="s">
        <v>27</v>
      </c>
      <c r="U2" s="174" t="s">
        <v>28</v>
      </c>
      <c r="V2" s="173" t="s">
        <v>29</v>
      </c>
      <c r="W2" s="155"/>
      <c r="X2" s="153" t="s">
        <v>30</v>
      </c>
      <c r="Y2" s="154" t="s">
        <v>31</v>
      </c>
      <c r="Z2" s="153" t="s">
        <v>32</v>
      </c>
    </row>
    <row r="3" spans="1:26" s="114" customFormat="1" ht="79.25" customHeight="1" thickBot="1" x14ac:dyDescent="0.5">
      <c r="A3" s="276" t="s">
        <v>109</v>
      </c>
      <c r="B3" s="251" t="s">
        <v>110</v>
      </c>
      <c r="C3" s="252" t="s">
        <v>36</v>
      </c>
      <c r="D3" s="264">
        <v>1092</v>
      </c>
      <c r="E3" s="253">
        <v>1</v>
      </c>
      <c r="F3" s="229">
        <f t="shared" ref="F3:F4" si="0">D3*E3</f>
        <v>1092</v>
      </c>
      <c r="G3" s="254">
        <v>40</v>
      </c>
      <c r="H3" s="220">
        <f t="shared" ref="H3" si="1">F3*G3</f>
        <v>43680</v>
      </c>
      <c r="I3" s="220">
        <f t="shared" ref="I3" si="2">D3*8</f>
        <v>8736</v>
      </c>
      <c r="J3" s="229">
        <f t="shared" ref="J3" si="3">F3*6.417</f>
        <v>7007.3639999999996</v>
      </c>
      <c r="K3" s="258">
        <f t="shared" ref="K3:K4" si="4">J3+H3</f>
        <v>50687.364000000001</v>
      </c>
      <c r="L3" s="265">
        <v>1092</v>
      </c>
      <c r="M3" s="215">
        <f t="shared" ref="M3:M4" si="5">L3*4</f>
        <v>4368</v>
      </c>
      <c r="N3" s="215">
        <f t="shared" ref="N3:N4" si="6">L3*14</f>
        <v>15288</v>
      </c>
      <c r="O3" s="215">
        <f t="shared" ref="O3" si="7">L3*5</f>
        <v>5460</v>
      </c>
      <c r="P3" s="215">
        <f t="shared" ref="P3:P4" si="8">L3*14</f>
        <v>15288</v>
      </c>
      <c r="Q3" s="231">
        <f t="shared" ref="Q3:Q4" si="9">N3+P3</f>
        <v>30576</v>
      </c>
      <c r="R3" s="232">
        <f t="shared" ref="R3:R4" si="10">L3*RecordResponse</f>
        <v>9828</v>
      </c>
      <c r="S3" s="231">
        <f t="shared" ref="S3" si="11">L3*RecordHours</f>
        <v>245.70000000000002</v>
      </c>
      <c r="T3" s="215">
        <f t="shared" ref="T3:T4" si="12">K3+Q3</f>
        <v>81263.364000000001</v>
      </c>
      <c r="U3" s="215">
        <f>F3+M3+R3+I3+O3</f>
        <v>29484</v>
      </c>
      <c r="V3" s="231">
        <f t="shared" ref="V3" si="13">S3+T3</f>
        <v>81509.063999999998</v>
      </c>
      <c r="W3" s="155"/>
      <c r="X3" s="155"/>
      <c r="Y3" s="156"/>
      <c r="Z3" s="156"/>
    </row>
    <row r="4" spans="1:26" s="112" customFormat="1" ht="64.25" customHeight="1" x14ac:dyDescent="0.45">
      <c r="A4" s="235" t="s">
        <v>136</v>
      </c>
      <c r="B4" s="235" t="s">
        <v>137</v>
      </c>
      <c r="C4" s="255" t="s">
        <v>36</v>
      </c>
      <c r="D4" s="243">
        <v>1092</v>
      </c>
      <c r="E4" s="256">
        <v>1</v>
      </c>
      <c r="F4" s="243">
        <f t="shared" si="0"/>
        <v>1092</v>
      </c>
      <c r="G4" s="243">
        <v>40</v>
      </c>
      <c r="H4" s="243">
        <f>G4*F4</f>
        <v>43680</v>
      </c>
      <c r="I4" s="243">
        <f>D4*8</f>
        <v>8736</v>
      </c>
      <c r="J4" s="243">
        <f>D4*6.7</f>
        <v>7316.4000000000005</v>
      </c>
      <c r="K4" s="228">
        <f t="shared" si="4"/>
        <v>50996.4</v>
      </c>
      <c r="L4" s="243">
        <v>1092</v>
      </c>
      <c r="M4" s="244">
        <f t="shared" si="5"/>
        <v>4368</v>
      </c>
      <c r="N4" s="257">
        <f t="shared" si="6"/>
        <v>15288</v>
      </c>
      <c r="O4" s="257">
        <f>L4*5</f>
        <v>5460</v>
      </c>
      <c r="P4" s="257">
        <f t="shared" si="8"/>
        <v>15288</v>
      </c>
      <c r="Q4" s="257">
        <f t="shared" si="9"/>
        <v>30576</v>
      </c>
      <c r="R4" s="257">
        <f t="shared" si="10"/>
        <v>9828</v>
      </c>
      <c r="S4" s="257">
        <f>L4*RecordHours</f>
        <v>245.70000000000002</v>
      </c>
      <c r="T4" s="257">
        <f t="shared" si="12"/>
        <v>81572.399999999994</v>
      </c>
      <c r="U4" s="257">
        <f t="shared" ref="U4" si="14">F4+M4+R4+I4+O4</f>
        <v>29484</v>
      </c>
      <c r="V4" s="259">
        <f>+T4+S4</f>
        <v>81818.099999999991</v>
      </c>
      <c r="W4" s="114"/>
    </row>
    <row r="5" spans="1:26" x14ac:dyDescent="0.35">
      <c r="D5" s="287">
        <f>+D4+D3</f>
        <v>2184</v>
      </c>
      <c r="E5" s="287">
        <f t="shared" ref="E5:V5" si="15">+E4+E3</f>
        <v>2</v>
      </c>
      <c r="F5" s="287">
        <f t="shared" si="15"/>
        <v>2184</v>
      </c>
      <c r="G5" s="287">
        <f t="shared" si="15"/>
        <v>80</v>
      </c>
      <c r="H5" s="287">
        <f t="shared" si="15"/>
        <v>87360</v>
      </c>
      <c r="I5" s="287">
        <f t="shared" si="15"/>
        <v>17472</v>
      </c>
      <c r="J5" s="287">
        <f t="shared" si="15"/>
        <v>14323.763999999999</v>
      </c>
      <c r="K5" s="287">
        <f t="shared" si="15"/>
        <v>101683.764</v>
      </c>
      <c r="L5" s="287">
        <f t="shared" si="15"/>
        <v>2184</v>
      </c>
      <c r="M5" s="287">
        <f t="shared" si="15"/>
        <v>8736</v>
      </c>
      <c r="N5" s="287">
        <f t="shared" si="15"/>
        <v>30576</v>
      </c>
      <c r="O5" s="287">
        <f t="shared" si="15"/>
        <v>10920</v>
      </c>
      <c r="P5" s="287">
        <f t="shared" si="15"/>
        <v>30576</v>
      </c>
      <c r="Q5" s="287">
        <f t="shared" si="15"/>
        <v>61152</v>
      </c>
      <c r="R5" s="287">
        <f t="shared" si="15"/>
        <v>19656</v>
      </c>
      <c r="S5" s="287">
        <f t="shared" si="15"/>
        <v>491.40000000000003</v>
      </c>
      <c r="T5" s="287">
        <f t="shared" si="15"/>
        <v>162835.764</v>
      </c>
      <c r="U5" s="287">
        <f t="shared" si="15"/>
        <v>58968</v>
      </c>
      <c r="V5" s="287">
        <f t="shared" si="15"/>
        <v>163327.16399999999</v>
      </c>
    </row>
    <row r="6" spans="1:26" x14ac:dyDescent="0.35">
      <c r="J6" s="560" t="s">
        <v>197</v>
      </c>
      <c r="K6" s="560"/>
    </row>
    <row r="7" spans="1:26" ht="15" x14ac:dyDescent="0.35">
      <c r="A7" s="289" t="s">
        <v>198</v>
      </c>
      <c r="G7" s="289" t="s">
        <v>199</v>
      </c>
    </row>
    <row r="8" spans="1:26" ht="15" x14ac:dyDescent="0.35">
      <c r="A8" s="290" t="s">
        <v>200</v>
      </c>
      <c r="G8" s="290" t="s">
        <v>201</v>
      </c>
    </row>
    <row r="9" spans="1:26" ht="15" x14ac:dyDescent="0.35">
      <c r="A9" s="291" t="s">
        <v>202</v>
      </c>
      <c r="E9">
        <v>1092</v>
      </c>
      <c r="G9" s="291" t="s">
        <v>203</v>
      </c>
      <c r="M9">
        <v>1092</v>
      </c>
    </row>
    <row r="10" spans="1:26" ht="15" x14ac:dyDescent="0.35">
      <c r="A10" s="291" t="s">
        <v>204</v>
      </c>
      <c r="E10">
        <v>8</v>
      </c>
      <c r="G10" s="291" t="s">
        <v>205</v>
      </c>
      <c r="M10">
        <v>8</v>
      </c>
    </row>
    <row r="11" spans="1:26" ht="15" x14ac:dyDescent="0.35">
      <c r="A11" s="291" t="s">
        <v>206</v>
      </c>
      <c r="E11">
        <f>+E9*E10</f>
        <v>8736</v>
      </c>
      <c r="G11" s="291" t="s">
        <v>207</v>
      </c>
      <c r="M11">
        <f>+M10*M9</f>
        <v>8736</v>
      </c>
    </row>
    <row r="12" spans="1:26" ht="15" x14ac:dyDescent="0.35">
      <c r="A12" s="291" t="s">
        <v>208</v>
      </c>
      <c r="E12">
        <v>5.8</v>
      </c>
      <c r="G12" s="291" t="s">
        <v>209</v>
      </c>
      <c r="M12">
        <f>+M13/M11</f>
        <v>5.8375000000000004</v>
      </c>
    </row>
    <row r="13" spans="1:26" ht="15" x14ac:dyDescent="0.35">
      <c r="A13" s="291" t="s">
        <v>210</v>
      </c>
      <c r="E13" s="293">
        <v>50687</v>
      </c>
      <c r="G13" s="291" t="s">
        <v>211</v>
      </c>
      <c r="M13" s="287">
        <f>+K4</f>
        <v>50996.4</v>
      </c>
    </row>
    <row r="14" spans="1:26" ht="15" x14ac:dyDescent="0.35">
      <c r="A14" s="289" t="s">
        <v>212</v>
      </c>
      <c r="G14" s="291"/>
    </row>
    <row r="15" spans="1:26" ht="15" x14ac:dyDescent="0.35">
      <c r="A15" s="290" t="s">
        <v>200</v>
      </c>
      <c r="G15" s="289" t="s">
        <v>213</v>
      </c>
    </row>
    <row r="16" spans="1:26" ht="15" x14ac:dyDescent="0.35">
      <c r="A16" s="291" t="s">
        <v>202</v>
      </c>
      <c r="E16">
        <v>1092</v>
      </c>
      <c r="G16" s="290" t="s">
        <v>201</v>
      </c>
    </row>
    <row r="17" spans="1:13" ht="15" x14ac:dyDescent="0.35">
      <c r="A17" s="291" t="s">
        <v>214</v>
      </c>
      <c r="E17">
        <v>9</v>
      </c>
      <c r="G17" s="291" t="s">
        <v>203</v>
      </c>
      <c r="M17">
        <v>1092</v>
      </c>
    </row>
    <row r="18" spans="1:13" ht="15" x14ac:dyDescent="0.35">
      <c r="A18" s="291" t="s">
        <v>215</v>
      </c>
      <c r="E18">
        <f>+E17*E16</f>
        <v>9828</v>
      </c>
      <c r="G18" s="291" t="s">
        <v>205</v>
      </c>
      <c r="M18">
        <v>9</v>
      </c>
    </row>
    <row r="19" spans="1:13" ht="15" x14ac:dyDescent="0.35">
      <c r="A19" s="291" t="s">
        <v>216</v>
      </c>
      <c r="E19" s="292">
        <f>+E20/E18</f>
        <v>2.5030525030525032E-2</v>
      </c>
      <c r="G19" s="291" t="s">
        <v>207</v>
      </c>
      <c r="M19">
        <f>+M18*M17</f>
        <v>9828</v>
      </c>
    </row>
    <row r="20" spans="1:13" ht="15" x14ac:dyDescent="0.35">
      <c r="A20" s="291" t="s">
        <v>217</v>
      </c>
      <c r="E20">
        <v>246</v>
      </c>
      <c r="G20" s="291" t="s">
        <v>209</v>
      </c>
      <c r="M20" s="292">
        <v>2.0305299999999998E-2</v>
      </c>
    </row>
    <row r="21" spans="1:13" ht="15" x14ac:dyDescent="0.35">
      <c r="G21" s="291" t="s">
        <v>211</v>
      </c>
      <c r="M21">
        <v>246</v>
      </c>
    </row>
    <row r="22" spans="1:13" x14ac:dyDescent="0.35">
      <c r="A22" s="152"/>
      <c r="B22" s="152" t="s">
        <v>218</v>
      </c>
      <c r="C22" s="157" t="s">
        <v>219</v>
      </c>
      <c r="D22" s="288"/>
    </row>
    <row r="23" spans="1:13" ht="18" x14ac:dyDescent="0.4">
      <c r="A23" s="296" t="s">
        <v>220</v>
      </c>
      <c r="B23" s="297">
        <f>+B24+B25</f>
        <v>6030</v>
      </c>
      <c r="C23" s="297">
        <f>+'2022 Burden Table'!D73</f>
        <v>6967</v>
      </c>
    </row>
    <row r="24" spans="1:13" ht="18" x14ac:dyDescent="0.4">
      <c r="A24" s="296" t="s">
        <v>221</v>
      </c>
      <c r="B24" s="297">
        <v>5392</v>
      </c>
      <c r="C24" s="297">
        <f>+'2022 Burden Table'!D42+SLT_PreRespondents</f>
        <v>6426</v>
      </c>
    </row>
    <row r="25" spans="1:13" ht="18" x14ac:dyDescent="0.4">
      <c r="A25" s="296" t="s">
        <v>222</v>
      </c>
      <c r="B25" s="297">
        <v>638</v>
      </c>
      <c r="C25" s="297">
        <f>+Bus_PreRespondents+'2022 Burden Table'!D48</f>
        <v>541</v>
      </c>
    </row>
    <row r="26" spans="1:13" ht="18" x14ac:dyDescent="0.4">
      <c r="A26" s="296" t="s">
        <v>223</v>
      </c>
      <c r="B26" s="297">
        <v>419878</v>
      </c>
      <c r="C26" s="297">
        <f>+'2022 Burden Table'!V76</f>
        <v>463467.56599999999</v>
      </c>
    </row>
    <row r="27" spans="1:13" ht="18" x14ac:dyDescent="0.4">
      <c r="A27" s="296" t="s">
        <v>224</v>
      </c>
      <c r="B27" s="297">
        <v>135296</v>
      </c>
      <c r="C27" s="297">
        <f>+'2022 Burden Table'!U76</f>
        <v>157357</v>
      </c>
    </row>
    <row r="28" spans="1:13" ht="18.5" x14ac:dyDescent="0.45">
      <c r="A28" s="112" t="s">
        <v>225</v>
      </c>
      <c r="B28" s="297">
        <v>1500000</v>
      </c>
      <c r="C28" s="297">
        <v>1500000</v>
      </c>
    </row>
    <row r="29" spans="1:13" ht="18" x14ac:dyDescent="0.4">
      <c r="A29" s="296" t="s">
        <v>226</v>
      </c>
      <c r="B29" s="297">
        <v>405888</v>
      </c>
      <c r="C29" s="297">
        <f>+'2022 Burden Table'!U75</f>
        <v>472071</v>
      </c>
    </row>
    <row r="30" spans="1:13" ht="18.5" x14ac:dyDescent="0.45">
      <c r="A30" s="112" t="s">
        <v>227</v>
      </c>
      <c r="B30" s="297">
        <v>418874</v>
      </c>
      <c r="C30" s="297">
        <v>428954</v>
      </c>
    </row>
    <row r="31" spans="1:13" ht="18.5" x14ac:dyDescent="0.45">
      <c r="A31" s="112" t="s">
        <v>228</v>
      </c>
      <c r="B31" s="297">
        <v>40194</v>
      </c>
      <c r="C31" s="297">
        <v>41598</v>
      </c>
    </row>
    <row r="32" spans="1:13" ht="18.5" x14ac:dyDescent="0.45">
      <c r="A32" s="112"/>
      <c r="B32" s="112"/>
      <c r="C32" s="112"/>
    </row>
    <row r="33" spans="1:3" ht="18.5" x14ac:dyDescent="0.45">
      <c r="A33" s="112" t="s">
        <v>229</v>
      </c>
      <c r="B33" s="112"/>
      <c r="C33" s="112"/>
    </row>
    <row r="34" spans="1:3" ht="18.5" x14ac:dyDescent="0.45">
      <c r="A34" s="112" t="s">
        <v>230</v>
      </c>
      <c r="B34" s="112"/>
      <c r="C34" s="294">
        <f>+'2022 Burden Table'!F65</f>
        <v>3195</v>
      </c>
    </row>
    <row r="35" spans="1:3" ht="18.5" x14ac:dyDescent="0.45">
      <c r="A35" s="112" t="s">
        <v>231</v>
      </c>
      <c r="B35" s="112"/>
      <c r="C35" s="113">
        <f>+'2022 Burden Table'!O65/SLT_PostRespondents</f>
        <v>5</v>
      </c>
    </row>
    <row r="36" spans="1:3" ht="18.5" x14ac:dyDescent="0.45">
      <c r="A36" s="298" t="s">
        <v>232</v>
      </c>
      <c r="B36" s="112"/>
      <c r="C36" s="294">
        <f>+'2022 Burden Table'!O65</f>
        <v>12460</v>
      </c>
    </row>
    <row r="37" spans="1:3" ht="18.5" x14ac:dyDescent="0.45">
      <c r="A37" s="298" t="s">
        <v>233</v>
      </c>
      <c r="B37" s="112"/>
      <c r="C37" s="300">
        <f>+C38/C36</f>
        <v>5.6</v>
      </c>
    </row>
    <row r="38" spans="1:3" ht="18.5" x14ac:dyDescent="0.45">
      <c r="A38" s="298" t="s">
        <v>234</v>
      </c>
      <c r="B38" s="112"/>
      <c r="C38" s="294">
        <f>+'2022 Burden Table'!Q65</f>
        <v>69776</v>
      </c>
    </row>
    <row r="39" spans="1:3" ht="18.5" x14ac:dyDescent="0.45">
      <c r="A39" s="112"/>
      <c r="B39" s="112"/>
      <c r="C39" s="112"/>
    </row>
    <row r="40" spans="1:3" ht="18.5" x14ac:dyDescent="0.45">
      <c r="A40" s="112" t="s">
        <v>235</v>
      </c>
      <c r="B40" s="112"/>
      <c r="C40" s="112"/>
    </row>
    <row r="41" spans="1:3" ht="18.5" x14ac:dyDescent="0.45">
      <c r="A41" s="112" t="s">
        <v>230</v>
      </c>
      <c r="B41" s="112"/>
      <c r="C41" s="112">
        <f>+SLT_PostRespondents</f>
        <v>2492</v>
      </c>
    </row>
    <row r="42" spans="1:3" ht="18.5" x14ac:dyDescent="0.45">
      <c r="A42" s="112" t="s">
        <v>231</v>
      </c>
      <c r="B42" s="112"/>
      <c r="C42" s="113">
        <f>+'2022 Burden Table'!O65/SLT_PostRespondents</f>
        <v>5</v>
      </c>
    </row>
    <row r="43" spans="1:3" ht="18.5" x14ac:dyDescent="0.45">
      <c r="A43" s="298" t="s">
        <v>232</v>
      </c>
      <c r="B43" s="112"/>
      <c r="C43" s="294">
        <f>+'2022 Burden Table'!R65</f>
        <v>22428</v>
      </c>
    </row>
    <row r="44" spans="1:3" ht="18.5" x14ac:dyDescent="0.45">
      <c r="A44" s="298" t="s">
        <v>233</v>
      </c>
      <c r="B44" s="112"/>
      <c r="C44" s="299">
        <f>+C45/C43</f>
        <v>2.5000000000000001E-2</v>
      </c>
    </row>
    <row r="45" spans="1:3" ht="18.5" x14ac:dyDescent="0.45">
      <c r="A45" s="298" t="s">
        <v>234</v>
      </c>
      <c r="B45" s="112"/>
      <c r="C45" s="294">
        <f>+'2022 Burden Table'!S65</f>
        <v>560.70000000000005</v>
      </c>
    </row>
  </sheetData>
  <mergeCells count="6">
    <mergeCell ref="T1:V1"/>
    <mergeCell ref="J6:K6"/>
    <mergeCell ref="D1:H1"/>
    <mergeCell ref="L1:N1"/>
    <mergeCell ref="O1:P1"/>
    <mergeCell ref="R1:S1"/>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2559-EBDF-42EB-9BDF-5E82733385E4}">
  <dimension ref="A1:CD85"/>
  <sheetViews>
    <sheetView topLeftCell="B74" workbookViewId="0">
      <selection activeCell="B80" sqref="B80:C80"/>
    </sheetView>
  </sheetViews>
  <sheetFormatPr defaultColWidth="33.7265625" defaultRowHeight="18.5" x14ac:dyDescent="0.45"/>
  <cols>
    <col min="1" max="1" width="8.6328125" style="112" hidden="1" customWidth="1"/>
    <col min="2" max="2" width="28.7265625" style="112" customWidth="1"/>
    <col min="3" max="3" width="18.26953125" style="112" hidden="1" customWidth="1"/>
    <col min="4" max="4" width="15.08984375" style="420" customWidth="1"/>
    <col min="5" max="5" width="10.90625" style="420" customWidth="1"/>
    <col min="6" max="6" width="9.6328125" style="420" customWidth="1"/>
    <col min="7" max="7" width="14.6328125" style="112" customWidth="1"/>
    <col min="8" max="8" width="12.81640625" style="112" customWidth="1"/>
    <col min="9" max="10" width="0" style="112" hidden="1" customWidth="1"/>
    <col min="11" max="11" width="10" style="191" customWidth="1"/>
    <col min="12" max="16" width="0" style="114" hidden="1" customWidth="1"/>
    <col min="17" max="17" width="8.7265625" style="114" customWidth="1"/>
    <col min="18" max="18" width="0" style="112" hidden="1" customWidth="1"/>
    <col min="19" max="20" width="0" style="114" hidden="1" customWidth="1"/>
    <col min="21" max="21" width="9.6328125" style="114" customWidth="1"/>
    <col min="22" max="22" width="11.54296875" style="112" customWidth="1"/>
    <col min="23" max="16384" width="33.7265625" style="112"/>
  </cols>
  <sheetData>
    <row r="1" spans="1:26" s="425" customFormat="1" ht="55.5" customHeight="1" thickBot="1" x14ac:dyDescent="0.5">
      <c r="A1" s="429"/>
      <c r="B1" s="426"/>
      <c r="C1" s="426"/>
      <c r="D1" s="576" t="s">
        <v>0</v>
      </c>
      <c r="E1" s="577"/>
      <c r="F1" s="577"/>
      <c r="G1" s="577"/>
      <c r="H1" s="577"/>
      <c r="I1" s="427" t="s">
        <v>1</v>
      </c>
      <c r="J1" s="427"/>
      <c r="K1" s="428" t="s">
        <v>2</v>
      </c>
      <c r="L1" s="578" t="s">
        <v>3</v>
      </c>
      <c r="M1" s="579"/>
      <c r="N1" s="579"/>
      <c r="O1" s="579" t="s">
        <v>4</v>
      </c>
      <c r="P1" s="579"/>
      <c r="Q1" s="428" t="s">
        <v>5</v>
      </c>
      <c r="R1" s="580" t="s">
        <v>6</v>
      </c>
      <c r="S1" s="581"/>
      <c r="T1" s="577" t="s">
        <v>7</v>
      </c>
      <c r="U1" s="577"/>
      <c r="V1" s="582"/>
      <c r="W1" s="424"/>
      <c r="X1" s="424"/>
      <c r="Y1" s="424"/>
      <c r="Z1" s="424"/>
    </row>
    <row r="2" spans="1:26" ht="65" customHeight="1" x14ac:dyDescent="0.45">
      <c r="A2" s="432" t="s">
        <v>8</v>
      </c>
      <c r="B2" s="432" t="s">
        <v>365</v>
      </c>
      <c r="C2" s="433" t="s">
        <v>10</v>
      </c>
      <c r="D2" s="433" t="s">
        <v>11</v>
      </c>
      <c r="E2" s="433" t="s">
        <v>12</v>
      </c>
      <c r="F2" s="434" t="s">
        <v>180</v>
      </c>
      <c r="G2" s="433" t="s">
        <v>14</v>
      </c>
      <c r="H2" s="433" t="s">
        <v>15</v>
      </c>
      <c r="I2" s="435" t="s">
        <v>16</v>
      </c>
      <c r="J2" s="433" t="s">
        <v>17</v>
      </c>
      <c r="K2" s="436" t="s">
        <v>18</v>
      </c>
      <c r="L2" s="437" t="s">
        <v>19</v>
      </c>
      <c r="M2" s="437" t="s">
        <v>20</v>
      </c>
      <c r="N2" s="437" t="s">
        <v>21</v>
      </c>
      <c r="O2" s="437" t="s">
        <v>22</v>
      </c>
      <c r="P2" s="437" t="s">
        <v>23</v>
      </c>
      <c r="Q2" s="438" t="s">
        <v>24</v>
      </c>
      <c r="R2" s="433" t="s">
        <v>25</v>
      </c>
      <c r="S2" s="439" t="s">
        <v>26</v>
      </c>
      <c r="T2" s="439" t="s">
        <v>27</v>
      </c>
      <c r="U2" s="440" t="s">
        <v>335</v>
      </c>
      <c r="V2" s="441" t="s">
        <v>29</v>
      </c>
      <c r="W2" s="155"/>
      <c r="X2" s="153" t="s">
        <v>30</v>
      </c>
      <c r="Y2" s="154" t="s">
        <v>31</v>
      </c>
      <c r="Z2" s="153" t="s">
        <v>32</v>
      </c>
    </row>
    <row r="3" spans="1:26" ht="23.5" x14ac:dyDescent="0.55000000000000004">
      <c r="A3" s="572" t="s">
        <v>33</v>
      </c>
      <c r="B3" s="572"/>
      <c r="C3" s="572"/>
      <c r="D3" s="572"/>
      <c r="E3" s="572"/>
      <c r="F3" s="572"/>
      <c r="G3" s="572"/>
      <c r="H3" s="572"/>
      <c r="I3" s="572"/>
      <c r="J3" s="572"/>
      <c r="K3" s="572"/>
      <c r="L3" s="572"/>
      <c r="M3" s="572"/>
      <c r="N3" s="572"/>
      <c r="O3" s="572"/>
      <c r="P3" s="572"/>
      <c r="Q3" s="572"/>
      <c r="R3" s="572"/>
      <c r="S3" s="572"/>
      <c r="T3" s="572"/>
      <c r="U3" s="572"/>
      <c r="V3" s="573"/>
      <c r="W3" s="155"/>
      <c r="X3" s="153"/>
      <c r="Y3" s="154"/>
      <c r="Z3" s="153"/>
    </row>
    <row r="4" spans="1:26" s="114" customFormat="1" ht="27.5" hidden="1" x14ac:dyDescent="0.45">
      <c r="A4" s="442" t="s">
        <v>34</v>
      </c>
      <c r="B4" s="442" t="s">
        <v>35</v>
      </c>
      <c r="C4" s="442" t="s">
        <v>36</v>
      </c>
      <c r="D4" s="443">
        <v>30</v>
      </c>
      <c r="E4" s="443">
        <v>1</v>
      </c>
      <c r="F4" s="443">
        <f t="shared" ref="F4:F41" si="0">D4*E4</f>
        <v>30</v>
      </c>
      <c r="G4" s="443">
        <v>53.582999999999998</v>
      </c>
      <c r="H4" s="443">
        <f>F4*G4</f>
        <v>1607.49</v>
      </c>
      <c r="I4" s="443">
        <f t="shared" ref="I4:I41" si="1">D4*8</f>
        <v>240</v>
      </c>
      <c r="J4" s="443">
        <f t="shared" ref="J4:J40" si="2">F4*6.417</f>
        <v>192.51</v>
      </c>
      <c r="K4" s="444">
        <f>J4+H4</f>
        <v>1800</v>
      </c>
      <c r="L4" s="443">
        <v>20</v>
      </c>
      <c r="M4" s="445">
        <f t="shared" ref="M4:M41" si="3">L4*4</f>
        <v>80</v>
      </c>
      <c r="N4" s="445">
        <f t="shared" ref="N4:N40" si="4">L4*14</f>
        <v>280</v>
      </c>
      <c r="O4" s="445">
        <f t="shared" ref="O4:O41" si="5">L4*5</f>
        <v>100</v>
      </c>
      <c r="P4" s="445">
        <f t="shared" ref="P4:P41" si="6">L4*14</f>
        <v>280</v>
      </c>
      <c r="Q4" s="445">
        <f t="shared" ref="Q4:Q41" si="7">N4+P4</f>
        <v>560</v>
      </c>
      <c r="R4" s="445">
        <f t="shared" ref="R4:R41" si="8">L4*RecordResponse</f>
        <v>180</v>
      </c>
      <c r="S4" s="445">
        <f>L4*RecordHours</f>
        <v>4.5</v>
      </c>
      <c r="T4" s="445">
        <f>K4+Q4</f>
        <v>2360</v>
      </c>
      <c r="U4" s="445">
        <f>F4+M4+R4+I4+O4</f>
        <v>630</v>
      </c>
      <c r="V4" s="446">
        <f>S4+T4</f>
        <v>2364.5</v>
      </c>
      <c r="W4" s="155"/>
      <c r="X4" s="155">
        <v>1.1333333333333333</v>
      </c>
      <c r="Y4" s="156">
        <f>F4+M4</f>
        <v>110</v>
      </c>
      <c r="Z4" s="156">
        <f t="shared" ref="Z4:Z39" si="9">H4+N4</f>
        <v>1887.49</v>
      </c>
    </row>
    <row r="5" spans="1:26" s="114" customFormat="1" ht="27.5" hidden="1" x14ac:dyDescent="0.45">
      <c r="A5" s="442" t="s">
        <v>37</v>
      </c>
      <c r="B5" s="442" t="s">
        <v>38</v>
      </c>
      <c r="C5" s="442" t="s">
        <v>39</v>
      </c>
      <c r="D5" s="443">
        <f>12*4</f>
        <v>48</v>
      </c>
      <c r="E5" s="443">
        <v>1</v>
      </c>
      <c r="F5" s="443">
        <f t="shared" si="0"/>
        <v>48</v>
      </c>
      <c r="G5" s="443">
        <v>33.582999999999998</v>
      </c>
      <c r="H5" s="443">
        <f t="shared" ref="H5:H41" si="10">F5*G5</f>
        <v>1611.9839999999999</v>
      </c>
      <c r="I5" s="443">
        <f t="shared" si="1"/>
        <v>384</v>
      </c>
      <c r="J5" s="443">
        <f t="shared" si="2"/>
        <v>308.01599999999996</v>
      </c>
      <c r="K5" s="444">
        <f t="shared" ref="K5:K71" si="11">J5+H5</f>
        <v>1920</v>
      </c>
      <c r="L5" s="445">
        <v>48</v>
      </c>
      <c r="M5" s="445">
        <f t="shared" si="3"/>
        <v>192</v>
      </c>
      <c r="N5" s="445">
        <f t="shared" si="4"/>
        <v>672</v>
      </c>
      <c r="O5" s="445">
        <f t="shared" si="5"/>
        <v>240</v>
      </c>
      <c r="P5" s="445">
        <f t="shared" si="6"/>
        <v>672</v>
      </c>
      <c r="Q5" s="445">
        <f t="shared" si="7"/>
        <v>1344</v>
      </c>
      <c r="R5" s="445">
        <f t="shared" si="8"/>
        <v>432</v>
      </c>
      <c r="S5" s="445">
        <f t="shared" ref="S5:S41" si="12">L5*RecordHours</f>
        <v>10.8</v>
      </c>
      <c r="T5" s="445">
        <f>K5+Q5</f>
        <v>3264</v>
      </c>
      <c r="U5" s="445">
        <f t="shared" ref="U5:U39" si="13">F5+M5+R5+I5+O5</f>
        <v>1296</v>
      </c>
      <c r="V5" s="446">
        <f t="shared" ref="V5:V41" si="14">S5+T5</f>
        <v>3274.8</v>
      </c>
      <c r="W5" s="155"/>
      <c r="X5" s="155">
        <v>5</v>
      </c>
      <c r="Y5" s="156">
        <f t="shared" ref="Y5:Y71" si="15">F5+M5</f>
        <v>240</v>
      </c>
      <c r="Z5" s="156">
        <f t="shared" si="9"/>
        <v>2283.9839999999999</v>
      </c>
    </row>
    <row r="6" spans="1:26" s="114" customFormat="1" ht="27.5" hidden="1" x14ac:dyDescent="0.45">
      <c r="A6" s="442" t="s">
        <v>40</v>
      </c>
      <c r="B6" s="442" t="s">
        <v>41</v>
      </c>
      <c r="C6" s="442" t="s">
        <v>42</v>
      </c>
      <c r="D6" s="443">
        <v>10</v>
      </c>
      <c r="E6" s="443">
        <v>1</v>
      </c>
      <c r="F6" s="443">
        <f t="shared" si="0"/>
        <v>10</v>
      </c>
      <c r="G6" s="443">
        <v>38.582999999999998</v>
      </c>
      <c r="H6" s="443">
        <f>F6*G6</f>
        <v>385.83</v>
      </c>
      <c r="I6" s="443">
        <f t="shared" si="1"/>
        <v>80</v>
      </c>
      <c r="J6" s="443">
        <f t="shared" si="2"/>
        <v>64.17</v>
      </c>
      <c r="K6" s="444">
        <f t="shared" si="11"/>
        <v>450</v>
      </c>
      <c r="L6" s="443">
        <v>3</v>
      </c>
      <c r="M6" s="445">
        <f t="shared" si="3"/>
        <v>12</v>
      </c>
      <c r="N6" s="445">
        <f t="shared" si="4"/>
        <v>42</v>
      </c>
      <c r="O6" s="445">
        <f t="shared" si="5"/>
        <v>15</v>
      </c>
      <c r="P6" s="445">
        <f t="shared" si="6"/>
        <v>42</v>
      </c>
      <c r="Q6" s="445">
        <f t="shared" si="7"/>
        <v>84</v>
      </c>
      <c r="R6" s="445">
        <f t="shared" si="8"/>
        <v>27</v>
      </c>
      <c r="S6" s="445">
        <f t="shared" si="12"/>
        <v>0.67500000000000004</v>
      </c>
      <c r="T6" s="445">
        <f t="shared" ref="T6:T41" si="16">K6+Q6</f>
        <v>534</v>
      </c>
      <c r="U6" s="445">
        <f t="shared" si="13"/>
        <v>144</v>
      </c>
      <c r="V6" s="446">
        <f t="shared" si="14"/>
        <v>534.67499999999995</v>
      </c>
      <c r="W6" s="155"/>
      <c r="X6" s="155">
        <v>2.2000000000000002</v>
      </c>
      <c r="Y6" s="156">
        <f t="shared" si="15"/>
        <v>22</v>
      </c>
      <c r="Z6" s="156">
        <f t="shared" si="9"/>
        <v>427.83</v>
      </c>
    </row>
    <row r="7" spans="1:26" s="179" customFormat="1" ht="27.5" hidden="1" x14ac:dyDescent="0.45">
      <c r="A7" s="447" t="s">
        <v>43</v>
      </c>
      <c r="B7" s="442" t="s">
        <v>44</v>
      </c>
      <c r="C7" s="447" t="s">
        <v>45</v>
      </c>
      <c r="D7" s="448">
        <v>195</v>
      </c>
      <c r="E7" s="448">
        <v>1</v>
      </c>
      <c r="F7" s="448">
        <f t="shared" si="0"/>
        <v>195</v>
      </c>
      <c r="G7" s="448">
        <v>53.582999999999998</v>
      </c>
      <c r="H7" s="448">
        <f t="shared" si="10"/>
        <v>10448.684999999999</v>
      </c>
      <c r="I7" s="448">
        <f t="shared" si="1"/>
        <v>1560</v>
      </c>
      <c r="J7" s="448">
        <f t="shared" si="2"/>
        <v>1251.3150000000001</v>
      </c>
      <c r="K7" s="444">
        <f t="shared" si="11"/>
        <v>11700</v>
      </c>
      <c r="L7" s="448">
        <v>150</v>
      </c>
      <c r="M7" s="449">
        <f t="shared" si="3"/>
        <v>600</v>
      </c>
      <c r="N7" s="449">
        <f t="shared" si="4"/>
        <v>2100</v>
      </c>
      <c r="O7" s="449">
        <f t="shared" si="5"/>
        <v>750</v>
      </c>
      <c r="P7" s="449">
        <f t="shared" si="6"/>
        <v>2100</v>
      </c>
      <c r="Q7" s="449">
        <f t="shared" si="7"/>
        <v>4200</v>
      </c>
      <c r="R7" s="449">
        <f t="shared" si="8"/>
        <v>1350</v>
      </c>
      <c r="S7" s="449">
        <f t="shared" si="12"/>
        <v>33.75</v>
      </c>
      <c r="T7" s="449">
        <f t="shared" si="16"/>
        <v>15900</v>
      </c>
      <c r="U7" s="449">
        <f t="shared" si="13"/>
        <v>4455</v>
      </c>
      <c r="V7" s="446">
        <f t="shared" si="14"/>
        <v>15933.75</v>
      </c>
      <c r="W7" s="188"/>
      <c r="X7" s="177">
        <f>Y7/D7</f>
        <v>4.0769230769230766</v>
      </c>
      <c r="Y7" s="178">
        <f t="shared" si="15"/>
        <v>795</v>
      </c>
      <c r="Z7" s="178">
        <f t="shared" si="9"/>
        <v>12548.684999999999</v>
      </c>
    </row>
    <row r="8" spans="1:26" s="417" customFormat="1" ht="53.5" hidden="1" x14ac:dyDescent="0.45">
      <c r="A8" s="447" t="s">
        <v>46</v>
      </c>
      <c r="B8" s="442" t="s">
        <v>47</v>
      </c>
      <c r="C8" s="447" t="s">
        <v>48</v>
      </c>
      <c r="D8" s="448">
        <v>110</v>
      </c>
      <c r="E8" s="448">
        <v>1</v>
      </c>
      <c r="F8" s="448">
        <f t="shared" si="0"/>
        <v>110</v>
      </c>
      <c r="G8" s="448">
        <v>53.582999999999998</v>
      </c>
      <c r="H8" s="448">
        <f t="shared" si="10"/>
        <v>5894.13</v>
      </c>
      <c r="I8" s="448">
        <f t="shared" si="1"/>
        <v>880</v>
      </c>
      <c r="J8" s="448">
        <f t="shared" si="2"/>
        <v>705.87</v>
      </c>
      <c r="K8" s="444">
        <f t="shared" si="11"/>
        <v>6600</v>
      </c>
      <c r="L8" s="448">
        <v>103</v>
      </c>
      <c r="M8" s="449">
        <f t="shared" si="3"/>
        <v>412</v>
      </c>
      <c r="N8" s="449">
        <f t="shared" si="4"/>
        <v>1442</v>
      </c>
      <c r="O8" s="449">
        <f t="shared" si="5"/>
        <v>515</v>
      </c>
      <c r="P8" s="449">
        <f>L8*14</f>
        <v>1442</v>
      </c>
      <c r="Q8" s="449">
        <f t="shared" si="7"/>
        <v>2884</v>
      </c>
      <c r="R8" s="449">
        <f t="shared" si="8"/>
        <v>927</v>
      </c>
      <c r="S8" s="449">
        <f t="shared" si="12"/>
        <v>23.175000000000001</v>
      </c>
      <c r="T8" s="449">
        <f t="shared" si="16"/>
        <v>9484</v>
      </c>
      <c r="U8" s="449">
        <f>F8+M8+R8+I8+O8</f>
        <v>2844</v>
      </c>
      <c r="V8" s="450">
        <f t="shared" si="14"/>
        <v>9507.1749999999993</v>
      </c>
      <c r="W8" s="414"/>
      <c r="X8" s="415">
        <v>3.6666666666666665</v>
      </c>
      <c r="Y8" s="416">
        <f t="shared" si="15"/>
        <v>522</v>
      </c>
      <c r="Z8" s="416">
        <f t="shared" si="9"/>
        <v>7336.13</v>
      </c>
    </row>
    <row r="9" spans="1:26" ht="27.5" hidden="1" x14ac:dyDescent="0.45">
      <c r="A9" s="442" t="s">
        <v>49</v>
      </c>
      <c r="B9" s="442" t="s">
        <v>50</v>
      </c>
      <c r="C9" s="451" t="s">
        <v>48</v>
      </c>
      <c r="D9" s="443">
        <v>30</v>
      </c>
      <c r="E9" s="443">
        <v>1</v>
      </c>
      <c r="F9" s="443">
        <f t="shared" si="0"/>
        <v>30</v>
      </c>
      <c r="G9" s="443">
        <v>53.582999999999998</v>
      </c>
      <c r="H9" s="443">
        <f t="shared" si="10"/>
        <v>1607.49</v>
      </c>
      <c r="I9" s="443">
        <f t="shared" si="1"/>
        <v>240</v>
      </c>
      <c r="J9" s="443">
        <f t="shared" si="2"/>
        <v>192.51</v>
      </c>
      <c r="K9" s="444">
        <f t="shared" si="11"/>
        <v>1800</v>
      </c>
      <c r="L9" s="443">
        <v>20</v>
      </c>
      <c r="M9" s="445">
        <f t="shared" si="3"/>
        <v>80</v>
      </c>
      <c r="N9" s="445">
        <f t="shared" si="4"/>
        <v>280</v>
      </c>
      <c r="O9" s="445">
        <f t="shared" si="5"/>
        <v>100</v>
      </c>
      <c r="P9" s="445">
        <f t="shared" si="6"/>
        <v>280</v>
      </c>
      <c r="Q9" s="445">
        <f t="shared" si="7"/>
        <v>560</v>
      </c>
      <c r="R9" s="445">
        <f t="shared" si="8"/>
        <v>180</v>
      </c>
      <c r="S9" s="445">
        <f t="shared" si="12"/>
        <v>4.5</v>
      </c>
      <c r="T9" s="445">
        <f t="shared" si="16"/>
        <v>2360</v>
      </c>
      <c r="U9" s="445">
        <f t="shared" si="13"/>
        <v>630</v>
      </c>
      <c r="V9" s="446">
        <f t="shared" si="14"/>
        <v>2364.5</v>
      </c>
      <c r="W9" s="155"/>
      <c r="X9" s="152">
        <v>3.6666666666666665</v>
      </c>
      <c r="Y9" s="157">
        <f t="shared" si="15"/>
        <v>110</v>
      </c>
      <c r="Z9" s="157">
        <f t="shared" si="9"/>
        <v>1887.49</v>
      </c>
    </row>
    <row r="10" spans="1:26" s="114" customFormat="1" hidden="1" x14ac:dyDescent="0.45">
      <c r="A10" s="442" t="s">
        <v>51</v>
      </c>
      <c r="B10" s="442" t="s">
        <v>52</v>
      </c>
      <c r="C10" s="442" t="s">
        <v>36</v>
      </c>
      <c r="D10" s="443">
        <v>60</v>
      </c>
      <c r="E10" s="443">
        <v>1</v>
      </c>
      <c r="F10" s="443">
        <f t="shared" si="0"/>
        <v>60</v>
      </c>
      <c r="G10" s="443">
        <v>67.16</v>
      </c>
      <c r="H10" s="443">
        <f t="shared" si="10"/>
        <v>4029.6</v>
      </c>
      <c r="I10" s="443">
        <f t="shared" si="1"/>
        <v>480</v>
      </c>
      <c r="J10" s="443">
        <f>+F10*6.417</f>
        <v>385.02</v>
      </c>
      <c r="K10" s="444">
        <f t="shared" si="11"/>
        <v>4414.62</v>
      </c>
      <c r="L10" s="445">
        <v>60</v>
      </c>
      <c r="M10" s="445">
        <f>+L10*4</f>
        <v>240</v>
      </c>
      <c r="N10" s="445">
        <f>+L10*14</f>
        <v>840</v>
      </c>
      <c r="O10" s="445">
        <f>+L10*5</f>
        <v>300</v>
      </c>
      <c r="P10" s="445">
        <f>+L10*14</f>
        <v>840</v>
      </c>
      <c r="Q10" s="445">
        <f t="shared" si="7"/>
        <v>1680</v>
      </c>
      <c r="R10" s="445">
        <f t="shared" si="8"/>
        <v>540</v>
      </c>
      <c r="S10" s="445">
        <f>+L10*RecordHours</f>
        <v>13.5</v>
      </c>
      <c r="T10" s="445">
        <f t="shared" si="16"/>
        <v>6094.62</v>
      </c>
      <c r="U10" s="445">
        <f t="shared" si="13"/>
        <v>1620</v>
      </c>
      <c r="V10" s="446">
        <f t="shared" si="14"/>
        <v>6108.12</v>
      </c>
      <c r="W10" s="155"/>
      <c r="X10" s="155">
        <v>1.1333333333333333</v>
      </c>
      <c r="Y10" s="157">
        <f t="shared" si="15"/>
        <v>300</v>
      </c>
      <c r="Z10" s="157">
        <f t="shared" si="9"/>
        <v>4869.6000000000004</v>
      </c>
    </row>
    <row r="11" spans="1:26" s="202" customFormat="1" ht="40.5" hidden="1" x14ac:dyDescent="0.45">
      <c r="A11" s="442" t="s">
        <v>53</v>
      </c>
      <c r="B11" s="442" t="s">
        <v>54</v>
      </c>
      <c r="C11" s="442" t="s">
        <v>36</v>
      </c>
      <c r="D11" s="443">
        <v>30</v>
      </c>
      <c r="E11" s="443">
        <v>1</v>
      </c>
      <c r="F11" s="443">
        <f t="shared" si="0"/>
        <v>30</v>
      </c>
      <c r="G11" s="443">
        <v>33.58</v>
      </c>
      <c r="H11" s="443">
        <f t="shared" si="10"/>
        <v>1007.4</v>
      </c>
      <c r="I11" s="448">
        <f t="shared" si="1"/>
        <v>240</v>
      </c>
      <c r="J11" s="443">
        <f>+F11*6.417</f>
        <v>192.51</v>
      </c>
      <c r="K11" s="444">
        <f>J11+H11</f>
        <v>1199.9099999999999</v>
      </c>
      <c r="L11" s="443">
        <v>1</v>
      </c>
      <c r="M11" s="445">
        <f>+L11*4</f>
        <v>4</v>
      </c>
      <c r="N11" s="445">
        <f>+L11*14</f>
        <v>14</v>
      </c>
      <c r="O11" s="445">
        <f>+L11*5</f>
        <v>5</v>
      </c>
      <c r="P11" s="445">
        <f>+L11*14</f>
        <v>14</v>
      </c>
      <c r="Q11" s="449">
        <f t="shared" si="7"/>
        <v>28</v>
      </c>
      <c r="R11" s="445">
        <f t="shared" si="8"/>
        <v>9</v>
      </c>
      <c r="S11" s="445">
        <f>+L11*RecordHours</f>
        <v>0.22500000000000001</v>
      </c>
      <c r="T11" s="445">
        <f t="shared" si="16"/>
        <v>1227.9099999999999</v>
      </c>
      <c r="U11" s="449">
        <f>F11+M11+R11+I11+O11</f>
        <v>288</v>
      </c>
      <c r="V11" s="446">
        <f t="shared" si="14"/>
        <v>1228.1349999999998</v>
      </c>
      <c r="W11" s="155"/>
      <c r="X11" s="200">
        <v>1.1333333333333333</v>
      </c>
      <c r="Y11" s="198">
        <f t="shared" si="15"/>
        <v>34</v>
      </c>
      <c r="Z11" s="201">
        <f t="shared" si="9"/>
        <v>1021.4</v>
      </c>
    </row>
    <row r="12" spans="1:26" s="151" customFormat="1" ht="40.5" hidden="1" x14ac:dyDescent="0.45">
      <c r="A12" s="442" t="s">
        <v>55</v>
      </c>
      <c r="B12" s="442" t="s">
        <v>56</v>
      </c>
      <c r="C12" s="451" t="s">
        <v>45</v>
      </c>
      <c r="D12" s="452">
        <v>20</v>
      </c>
      <c r="E12" s="452">
        <v>1</v>
      </c>
      <c r="F12" s="443">
        <f t="shared" si="0"/>
        <v>20</v>
      </c>
      <c r="G12" s="452">
        <v>23.582999999999998</v>
      </c>
      <c r="H12" s="443">
        <f t="shared" si="10"/>
        <v>471.65999999999997</v>
      </c>
      <c r="I12" s="443">
        <f t="shared" si="1"/>
        <v>160</v>
      </c>
      <c r="J12" s="443">
        <f t="shared" ref="J12:J35" si="17">+F12*6.417</f>
        <v>128.34</v>
      </c>
      <c r="K12" s="444">
        <f t="shared" si="11"/>
        <v>600</v>
      </c>
      <c r="L12" s="445">
        <v>10</v>
      </c>
      <c r="M12" s="445">
        <f t="shared" si="3"/>
        <v>40</v>
      </c>
      <c r="N12" s="445">
        <f t="shared" ref="N12:N20" si="18">+L12*14</f>
        <v>140</v>
      </c>
      <c r="O12" s="445">
        <f t="shared" si="5"/>
        <v>50</v>
      </c>
      <c r="P12" s="445">
        <f>+L12*14</f>
        <v>140</v>
      </c>
      <c r="Q12" s="445">
        <f t="shared" si="7"/>
        <v>280</v>
      </c>
      <c r="R12" s="445">
        <f t="shared" si="8"/>
        <v>90</v>
      </c>
      <c r="S12" s="445">
        <f t="shared" si="12"/>
        <v>2.25</v>
      </c>
      <c r="T12" s="445">
        <f t="shared" si="16"/>
        <v>880</v>
      </c>
      <c r="U12" s="445">
        <f t="shared" si="13"/>
        <v>360</v>
      </c>
      <c r="V12" s="446">
        <f t="shared" si="14"/>
        <v>882.25</v>
      </c>
      <c r="W12" s="158"/>
      <c r="X12" s="158">
        <v>3</v>
      </c>
      <c r="Y12" s="159">
        <f t="shared" si="15"/>
        <v>60</v>
      </c>
      <c r="Z12" s="159">
        <f t="shared" si="9"/>
        <v>611.66</v>
      </c>
    </row>
    <row r="13" spans="1:26" s="114" customFormat="1" ht="40.5" hidden="1" x14ac:dyDescent="0.45">
      <c r="A13" s="442" t="s">
        <v>57</v>
      </c>
      <c r="B13" s="442" t="s">
        <v>58</v>
      </c>
      <c r="C13" s="451" t="s">
        <v>361</v>
      </c>
      <c r="D13" s="443">
        <v>15</v>
      </c>
      <c r="E13" s="443">
        <v>1</v>
      </c>
      <c r="F13" s="443">
        <f t="shared" si="0"/>
        <v>15</v>
      </c>
      <c r="G13" s="443">
        <v>33.582999999999998</v>
      </c>
      <c r="H13" s="443">
        <f t="shared" si="10"/>
        <v>503.745</v>
      </c>
      <c r="I13" s="443">
        <f t="shared" si="1"/>
        <v>120</v>
      </c>
      <c r="J13" s="443">
        <f t="shared" si="17"/>
        <v>96.254999999999995</v>
      </c>
      <c r="K13" s="444">
        <f t="shared" si="11"/>
        <v>600</v>
      </c>
      <c r="L13" s="443">
        <v>7</v>
      </c>
      <c r="M13" s="445">
        <f t="shared" si="3"/>
        <v>28</v>
      </c>
      <c r="N13" s="445">
        <f t="shared" si="18"/>
        <v>98</v>
      </c>
      <c r="O13" s="445">
        <f t="shared" si="5"/>
        <v>35</v>
      </c>
      <c r="P13" s="445">
        <f t="shared" si="6"/>
        <v>98</v>
      </c>
      <c r="Q13" s="445">
        <f t="shared" si="7"/>
        <v>196</v>
      </c>
      <c r="R13" s="445">
        <f t="shared" si="8"/>
        <v>63</v>
      </c>
      <c r="S13" s="445">
        <f t="shared" si="12"/>
        <v>1.575</v>
      </c>
      <c r="T13" s="445">
        <f t="shared" si="16"/>
        <v>796</v>
      </c>
      <c r="U13" s="445">
        <f t="shared" si="13"/>
        <v>261</v>
      </c>
      <c r="V13" s="446">
        <f t="shared" si="14"/>
        <v>797.57500000000005</v>
      </c>
      <c r="W13" s="155"/>
      <c r="X13" s="155">
        <v>2.8666666666666667</v>
      </c>
      <c r="Y13" s="156">
        <f t="shared" si="15"/>
        <v>43</v>
      </c>
      <c r="Z13" s="156">
        <f t="shared" si="9"/>
        <v>601.745</v>
      </c>
    </row>
    <row r="14" spans="1:26" s="114" customFormat="1" ht="27.5" hidden="1" x14ac:dyDescent="0.45">
      <c r="A14" s="442" t="s">
        <v>59</v>
      </c>
      <c r="B14" s="442" t="s">
        <v>60</v>
      </c>
      <c r="C14" s="442" t="s">
        <v>42</v>
      </c>
      <c r="D14" s="443">
        <v>10</v>
      </c>
      <c r="E14" s="443">
        <v>1</v>
      </c>
      <c r="F14" s="443">
        <f t="shared" si="0"/>
        <v>10</v>
      </c>
      <c r="G14" s="443">
        <v>38.582999999999998</v>
      </c>
      <c r="H14" s="443">
        <f t="shared" si="10"/>
        <v>385.83</v>
      </c>
      <c r="I14" s="443">
        <f t="shared" si="1"/>
        <v>80</v>
      </c>
      <c r="J14" s="443">
        <f t="shared" si="17"/>
        <v>64.17</v>
      </c>
      <c r="K14" s="444">
        <f t="shared" si="11"/>
        <v>450</v>
      </c>
      <c r="L14" s="443">
        <v>3</v>
      </c>
      <c r="M14" s="445">
        <f t="shared" si="3"/>
        <v>12</v>
      </c>
      <c r="N14" s="445">
        <f t="shared" si="18"/>
        <v>42</v>
      </c>
      <c r="O14" s="445">
        <f t="shared" si="5"/>
        <v>15</v>
      </c>
      <c r="P14" s="445">
        <f t="shared" si="6"/>
        <v>42</v>
      </c>
      <c r="Q14" s="445">
        <f t="shared" si="7"/>
        <v>84</v>
      </c>
      <c r="R14" s="445">
        <f t="shared" si="8"/>
        <v>27</v>
      </c>
      <c r="S14" s="445">
        <f t="shared" si="12"/>
        <v>0.67500000000000004</v>
      </c>
      <c r="T14" s="445">
        <f t="shared" si="16"/>
        <v>534</v>
      </c>
      <c r="U14" s="445">
        <f t="shared" si="13"/>
        <v>144</v>
      </c>
      <c r="V14" s="446">
        <f t="shared" si="14"/>
        <v>534.67499999999995</v>
      </c>
      <c r="W14" s="155"/>
      <c r="X14" s="155">
        <v>2.2000000000000002</v>
      </c>
      <c r="Y14" s="156">
        <f t="shared" si="15"/>
        <v>22</v>
      </c>
      <c r="Z14" s="156">
        <f t="shared" si="9"/>
        <v>427.83</v>
      </c>
    </row>
    <row r="15" spans="1:26" s="114" customFormat="1" ht="27.5" hidden="1" x14ac:dyDescent="0.45">
      <c r="A15" s="442" t="s">
        <v>61</v>
      </c>
      <c r="B15" s="442" t="s">
        <v>62</v>
      </c>
      <c r="C15" s="442" t="s">
        <v>42</v>
      </c>
      <c r="D15" s="443">
        <v>10</v>
      </c>
      <c r="E15" s="443">
        <v>1</v>
      </c>
      <c r="F15" s="443">
        <f t="shared" si="0"/>
        <v>10</v>
      </c>
      <c r="G15" s="443">
        <v>38.582999999999998</v>
      </c>
      <c r="H15" s="443">
        <f t="shared" si="10"/>
        <v>385.83</v>
      </c>
      <c r="I15" s="443">
        <f t="shared" si="1"/>
        <v>80</v>
      </c>
      <c r="J15" s="443">
        <f t="shared" si="17"/>
        <v>64.17</v>
      </c>
      <c r="K15" s="444">
        <f t="shared" si="11"/>
        <v>450</v>
      </c>
      <c r="L15" s="443">
        <v>3</v>
      </c>
      <c r="M15" s="445">
        <f t="shared" si="3"/>
        <v>12</v>
      </c>
      <c r="N15" s="445">
        <f t="shared" si="18"/>
        <v>42</v>
      </c>
      <c r="O15" s="445">
        <f t="shared" si="5"/>
        <v>15</v>
      </c>
      <c r="P15" s="445">
        <f t="shared" si="6"/>
        <v>42</v>
      </c>
      <c r="Q15" s="445">
        <f t="shared" si="7"/>
        <v>84</v>
      </c>
      <c r="R15" s="445">
        <f t="shared" si="8"/>
        <v>27</v>
      </c>
      <c r="S15" s="445">
        <f t="shared" si="12"/>
        <v>0.67500000000000004</v>
      </c>
      <c r="T15" s="445">
        <f t="shared" si="16"/>
        <v>534</v>
      </c>
      <c r="U15" s="445">
        <f t="shared" si="13"/>
        <v>144</v>
      </c>
      <c r="V15" s="446">
        <f t="shared" si="14"/>
        <v>534.67499999999995</v>
      </c>
      <c r="W15" s="155"/>
      <c r="X15" s="155">
        <v>2.2000000000000002</v>
      </c>
      <c r="Y15" s="156">
        <f t="shared" si="15"/>
        <v>22</v>
      </c>
      <c r="Z15" s="156">
        <f t="shared" si="9"/>
        <v>427.83</v>
      </c>
    </row>
    <row r="16" spans="1:26" s="114" customFormat="1" ht="40.5" hidden="1" x14ac:dyDescent="0.45">
      <c r="A16" s="442" t="s">
        <v>63</v>
      </c>
      <c r="B16" s="442" t="s">
        <v>64</v>
      </c>
      <c r="C16" s="442" t="s">
        <v>39</v>
      </c>
      <c r="D16" s="443">
        <v>54</v>
      </c>
      <c r="E16" s="443">
        <v>1</v>
      </c>
      <c r="F16" s="443">
        <f t="shared" si="0"/>
        <v>54</v>
      </c>
      <c r="G16" s="443">
        <v>38.58</v>
      </c>
      <c r="H16" s="443">
        <f t="shared" si="10"/>
        <v>2083.3199999999997</v>
      </c>
      <c r="I16" s="443">
        <f t="shared" si="1"/>
        <v>432</v>
      </c>
      <c r="J16" s="443">
        <f t="shared" si="17"/>
        <v>346.51799999999997</v>
      </c>
      <c r="K16" s="444">
        <f t="shared" si="11"/>
        <v>2429.8379999999997</v>
      </c>
      <c r="L16" s="443">
        <v>10</v>
      </c>
      <c r="M16" s="445">
        <f t="shared" si="3"/>
        <v>40</v>
      </c>
      <c r="N16" s="445">
        <f t="shared" si="18"/>
        <v>140</v>
      </c>
      <c r="O16" s="445">
        <f t="shared" si="5"/>
        <v>50</v>
      </c>
      <c r="P16" s="445">
        <f t="shared" si="6"/>
        <v>140</v>
      </c>
      <c r="Q16" s="445">
        <f t="shared" si="7"/>
        <v>280</v>
      </c>
      <c r="R16" s="445">
        <f t="shared" si="8"/>
        <v>90</v>
      </c>
      <c r="S16" s="445">
        <f t="shared" si="12"/>
        <v>2.25</v>
      </c>
      <c r="T16" s="445">
        <f t="shared" si="16"/>
        <v>2709.8379999999997</v>
      </c>
      <c r="U16" s="445">
        <f t="shared" si="13"/>
        <v>666</v>
      </c>
      <c r="V16" s="446">
        <f t="shared" si="14"/>
        <v>2712.0879999999997</v>
      </c>
      <c r="W16" s="155"/>
      <c r="X16" s="155"/>
      <c r="Y16" s="156">
        <f t="shared" si="15"/>
        <v>94</v>
      </c>
      <c r="Z16" s="156">
        <f t="shared" si="9"/>
        <v>2223.3199999999997</v>
      </c>
    </row>
    <row r="17" spans="1:26" s="114" customFormat="1" ht="53.5" hidden="1" x14ac:dyDescent="0.45">
      <c r="A17" s="442" t="s">
        <v>65</v>
      </c>
      <c r="B17" s="442" t="s">
        <v>66</v>
      </c>
      <c r="C17" s="442" t="s">
        <v>36</v>
      </c>
      <c r="D17" s="443">
        <v>60</v>
      </c>
      <c r="E17" s="443">
        <v>1</v>
      </c>
      <c r="F17" s="443">
        <f t="shared" si="0"/>
        <v>60</v>
      </c>
      <c r="G17" s="443">
        <v>67.16</v>
      </c>
      <c r="H17" s="443">
        <f t="shared" si="10"/>
        <v>4029.6</v>
      </c>
      <c r="I17" s="443">
        <f t="shared" si="1"/>
        <v>480</v>
      </c>
      <c r="J17" s="443">
        <f t="shared" si="17"/>
        <v>385.02</v>
      </c>
      <c r="K17" s="444">
        <f>J17+H17</f>
        <v>4414.62</v>
      </c>
      <c r="L17" s="445">
        <v>60</v>
      </c>
      <c r="M17" s="445">
        <f>+L17*4</f>
        <v>240</v>
      </c>
      <c r="N17" s="445">
        <f t="shared" si="18"/>
        <v>840</v>
      </c>
      <c r="O17" s="445">
        <f t="shared" ref="O17:O32" si="19">+L17*5</f>
        <v>300</v>
      </c>
      <c r="P17" s="445">
        <f t="shared" si="6"/>
        <v>840</v>
      </c>
      <c r="Q17" s="445">
        <f t="shared" si="7"/>
        <v>1680</v>
      </c>
      <c r="R17" s="445">
        <f t="shared" si="8"/>
        <v>540</v>
      </c>
      <c r="S17" s="445">
        <f t="shared" si="12"/>
        <v>13.5</v>
      </c>
      <c r="T17" s="445">
        <f t="shared" si="16"/>
        <v>6094.62</v>
      </c>
      <c r="U17" s="445">
        <f t="shared" si="13"/>
        <v>1620</v>
      </c>
      <c r="V17" s="446">
        <f t="shared" si="14"/>
        <v>6108.12</v>
      </c>
      <c r="W17" s="155"/>
      <c r="X17" s="155">
        <v>1.1333333333333333</v>
      </c>
      <c r="Y17" s="159">
        <f t="shared" si="15"/>
        <v>300</v>
      </c>
      <c r="Z17" s="156">
        <f t="shared" si="9"/>
        <v>4869.6000000000004</v>
      </c>
    </row>
    <row r="18" spans="1:26" s="114" customFormat="1" ht="53.5" hidden="1" x14ac:dyDescent="0.45">
      <c r="A18" s="442" t="s">
        <v>67</v>
      </c>
      <c r="B18" s="442" t="s">
        <v>68</v>
      </c>
      <c r="C18" s="442" t="s">
        <v>36</v>
      </c>
      <c r="D18" s="443">
        <v>30</v>
      </c>
      <c r="E18" s="443">
        <v>1</v>
      </c>
      <c r="F18" s="443">
        <f t="shared" si="0"/>
        <v>30</v>
      </c>
      <c r="G18" s="443">
        <v>33.58</v>
      </c>
      <c r="H18" s="443">
        <f t="shared" si="10"/>
        <v>1007.4</v>
      </c>
      <c r="I18" s="443">
        <f t="shared" si="1"/>
        <v>240</v>
      </c>
      <c r="J18" s="443">
        <f t="shared" si="17"/>
        <v>192.51</v>
      </c>
      <c r="K18" s="444">
        <f t="shared" ref="K18:K41" si="20">J18+H18</f>
        <v>1199.9099999999999</v>
      </c>
      <c r="L18" s="443">
        <v>1</v>
      </c>
      <c r="M18" s="445">
        <f>+L18*4</f>
        <v>4</v>
      </c>
      <c r="N18" s="445">
        <f t="shared" si="18"/>
        <v>14</v>
      </c>
      <c r="O18" s="445">
        <f t="shared" si="19"/>
        <v>5</v>
      </c>
      <c r="P18" s="445">
        <f t="shared" si="6"/>
        <v>14</v>
      </c>
      <c r="Q18" s="445">
        <f t="shared" si="7"/>
        <v>28</v>
      </c>
      <c r="R18" s="445">
        <f t="shared" si="8"/>
        <v>9</v>
      </c>
      <c r="S18" s="445">
        <f t="shared" si="12"/>
        <v>0.22500000000000001</v>
      </c>
      <c r="T18" s="445">
        <f t="shared" si="16"/>
        <v>1227.9099999999999</v>
      </c>
      <c r="U18" s="445">
        <f t="shared" si="13"/>
        <v>288</v>
      </c>
      <c r="V18" s="446">
        <f t="shared" si="14"/>
        <v>1228.1349999999998</v>
      </c>
      <c r="W18" s="155"/>
      <c r="X18" s="155">
        <v>1.1333333333333333</v>
      </c>
      <c r="Y18" s="159">
        <f t="shared" si="15"/>
        <v>34</v>
      </c>
      <c r="Z18" s="156">
        <f t="shared" si="9"/>
        <v>1021.4</v>
      </c>
    </row>
    <row r="19" spans="1:26" s="189" customFormat="1" ht="66.5" hidden="1" x14ac:dyDescent="0.45">
      <c r="A19" s="447" t="s">
        <v>69</v>
      </c>
      <c r="B19" s="442" t="s">
        <v>70</v>
      </c>
      <c r="C19" s="447" t="s">
        <v>36</v>
      </c>
      <c r="D19" s="448">
        <v>60</v>
      </c>
      <c r="E19" s="448">
        <v>1</v>
      </c>
      <c r="F19" s="443">
        <f t="shared" si="0"/>
        <v>60</v>
      </c>
      <c r="G19" s="448">
        <v>67.16</v>
      </c>
      <c r="H19" s="443">
        <f t="shared" si="10"/>
        <v>4029.6</v>
      </c>
      <c r="I19" s="443">
        <f t="shared" si="1"/>
        <v>480</v>
      </c>
      <c r="J19" s="443">
        <f t="shared" si="17"/>
        <v>385.02</v>
      </c>
      <c r="K19" s="444">
        <f t="shared" si="20"/>
        <v>4414.62</v>
      </c>
      <c r="L19" s="449">
        <v>60</v>
      </c>
      <c r="M19" s="449">
        <f>+L19*4</f>
        <v>240</v>
      </c>
      <c r="N19" s="445">
        <f t="shared" si="18"/>
        <v>840</v>
      </c>
      <c r="O19" s="449">
        <f t="shared" si="19"/>
        <v>300</v>
      </c>
      <c r="P19" s="445">
        <f t="shared" si="6"/>
        <v>840</v>
      </c>
      <c r="Q19" s="445">
        <f t="shared" si="7"/>
        <v>1680</v>
      </c>
      <c r="R19" s="445">
        <f t="shared" si="8"/>
        <v>540</v>
      </c>
      <c r="S19" s="445">
        <f t="shared" si="12"/>
        <v>13.5</v>
      </c>
      <c r="T19" s="445">
        <f t="shared" si="16"/>
        <v>6094.62</v>
      </c>
      <c r="U19" s="445">
        <f t="shared" si="13"/>
        <v>1620</v>
      </c>
      <c r="V19" s="446">
        <f t="shared" si="14"/>
        <v>6108.12</v>
      </c>
      <c r="W19" s="188"/>
      <c r="X19" s="188">
        <v>1.1333333333333333</v>
      </c>
      <c r="Y19" s="159">
        <f t="shared" si="15"/>
        <v>300</v>
      </c>
      <c r="Z19" s="156">
        <f t="shared" si="9"/>
        <v>4869.6000000000004</v>
      </c>
    </row>
    <row r="20" spans="1:26" s="114" customFormat="1" ht="66.5" hidden="1" x14ac:dyDescent="0.45">
      <c r="A20" s="442" t="s">
        <v>71</v>
      </c>
      <c r="B20" s="442" t="s">
        <v>72</v>
      </c>
      <c r="C20" s="451" t="s">
        <v>45</v>
      </c>
      <c r="D20" s="452">
        <v>20</v>
      </c>
      <c r="E20" s="452">
        <v>1</v>
      </c>
      <c r="F20" s="443">
        <f t="shared" si="0"/>
        <v>20</v>
      </c>
      <c r="G20" s="452">
        <v>23.582999999999998</v>
      </c>
      <c r="H20" s="443">
        <f t="shared" si="10"/>
        <v>471.65999999999997</v>
      </c>
      <c r="I20" s="443">
        <f t="shared" si="1"/>
        <v>160</v>
      </c>
      <c r="J20" s="443">
        <f t="shared" si="17"/>
        <v>128.34</v>
      </c>
      <c r="K20" s="444">
        <f t="shared" si="20"/>
        <v>600</v>
      </c>
      <c r="L20" s="445">
        <v>10</v>
      </c>
      <c r="M20" s="449">
        <f>+L20*4</f>
        <v>40</v>
      </c>
      <c r="N20" s="445">
        <f t="shared" si="18"/>
        <v>140</v>
      </c>
      <c r="O20" s="449">
        <f t="shared" si="19"/>
        <v>50</v>
      </c>
      <c r="P20" s="445">
        <f t="shared" si="6"/>
        <v>140</v>
      </c>
      <c r="Q20" s="445">
        <f t="shared" si="7"/>
        <v>280</v>
      </c>
      <c r="R20" s="445">
        <f t="shared" si="8"/>
        <v>90</v>
      </c>
      <c r="S20" s="445">
        <f t="shared" si="12"/>
        <v>2.25</v>
      </c>
      <c r="T20" s="445">
        <f>K20+Q20</f>
        <v>880</v>
      </c>
      <c r="U20" s="445">
        <f t="shared" si="13"/>
        <v>360</v>
      </c>
      <c r="V20" s="446">
        <f t="shared" si="14"/>
        <v>882.25</v>
      </c>
      <c r="W20" s="155"/>
      <c r="X20" s="155">
        <v>3</v>
      </c>
      <c r="Y20" s="159">
        <f t="shared" si="15"/>
        <v>60</v>
      </c>
      <c r="Z20" s="156">
        <f t="shared" si="9"/>
        <v>611.66</v>
      </c>
    </row>
    <row r="21" spans="1:26" s="305" customFormat="1" ht="40.5" hidden="1" x14ac:dyDescent="0.45">
      <c r="A21" s="442" t="s">
        <v>308</v>
      </c>
      <c r="B21" s="442" t="s">
        <v>73</v>
      </c>
      <c r="C21" s="451" t="s">
        <v>74</v>
      </c>
      <c r="D21" s="452">
        <v>5</v>
      </c>
      <c r="E21" s="452">
        <v>1</v>
      </c>
      <c r="F21" s="443">
        <f t="shared" si="0"/>
        <v>5</v>
      </c>
      <c r="G21" s="452">
        <v>40</v>
      </c>
      <c r="H21" s="443">
        <f t="shared" si="10"/>
        <v>200</v>
      </c>
      <c r="I21" s="443">
        <f t="shared" si="1"/>
        <v>40</v>
      </c>
      <c r="J21" s="443">
        <f t="shared" si="17"/>
        <v>32.085000000000001</v>
      </c>
      <c r="K21" s="444">
        <f t="shared" si="20"/>
        <v>232.08500000000001</v>
      </c>
      <c r="L21" s="445">
        <v>1</v>
      </c>
      <c r="M21" s="445">
        <f t="shared" ref="M21:M35" si="21">+L21*4</f>
        <v>4</v>
      </c>
      <c r="N21" s="445">
        <f>+L21*14</f>
        <v>14</v>
      </c>
      <c r="O21" s="445">
        <f t="shared" si="19"/>
        <v>5</v>
      </c>
      <c r="P21" s="445">
        <f t="shared" si="6"/>
        <v>14</v>
      </c>
      <c r="Q21" s="445">
        <v>279</v>
      </c>
      <c r="R21" s="445">
        <f t="shared" si="8"/>
        <v>9</v>
      </c>
      <c r="S21" s="445">
        <f t="shared" si="12"/>
        <v>0.22500000000000001</v>
      </c>
      <c r="T21" s="445">
        <f>K21+Q21</f>
        <v>511.08500000000004</v>
      </c>
      <c r="U21" s="445">
        <f t="shared" si="13"/>
        <v>63</v>
      </c>
      <c r="V21" s="446">
        <f t="shared" si="14"/>
        <v>511.31000000000006</v>
      </c>
      <c r="W21" s="302"/>
      <c r="X21" s="302"/>
      <c r="Y21" s="303">
        <f t="shared" si="15"/>
        <v>9</v>
      </c>
      <c r="Z21" s="304"/>
    </row>
    <row r="22" spans="1:26" s="114" customFormat="1" ht="40.5" hidden="1" x14ac:dyDescent="0.45">
      <c r="A22" s="442" t="s">
        <v>75</v>
      </c>
      <c r="B22" s="442" t="s">
        <v>76</v>
      </c>
      <c r="C22" s="442" t="s">
        <v>36</v>
      </c>
      <c r="D22" s="443">
        <v>30</v>
      </c>
      <c r="E22" s="443">
        <v>1</v>
      </c>
      <c r="F22" s="443">
        <f t="shared" si="0"/>
        <v>30</v>
      </c>
      <c r="G22" s="443">
        <v>33.58</v>
      </c>
      <c r="H22" s="443">
        <f t="shared" si="10"/>
        <v>1007.4</v>
      </c>
      <c r="I22" s="443">
        <f t="shared" si="1"/>
        <v>240</v>
      </c>
      <c r="J22" s="443">
        <f t="shared" si="17"/>
        <v>192.51</v>
      </c>
      <c r="K22" s="444">
        <f t="shared" si="20"/>
        <v>1199.9099999999999</v>
      </c>
      <c r="L22" s="445">
        <v>10</v>
      </c>
      <c r="M22" s="445">
        <f t="shared" si="21"/>
        <v>40</v>
      </c>
      <c r="N22" s="445">
        <f>+L22*14</f>
        <v>140</v>
      </c>
      <c r="O22" s="445">
        <f t="shared" si="19"/>
        <v>50</v>
      </c>
      <c r="P22" s="445">
        <f t="shared" si="6"/>
        <v>140</v>
      </c>
      <c r="Q22" s="445">
        <v>280</v>
      </c>
      <c r="R22" s="445">
        <f t="shared" si="8"/>
        <v>90</v>
      </c>
      <c r="S22" s="445">
        <f t="shared" si="12"/>
        <v>2.25</v>
      </c>
      <c r="T22" s="445">
        <f>K22+Q22</f>
        <v>1479.9099999999999</v>
      </c>
      <c r="U22" s="445">
        <f t="shared" si="13"/>
        <v>450</v>
      </c>
      <c r="V22" s="446">
        <f t="shared" si="14"/>
        <v>1482.1599999999999</v>
      </c>
      <c r="W22" s="155"/>
      <c r="X22" s="155">
        <v>1.1333333333333333</v>
      </c>
      <c r="Y22" s="159">
        <f t="shared" si="15"/>
        <v>70</v>
      </c>
      <c r="Z22" s="156">
        <f t="shared" si="9"/>
        <v>1147.4000000000001</v>
      </c>
    </row>
    <row r="23" spans="1:26" s="202" customFormat="1" ht="40.5" hidden="1" x14ac:dyDescent="0.45">
      <c r="A23" s="442" t="s">
        <v>77</v>
      </c>
      <c r="B23" s="442" t="s">
        <v>78</v>
      </c>
      <c r="C23" s="442" t="s">
        <v>45</v>
      </c>
      <c r="D23" s="443">
        <v>125</v>
      </c>
      <c r="E23" s="443">
        <v>1</v>
      </c>
      <c r="F23" s="443">
        <f t="shared" si="0"/>
        <v>125</v>
      </c>
      <c r="G23" s="443">
        <v>38.58</v>
      </c>
      <c r="H23" s="443">
        <f t="shared" si="10"/>
        <v>4822.5</v>
      </c>
      <c r="I23" s="443">
        <f t="shared" si="1"/>
        <v>1000</v>
      </c>
      <c r="J23" s="443">
        <f t="shared" si="17"/>
        <v>802.125</v>
      </c>
      <c r="K23" s="444">
        <f t="shared" si="20"/>
        <v>5624.625</v>
      </c>
      <c r="L23" s="445">
        <v>55</v>
      </c>
      <c r="M23" s="445">
        <f t="shared" si="21"/>
        <v>220</v>
      </c>
      <c r="N23" s="449">
        <f t="shared" ref="N23:N36" si="22">L23*14</f>
        <v>770</v>
      </c>
      <c r="O23" s="445">
        <f t="shared" si="19"/>
        <v>275</v>
      </c>
      <c r="P23" s="445">
        <f>+L23*14</f>
        <v>770</v>
      </c>
      <c r="Q23" s="449">
        <f t="shared" si="7"/>
        <v>1540</v>
      </c>
      <c r="R23" s="445">
        <f t="shared" si="8"/>
        <v>495</v>
      </c>
      <c r="S23" s="445">
        <f t="shared" si="12"/>
        <v>12.375</v>
      </c>
      <c r="T23" s="445">
        <f t="shared" ref="T23:T36" si="23">K23+Q23</f>
        <v>7164.625</v>
      </c>
      <c r="U23" s="449">
        <f t="shared" si="13"/>
        <v>2115</v>
      </c>
      <c r="V23" s="446">
        <f t="shared" si="14"/>
        <v>7177</v>
      </c>
      <c r="W23" s="155"/>
      <c r="X23" s="200"/>
      <c r="Y23" s="201"/>
      <c r="Z23" s="201"/>
    </row>
    <row r="24" spans="1:26" s="202" customFormat="1" ht="27.5" hidden="1" x14ac:dyDescent="0.45">
      <c r="A24" s="442" t="s">
        <v>79</v>
      </c>
      <c r="B24" s="442" t="s">
        <v>80</v>
      </c>
      <c r="C24" s="442" t="s">
        <v>45</v>
      </c>
      <c r="D24" s="443">
        <v>125</v>
      </c>
      <c r="E24" s="443">
        <v>1</v>
      </c>
      <c r="F24" s="443">
        <f t="shared" si="0"/>
        <v>125</v>
      </c>
      <c r="G24" s="443">
        <v>38.58</v>
      </c>
      <c r="H24" s="443">
        <f t="shared" si="10"/>
        <v>4822.5</v>
      </c>
      <c r="I24" s="443">
        <f t="shared" si="1"/>
        <v>1000</v>
      </c>
      <c r="J24" s="443">
        <f t="shared" si="17"/>
        <v>802.125</v>
      </c>
      <c r="K24" s="444">
        <f t="shared" si="20"/>
        <v>5624.625</v>
      </c>
      <c r="L24" s="445">
        <v>55</v>
      </c>
      <c r="M24" s="445">
        <f t="shared" si="21"/>
        <v>220</v>
      </c>
      <c r="N24" s="449">
        <f t="shared" si="22"/>
        <v>770</v>
      </c>
      <c r="O24" s="445">
        <f t="shared" si="19"/>
        <v>275</v>
      </c>
      <c r="P24" s="445">
        <f t="shared" ref="P24:P35" si="24">+L24*14</f>
        <v>770</v>
      </c>
      <c r="Q24" s="449">
        <f t="shared" si="7"/>
        <v>1540</v>
      </c>
      <c r="R24" s="445">
        <f t="shared" si="8"/>
        <v>495</v>
      </c>
      <c r="S24" s="445">
        <f t="shared" si="12"/>
        <v>12.375</v>
      </c>
      <c r="T24" s="445">
        <f t="shared" si="23"/>
        <v>7164.625</v>
      </c>
      <c r="U24" s="449">
        <f t="shared" si="13"/>
        <v>2115</v>
      </c>
      <c r="V24" s="446">
        <f t="shared" si="14"/>
        <v>7177</v>
      </c>
      <c r="W24" s="155"/>
      <c r="X24" s="200"/>
      <c r="Y24" s="201"/>
      <c r="Z24" s="201"/>
    </row>
    <row r="25" spans="1:26" s="202" customFormat="1" ht="27.5" hidden="1" x14ac:dyDescent="0.45">
      <c r="A25" s="442" t="s">
        <v>81</v>
      </c>
      <c r="B25" s="442" t="s">
        <v>82</v>
      </c>
      <c r="C25" s="442" t="s">
        <v>45</v>
      </c>
      <c r="D25" s="443">
        <v>125</v>
      </c>
      <c r="E25" s="443">
        <v>1</v>
      </c>
      <c r="F25" s="443">
        <f t="shared" si="0"/>
        <v>125</v>
      </c>
      <c r="G25" s="443">
        <v>38.58</v>
      </c>
      <c r="H25" s="443">
        <f t="shared" si="10"/>
        <v>4822.5</v>
      </c>
      <c r="I25" s="443">
        <f t="shared" si="1"/>
        <v>1000</v>
      </c>
      <c r="J25" s="443">
        <f t="shared" si="17"/>
        <v>802.125</v>
      </c>
      <c r="K25" s="444">
        <f t="shared" si="20"/>
        <v>5624.625</v>
      </c>
      <c r="L25" s="445">
        <v>55</v>
      </c>
      <c r="M25" s="445">
        <f t="shared" si="21"/>
        <v>220</v>
      </c>
      <c r="N25" s="449">
        <f t="shared" si="22"/>
        <v>770</v>
      </c>
      <c r="O25" s="445">
        <f t="shared" si="19"/>
        <v>275</v>
      </c>
      <c r="P25" s="445">
        <f t="shared" si="24"/>
        <v>770</v>
      </c>
      <c r="Q25" s="449">
        <f t="shared" si="7"/>
        <v>1540</v>
      </c>
      <c r="R25" s="445">
        <f t="shared" si="8"/>
        <v>495</v>
      </c>
      <c r="S25" s="445">
        <f t="shared" si="12"/>
        <v>12.375</v>
      </c>
      <c r="T25" s="445">
        <f t="shared" si="23"/>
        <v>7164.625</v>
      </c>
      <c r="U25" s="449">
        <f t="shared" si="13"/>
        <v>2115</v>
      </c>
      <c r="V25" s="446">
        <f t="shared" si="14"/>
        <v>7177</v>
      </c>
      <c r="W25" s="155"/>
      <c r="X25" s="200"/>
      <c r="Y25" s="201"/>
      <c r="Z25" s="201"/>
    </row>
    <row r="26" spans="1:26" s="202" customFormat="1" ht="27.5" hidden="1" x14ac:dyDescent="0.45">
      <c r="A26" s="442" t="s">
        <v>83</v>
      </c>
      <c r="B26" s="442" t="s">
        <v>84</v>
      </c>
      <c r="C26" s="442" t="s">
        <v>45</v>
      </c>
      <c r="D26" s="443">
        <v>125</v>
      </c>
      <c r="E26" s="443">
        <v>1</v>
      </c>
      <c r="F26" s="443">
        <f t="shared" si="0"/>
        <v>125</v>
      </c>
      <c r="G26" s="443">
        <v>38.58</v>
      </c>
      <c r="H26" s="443">
        <f t="shared" si="10"/>
        <v>4822.5</v>
      </c>
      <c r="I26" s="443">
        <f t="shared" si="1"/>
        <v>1000</v>
      </c>
      <c r="J26" s="443">
        <f t="shared" si="17"/>
        <v>802.125</v>
      </c>
      <c r="K26" s="444">
        <f t="shared" si="20"/>
        <v>5624.625</v>
      </c>
      <c r="L26" s="445">
        <v>55</v>
      </c>
      <c r="M26" s="445">
        <f t="shared" si="21"/>
        <v>220</v>
      </c>
      <c r="N26" s="449">
        <f t="shared" si="22"/>
        <v>770</v>
      </c>
      <c r="O26" s="445">
        <f t="shared" si="19"/>
        <v>275</v>
      </c>
      <c r="P26" s="445">
        <f>+L26*14</f>
        <v>770</v>
      </c>
      <c r="Q26" s="449">
        <f t="shared" si="7"/>
        <v>1540</v>
      </c>
      <c r="R26" s="445">
        <f t="shared" si="8"/>
        <v>495</v>
      </c>
      <c r="S26" s="445">
        <f t="shared" si="12"/>
        <v>12.375</v>
      </c>
      <c r="T26" s="445">
        <f t="shared" si="23"/>
        <v>7164.625</v>
      </c>
      <c r="U26" s="449">
        <f t="shared" si="13"/>
        <v>2115</v>
      </c>
      <c r="V26" s="446">
        <f t="shared" si="14"/>
        <v>7177</v>
      </c>
      <c r="W26" s="155"/>
      <c r="X26" s="200"/>
      <c r="Y26" s="201"/>
      <c r="Z26" s="201"/>
    </row>
    <row r="27" spans="1:26" s="202" customFormat="1" ht="27.5" hidden="1" x14ac:dyDescent="0.45">
      <c r="A27" s="442" t="s">
        <v>85</v>
      </c>
      <c r="B27" s="442" t="s">
        <v>86</v>
      </c>
      <c r="C27" s="442" t="s">
        <v>45</v>
      </c>
      <c r="D27" s="443">
        <v>125</v>
      </c>
      <c r="E27" s="443">
        <v>1</v>
      </c>
      <c r="F27" s="443">
        <f t="shared" si="0"/>
        <v>125</v>
      </c>
      <c r="G27" s="443">
        <v>38.58</v>
      </c>
      <c r="H27" s="443">
        <f t="shared" si="10"/>
        <v>4822.5</v>
      </c>
      <c r="I27" s="443">
        <f t="shared" si="1"/>
        <v>1000</v>
      </c>
      <c r="J27" s="443">
        <f t="shared" si="17"/>
        <v>802.125</v>
      </c>
      <c r="K27" s="444">
        <f t="shared" si="20"/>
        <v>5624.625</v>
      </c>
      <c r="L27" s="445">
        <v>55</v>
      </c>
      <c r="M27" s="445">
        <f t="shared" si="21"/>
        <v>220</v>
      </c>
      <c r="N27" s="449">
        <f t="shared" si="22"/>
        <v>770</v>
      </c>
      <c r="O27" s="445">
        <f t="shared" si="19"/>
        <v>275</v>
      </c>
      <c r="P27" s="445">
        <f t="shared" si="24"/>
        <v>770</v>
      </c>
      <c r="Q27" s="449">
        <f t="shared" si="7"/>
        <v>1540</v>
      </c>
      <c r="R27" s="445">
        <f t="shared" si="8"/>
        <v>495</v>
      </c>
      <c r="S27" s="445">
        <f t="shared" si="12"/>
        <v>12.375</v>
      </c>
      <c r="T27" s="445">
        <f t="shared" si="23"/>
        <v>7164.625</v>
      </c>
      <c r="U27" s="449">
        <f t="shared" si="13"/>
        <v>2115</v>
      </c>
      <c r="V27" s="446">
        <f t="shared" si="14"/>
        <v>7177</v>
      </c>
      <c r="W27" s="155"/>
      <c r="X27" s="200"/>
      <c r="Y27" s="201"/>
      <c r="Z27" s="201"/>
    </row>
    <row r="28" spans="1:26" s="202" customFormat="1" ht="27.5" hidden="1" x14ac:dyDescent="0.45">
      <c r="A28" s="442" t="s">
        <v>87</v>
      </c>
      <c r="B28" s="442" t="s">
        <v>88</v>
      </c>
      <c r="C28" s="442" t="s">
        <v>45</v>
      </c>
      <c r="D28" s="443">
        <v>125</v>
      </c>
      <c r="E28" s="443">
        <v>1</v>
      </c>
      <c r="F28" s="443">
        <f t="shared" si="0"/>
        <v>125</v>
      </c>
      <c r="G28" s="443">
        <v>38.58</v>
      </c>
      <c r="H28" s="443">
        <f t="shared" si="10"/>
        <v>4822.5</v>
      </c>
      <c r="I28" s="443">
        <f t="shared" si="1"/>
        <v>1000</v>
      </c>
      <c r="J28" s="443">
        <f t="shared" si="17"/>
        <v>802.125</v>
      </c>
      <c r="K28" s="444">
        <f t="shared" si="20"/>
        <v>5624.625</v>
      </c>
      <c r="L28" s="445">
        <v>55</v>
      </c>
      <c r="M28" s="445">
        <f t="shared" si="21"/>
        <v>220</v>
      </c>
      <c r="N28" s="449">
        <f t="shared" si="22"/>
        <v>770</v>
      </c>
      <c r="O28" s="445">
        <f t="shared" si="19"/>
        <v>275</v>
      </c>
      <c r="P28" s="445">
        <f t="shared" si="24"/>
        <v>770</v>
      </c>
      <c r="Q28" s="449">
        <f t="shared" si="7"/>
        <v>1540</v>
      </c>
      <c r="R28" s="445">
        <f t="shared" si="8"/>
        <v>495</v>
      </c>
      <c r="S28" s="445">
        <f t="shared" si="12"/>
        <v>12.375</v>
      </c>
      <c r="T28" s="445">
        <f t="shared" si="23"/>
        <v>7164.625</v>
      </c>
      <c r="U28" s="449">
        <f t="shared" si="13"/>
        <v>2115</v>
      </c>
      <c r="V28" s="446">
        <f t="shared" si="14"/>
        <v>7177</v>
      </c>
      <c r="W28" s="155"/>
      <c r="X28" s="200"/>
      <c r="Y28" s="201"/>
      <c r="Z28" s="201"/>
    </row>
    <row r="29" spans="1:26" s="205" customFormat="1" ht="66.5" hidden="1" x14ac:dyDescent="0.45">
      <c r="A29" s="442" t="s">
        <v>89</v>
      </c>
      <c r="B29" s="442" t="s">
        <v>90</v>
      </c>
      <c r="C29" s="447" t="s">
        <v>45</v>
      </c>
      <c r="D29" s="448">
        <v>89</v>
      </c>
      <c r="E29" s="448">
        <v>1</v>
      </c>
      <c r="F29" s="443">
        <f t="shared" si="0"/>
        <v>89</v>
      </c>
      <c r="G29" s="448">
        <v>38.58</v>
      </c>
      <c r="H29" s="443">
        <f t="shared" si="10"/>
        <v>3433.62</v>
      </c>
      <c r="I29" s="443">
        <f t="shared" si="1"/>
        <v>712</v>
      </c>
      <c r="J29" s="443">
        <f t="shared" si="17"/>
        <v>571.11299999999994</v>
      </c>
      <c r="K29" s="444">
        <f t="shared" si="20"/>
        <v>4004.7329999999997</v>
      </c>
      <c r="L29" s="449">
        <v>55</v>
      </c>
      <c r="M29" s="449">
        <f t="shared" si="21"/>
        <v>220</v>
      </c>
      <c r="N29" s="449">
        <f t="shared" si="22"/>
        <v>770</v>
      </c>
      <c r="O29" s="445">
        <f t="shared" si="19"/>
        <v>275</v>
      </c>
      <c r="P29" s="445">
        <f>+L29*14</f>
        <v>770</v>
      </c>
      <c r="Q29" s="449">
        <f t="shared" si="7"/>
        <v>1540</v>
      </c>
      <c r="R29" s="445">
        <f t="shared" si="8"/>
        <v>495</v>
      </c>
      <c r="S29" s="445">
        <f t="shared" si="12"/>
        <v>12.375</v>
      </c>
      <c r="T29" s="445">
        <f t="shared" si="23"/>
        <v>5544.7330000000002</v>
      </c>
      <c r="U29" s="449">
        <f t="shared" si="13"/>
        <v>1791</v>
      </c>
      <c r="V29" s="446">
        <f t="shared" si="14"/>
        <v>5557.1080000000002</v>
      </c>
      <c r="W29" s="188"/>
      <c r="X29" s="203"/>
      <c r="Y29" s="204"/>
      <c r="Z29" s="204"/>
    </row>
    <row r="30" spans="1:26" s="205" customFormat="1" ht="53.5" hidden="1" x14ac:dyDescent="0.45">
      <c r="A30" s="442" t="s">
        <v>91</v>
      </c>
      <c r="B30" s="442" t="s">
        <v>92</v>
      </c>
      <c r="C30" s="447" t="s">
        <v>48</v>
      </c>
      <c r="D30" s="448">
        <v>89</v>
      </c>
      <c r="E30" s="448">
        <v>1</v>
      </c>
      <c r="F30" s="443">
        <f t="shared" si="0"/>
        <v>89</v>
      </c>
      <c r="G30" s="448">
        <v>38.58</v>
      </c>
      <c r="H30" s="443">
        <f t="shared" si="10"/>
        <v>3433.62</v>
      </c>
      <c r="I30" s="443">
        <f t="shared" si="1"/>
        <v>712</v>
      </c>
      <c r="J30" s="443">
        <f t="shared" si="17"/>
        <v>571.11299999999994</v>
      </c>
      <c r="K30" s="444">
        <f t="shared" si="20"/>
        <v>4004.7329999999997</v>
      </c>
      <c r="L30" s="449">
        <v>55</v>
      </c>
      <c r="M30" s="449">
        <f t="shared" si="21"/>
        <v>220</v>
      </c>
      <c r="N30" s="449">
        <f t="shared" si="22"/>
        <v>770</v>
      </c>
      <c r="O30" s="445">
        <f t="shared" si="19"/>
        <v>275</v>
      </c>
      <c r="P30" s="445">
        <f t="shared" si="24"/>
        <v>770</v>
      </c>
      <c r="Q30" s="449">
        <f t="shared" si="7"/>
        <v>1540</v>
      </c>
      <c r="R30" s="445">
        <f t="shared" si="8"/>
        <v>495</v>
      </c>
      <c r="S30" s="445">
        <f t="shared" si="12"/>
        <v>12.375</v>
      </c>
      <c r="T30" s="449">
        <f t="shared" si="23"/>
        <v>5544.7330000000002</v>
      </c>
      <c r="U30" s="449">
        <f t="shared" si="13"/>
        <v>1791</v>
      </c>
      <c r="V30" s="446">
        <f t="shared" si="14"/>
        <v>5557.1080000000002</v>
      </c>
      <c r="W30" s="188"/>
      <c r="X30" s="203"/>
      <c r="Y30" s="204"/>
      <c r="Z30" s="204"/>
    </row>
    <row r="31" spans="1:26" s="205" customFormat="1" ht="66.5" hidden="1" x14ac:dyDescent="0.45">
      <c r="A31" s="442" t="s">
        <v>93</v>
      </c>
      <c r="B31" s="442" t="s">
        <v>94</v>
      </c>
      <c r="C31" s="447" t="s">
        <v>48</v>
      </c>
      <c r="D31" s="448">
        <v>10</v>
      </c>
      <c r="E31" s="448">
        <v>1</v>
      </c>
      <c r="F31" s="443">
        <f t="shared" si="0"/>
        <v>10</v>
      </c>
      <c r="G31" s="448">
        <v>33.58</v>
      </c>
      <c r="H31" s="443">
        <f t="shared" si="10"/>
        <v>335.79999999999995</v>
      </c>
      <c r="I31" s="443">
        <f t="shared" si="1"/>
        <v>80</v>
      </c>
      <c r="J31" s="443">
        <f t="shared" si="17"/>
        <v>64.17</v>
      </c>
      <c r="K31" s="444">
        <f t="shared" si="20"/>
        <v>399.96999999999997</v>
      </c>
      <c r="L31" s="449">
        <v>10</v>
      </c>
      <c r="M31" s="449">
        <f t="shared" si="21"/>
        <v>40</v>
      </c>
      <c r="N31" s="449">
        <f t="shared" si="22"/>
        <v>140</v>
      </c>
      <c r="O31" s="445">
        <f t="shared" si="19"/>
        <v>50</v>
      </c>
      <c r="P31" s="445">
        <f>+L31*14</f>
        <v>140</v>
      </c>
      <c r="Q31" s="449">
        <f t="shared" si="7"/>
        <v>280</v>
      </c>
      <c r="R31" s="445">
        <f t="shared" si="8"/>
        <v>90</v>
      </c>
      <c r="S31" s="445">
        <f t="shared" si="12"/>
        <v>2.25</v>
      </c>
      <c r="T31" s="449">
        <f t="shared" si="23"/>
        <v>679.97</v>
      </c>
      <c r="U31" s="449">
        <f t="shared" si="13"/>
        <v>270</v>
      </c>
      <c r="V31" s="446">
        <f t="shared" si="14"/>
        <v>682.22</v>
      </c>
      <c r="W31" s="188"/>
      <c r="X31" s="203"/>
      <c r="Y31" s="204"/>
      <c r="Z31" s="204"/>
    </row>
    <row r="32" spans="1:26" s="199" customFormat="1" ht="27.5" hidden="1" x14ac:dyDescent="0.45">
      <c r="A32" s="442" t="s">
        <v>95</v>
      </c>
      <c r="B32" s="453" t="s">
        <v>96</v>
      </c>
      <c r="C32" s="447" t="s">
        <v>48</v>
      </c>
      <c r="D32" s="448">
        <v>30</v>
      </c>
      <c r="E32" s="448">
        <v>1</v>
      </c>
      <c r="F32" s="448">
        <f t="shared" si="0"/>
        <v>30</v>
      </c>
      <c r="G32" s="448">
        <v>33.58</v>
      </c>
      <c r="H32" s="448">
        <f t="shared" ref="H32:H38" si="25">G32*F32</f>
        <v>1007.4</v>
      </c>
      <c r="I32" s="443">
        <f t="shared" si="1"/>
        <v>240</v>
      </c>
      <c r="J32" s="443">
        <f t="shared" si="17"/>
        <v>192.51</v>
      </c>
      <c r="K32" s="444">
        <f t="shared" si="20"/>
        <v>1199.9099999999999</v>
      </c>
      <c r="L32" s="449">
        <v>15</v>
      </c>
      <c r="M32" s="449">
        <f t="shared" si="21"/>
        <v>60</v>
      </c>
      <c r="N32" s="449">
        <f t="shared" si="22"/>
        <v>210</v>
      </c>
      <c r="O32" s="445">
        <f t="shared" si="19"/>
        <v>75</v>
      </c>
      <c r="P32" s="445">
        <f t="shared" si="24"/>
        <v>210</v>
      </c>
      <c r="Q32" s="449">
        <f t="shared" si="7"/>
        <v>420</v>
      </c>
      <c r="R32" s="445">
        <f t="shared" si="8"/>
        <v>135</v>
      </c>
      <c r="S32" s="445">
        <f t="shared" si="12"/>
        <v>3.375</v>
      </c>
      <c r="T32" s="449">
        <f t="shared" si="23"/>
        <v>1619.9099999999999</v>
      </c>
      <c r="U32" s="449">
        <f t="shared" si="13"/>
        <v>540</v>
      </c>
      <c r="V32" s="446">
        <f t="shared" si="14"/>
        <v>1623.2849999999999</v>
      </c>
      <c r="W32" s="325"/>
      <c r="X32" s="197"/>
      <c r="Y32" s="198"/>
      <c r="Z32" s="198"/>
    </row>
    <row r="33" spans="1:30" s="205" customFormat="1" ht="66.5" hidden="1" x14ac:dyDescent="0.45">
      <c r="A33" s="442" t="s">
        <v>97</v>
      </c>
      <c r="B33" s="442" t="s">
        <v>98</v>
      </c>
      <c r="C33" s="447" t="s">
        <v>48</v>
      </c>
      <c r="D33" s="448">
        <v>30</v>
      </c>
      <c r="E33" s="448">
        <v>1</v>
      </c>
      <c r="F33" s="448">
        <f t="shared" si="0"/>
        <v>30</v>
      </c>
      <c r="G33" s="448">
        <v>33.58</v>
      </c>
      <c r="H33" s="448">
        <f t="shared" si="25"/>
        <v>1007.4</v>
      </c>
      <c r="I33" s="443">
        <f t="shared" si="1"/>
        <v>240</v>
      </c>
      <c r="J33" s="443">
        <f t="shared" si="17"/>
        <v>192.51</v>
      </c>
      <c r="K33" s="444">
        <f t="shared" si="20"/>
        <v>1199.9099999999999</v>
      </c>
      <c r="L33" s="449">
        <v>15</v>
      </c>
      <c r="M33" s="449">
        <f t="shared" si="21"/>
        <v>60</v>
      </c>
      <c r="N33" s="449">
        <f t="shared" si="22"/>
        <v>210</v>
      </c>
      <c r="O33" s="449">
        <f t="shared" ref="O33:O36" si="26">L33*5</f>
        <v>75</v>
      </c>
      <c r="P33" s="445">
        <f t="shared" si="24"/>
        <v>210</v>
      </c>
      <c r="Q33" s="449">
        <f t="shared" si="7"/>
        <v>420</v>
      </c>
      <c r="R33" s="445">
        <f t="shared" si="8"/>
        <v>135</v>
      </c>
      <c r="S33" s="445">
        <f t="shared" si="12"/>
        <v>3.375</v>
      </c>
      <c r="T33" s="449">
        <f t="shared" si="23"/>
        <v>1619.9099999999999</v>
      </c>
      <c r="U33" s="449">
        <f t="shared" si="13"/>
        <v>540</v>
      </c>
      <c r="V33" s="446">
        <f t="shared" si="14"/>
        <v>1623.2849999999999</v>
      </c>
      <c r="W33" s="188"/>
      <c r="X33" s="203"/>
      <c r="Y33" s="204"/>
      <c r="Z33" s="204"/>
    </row>
    <row r="34" spans="1:30" s="209" customFormat="1" ht="79.5" hidden="1" x14ac:dyDescent="0.45">
      <c r="A34" s="442" t="s">
        <v>99</v>
      </c>
      <c r="B34" s="442" t="s">
        <v>100</v>
      </c>
      <c r="C34" s="451" t="s">
        <v>45</v>
      </c>
      <c r="D34" s="452">
        <v>89</v>
      </c>
      <c r="E34" s="452">
        <v>1</v>
      </c>
      <c r="F34" s="443">
        <f t="shared" si="0"/>
        <v>89</v>
      </c>
      <c r="G34" s="452">
        <v>33.58</v>
      </c>
      <c r="H34" s="448">
        <f t="shared" si="25"/>
        <v>2988.62</v>
      </c>
      <c r="I34" s="443">
        <f t="shared" si="1"/>
        <v>712</v>
      </c>
      <c r="J34" s="443">
        <f t="shared" si="17"/>
        <v>571.11299999999994</v>
      </c>
      <c r="K34" s="444">
        <f t="shared" si="20"/>
        <v>3559.7329999999997</v>
      </c>
      <c r="L34" s="445">
        <v>89</v>
      </c>
      <c r="M34" s="449">
        <f t="shared" si="21"/>
        <v>356</v>
      </c>
      <c r="N34" s="449">
        <f t="shared" si="22"/>
        <v>1246</v>
      </c>
      <c r="O34" s="449">
        <f t="shared" si="26"/>
        <v>445</v>
      </c>
      <c r="P34" s="445">
        <f t="shared" si="24"/>
        <v>1246</v>
      </c>
      <c r="Q34" s="449">
        <f t="shared" si="7"/>
        <v>2492</v>
      </c>
      <c r="R34" s="445">
        <f t="shared" si="8"/>
        <v>801</v>
      </c>
      <c r="S34" s="445">
        <f t="shared" si="12"/>
        <v>20.025000000000002</v>
      </c>
      <c r="T34" s="449">
        <f t="shared" si="23"/>
        <v>6051.7330000000002</v>
      </c>
      <c r="U34" s="449">
        <f t="shared" si="13"/>
        <v>2403</v>
      </c>
      <c r="V34" s="446">
        <f t="shared" si="14"/>
        <v>6071.7579999999998</v>
      </c>
      <c r="W34" s="158"/>
      <c r="X34" s="207">
        <v>3</v>
      </c>
      <c r="Y34" s="208">
        <f t="shared" si="15"/>
        <v>445</v>
      </c>
      <c r="Z34" s="201">
        <f t="shared" ref="Z34:Z36" si="27">H34+N34</f>
        <v>4234.62</v>
      </c>
    </row>
    <row r="35" spans="1:30" s="199" customFormat="1" ht="79.5" hidden="1" x14ac:dyDescent="0.45">
      <c r="A35" s="442" t="s">
        <v>101</v>
      </c>
      <c r="B35" s="442" t="s">
        <v>102</v>
      </c>
      <c r="C35" s="447" t="s">
        <v>48</v>
      </c>
      <c r="D35" s="448">
        <v>60</v>
      </c>
      <c r="E35" s="448">
        <v>1</v>
      </c>
      <c r="F35" s="448">
        <f t="shared" si="0"/>
        <v>60</v>
      </c>
      <c r="G35" s="448">
        <v>67.16</v>
      </c>
      <c r="H35" s="448">
        <f>G35*F35</f>
        <v>4029.6</v>
      </c>
      <c r="I35" s="443">
        <f t="shared" si="1"/>
        <v>480</v>
      </c>
      <c r="J35" s="443">
        <f t="shared" si="17"/>
        <v>385.02</v>
      </c>
      <c r="K35" s="444">
        <f t="shared" si="20"/>
        <v>4414.62</v>
      </c>
      <c r="L35" s="449">
        <v>45</v>
      </c>
      <c r="M35" s="449">
        <f t="shared" si="21"/>
        <v>180</v>
      </c>
      <c r="N35" s="449">
        <f t="shared" si="22"/>
        <v>630</v>
      </c>
      <c r="O35" s="449">
        <f t="shared" si="26"/>
        <v>225</v>
      </c>
      <c r="P35" s="445">
        <f t="shared" si="24"/>
        <v>630</v>
      </c>
      <c r="Q35" s="449">
        <f t="shared" si="7"/>
        <v>1260</v>
      </c>
      <c r="R35" s="445">
        <f t="shared" si="8"/>
        <v>405</v>
      </c>
      <c r="S35" s="445">
        <f t="shared" si="12"/>
        <v>10.125</v>
      </c>
      <c r="T35" s="449">
        <f t="shared" si="23"/>
        <v>5674.62</v>
      </c>
      <c r="U35" s="449">
        <f t="shared" si="13"/>
        <v>1350</v>
      </c>
      <c r="V35" s="446">
        <f t="shared" si="14"/>
        <v>5684.7449999999999</v>
      </c>
      <c r="W35" s="325"/>
      <c r="X35" s="197"/>
      <c r="Y35" s="198"/>
      <c r="Z35" s="198"/>
    </row>
    <row r="36" spans="1:30" s="183" customFormat="1" ht="79.5" hidden="1" x14ac:dyDescent="0.45">
      <c r="A36" s="442" t="s">
        <v>103</v>
      </c>
      <c r="B36" s="442" t="s">
        <v>104</v>
      </c>
      <c r="C36" s="447" t="s">
        <v>45</v>
      </c>
      <c r="D36" s="448">
        <v>89</v>
      </c>
      <c r="E36" s="448">
        <v>1</v>
      </c>
      <c r="F36" s="448">
        <f t="shared" si="0"/>
        <v>89</v>
      </c>
      <c r="G36" s="448">
        <v>33.58</v>
      </c>
      <c r="H36" s="448">
        <f t="shared" si="25"/>
        <v>2988.62</v>
      </c>
      <c r="I36" s="448">
        <f t="shared" si="1"/>
        <v>712</v>
      </c>
      <c r="J36" s="448">
        <f>F36*6.417</f>
        <v>571.11299999999994</v>
      </c>
      <c r="K36" s="444">
        <f t="shared" si="20"/>
        <v>3559.7329999999997</v>
      </c>
      <c r="L36" s="449">
        <v>89</v>
      </c>
      <c r="M36" s="449">
        <f>L36*4</f>
        <v>356</v>
      </c>
      <c r="N36" s="449">
        <f t="shared" si="22"/>
        <v>1246</v>
      </c>
      <c r="O36" s="449">
        <f t="shared" si="26"/>
        <v>445</v>
      </c>
      <c r="P36" s="449">
        <f t="shared" ref="P36" si="28">L36*14</f>
        <v>1246</v>
      </c>
      <c r="Q36" s="449">
        <f t="shared" si="7"/>
        <v>2492</v>
      </c>
      <c r="R36" s="445">
        <f t="shared" si="8"/>
        <v>801</v>
      </c>
      <c r="S36" s="449">
        <f>L36*RecordHours</f>
        <v>20.025000000000002</v>
      </c>
      <c r="T36" s="449">
        <f t="shared" si="23"/>
        <v>6051.7330000000002</v>
      </c>
      <c r="U36" s="449">
        <f t="shared" si="13"/>
        <v>2403</v>
      </c>
      <c r="V36" s="450">
        <f t="shared" si="14"/>
        <v>6071.7579999999998</v>
      </c>
      <c r="W36" s="325"/>
      <c r="X36" s="182">
        <v>3</v>
      </c>
      <c r="Y36" s="260">
        <f t="shared" si="15"/>
        <v>445</v>
      </c>
      <c r="Z36" s="261">
        <f t="shared" si="27"/>
        <v>4234.62</v>
      </c>
    </row>
    <row r="37" spans="1:30" s="320" customFormat="1" ht="53.5" hidden="1" x14ac:dyDescent="0.45">
      <c r="A37" s="447" t="s">
        <v>309</v>
      </c>
      <c r="B37" s="442" t="s">
        <v>105</v>
      </c>
      <c r="C37" s="447" t="s">
        <v>45</v>
      </c>
      <c r="D37" s="448">
        <v>15</v>
      </c>
      <c r="E37" s="448">
        <v>1</v>
      </c>
      <c r="F37" s="448">
        <f>D37*E37</f>
        <v>15</v>
      </c>
      <c r="G37" s="448">
        <v>20</v>
      </c>
      <c r="H37" s="448">
        <f t="shared" si="25"/>
        <v>300</v>
      </c>
      <c r="I37" s="448">
        <f>D37*8</f>
        <v>120</v>
      </c>
      <c r="J37" s="448">
        <f t="shared" ref="J37:J38" si="29">F37*6.417</f>
        <v>96.254999999999995</v>
      </c>
      <c r="K37" s="444">
        <f>J37+H37</f>
        <v>396.255</v>
      </c>
      <c r="L37" s="449">
        <v>15</v>
      </c>
      <c r="M37" s="449">
        <f>L37*4</f>
        <v>60</v>
      </c>
      <c r="N37" s="449">
        <f>L37*14</f>
        <v>210</v>
      </c>
      <c r="O37" s="449">
        <f>L37*5</f>
        <v>75</v>
      </c>
      <c r="P37" s="449">
        <f>L37*14</f>
        <v>210</v>
      </c>
      <c r="Q37" s="449">
        <f>N37+P37</f>
        <v>420</v>
      </c>
      <c r="R37" s="449">
        <f t="shared" si="8"/>
        <v>135</v>
      </c>
      <c r="S37" s="449">
        <f t="shared" ref="S37:S38" si="30">L37*RecordHours</f>
        <v>3.375</v>
      </c>
      <c r="T37" s="449">
        <f>K37+Q37</f>
        <v>816.255</v>
      </c>
      <c r="U37" s="449">
        <f>F37+M37+R37+I37+O37</f>
        <v>405</v>
      </c>
      <c r="V37" s="450">
        <f>S37+T37</f>
        <v>819.63</v>
      </c>
      <c r="W37" s="326"/>
      <c r="X37" s="318"/>
      <c r="Y37" s="319"/>
      <c r="Z37" s="319"/>
    </row>
    <row r="38" spans="1:30" s="320" customFormat="1" ht="53.5" hidden="1" x14ac:dyDescent="0.45">
      <c r="A38" s="447" t="s">
        <v>310</v>
      </c>
      <c r="B38" s="442" t="s">
        <v>106</v>
      </c>
      <c r="C38" s="447" t="s">
        <v>45</v>
      </c>
      <c r="D38" s="448">
        <v>10</v>
      </c>
      <c r="E38" s="448">
        <v>2</v>
      </c>
      <c r="F38" s="448">
        <f>D38*E38</f>
        <v>20</v>
      </c>
      <c r="G38" s="448">
        <v>20</v>
      </c>
      <c r="H38" s="448">
        <f t="shared" si="25"/>
        <v>400</v>
      </c>
      <c r="I38" s="448">
        <f>D38*8</f>
        <v>80</v>
      </c>
      <c r="J38" s="448">
        <f t="shared" si="29"/>
        <v>128.34</v>
      </c>
      <c r="K38" s="444">
        <f>J38+H38</f>
        <v>528.34</v>
      </c>
      <c r="L38" s="449">
        <v>7</v>
      </c>
      <c r="M38" s="449">
        <f>L38*4</f>
        <v>28</v>
      </c>
      <c r="N38" s="449">
        <f>L38*14</f>
        <v>98</v>
      </c>
      <c r="O38" s="449">
        <f>L38*5</f>
        <v>35</v>
      </c>
      <c r="P38" s="449">
        <f>L38*14</f>
        <v>98</v>
      </c>
      <c r="Q38" s="449">
        <f>N38+P38</f>
        <v>196</v>
      </c>
      <c r="R38" s="449">
        <f t="shared" si="8"/>
        <v>63</v>
      </c>
      <c r="S38" s="449">
        <f t="shared" si="30"/>
        <v>1.575</v>
      </c>
      <c r="T38" s="449">
        <f>K38+Q38</f>
        <v>724.34</v>
      </c>
      <c r="U38" s="449">
        <f>F38+M38+R38+I38+O38</f>
        <v>226</v>
      </c>
      <c r="V38" s="450">
        <f>S38+T38</f>
        <v>725.91500000000008</v>
      </c>
      <c r="W38" s="326"/>
      <c r="X38" s="318"/>
      <c r="Y38" s="319"/>
      <c r="Z38" s="319"/>
    </row>
    <row r="39" spans="1:30" s="114" customFormat="1" ht="27.5" hidden="1" x14ac:dyDescent="0.45">
      <c r="A39" s="442" t="s">
        <v>107</v>
      </c>
      <c r="B39" s="442" t="s">
        <v>108</v>
      </c>
      <c r="C39" s="451" t="s">
        <v>45</v>
      </c>
      <c r="D39" s="443">
        <v>125</v>
      </c>
      <c r="E39" s="443">
        <v>1</v>
      </c>
      <c r="F39" s="443">
        <f t="shared" si="0"/>
        <v>125</v>
      </c>
      <c r="G39" s="443">
        <v>38.582999999999998</v>
      </c>
      <c r="H39" s="443">
        <f t="shared" si="10"/>
        <v>4822.875</v>
      </c>
      <c r="I39" s="443">
        <f t="shared" si="1"/>
        <v>1000</v>
      </c>
      <c r="J39" s="443">
        <f t="shared" si="2"/>
        <v>802.125</v>
      </c>
      <c r="K39" s="444">
        <f t="shared" si="20"/>
        <v>5625</v>
      </c>
      <c r="L39" s="443">
        <v>55</v>
      </c>
      <c r="M39" s="445">
        <f t="shared" si="3"/>
        <v>220</v>
      </c>
      <c r="N39" s="445">
        <f t="shared" si="4"/>
        <v>770</v>
      </c>
      <c r="O39" s="445">
        <f t="shared" si="5"/>
        <v>275</v>
      </c>
      <c r="P39" s="445">
        <f t="shared" si="6"/>
        <v>770</v>
      </c>
      <c r="Q39" s="445">
        <f t="shared" si="7"/>
        <v>1540</v>
      </c>
      <c r="R39" s="445">
        <f t="shared" si="8"/>
        <v>495</v>
      </c>
      <c r="S39" s="445">
        <f t="shared" si="12"/>
        <v>12.375</v>
      </c>
      <c r="T39" s="445">
        <f t="shared" si="16"/>
        <v>7165</v>
      </c>
      <c r="U39" s="445">
        <f t="shared" si="13"/>
        <v>2115</v>
      </c>
      <c r="V39" s="446">
        <f t="shared" si="14"/>
        <v>7177.375</v>
      </c>
      <c r="W39" s="155"/>
      <c r="X39" s="155">
        <v>2.6923076923076925</v>
      </c>
      <c r="Y39" s="156">
        <f t="shared" si="15"/>
        <v>345</v>
      </c>
      <c r="Z39" s="156">
        <f t="shared" si="9"/>
        <v>5592.875</v>
      </c>
    </row>
    <row r="40" spans="1:30" s="114" customFormat="1" ht="27.5" hidden="1" x14ac:dyDescent="0.45">
      <c r="A40" s="442" t="s">
        <v>109</v>
      </c>
      <c r="B40" s="442" t="s">
        <v>110</v>
      </c>
      <c r="C40" s="451" t="s">
        <v>36</v>
      </c>
      <c r="D40" s="443">
        <v>1092</v>
      </c>
      <c r="E40" s="443">
        <v>1</v>
      </c>
      <c r="F40" s="443">
        <f t="shared" si="0"/>
        <v>1092</v>
      </c>
      <c r="G40" s="443">
        <v>40</v>
      </c>
      <c r="H40" s="443">
        <f t="shared" si="10"/>
        <v>43680</v>
      </c>
      <c r="I40" s="443">
        <f t="shared" si="1"/>
        <v>8736</v>
      </c>
      <c r="J40" s="443">
        <f t="shared" si="2"/>
        <v>7007.3639999999996</v>
      </c>
      <c r="K40" s="444">
        <f t="shared" si="20"/>
        <v>50687.364000000001</v>
      </c>
      <c r="L40" s="443">
        <v>1092</v>
      </c>
      <c r="M40" s="445">
        <f t="shared" si="3"/>
        <v>4368</v>
      </c>
      <c r="N40" s="445">
        <f t="shared" si="4"/>
        <v>15288</v>
      </c>
      <c r="O40" s="445">
        <f t="shared" si="5"/>
        <v>5460</v>
      </c>
      <c r="P40" s="445">
        <f t="shared" si="6"/>
        <v>15288</v>
      </c>
      <c r="Q40" s="445">
        <f t="shared" si="7"/>
        <v>30576</v>
      </c>
      <c r="R40" s="445">
        <f t="shared" si="8"/>
        <v>9828</v>
      </c>
      <c r="S40" s="445">
        <f t="shared" si="12"/>
        <v>245.70000000000002</v>
      </c>
      <c r="T40" s="445">
        <f t="shared" si="16"/>
        <v>81263.364000000001</v>
      </c>
      <c r="U40" s="445">
        <f>F40+M40+R40+I40+O40</f>
        <v>29484</v>
      </c>
      <c r="V40" s="446">
        <f t="shared" si="14"/>
        <v>81509.063999999998</v>
      </c>
      <c r="W40" s="155"/>
      <c r="X40" s="155"/>
      <c r="Y40" s="156"/>
      <c r="Z40" s="156"/>
    </row>
    <row r="41" spans="1:30" s="114" customFormat="1" ht="27.5" hidden="1" x14ac:dyDescent="0.45">
      <c r="A41" s="442" t="s">
        <v>311</v>
      </c>
      <c r="B41" s="442" t="s">
        <v>111</v>
      </c>
      <c r="C41" s="451" t="s">
        <v>36</v>
      </c>
      <c r="D41" s="443">
        <v>15</v>
      </c>
      <c r="E41" s="443">
        <v>1</v>
      </c>
      <c r="F41" s="443">
        <f t="shared" si="0"/>
        <v>15</v>
      </c>
      <c r="G41" s="443">
        <v>33.582999999999998</v>
      </c>
      <c r="H41" s="443">
        <f t="shared" si="10"/>
        <v>503.745</v>
      </c>
      <c r="I41" s="443">
        <f t="shared" si="1"/>
        <v>120</v>
      </c>
      <c r="J41" s="443">
        <f t="shared" ref="J41" si="31">+F41*6.417</f>
        <v>96.254999999999995</v>
      </c>
      <c r="K41" s="443">
        <f t="shared" si="20"/>
        <v>600</v>
      </c>
      <c r="L41" s="443">
        <v>10</v>
      </c>
      <c r="M41" s="445">
        <f t="shared" si="3"/>
        <v>40</v>
      </c>
      <c r="N41" s="445">
        <f t="shared" ref="N41" si="32">+L41*14</f>
        <v>140</v>
      </c>
      <c r="O41" s="445">
        <f t="shared" si="5"/>
        <v>50</v>
      </c>
      <c r="P41" s="445">
        <f t="shared" si="6"/>
        <v>140</v>
      </c>
      <c r="Q41" s="445">
        <f t="shared" si="7"/>
        <v>280</v>
      </c>
      <c r="R41" s="445">
        <f t="shared" si="8"/>
        <v>90</v>
      </c>
      <c r="S41" s="445">
        <f t="shared" si="12"/>
        <v>2.25</v>
      </c>
      <c r="T41" s="445">
        <f t="shared" si="16"/>
        <v>880</v>
      </c>
      <c r="U41" s="445">
        <f t="shared" ref="U41" si="33">F41+M41+R41+I41+O41</f>
        <v>315</v>
      </c>
      <c r="V41" s="446">
        <f t="shared" si="14"/>
        <v>882.25</v>
      </c>
      <c r="W41" s="155"/>
      <c r="X41" s="155"/>
      <c r="Y41" s="156"/>
      <c r="Z41" s="156"/>
    </row>
    <row r="42" spans="1:30" s="247" customFormat="1" ht="32" customHeight="1" x14ac:dyDescent="0.45">
      <c r="A42" s="571" t="s">
        <v>112</v>
      </c>
      <c r="B42" s="571"/>
      <c r="C42" s="571"/>
      <c r="D42" s="454">
        <f>SUM(D4:D41)</f>
        <v>3320</v>
      </c>
      <c r="E42" s="455">
        <f>AVERAGE(E4:E41)</f>
        <v>1.0263157894736843</v>
      </c>
      <c r="F42" s="454">
        <f>SUM(F4:F41)</f>
        <v>3330</v>
      </c>
      <c r="G42" s="454">
        <f>H42/F42</f>
        <v>41.752238438438432</v>
      </c>
      <c r="H42" s="454">
        <f t="shared" ref="H42:V42" si="34">SUM(H4:H41)</f>
        <v>139034.95399999997</v>
      </c>
      <c r="I42" s="454">
        <f t="shared" si="34"/>
        <v>26560</v>
      </c>
      <c r="J42" s="454">
        <f t="shared" si="34"/>
        <v>21368.609999999997</v>
      </c>
      <c r="K42" s="456">
        <f t="shared" si="34"/>
        <v>160403.56399999998</v>
      </c>
      <c r="L42" s="454">
        <f t="shared" si="34"/>
        <v>2462</v>
      </c>
      <c r="M42" s="454">
        <f>SUM(M4:M41)</f>
        <v>9848</v>
      </c>
      <c r="N42" s="454">
        <f>SUM(N4:N41)</f>
        <v>34468</v>
      </c>
      <c r="O42" s="454">
        <f>SUM(O4:O41)</f>
        <v>12310</v>
      </c>
      <c r="P42" s="454">
        <f t="shared" si="34"/>
        <v>34468</v>
      </c>
      <c r="Q42" s="454">
        <f t="shared" si="34"/>
        <v>69187</v>
      </c>
      <c r="R42" s="454">
        <f t="shared" si="34"/>
        <v>22158</v>
      </c>
      <c r="S42" s="454">
        <f t="shared" si="34"/>
        <v>553.94999999999993</v>
      </c>
      <c r="T42" s="454">
        <f t="shared" si="34"/>
        <v>229590.56400000004</v>
      </c>
      <c r="U42" s="454">
        <f t="shared" si="34"/>
        <v>74206</v>
      </c>
      <c r="V42" s="457">
        <f t="shared" si="34"/>
        <v>230144.51400000002</v>
      </c>
      <c r="W42" s="156"/>
      <c r="X42" s="246"/>
      <c r="Y42" s="245"/>
      <c r="Z42" s="245"/>
      <c r="AB42" s="248"/>
      <c r="AD42" s="249"/>
    </row>
    <row r="43" spans="1:30" s="114" customFormat="1" ht="23.5" x14ac:dyDescent="0.55000000000000004">
      <c r="A43" s="572" t="s">
        <v>113</v>
      </c>
      <c r="B43" s="572"/>
      <c r="C43" s="572"/>
      <c r="D43" s="572"/>
      <c r="E43" s="572"/>
      <c r="F43" s="572"/>
      <c r="G43" s="572"/>
      <c r="H43" s="572"/>
      <c r="I43" s="572"/>
      <c r="J43" s="572"/>
      <c r="K43" s="572"/>
      <c r="L43" s="572"/>
      <c r="M43" s="572"/>
      <c r="N43" s="572"/>
      <c r="O43" s="572"/>
      <c r="P43" s="572"/>
      <c r="Q43" s="572"/>
      <c r="R43" s="572"/>
      <c r="S43" s="572"/>
      <c r="T43" s="572"/>
      <c r="U43" s="572"/>
      <c r="V43" s="573"/>
      <c r="W43" s="155"/>
      <c r="X43" s="155"/>
      <c r="Y43" s="156"/>
      <c r="Z43" s="156"/>
    </row>
    <row r="44" spans="1:30" ht="27.5" hidden="1" x14ac:dyDescent="0.45">
      <c r="A44" s="442" t="s">
        <v>360</v>
      </c>
      <c r="B44" s="442" t="s">
        <v>44</v>
      </c>
      <c r="C44" s="442" t="s">
        <v>114</v>
      </c>
      <c r="D44" s="443">
        <v>160</v>
      </c>
      <c r="E44" s="443">
        <v>1</v>
      </c>
      <c r="F44" s="443">
        <f>D44*E44</f>
        <v>160</v>
      </c>
      <c r="G44" s="443">
        <v>59.332999999999998</v>
      </c>
      <c r="H44" s="448">
        <f t="shared" ref="H44:H45" si="35">G44*F44</f>
        <v>9493.2799999999988</v>
      </c>
      <c r="I44" s="443">
        <f>D44*9</f>
        <v>1440</v>
      </c>
      <c r="J44" s="443">
        <f>F44*6.667</f>
        <v>1066.72</v>
      </c>
      <c r="K44" s="444">
        <f>J44+H44</f>
        <v>10559.999999999998</v>
      </c>
      <c r="L44" s="443">
        <v>36</v>
      </c>
      <c r="M44" s="445">
        <f>L44*4</f>
        <v>144</v>
      </c>
      <c r="N44" s="445">
        <f>L44*14</f>
        <v>504</v>
      </c>
      <c r="O44" s="445">
        <f>L44*5</f>
        <v>180</v>
      </c>
      <c r="P44" s="445">
        <f>L44*14</f>
        <v>504</v>
      </c>
      <c r="Q44" s="445">
        <f>N44+P44</f>
        <v>1008</v>
      </c>
      <c r="R44" s="445">
        <f>L44*RecordResponse</f>
        <v>324</v>
      </c>
      <c r="S44" s="445">
        <f>L44*RecordHours</f>
        <v>8.1</v>
      </c>
      <c r="T44" s="445">
        <f>K44+Q44</f>
        <v>11567.999999999998</v>
      </c>
      <c r="U44" s="445">
        <f>F44+M44+R44+I44+O44</f>
        <v>2248</v>
      </c>
      <c r="V44" s="446">
        <f>S44+T44</f>
        <v>11576.099999999999</v>
      </c>
      <c r="W44" s="155"/>
      <c r="X44" s="152">
        <f>Y44/D44</f>
        <v>1.9</v>
      </c>
      <c r="Y44" s="157">
        <f>F44+M44</f>
        <v>304</v>
      </c>
      <c r="Z44" s="157">
        <f>H44+N44</f>
        <v>9997.2799999999988</v>
      </c>
    </row>
    <row r="45" spans="1:30" ht="40.5" hidden="1" x14ac:dyDescent="0.45">
      <c r="A45" s="442" t="s">
        <v>363</v>
      </c>
      <c r="B45" s="442" t="s">
        <v>58</v>
      </c>
      <c r="C45" s="442" t="s">
        <v>114</v>
      </c>
      <c r="D45" s="443">
        <v>15</v>
      </c>
      <c r="E45" s="443">
        <v>1</v>
      </c>
      <c r="F45" s="443">
        <f>D45*E45</f>
        <v>15</v>
      </c>
      <c r="G45" s="443">
        <v>39.332999999999998</v>
      </c>
      <c r="H45" s="448">
        <f t="shared" si="35"/>
        <v>589.995</v>
      </c>
      <c r="I45" s="443">
        <f>D45*9</f>
        <v>135</v>
      </c>
      <c r="J45" s="443">
        <f>F45*6.667</f>
        <v>100.005</v>
      </c>
      <c r="K45" s="444">
        <f>J45+H45</f>
        <v>690</v>
      </c>
      <c r="L45" s="443">
        <v>4</v>
      </c>
      <c r="M45" s="445">
        <f>L45*4</f>
        <v>16</v>
      </c>
      <c r="N45" s="445">
        <f>L45*14</f>
        <v>56</v>
      </c>
      <c r="O45" s="445">
        <f>L45*5</f>
        <v>20</v>
      </c>
      <c r="P45" s="445">
        <f>L45*14</f>
        <v>56</v>
      </c>
      <c r="Q45" s="445">
        <f>N45+P45</f>
        <v>112</v>
      </c>
      <c r="R45" s="445">
        <f>L45*RecordResponse</f>
        <v>36</v>
      </c>
      <c r="S45" s="445">
        <f>L45*RecordHours</f>
        <v>0.9</v>
      </c>
      <c r="T45" s="445">
        <f>K45+Q45</f>
        <v>802</v>
      </c>
      <c r="U45" s="445">
        <f>F45+M45+R45+I45+O45</f>
        <v>222</v>
      </c>
      <c r="V45" s="446">
        <f>S45+T45</f>
        <v>802.9</v>
      </c>
      <c r="W45" s="155"/>
      <c r="X45" s="152">
        <v>2.0666666666666669</v>
      </c>
      <c r="Y45" s="157">
        <f>F45+M45</f>
        <v>31</v>
      </c>
      <c r="Z45" s="157">
        <f>H45+N45</f>
        <v>645.995</v>
      </c>
    </row>
    <row r="46" spans="1:30" ht="27.5" hidden="1" x14ac:dyDescent="0.45">
      <c r="A46" s="442" t="s">
        <v>115</v>
      </c>
      <c r="B46" s="442" t="s">
        <v>108</v>
      </c>
      <c r="C46" s="442"/>
      <c r="D46" s="443">
        <v>125</v>
      </c>
      <c r="E46" s="443">
        <v>1</v>
      </c>
      <c r="F46" s="443">
        <f>D46*E46</f>
        <v>125</v>
      </c>
      <c r="G46" s="443">
        <v>38.58</v>
      </c>
      <c r="H46" s="448">
        <f>G46*F46</f>
        <v>4822.5</v>
      </c>
      <c r="I46" s="443">
        <f>D46*9</f>
        <v>1125</v>
      </c>
      <c r="J46" s="443">
        <f>F46*6.667</f>
        <v>833.375</v>
      </c>
      <c r="K46" s="444">
        <f>J46+H46</f>
        <v>5655.875</v>
      </c>
      <c r="L46" s="443">
        <v>55</v>
      </c>
      <c r="M46" s="445">
        <f>L46*4</f>
        <v>220</v>
      </c>
      <c r="N46" s="445">
        <f t="shared" ref="N46" si="36">L46*14</f>
        <v>770</v>
      </c>
      <c r="O46" s="445">
        <f>L46*5</f>
        <v>275</v>
      </c>
      <c r="P46" s="445">
        <f>L46*14</f>
        <v>770</v>
      </c>
      <c r="Q46" s="445">
        <f>N46+P46</f>
        <v>1540</v>
      </c>
      <c r="R46" s="445">
        <f>L46*RecordResponse</f>
        <v>495</v>
      </c>
      <c r="S46" s="445">
        <f>L46*RecordHours</f>
        <v>12.375</v>
      </c>
      <c r="T46" s="445">
        <f>K46+Q46</f>
        <v>7195.875</v>
      </c>
      <c r="U46" s="445">
        <f>F46+M46+R46+I46+O46</f>
        <v>2240</v>
      </c>
      <c r="V46" s="446">
        <f>S46+T46</f>
        <v>7208.25</v>
      </c>
      <c r="W46" s="155"/>
      <c r="X46" s="152"/>
      <c r="Y46" s="157"/>
      <c r="Z46" s="157"/>
    </row>
    <row r="47" spans="1:30" ht="27.5" hidden="1" x14ac:dyDescent="0.45">
      <c r="A47" s="458" t="s">
        <v>318</v>
      </c>
      <c r="B47" s="458" t="s">
        <v>316</v>
      </c>
      <c r="C47" s="442" t="s">
        <v>317</v>
      </c>
      <c r="D47" s="443">
        <v>10</v>
      </c>
      <c r="E47" s="459">
        <v>1</v>
      </c>
      <c r="F47" s="443">
        <v>10</v>
      </c>
      <c r="G47" s="443">
        <v>40</v>
      </c>
      <c r="H47" s="448">
        <v>400</v>
      </c>
      <c r="I47" s="443">
        <f>D47*9</f>
        <v>90</v>
      </c>
      <c r="J47" s="443">
        <f>F47*6.667</f>
        <v>66.67</v>
      </c>
      <c r="K47" s="460">
        <f>J47+H47</f>
        <v>466.67</v>
      </c>
      <c r="L47" s="443">
        <v>5</v>
      </c>
      <c r="M47" s="445">
        <f>L47*4</f>
        <v>20</v>
      </c>
      <c r="N47" s="445">
        <f>L47*14</f>
        <v>70</v>
      </c>
      <c r="O47" s="445">
        <f>L47*5</f>
        <v>25</v>
      </c>
      <c r="P47" s="445">
        <f>L47*14</f>
        <v>70</v>
      </c>
      <c r="Q47" s="445">
        <f>N47+P47</f>
        <v>140</v>
      </c>
      <c r="R47" s="445">
        <f>L47*RecordResponse</f>
        <v>45</v>
      </c>
      <c r="S47" s="445">
        <f>L47*RecordHours</f>
        <v>1.125</v>
      </c>
      <c r="T47" s="445">
        <f>K47+Q47</f>
        <v>606.67000000000007</v>
      </c>
      <c r="U47" s="445">
        <f>F47+M47+R47+I47+O47</f>
        <v>190</v>
      </c>
      <c r="V47" s="446">
        <f>S47+T47</f>
        <v>607.79500000000007</v>
      </c>
      <c r="W47" s="113">
        <f>+U48-W48</f>
        <v>687.5</v>
      </c>
    </row>
    <row r="48" spans="1:30" s="247" customFormat="1" ht="33.5" customHeight="1" x14ac:dyDescent="0.45">
      <c r="A48" s="571" t="s">
        <v>116</v>
      </c>
      <c r="B48" s="571"/>
      <c r="C48" s="571"/>
      <c r="D48" s="454">
        <f>SUM(D44:D47)</f>
        <v>310</v>
      </c>
      <c r="E48" s="455">
        <f>AVERAGE(E9:E47)</f>
        <v>1.0270083102493075</v>
      </c>
      <c r="F48" s="454">
        <f>SUM(F44:F47)</f>
        <v>310</v>
      </c>
      <c r="G48" s="454">
        <f>H48/F48</f>
        <v>49.373467741935485</v>
      </c>
      <c r="H48" s="454">
        <f t="shared" ref="H48:V48" si="37">SUM(H44:H47)</f>
        <v>15305.775</v>
      </c>
      <c r="I48" s="454">
        <f t="shared" si="37"/>
        <v>2790</v>
      </c>
      <c r="J48" s="454">
        <f t="shared" si="37"/>
        <v>2066.77</v>
      </c>
      <c r="K48" s="456">
        <f t="shared" si="37"/>
        <v>17372.544999999998</v>
      </c>
      <c r="L48" s="454">
        <f t="shared" si="37"/>
        <v>100</v>
      </c>
      <c r="M48" s="454">
        <f t="shared" si="37"/>
        <v>400</v>
      </c>
      <c r="N48" s="454">
        <f t="shared" si="37"/>
        <v>1400</v>
      </c>
      <c r="O48" s="454">
        <f>SUM(O44:O47)</f>
        <v>500</v>
      </c>
      <c r="P48" s="454">
        <f t="shared" si="37"/>
        <v>1400</v>
      </c>
      <c r="Q48" s="454">
        <f t="shared" si="37"/>
        <v>2800</v>
      </c>
      <c r="R48" s="454">
        <f>SUM(R44:R47)</f>
        <v>900</v>
      </c>
      <c r="S48" s="454">
        <f>SUM(S44:S47)</f>
        <v>22.5</v>
      </c>
      <c r="T48" s="454">
        <f t="shared" si="37"/>
        <v>20172.544999999998</v>
      </c>
      <c r="U48" s="454">
        <f t="shared" si="37"/>
        <v>4900</v>
      </c>
      <c r="V48" s="457">
        <f t="shared" si="37"/>
        <v>20195.044999999998</v>
      </c>
      <c r="W48" s="156">
        <f>+S48+R48+O48+I48</f>
        <v>4212.5</v>
      </c>
      <c r="X48" s="246"/>
      <c r="Y48" s="245"/>
      <c r="Z48" s="245"/>
      <c r="AB48" s="248"/>
      <c r="AD48" s="249"/>
    </row>
    <row r="49" spans="1:82" s="114" customFormat="1" ht="23.5" x14ac:dyDescent="0.55000000000000004">
      <c r="A49" s="574" t="s">
        <v>117</v>
      </c>
      <c r="B49" s="572"/>
      <c r="C49" s="572"/>
      <c r="D49" s="572"/>
      <c r="E49" s="572"/>
      <c r="F49" s="572"/>
      <c r="G49" s="572"/>
      <c r="H49" s="572"/>
      <c r="I49" s="572"/>
      <c r="J49" s="572"/>
      <c r="K49" s="572"/>
      <c r="L49" s="572"/>
      <c r="M49" s="572"/>
      <c r="N49" s="572"/>
      <c r="O49" s="572"/>
      <c r="P49" s="572"/>
      <c r="Q49" s="572"/>
      <c r="R49" s="572"/>
      <c r="S49" s="572"/>
      <c r="T49" s="572"/>
      <c r="U49" s="572"/>
      <c r="V49" s="573"/>
      <c r="W49" s="155"/>
      <c r="X49" s="155"/>
      <c r="Y49" s="156"/>
      <c r="Z49" s="156"/>
    </row>
    <row r="50" spans="1:82" s="187" customFormat="1" ht="53.5" hidden="1" x14ac:dyDescent="0.45">
      <c r="A50" s="461" t="s">
        <v>118</v>
      </c>
      <c r="B50" s="442" t="s">
        <v>47</v>
      </c>
      <c r="C50" s="447" t="s">
        <v>48</v>
      </c>
      <c r="D50" s="448">
        <v>195</v>
      </c>
      <c r="E50" s="448">
        <v>1</v>
      </c>
      <c r="F50" s="448">
        <f t="shared" ref="F50:F64" si="38">D50*E50</f>
        <v>195</v>
      </c>
      <c r="G50" s="448">
        <v>53.582999999999998</v>
      </c>
      <c r="H50" s="448">
        <f>+G50*F50</f>
        <v>10448.684999999999</v>
      </c>
      <c r="I50" s="448">
        <f t="shared" ref="I50:I64" si="39">D50*8</f>
        <v>1560</v>
      </c>
      <c r="J50" s="448">
        <f t="shared" ref="J50" si="40">F50*6.417</f>
        <v>1251.3150000000001</v>
      </c>
      <c r="K50" s="444">
        <f t="shared" ref="K50:K64" si="41">J50+H50</f>
        <v>11700</v>
      </c>
      <c r="L50" s="448">
        <v>105</v>
      </c>
      <c r="M50" s="449">
        <f t="shared" ref="M50:M64" si="42">L50*4</f>
        <v>420</v>
      </c>
      <c r="N50" s="449">
        <f t="shared" ref="N50:N64" si="43">L50*14</f>
        <v>1470</v>
      </c>
      <c r="O50" s="449">
        <f t="shared" ref="O50" si="44">L50*5</f>
        <v>525</v>
      </c>
      <c r="P50" s="449">
        <f t="shared" ref="P50:P64" si="45">L50*14</f>
        <v>1470</v>
      </c>
      <c r="Q50" s="449">
        <f t="shared" ref="Q50:Q64" si="46">N50+P50</f>
        <v>2940</v>
      </c>
      <c r="R50" s="449">
        <f t="shared" ref="R50:R64" si="47">L50*RecordResponse</f>
        <v>945</v>
      </c>
      <c r="S50" s="449">
        <f t="shared" ref="S50:S57" si="48">L50*RecordHours</f>
        <v>23.625</v>
      </c>
      <c r="T50" s="449">
        <f t="shared" ref="T50:T57" si="49">K50+Q50</f>
        <v>14640</v>
      </c>
      <c r="U50" s="449">
        <f t="shared" ref="U50:U64" si="50">F50+M50+R50+I50+O50</f>
        <v>3645</v>
      </c>
      <c r="V50" s="450">
        <f t="shared" ref="V50" si="51">S50+T50</f>
        <v>14663.625</v>
      </c>
      <c r="W50" s="325"/>
      <c r="X50" s="185">
        <v>3.6666666666666665</v>
      </c>
      <c r="Y50" s="186">
        <f t="shared" ref="Y50:Y54" si="52">F50+M50</f>
        <v>615</v>
      </c>
      <c r="Z50" s="186">
        <f t="shared" ref="Z50:Z54" si="53">H50+N50</f>
        <v>11918.684999999999</v>
      </c>
    </row>
    <row r="51" spans="1:82" s="199" customFormat="1" ht="66.5" hidden="1" x14ac:dyDescent="0.45">
      <c r="A51" s="461" t="s">
        <v>119</v>
      </c>
      <c r="B51" s="442" t="s">
        <v>120</v>
      </c>
      <c r="C51" s="447" t="s">
        <v>45</v>
      </c>
      <c r="D51" s="448">
        <v>89</v>
      </c>
      <c r="E51" s="448">
        <v>1</v>
      </c>
      <c r="F51" s="448">
        <f t="shared" si="38"/>
        <v>89</v>
      </c>
      <c r="G51" s="448">
        <v>38.58</v>
      </c>
      <c r="H51" s="448">
        <f t="shared" ref="H51:H57" si="54">+G51*F51</f>
        <v>3433.62</v>
      </c>
      <c r="I51" s="448">
        <f t="shared" si="39"/>
        <v>712</v>
      </c>
      <c r="J51" s="448">
        <f t="shared" ref="J51:J58" si="55">D51*6.417</f>
        <v>571.11299999999994</v>
      </c>
      <c r="K51" s="444">
        <f t="shared" si="41"/>
        <v>4004.7329999999997</v>
      </c>
      <c r="L51" s="449">
        <v>89</v>
      </c>
      <c r="M51" s="449">
        <f t="shared" si="42"/>
        <v>356</v>
      </c>
      <c r="N51" s="449">
        <f>L51*14</f>
        <v>1246</v>
      </c>
      <c r="O51" s="449">
        <f>L51*5</f>
        <v>445</v>
      </c>
      <c r="P51" s="449">
        <f>L51*14</f>
        <v>1246</v>
      </c>
      <c r="Q51" s="449">
        <f>N51+P51</f>
        <v>2492</v>
      </c>
      <c r="R51" s="449">
        <f t="shared" si="47"/>
        <v>801</v>
      </c>
      <c r="S51" s="449">
        <f t="shared" si="48"/>
        <v>20.025000000000002</v>
      </c>
      <c r="T51" s="449">
        <f t="shared" si="49"/>
        <v>6496.7330000000002</v>
      </c>
      <c r="U51" s="449">
        <f>F51+M51+R51+I51+O51</f>
        <v>2403</v>
      </c>
      <c r="V51" s="450">
        <f>S51+T51</f>
        <v>6516.7579999999998</v>
      </c>
      <c r="W51" s="325"/>
      <c r="X51" s="197"/>
      <c r="Y51" s="198"/>
      <c r="Z51" s="198"/>
    </row>
    <row r="52" spans="1:82" s="202" customFormat="1" ht="27.5" hidden="1" x14ac:dyDescent="0.45">
      <c r="A52" s="462" t="s">
        <v>121</v>
      </c>
      <c r="B52" s="442" t="s">
        <v>122</v>
      </c>
      <c r="C52" s="442" t="s">
        <v>45</v>
      </c>
      <c r="D52" s="443">
        <v>125</v>
      </c>
      <c r="E52" s="443">
        <v>1</v>
      </c>
      <c r="F52" s="448">
        <f t="shared" si="38"/>
        <v>125</v>
      </c>
      <c r="G52" s="443">
        <v>39</v>
      </c>
      <c r="H52" s="448">
        <f t="shared" si="54"/>
        <v>4875</v>
      </c>
      <c r="I52" s="448">
        <f t="shared" si="39"/>
        <v>1000</v>
      </c>
      <c r="J52" s="448">
        <f t="shared" si="55"/>
        <v>802.125</v>
      </c>
      <c r="K52" s="444">
        <f t="shared" si="41"/>
        <v>5677.125</v>
      </c>
      <c r="L52" s="445">
        <v>50</v>
      </c>
      <c r="M52" s="449">
        <f t="shared" si="42"/>
        <v>200</v>
      </c>
      <c r="N52" s="449">
        <f>L52*14</f>
        <v>700</v>
      </c>
      <c r="O52" s="449">
        <f t="shared" ref="O52" si="56">L52*5</f>
        <v>250</v>
      </c>
      <c r="P52" s="449">
        <f t="shared" ref="P52" si="57">L52*14</f>
        <v>700</v>
      </c>
      <c r="Q52" s="449">
        <f t="shared" ref="Q52" si="58">N52+P52</f>
        <v>1400</v>
      </c>
      <c r="R52" s="449">
        <f t="shared" si="47"/>
        <v>450</v>
      </c>
      <c r="S52" s="449">
        <f t="shared" si="48"/>
        <v>11.25</v>
      </c>
      <c r="T52" s="449">
        <f t="shared" si="49"/>
        <v>7077.125</v>
      </c>
      <c r="U52" s="449">
        <f t="shared" ref="U52" si="59">F52+M52+R52+I52+O52</f>
        <v>2025</v>
      </c>
      <c r="V52" s="450">
        <f t="shared" ref="V52" si="60">S52+T52</f>
        <v>7088.375</v>
      </c>
      <c r="W52" s="155"/>
      <c r="X52" s="200"/>
      <c r="Y52" s="201"/>
      <c r="Z52" s="201"/>
    </row>
    <row r="53" spans="1:82" s="114" customFormat="1" ht="27.5" hidden="1" x14ac:dyDescent="0.45">
      <c r="A53" s="462" t="s">
        <v>123</v>
      </c>
      <c r="B53" s="442" t="s">
        <v>124</v>
      </c>
      <c r="C53" s="442" t="s">
        <v>36</v>
      </c>
      <c r="D53" s="443">
        <v>60</v>
      </c>
      <c r="E53" s="443">
        <v>1</v>
      </c>
      <c r="F53" s="448">
        <f t="shared" si="38"/>
        <v>60</v>
      </c>
      <c r="G53" s="443">
        <v>67.16</v>
      </c>
      <c r="H53" s="448">
        <f t="shared" si="54"/>
        <v>4029.6</v>
      </c>
      <c r="I53" s="448">
        <f t="shared" si="39"/>
        <v>480</v>
      </c>
      <c r="J53" s="448">
        <f t="shared" si="55"/>
        <v>385.02</v>
      </c>
      <c r="K53" s="444">
        <f t="shared" si="41"/>
        <v>4414.62</v>
      </c>
      <c r="L53" s="445">
        <v>60</v>
      </c>
      <c r="M53" s="445">
        <f t="shared" si="42"/>
        <v>240</v>
      </c>
      <c r="N53" s="449">
        <f t="shared" si="43"/>
        <v>840</v>
      </c>
      <c r="O53" s="449">
        <f>L53*5</f>
        <v>300</v>
      </c>
      <c r="P53" s="449">
        <f t="shared" si="45"/>
        <v>840</v>
      </c>
      <c r="Q53" s="449">
        <f t="shared" si="46"/>
        <v>1680</v>
      </c>
      <c r="R53" s="449">
        <f t="shared" si="47"/>
        <v>540</v>
      </c>
      <c r="S53" s="449">
        <f t="shared" si="48"/>
        <v>13.5</v>
      </c>
      <c r="T53" s="449">
        <f t="shared" si="49"/>
        <v>6094.62</v>
      </c>
      <c r="U53" s="449">
        <f t="shared" si="50"/>
        <v>1620</v>
      </c>
      <c r="V53" s="446">
        <f>+T53+S53</f>
        <v>6108.12</v>
      </c>
      <c r="W53" s="155"/>
      <c r="X53" s="155">
        <v>1.1333333333333333</v>
      </c>
      <c r="Y53" s="186">
        <f t="shared" si="52"/>
        <v>300</v>
      </c>
      <c r="Z53" s="186">
        <f t="shared" si="53"/>
        <v>4869.6000000000004</v>
      </c>
    </row>
    <row r="54" spans="1:82" s="193" customFormat="1" ht="118.5" hidden="1" x14ac:dyDescent="0.45">
      <c r="A54" s="461" t="s">
        <v>125</v>
      </c>
      <c r="B54" s="442" t="s">
        <v>126</v>
      </c>
      <c r="C54" s="447" t="s">
        <v>45</v>
      </c>
      <c r="D54" s="448">
        <v>89</v>
      </c>
      <c r="E54" s="448">
        <v>1</v>
      </c>
      <c r="F54" s="448">
        <f t="shared" si="38"/>
        <v>89</v>
      </c>
      <c r="G54" s="448">
        <v>33.58</v>
      </c>
      <c r="H54" s="448">
        <f t="shared" si="54"/>
        <v>2988.62</v>
      </c>
      <c r="I54" s="448">
        <f t="shared" si="39"/>
        <v>712</v>
      </c>
      <c r="J54" s="448">
        <f t="shared" si="55"/>
        <v>571.11299999999994</v>
      </c>
      <c r="K54" s="444">
        <f t="shared" si="41"/>
        <v>3559.7329999999997</v>
      </c>
      <c r="L54" s="449">
        <v>89</v>
      </c>
      <c r="M54" s="445">
        <f t="shared" si="42"/>
        <v>356</v>
      </c>
      <c r="N54" s="449">
        <f t="shared" si="43"/>
        <v>1246</v>
      </c>
      <c r="O54" s="449">
        <f>L54*5</f>
        <v>445</v>
      </c>
      <c r="P54" s="449">
        <f t="shared" si="45"/>
        <v>1246</v>
      </c>
      <c r="Q54" s="449">
        <f t="shared" si="46"/>
        <v>2492</v>
      </c>
      <c r="R54" s="449">
        <f t="shared" si="47"/>
        <v>801</v>
      </c>
      <c r="S54" s="449">
        <f t="shared" si="48"/>
        <v>20.025000000000002</v>
      </c>
      <c r="T54" s="449">
        <f t="shared" si="49"/>
        <v>6051.7330000000002</v>
      </c>
      <c r="U54" s="449">
        <f t="shared" si="50"/>
        <v>2403</v>
      </c>
      <c r="V54" s="446">
        <f>+T54+S54</f>
        <v>6071.7579999999998</v>
      </c>
      <c r="W54" s="192"/>
      <c r="X54" s="192">
        <v>3</v>
      </c>
      <c r="Y54" s="186">
        <f t="shared" si="52"/>
        <v>445</v>
      </c>
      <c r="Z54" s="186">
        <f t="shared" si="53"/>
        <v>4234.62</v>
      </c>
    </row>
    <row r="55" spans="1:82" s="202" customFormat="1" ht="40.5" hidden="1" x14ac:dyDescent="0.45">
      <c r="A55" s="462" t="s">
        <v>127</v>
      </c>
      <c r="B55" s="442" t="s">
        <v>359</v>
      </c>
      <c r="C55" s="442" t="s">
        <v>45</v>
      </c>
      <c r="D55" s="443">
        <v>125</v>
      </c>
      <c r="E55" s="443">
        <v>1</v>
      </c>
      <c r="F55" s="448">
        <f t="shared" si="38"/>
        <v>125</v>
      </c>
      <c r="G55" s="443">
        <v>38.58</v>
      </c>
      <c r="H55" s="448">
        <f t="shared" si="54"/>
        <v>4822.5</v>
      </c>
      <c r="I55" s="448">
        <f t="shared" si="39"/>
        <v>1000</v>
      </c>
      <c r="J55" s="448">
        <f t="shared" si="55"/>
        <v>802.125</v>
      </c>
      <c r="K55" s="444">
        <f t="shared" si="41"/>
        <v>5624.625</v>
      </c>
      <c r="L55" s="445">
        <v>55</v>
      </c>
      <c r="M55" s="449">
        <f t="shared" si="42"/>
        <v>220</v>
      </c>
      <c r="N55" s="449">
        <f>L55*14</f>
        <v>770</v>
      </c>
      <c r="O55" s="449">
        <f t="shared" ref="O55:O64" si="61">L55*5</f>
        <v>275</v>
      </c>
      <c r="P55" s="449">
        <f t="shared" si="45"/>
        <v>770</v>
      </c>
      <c r="Q55" s="449">
        <f t="shared" si="46"/>
        <v>1540</v>
      </c>
      <c r="R55" s="449">
        <f t="shared" si="47"/>
        <v>495</v>
      </c>
      <c r="S55" s="449">
        <f t="shared" si="48"/>
        <v>12.375</v>
      </c>
      <c r="T55" s="449">
        <f t="shared" si="49"/>
        <v>7164.625</v>
      </c>
      <c r="U55" s="449">
        <f t="shared" si="50"/>
        <v>2115</v>
      </c>
      <c r="V55" s="450">
        <f t="shared" ref="V55:V57" si="62">S55+T55</f>
        <v>7177</v>
      </c>
      <c r="W55" s="155"/>
      <c r="X55" s="200"/>
      <c r="Y55" s="201"/>
      <c r="Z55" s="201"/>
    </row>
    <row r="56" spans="1:82" s="202" customFormat="1" ht="27.5" hidden="1" x14ac:dyDescent="0.45">
      <c r="A56" s="462" t="s">
        <v>128</v>
      </c>
      <c r="B56" s="442" t="s">
        <v>82</v>
      </c>
      <c r="C56" s="442" t="s">
        <v>45</v>
      </c>
      <c r="D56" s="443">
        <v>125</v>
      </c>
      <c r="E56" s="443">
        <v>1</v>
      </c>
      <c r="F56" s="448">
        <f t="shared" si="38"/>
        <v>125</v>
      </c>
      <c r="G56" s="443">
        <v>38.58</v>
      </c>
      <c r="H56" s="448">
        <f t="shared" si="54"/>
        <v>4822.5</v>
      </c>
      <c r="I56" s="448">
        <f t="shared" si="39"/>
        <v>1000</v>
      </c>
      <c r="J56" s="448">
        <f t="shared" si="55"/>
        <v>802.125</v>
      </c>
      <c r="K56" s="444">
        <f t="shared" si="41"/>
        <v>5624.625</v>
      </c>
      <c r="L56" s="445">
        <v>55</v>
      </c>
      <c r="M56" s="449">
        <f t="shared" si="42"/>
        <v>220</v>
      </c>
      <c r="N56" s="449">
        <f>L56*14</f>
        <v>770</v>
      </c>
      <c r="O56" s="449">
        <f t="shared" si="61"/>
        <v>275</v>
      </c>
      <c r="P56" s="449">
        <f t="shared" si="45"/>
        <v>770</v>
      </c>
      <c r="Q56" s="449">
        <f t="shared" si="46"/>
        <v>1540</v>
      </c>
      <c r="R56" s="449">
        <f t="shared" si="47"/>
        <v>495</v>
      </c>
      <c r="S56" s="449">
        <f t="shared" si="48"/>
        <v>12.375</v>
      </c>
      <c r="T56" s="449">
        <f t="shared" si="49"/>
        <v>7164.625</v>
      </c>
      <c r="U56" s="449">
        <f t="shared" si="50"/>
        <v>2115</v>
      </c>
      <c r="V56" s="450">
        <f t="shared" si="62"/>
        <v>7177</v>
      </c>
      <c r="W56" s="155"/>
      <c r="X56" s="200"/>
      <c r="Y56" s="201"/>
      <c r="Z56" s="201"/>
    </row>
    <row r="57" spans="1:82" s="202" customFormat="1" ht="27.5" hidden="1" x14ac:dyDescent="0.45">
      <c r="A57" s="462" t="s">
        <v>129</v>
      </c>
      <c r="B57" s="442" t="s">
        <v>84</v>
      </c>
      <c r="C57" s="442" t="s">
        <v>45</v>
      </c>
      <c r="D57" s="443">
        <v>125</v>
      </c>
      <c r="E57" s="443">
        <v>1</v>
      </c>
      <c r="F57" s="448">
        <f t="shared" si="38"/>
        <v>125</v>
      </c>
      <c r="G57" s="443">
        <v>38.58</v>
      </c>
      <c r="H57" s="448">
        <f t="shared" si="54"/>
        <v>4822.5</v>
      </c>
      <c r="I57" s="448">
        <f t="shared" si="39"/>
        <v>1000</v>
      </c>
      <c r="J57" s="448">
        <f t="shared" si="55"/>
        <v>802.125</v>
      </c>
      <c r="K57" s="444">
        <f t="shared" si="41"/>
        <v>5624.625</v>
      </c>
      <c r="L57" s="445">
        <v>55</v>
      </c>
      <c r="M57" s="449">
        <f t="shared" si="42"/>
        <v>220</v>
      </c>
      <c r="N57" s="449">
        <f>L57*14</f>
        <v>770</v>
      </c>
      <c r="O57" s="449">
        <f t="shared" si="61"/>
        <v>275</v>
      </c>
      <c r="P57" s="449">
        <f t="shared" si="45"/>
        <v>770</v>
      </c>
      <c r="Q57" s="449">
        <f t="shared" si="46"/>
        <v>1540</v>
      </c>
      <c r="R57" s="449">
        <f t="shared" si="47"/>
        <v>495</v>
      </c>
      <c r="S57" s="449">
        <f t="shared" si="48"/>
        <v>12.375</v>
      </c>
      <c r="T57" s="449">
        <f t="shared" si="49"/>
        <v>7164.625</v>
      </c>
      <c r="U57" s="449">
        <f t="shared" si="50"/>
        <v>2115</v>
      </c>
      <c r="V57" s="450">
        <f t="shared" si="62"/>
        <v>7177</v>
      </c>
      <c r="W57" s="155"/>
      <c r="X57" s="200"/>
      <c r="Y57" s="201"/>
      <c r="Z57" s="201"/>
    </row>
    <row r="58" spans="1:82" s="151" customFormat="1" ht="79.5" hidden="1" x14ac:dyDescent="0.45">
      <c r="A58" s="462" t="s">
        <v>130</v>
      </c>
      <c r="B58" s="442" t="s">
        <v>131</v>
      </c>
      <c r="C58" s="451" t="s">
        <v>45</v>
      </c>
      <c r="D58" s="452">
        <v>89</v>
      </c>
      <c r="E58" s="452">
        <v>1</v>
      </c>
      <c r="F58" s="448">
        <f t="shared" si="38"/>
        <v>89</v>
      </c>
      <c r="G58" s="452">
        <v>33.58</v>
      </c>
      <c r="H58" s="448">
        <f>+G58*F58</f>
        <v>2988.62</v>
      </c>
      <c r="I58" s="448">
        <f t="shared" si="39"/>
        <v>712</v>
      </c>
      <c r="J58" s="448">
        <f t="shared" si="55"/>
        <v>571.11299999999994</v>
      </c>
      <c r="K58" s="444">
        <f t="shared" si="41"/>
        <v>3559.7329999999997</v>
      </c>
      <c r="L58" s="445">
        <v>89</v>
      </c>
      <c r="M58" s="445">
        <f t="shared" si="42"/>
        <v>356</v>
      </c>
      <c r="N58" s="449">
        <f t="shared" si="43"/>
        <v>1246</v>
      </c>
      <c r="O58" s="449">
        <f t="shared" si="61"/>
        <v>445</v>
      </c>
      <c r="P58" s="449">
        <f t="shared" si="45"/>
        <v>1246</v>
      </c>
      <c r="Q58" s="449">
        <f t="shared" si="46"/>
        <v>2492</v>
      </c>
      <c r="R58" s="449">
        <f t="shared" si="47"/>
        <v>801</v>
      </c>
      <c r="S58" s="449">
        <f>L58*RecordHours</f>
        <v>20.025000000000002</v>
      </c>
      <c r="T58" s="449">
        <f>K58+Q58</f>
        <v>6051.7330000000002</v>
      </c>
      <c r="U58" s="449">
        <f t="shared" si="50"/>
        <v>2403</v>
      </c>
      <c r="V58" s="446">
        <f>+T58+S58</f>
        <v>6071.7579999999998</v>
      </c>
      <c r="W58" s="158"/>
      <c r="X58" s="158">
        <v>3</v>
      </c>
      <c r="Y58" s="186">
        <f t="shared" ref="Y58" si="63">F58+M58</f>
        <v>445</v>
      </c>
      <c r="Z58" s="186">
        <f t="shared" ref="Z58" si="64">H58+N58</f>
        <v>4234.62</v>
      </c>
    </row>
    <row r="59" spans="1:82" s="196" customFormat="1" ht="66.5" hidden="1" x14ac:dyDescent="0.45">
      <c r="A59" s="461" t="s">
        <v>132</v>
      </c>
      <c r="B59" s="442" t="s">
        <v>120</v>
      </c>
      <c r="C59" s="451" t="s">
        <v>45</v>
      </c>
      <c r="D59" s="448">
        <v>89</v>
      </c>
      <c r="E59" s="448">
        <v>1</v>
      </c>
      <c r="F59" s="448">
        <f>D59*E59</f>
        <v>89</v>
      </c>
      <c r="G59" s="448">
        <v>38.58</v>
      </c>
      <c r="H59" s="448">
        <f>G59*F59</f>
        <v>3433.62</v>
      </c>
      <c r="I59" s="448">
        <f>D59*8</f>
        <v>712</v>
      </c>
      <c r="J59" s="448">
        <f t="shared" ref="J59:J62" si="65">F59*6.417</f>
        <v>571.11299999999994</v>
      </c>
      <c r="K59" s="444">
        <f>J59+H59</f>
        <v>4004.7329999999997</v>
      </c>
      <c r="L59" s="449">
        <v>89</v>
      </c>
      <c r="M59" s="449">
        <f>L59*4</f>
        <v>356</v>
      </c>
      <c r="N59" s="449">
        <f>L59*14</f>
        <v>1246</v>
      </c>
      <c r="O59" s="449">
        <f t="shared" si="61"/>
        <v>445</v>
      </c>
      <c r="P59" s="449">
        <f>L59*14</f>
        <v>1246</v>
      </c>
      <c r="Q59" s="449">
        <f>N59+P59</f>
        <v>2492</v>
      </c>
      <c r="R59" s="449">
        <f t="shared" si="47"/>
        <v>801</v>
      </c>
      <c r="S59" s="449">
        <f>L59*RecordHours</f>
        <v>20.025000000000002</v>
      </c>
      <c r="T59" s="449">
        <f>K59+Q59</f>
        <v>6496.7330000000002</v>
      </c>
      <c r="U59" s="449">
        <f>F59+M59+R59+I59+O59</f>
        <v>2403</v>
      </c>
      <c r="V59" s="450">
        <f>S59+T59</f>
        <v>6516.7579999999998</v>
      </c>
      <c r="W59" s="325"/>
      <c r="X59" s="197"/>
      <c r="Y59" s="198"/>
      <c r="Z59" s="198"/>
      <c r="AA59" s="199"/>
      <c r="AB59" s="199"/>
      <c r="AC59" s="199"/>
      <c r="AD59" s="199"/>
      <c r="AE59" s="199"/>
      <c r="AF59" s="199"/>
      <c r="AG59" s="199"/>
      <c r="AH59" s="199"/>
      <c r="AI59" s="199"/>
      <c r="AJ59" s="199"/>
      <c r="AK59" s="199"/>
      <c r="AL59" s="199"/>
      <c r="AM59" s="199"/>
      <c r="AN59" s="199"/>
      <c r="AO59" s="199"/>
      <c r="AP59" s="199"/>
      <c r="AQ59" s="199"/>
      <c r="AR59" s="199"/>
      <c r="AS59" s="199"/>
      <c r="AT59" s="199"/>
      <c r="AU59" s="199"/>
      <c r="AV59" s="199"/>
      <c r="AW59" s="199"/>
      <c r="AX59" s="199"/>
      <c r="AY59" s="199"/>
      <c r="AZ59" s="199"/>
      <c r="BA59" s="199"/>
      <c r="BB59" s="199"/>
      <c r="BC59" s="199"/>
      <c r="BD59" s="199"/>
      <c r="BE59" s="199"/>
      <c r="BF59" s="199"/>
      <c r="BG59" s="199"/>
      <c r="BH59" s="199"/>
      <c r="BI59" s="199"/>
      <c r="BJ59" s="199"/>
      <c r="BK59" s="199"/>
      <c r="BL59" s="199"/>
      <c r="BM59" s="199"/>
      <c r="BN59" s="199"/>
      <c r="BO59" s="199"/>
      <c r="BP59" s="199"/>
      <c r="BQ59" s="199"/>
      <c r="BR59" s="199"/>
      <c r="BS59" s="199"/>
      <c r="BT59" s="199"/>
      <c r="BU59" s="199"/>
      <c r="BV59" s="199"/>
      <c r="BW59" s="199"/>
      <c r="BX59" s="199"/>
      <c r="BY59" s="199"/>
      <c r="BZ59" s="199"/>
      <c r="CA59" s="199"/>
      <c r="CB59" s="199"/>
      <c r="CC59" s="199"/>
      <c r="CD59" s="199"/>
    </row>
    <row r="60" spans="1:82" s="199" customFormat="1" ht="66.5" hidden="1" x14ac:dyDescent="0.45">
      <c r="A60" s="461" t="s">
        <v>133</v>
      </c>
      <c r="B60" s="442" t="s">
        <v>134</v>
      </c>
      <c r="C60" s="447" t="s">
        <v>36</v>
      </c>
      <c r="D60" s="448">
        <v>89</v>
      </c>
      <c r="E60" s="448">
        <v>1</v>
      </c>
      <c r="F60" s="448">
        <f>D60*E60</f>
        <v>89</v>
      </c>
      <c r="G60" s="448">
        <v>38.58</v>
      </c>
      <c r="H60" s="448">
        <f t="shared" ref="H60:H61" si="66">G60*F60</f>
        <v>3433.62</v>
      </c>
      <c r="I60" s="448">
        <f>D60*8</f>
        <v>712</v>
      </c>
      <c r="J60" s="448">
        <f t="shared" si="65"/>
        <v>571.11299999999994</v>
      </c>
      <c r="K60" s="444">
        <f>J60+H60</f>
        <v>4004.7329999999997</v>
      </c>
      <c r="L60" s="449">
        <v>89</v>
      </c>
      <c r="M60" s="449">
        <f>L60*4</f>
        <v>356</v>
      </c>
      <c r="N60" s="449">
        <f>L60*14</f>
        <v>1246</v>
      </c>
      <c r="O60" s="449">
        <f t="shared" si="61"/>
        <v>445</v>
      </c>
      <c r="P60" s="449">
        <f>L60*14</f>
        <v>1246</v>
      </c>
      <c r="Q60" s="449">
        <f>N60+P60</f>
        <v>2492</v>
      </c>
      <c r="R60" s="449">
        <f t="shared" si="47"/>
        <v>801</v>
      </c>
      <c r="S60" s="449">
        <f t="shared" ref="S60:S62" si="67">L60*RecordHours</f>
        <v>20.025000000000002</v>
      </c>
      <c r="T60" s="449">
        <f>K60+Q60</f>
        <v>6496.7330000000002</v>
      </c>
      <c r="U60" s="449">
        <f>F60+M60+R60+I60+O60</f>
        <v>2403</v>
      </c>
      <c r="V60" s="450">
        <f>S60+T60</f>
        <v>6516.7579999999998</v>
      </c>
      <c r="W60" s="325"/>
      <c r="X60" s="197"/>
      <c r="Y60" s="198"/>
      <c r="Z60" s="198"/>
    </row>
    <row r="61" spans="1:82" s="320" customFormat="1" ht="53.5" hidden="1" x14ac:dyDescent="0.45">
      <c r="A61" s="461" t="s">
        <v>312</v>
      </c>
      <c r="B61" s="442" t="s">
        <v>135</v>
      </c>
      <c r="C61" s="447" t="s">
        <v>36</v>
      </c>
      <c r="D61" s="448">
        <v>89</v>
      </c>
      <c r="E61" s="448">
        <v>2</v>
      </c>
      <c r="F61" s="448">
        <f>D61*E61</f>
        <v>178</v>
      </c>
      <c r="G61" s="448">
        <v>20</v>
      </c>
      <c r="H61" s="448">
        <f t="shared" si="66"/>
        <v>3560</v>
      </c>
      <c r="I61" s="448">
        <f>D61*8</f>
        <v>712</v>
      </c>
      <c r="J61" s="448">
        <f t="shared" si="65"/>
        <v>1142.2259999999999</v>
      </c>
      <c r="K61" s="444">
        <f>J61+H61</f>
        <v>4702.2259999999997</v>
      </c>
      <c r="L61" s="449">
        <v>70</v>
      </c>
      <c r="M61" s="449">
        <f>L61*4</f>
        <v>280</v>
      </c>
      <c r="N61" s="449">
        <f>L61*14</f>
        <v>980</v>
      </c>
      <c r="O61" s="449">
        <f t="shared" si="61"/>
        <v>350</v>
      </c>
      <c r="P61" s="449">
        <f>L61*14</f>
        <v>980</v>
      </c>
      <c r="Q61" s="449">
        <f>N61+P61</f>
        <v>1960</v>
      </c>
      <c r="R61" s="449">
        <f t="shared" si="47"/>
        <v>630</v>
      </c>
      <c r="S61" s="449">
        <f t="shared" si="67"/>
        <v>15.75</v>
      </c>
      <c r="T61" s="449">
        <f>K61+Q61</f>
        <v>6662.2259999999997</v>
      </c>
      <c r="U61" s="449">
        <f>F61+M61+R61+I61+O61</f>
        <v>2150</v>
      </c>
      <c r="V61" s="450">
        <f>S61+T61</f>
        <v>6677.9759999999997</v>
      </c>
      <c r="W61" s="326"/>
      <c r="X61" s="318"/>
      <c r="Y61" s="319"/>
      <c r="Z61" s="319"/>
    </row>
    <row r="62" spans="1:82" s="358" customFormat="1" ht="27.5" hidden="1" x14ac:dyDescent="0.45">
      <c r="A62" s="461" t="s">
        <v>351</v>
      </c>
      <c r="B62" s="442" t="s">
        <v>320</v>
      </c>
      <c r="C62" s="447" t="s">
        <v>319</v>
      </c>
      <c r="D62" s="448">
        <v>600</v>
      </c>
      <c r="E62" s="448">
        <v>1</v>
      </c>
      <c r="F62" s="448">
        <f>D62*E62</f>
        <v>600</v>
      </c>
      <c r="G62" s="448">
        <v>4</v>
      </c>
      <c r="H62" s="448">
        <f>G62*F62</f>
        <v>2400</v>
      </c>
      <c r="I62" s="448">
        <f>D62*8</f>
        <v>4800</v>
      </c>
      <c r="J62" s="448">
        <f t="shared" si="65"/>
        <v>3850.2</v>
      </c>
      <c r="K62" s="444">
        <f>J62+H62</f>
        <v>6250.2</v>
      </c>
      <c r="L62" s="449">
        <v>450</v>
      </c>
      <c r="M62" s="449">
        <f>L62*4</f>
        <v>1800</v>
      </c>
      <c r="N62" s="449">
        <f>L62*14</f>
        <v>6300</v>
      </c>
      <c r="O62" s="449">
        <f t="shared" si="61"/>
        <v>2250</v>
      </c>
      <c r="P62" s="449">
        <f>L62*14</f>
        <v>6300</v>
      </c>
      <c r="Q62" s="449">
        <f>N62+P62</f>
        <v>12600</v>
      </c>
      <c r="R62" s="449">
        <f t="shared" si="47"/>
        <v>4050</v>
      </c>
      <c r="S62" s="449">
        <f t="shared" si="67"/>
        <v>101.25</v>
      </c>
      <c r="T62" s="449">
        <f>K62+Q62</f>
        <v>18850.2</v>
      </c>
      <c r="U62" s="449">
        <f>F62+M62+R62+I62+O62</f>
        <v>13500</v>
      </c>
      <c r="V62" s="450">
        <f>S62+T62</f>
        <v>18951.45</v>
      </c>
      <c r="W62" s="356"/>
      <c r="X62" s="356"/>
      <c r="Y62" s="357"/>
      <c r="Z62" s="357"/>
    </row>
    <row r="63" spans="1:82" ht="27.5" hidden="1" x14ac:dyDescent="0.45">
      <c r="A63" s="462" t="s">
        <v>364</v>
      </c>
      <c r="B63" s="442" t="s">
        <v>108</v>
      </c>
      <c r="C63" s="430"/>
      <c r="D63" s="448">
        <v>125</v>
      </c>
      <c r="E63" s="448">
        <v>1</v>
      </c>
      <c r="F63" s="448">
        <f t="shared" si="38"/>
        <v>125</v>
      </c>
      <c r="G63" s="448">
        <v>38.58</v>
      </c>
      <c r="H63" s="448">
        <f>G63*F63</f>
        <v>4822.5</v>
      </c>
      <c r="I63" s="448">
        <f t="shared" si="39"/>
        <v>1000</v>
      </c>
      <c r="J63" s="448">
        <f>D63*6.418</f>
        <v>802.25</v>
      </c>
      <c r="K63" s="444">
        <f t="shared" si="41"/>
        <v>5624.75</v>
      </c>
      <c r="L63" s="448">
        <v>55</v>
      </c>
      <c r="M63" s="445">
        <f t="shared" si="42"/>
        <v>220</v>
      </c>
      <c r="N63" s="449">
        <f t="shared" si="43"/>
        <v>770</v>
      </c>
      <c r="O63" s="449">
        <f t="shared" si="61"/>
        <v>275</v>
      </c>
      <c r="P63" s="449">
        <f t="shared" si="45"/>
        <v>770</v>
      </c>
      <c r="Q63" s="449">
        <f t="shared" si="46"/>
        <v>1540</v>
      </c>
      <c r="R63" s="449">
        <f t="shared" si="47"/>
        <v>495</v>
      </c>
      <c r="S63" s="449">
        <f>L63*RecordHours</f>
        <v>12.375</v>
      </c>
      <c r="T63" s="449">
        <f t="shared" ref="T63:T64" si="68">K63+Q63</f>
        <v>7164.75</v>
      </c>
      <c r="U63" s="449">
        <f t="shared" si="50"/>
        <v>2115</v>
      </c>
      <c r="V63" s="446">
        <f>+T63+S63</f>
        <v>7177.125</v>
      </c>
      <c r="W63" s="114"/>
    </row>
    <row r="64" spans="1:82" ht="27.5" hidden="1" x14ac:dyDescent="0.45">
      <c r="A64" s="462" t="s">
        <v>136</v>
      </c>
      <c r="B64" s="442" t="s">
        <v>137</v>
      </c>
      <c r="C64" s="431" t="s">
        <v>36</v>
      </c>
      <c r="D64" s="448">
        <v>1092</v>
      </c>
      <c r="E64" s="463">
        <v>1</v>
      </c>
      <c r="F64" s="448">
        <f t="shared" si="38"/>
        <v>1092</v>
      </c>
      <c r="G64" s="448">
        <v>40</v>
      </c>
      <c r="H64" s="448">
        <f>G64*F64</f>
        <v>43680</v>
      </c>
      <c r="I64" s="448">
        <f t="shared" si="39"/>
        <v>8736</v>
      </c>
      <c r="J64" s="448">
        <f>D64*6.417</f>
        <v>7007.3639999999996</v>
      </c>
      <c r="K64" s="444">
        <f t="shared" si="41"/>
        <v>50687.364000000001</v>
      </c>
      <c r="L64" s="448">
        <v>1092</v>
      </c>
      <c r="M64" s="445">
        <f t="shared" si="42"/>
        <v>4368</v>
      </c>
      <c r="N64" s="449">
        <f t="shared" si="43"/>
        <v>15288</v>
      </c>
      <c r="O64" s="449">
        <f t="shared" si="61"/>
        <v>5460</v>
      </c>
      <c r="P64" s="449">
        <f t="shared" si="45"/>
        <v>15288</v>
      </c>
      <c r="Q64" s="449">
        <f t="shared" si="46"/>
        <v>30576</v>
      </c>
      <c r="R64" s="449">
        <f t="shared" si="47"/>
        <v>9828</v>
      </c>
      <c r="S64" s="449">
        <f>L64*RecordHours</f>
        <v>245.70000000000002</v>
      </c>
      <c r="T64" s="449">
        <f t="shared" si="68"/>
        <v>81263.364000000001</v>
      </c>
      <c r="U64" s="449">
        <f t="shared" si="50"/>
        <v>29484</v>
      </c>
      <c r="V64" s="446">
        <f>+T64+S64</f>
        <v>81509.063999999998</v>
      </c>
      <c r="W64" s="114"/>
    </row>
    <row r="65" spans="1:30" s="212" customFormat="1" ht="34" customHeight="1" x14ac:dyDescent="0.45">
      <c r="A65" s="575" t="s">
        <v>138</v>
      </c>
      <c r="B65" s="571"/>
      <c r="C65" s="571"/>
      <c r="D65" s="454">
        <f>SUM(D50:D64)</f>
        <v>3106</v>
      </c>
      <c r="E65" s="454">
        <f>AVERAGE(E22:E64)</f>
        <v>1.0500810756029999</v>
      </c>
      <c r="F65" s="454">
        <f>SUM(F50:F64)</f>
        <v>3195</v>
      </c>
      <c r="G65" s="455">
        <f>H65/F65</f>
        <v>32.72656807511737</v>
      </c>
      <c r="H65" s="454">
        <f t="shared" ref="H65:V65" si="69">SUM(H50:H64)</f>
        <v>104561.38500000001</v>
      </c>
      <c r="I65" s="454">
        <f t="shared" si="69"/>
        <v>24848</v>
      </c>
      <c r="J65" s="454">
        <f t="shared" si="69"/>
        <v>20502.440000000002</v>
      </c>
      <c r="K65" s="454">
        <f t="shared" si="69"/>
        <v>125063.825</v>
      </c>
      <c r="L65" s="454">
        <f t="shared" si="69"/>
        <v>2492</v>
      </c>
      <c r="M65" s="454">
        <f t="shared" si="69"/>
        <v>9968</v>
      </c>
      <c r="N65" s="454">
        <f t="shared" si="69"/>
        <v>34888</v>
      </c>
      <c r="O65" s="454">
        <f t="shared" si="69"/>
        <v>12460</v>
      </c>
      <c r="P65" s="454">
        <f t="shared" si="69"/>
        <v>34888</v>
      </c>
      <c r="Q65" s="454">
        <f t="shared" si="69"/>
        <v>69776</v>
      </c>
      <c r="R65" s="454">
        <f t="shared" si="69"/>
        <v>22428</v>
      </c>
      <c r="S65" s="454">
        <f t="shared" si="69"/>
        <v>560.70000000000005</v>
      </c>
      <c r="T65" s="454">
        <f t="shared" si="69"/>
        <v>194839.82500000001</v>
      </c>
      <c r="U65" s="454">
        <f t="shared" si="69"/>
        <v>72899</v>
      </c>
      <c r="V65" s="457">
        <f t="shared" si="69"/>
        <v>195400.52499999999</v>
      </c>
      <c r="W65" s="156"/>
      <c r="X65" s="211"/>
      <c r="Y65" s="210"/>
      <c r="Z65" s="210"/>
      <c r="AB65" s="213"/>
      <c r="AD65" s="214"/>
    </row>
    <row r="66" spans="1:30" s="114" customFormat="1" ht="23.5" x14ac:dyDescent="0.55000000000000004">
      <c r="A66" s="574" t="s">
        <v>139</v>
      </c>
      <c r="B66" s="572"/>
      <c r="C66" s="572"/>
      <c r="D66" s="572"/>
      <c r="E66" s="572"/>
      <c r="F66" s="572"/>
      <c r="G66" s="572"/>
      <c r="H66" s="572"/>
      <c r="I66" s="572"/>
      <c r="J66" s="572"/>
      <c r="K66" s="572"/>
      <c r="L66" s="572"/>
      <c r="M66" s="572"/>
      <c r="N66" s="572"/>
      <c r="O66" s="572"/>
      <c r="P66" s="572"/>
      <c r="Q66" s="572"/>
      <c r="R66" s="572"/>
      <c r="S66" s="572"/>
      <c r="T66" s="572"/>
      <c r="U66" s="572"/>
      <c r="V66" s="573"/>
      <c r="W66" s="155"/>
      <c r="X66" s="155"/>
      <c r="Y66" s="156"/>
      <c r="Z66" s="156"/>
    </row>
    <row r="67" spans="1:30" s="310" customFormat="1" ht="40.5" hidden="1" x14ac:dyDescent="0.45">
      <c r="A67" s="464" t="s">
        <v>313</v>
      </c>
      <c r="B67" s="465" t="s">
        <v>140</v>
      </c>
      <c r="C67" s="466" t="s">
        <v>74</v>
      </c>
      <c r="D67" s="467">
        <v>1</v>
      </c>
      <c r="E67" s="467">
        <v>1</v>
      </c>
      <c r="F67" s="467">
        <v>1</v>
      </c>
      <c r="G67" s="467">
        <v>35</v>
      </c>
      <c r="H67" s="468">
        <f>G67*F67</f>
        <v>35</v>
      </c>
      <c r="I67" s="468">
        <f>D67*9</f>
        <v>9</v>
      </c>
      <c r="J67" s="468">
        <f>F67*6.667</f>
        <v>6.6669999999999998</v>
      </c>
      <c r="K67" s="469">
        <f>J67+H67</f>
        <v>41.667000000000002</v>
      </c>
      <c r="L67" s="470">
        <v>1</v>
      </c>
      <c r="M67" s="471">
        <f>L67*4</f>
        <v>4</v>
      </c>
      <c r="N67" s="471">
        <f>L67*14</f>
        <v>14</v>
      </c>
      <c r="O67" s="471">
        <f>L67*5</f>
        <v>5</v>
      </c>
      <c r="P67" s="471">
        <f>L67*14</f>
        <v>14</v>
      </c>
      <c r="Q67" s="471">
        <f>N67+P67</f>
        <v>28</v>
      </c>
      <c r="R67" s="471">
        <f t="shared" ref="R67:R70" si="70">L67*RecordResponse</f>
        <v>9</v>
      </c>
      <c r="S67" s="471">
        <f>L67*RecordHours</f>
        <v>0.22500000000000001</v>
      </c>
      <c r="T67" s="471">
        <f>K67+Q67</f>
        <v>69.667000000000002</v>
      </c>
      <c r="U67" s="471">
        <f>F67+M67+R67+I67+O67</f>
        <v>28</v>
      </c>
      <c r="V67" s="472">
        <f>S67+T67</f>
        <v>69.891999999999996</v>
      </c>
      <c r="W67" s="308"/>
      <c r="X67" s="308"/>
      <c r="Y67" s="309"/>
      <c r="Z67" s="309"/>
    </row>
    <row r="68" spans="1:30" s="320" customFormat="1" ht="53.5" hidden="1" x14ac:dyDescent="0.45">
      <c r="A68" s="464" t="s">
        <v>314</v>
      </c>
      <c r="B68" s="473" t="s">
        <v>141</v>
      </c>
      <c r="C68" s="474" t="s">
        <v>142</v>
      </c>
      <c r="D68" s="468">
        <v>20</v>
      </c>
      <c r="E68" s="468">
        <v>1</v>
      </c>
      <c r="F68" s="468">
        <f>D68*E68</f>
        <v>20</v>
      </c>
      <c r="G68" s="468">
        <v>38.58</v>
      </c>
      <c r="H68" s="468">
        <f>G68*F68</f>
        <v>771.59999999999991</v>
      </c>
      <c r="I68" s="468">
        <f>D68*9</f>
        <v>180</v>
      </c>
      <c r="J68" s="468">
        <f>F68*6.667</f>
        <v>133.34</v>
      </c>
      <c r="K68" s="469">
        <f>J68+H68</f>
        <v>904.93999999999994</v>
      </c>
      <c r="L68" s="471">
        <v>15</v>
      </c>
      <c r="M68" s="471">
        <f>L68*4</f>
        <v>60</v>
      </c>
      <c r="N68" s="471">
        <f>L68*14</f>
        <v>210</v>
      </c>
      <c r="O68" s="471">
        <f>L68*5</f>
        <v>75</v>
      </c>
      <c r="P68" s="471">
        <f>L68*14</f>
        <v>210</v>
      </c>
      <c r="Q68" s="471">
        <f>N68+P68</f>
        <v>420</v>
      </c>
      <c r="R68" s="471">
        <f t="shared" si="70"/>
        <v>135</v>
      </c>
      <c r="S68" s="471">
        <f>L68*RecordHours</f>
        <v>3.375</v>
      </c>
      <c r="T68" s="471">
        <f>K68+Q68</f>
        <v>1324.94</v>
      </c>
      <c r="U68" s="471">
        <f>F68+M68+R68+I68+O68</f>
        <v>470</v>
      </c>
      <c r="V68" s="472">
        <f>S68+T68</f>
        <v>1328.3150000000001</v>
      </c>
      <c r="W68" s="326"/>
      <c r="X68" s="318"/>
      <c r="Y68" s="319"/>
      <c r="Z68" s="319"/>
    </row>
    <row r="69" spans="1:30" s="199" customFormat="1" ht="53.5" hidden="1" x14ac:dyDescent="0.45">
      <c r="A69" s="475" t="s">
        <v>362</v>
      </c>
      <c r="B69" s="476" t="s">
        <v>47</v>
      </c>
      <c r="C69" s="477" t="s">
        <v>142</v>
      </c>
      <c r="D69" s="478">
        <v>110</v>
      </c>
      <c r="E69" s="478">
        <v>1</v>
      </c>
      <c r="F69" s="478">
        <f>D69*E69</f>
        <v>110</v>
      </c>
      <c r="G69" s="478">
        <v>53.582999999999998</v>
      </c>
      <c r="H69" s="478">
        <f t="shared" ref="H69:H71" si="71">G69*F69</f>
        <v>5894.13</v>
      </c>
      <c r="I69" s="478">
        <f>D69*9</f>
        <v>990</v>
      </c>
      <c r="J69" s="478">
        <f>F69*6.667</f>
        <v>733.37</v>
      </c>
      <c r="K69" s="469">
        <f t="shared" si="11"/>
        <v>6627.5</v>
      </c>
      <c r="L69" s="478">
        <v>103</v>
      </c>
      <c r="M69" s="479">
        <f t="shared" ref="M69:M71" si="72">L69*4</f>
        <v>412</v>
      </c>
      <c r="N69" s="479">
        <f t="shared" ref="N69:N71" si="73">L69*14</f>
        <v>1442</v>
      </c>
      <c r="O69" s="479">
        <f t="shared" ref="O69:O71" si="74">L69*5</f>
        <v>515</v>
      </c>
      <c r="P69" s="479">
        <f t="shared" ref="P69:P71" si="75">L69*14</f>
        <v>1442</v>
      </c>
      <c r="Q69" s="479">
        <f t="shared" ref="Q69:Q71" si="76">N69+P69</f>
        <v>2884</v>
      </c>
      <c r="R69" s="479">
        <f t="shared" si="70"/>
        <v>927</v>
      </c>
      <c r="S69" s="479">
        <f t="shared" ref="S69:S70" si="77">L69*RecordHours</f>
        <v>23.175000000000001</v>
      </c>
      <c r="T69" s="479">
        <f t="shared" ref="T69" si="78">K69+Q69</f>
        <v>9511.5</v>
      </c>
      <c r="U69" s="479">
        <f t="shared" ref="U69" si="79">F69+M69+R69+I69+O69</f>
        <v>2954</v>
      </c>
      <c r="V69" s="480">
        <f t="shared" ref="V69" si="80">S69+T69</f>
        <v>9534.6749999999993</v>
      </c>
      <c r="W69" s="325"/>
      <c r="X69" s="197">
        <v>3.6666666666666665</v>
      </c>
      <c r="Y69" s="198">
        <f t="shared" si="15"/>
        <v>522</v>
      </c>
      <c r="Z69" s="198">
        <f t="shared" ref="Z69" si="81">H69+N69</f>
        <v>7336.13</v>
      </c>
    </row>
    <row r="70" spans="1:30" s="320" customFormat="1" ht="66.5" hidden="1" customHeight="1" x14ac:dyDescent="0.45">
      <c r="A70" s="481" t="s">
        <v>315</v>
      </c>
      <c r="B70" s="473" t="s">
        <v>143</v>
      </c>
      <c r="C70" s="474" t="s">
        <v>142</v>
      </c>
      <c r="D70" s="468">
        <v>50</v>
      </c>
      <c r="E70" s="468">
        <v>1</v>
      </c>
      <c r="F70" s="468">
        <f>D70*E70</f>
        <v>50</v>
      </c>
      <c r="G70" s="468">
        <v>50</v>
      </c>
      <c r="H70" s="468">
        <f t="shared" si="71"/>
        <v>2500</v>
      </c>
      <c r="I70" s="468">
        <f>D70*9</f>
        <v>450</v>
      </c>
      <c r="J70" s="468">
        <f>F70*6.667</f>
        <v>333.34999999999997</v>
      </c>
      <c r="K70" s="469">
        <f>J70+H70</f>
        <v>2833.35</v>
      </c>
      <c r="L70" s="471">
        <v>30</v>
      </c>
      <c r="M70" s="471">
        <f>L70*4</f>
        <v>120</v>
      </c>
      <c r="N70" s="471">
        <f>L70*14</f>
        <v>420</v>
      </c>
      <c r="O70" s="471">
        <f>L70*5</f>
        <v>150</v>
      </c>
      <c r="P70" s="471">
        <f>L70*14</f>
        <v>420</v>
      </c>
      <c r="Q70" s="471">
        <f>N70+P70</f>
        <v>840</v>
      </c>
      <c r="R70" s="471">
        <f t="shared" si="70"/>
        <v>270</v>
      </c>
      <c r="S70" s="471">
        <f t="shared" si="77"/>
        <v>6.75</v>
      </c>
      <c r="T70" s="471">
        <f>K70+Q70</f>
        <v>3673.35</v>
      </c>
      <c r="U70" s="471">
        <f>F70+M70+R70+I70+O70</f>
        <v>1040</v>
      </c>
      <c r="V70" s="472">
        <f>S70+T70</f>
        <v>3680.1</v>
      </c>
      <c r="W70" s="326"/>
      <c r="X70" s="318"/>
      <c r="Y70" s="319"/>
      <c r="Z70" s="319"/>
    </row>
    <row r="71" spans="1:30" ht="27.5" hidden="1" x14ac:dyDescent="0.45">
      <c r="A71" s="482" t="s">
        <v>144</v>
      </c>
      <c r="B71" s="483" t="s">
        <v>108</v>
      </c>
      <c r="C71" s="484" t="s">
        <v>142</v>
      </c>
      <c r="D71" s="485">
        <v>50</v>
      </c>
      <c r="E71" s="485">
        <v>1</v>
      </c>
      <c r="F71" s="485">
        <f>D71*E71</f>
        <v>50</v>
      </c>
      <c r="G71" s="485">
        <v>44.332999999999998</v>
      </c>
      <c r="H71" s="448">
        <f t="shared" si="71"/>
        <v>2216.65</v>
      </c>
      <c r="I71" s="486">
        <f>D71*9</f>
        <v>450</v>
      </c>
      <c r="J71" s="486">
        <f>F71*6.667</f>
        <v>333.34999999999997</v>
      </c>
      <c r="K71" s="469">
        <f t="shared" si="11"/>
        <v>2550</v>
      </c>
      <c r="L71" s="487">
        <v>20</v>
      </c>
      <c r="M71" s="487">
        <f t="shared" si="72"/>
        <v>80</v>
      </c>
      <c r="N71" s="487">
        <f t="shared" si="73"/>
        <v>280</v>
      </c>
      <c r="O71" s="487">
        <f t="shared" si="74"/>
        <v>100</v>
      </c>
      <c r="P71" s="487">
        <f t="shared" si="75"/>
        <v>280</v>
      </c>
      <c r="Q71" s="487">
        <f t="shared" si="76"/>
        <v>560</v>
      </c>
      <c r="R71" s="487">
        <f>L71*RecordResponse</f>
        <v>180</v>
      </c>
      <c r="S71" s="487">
        <f>L71*RecordHours</f>
        <v>4.5</v>
      </c>
      <c r="T71" s="488">
        <f>K71+Q71</f>
        <v>3110</v>
      </c>
      <c r="U71" s="488">
        <f>F71+M71+R71+I71+O71</f>
        <v>860</v>
      </c>
      <c r="V71" s="489">
        <f>S71+T71</f>
        <v>3114.5</v>
      </c>
      <c r="W71" s="155"/>
      <c r="X71" s="152">
        <v>2.4545454545454546</v>
      </c>
      <c r="Y71" s="157">
        <f t="shared" si="15"/>
        <v>130</v>
      </c>
      <c r="Z71" s="157">
        <f>H71+N71</f>
        <v>2496.65</v>
      </c>
    </row>
    <row r="72" spans="1:30" s="114" customFormat="1" ht="34.5" customHeight="1" x14ac:dyDescent="0.45">
      <c r="A72" s="567" t="s">
        <v>145</v>
      </c>
      <c r="B72" s="568"/>
      <c r="C72" s="568"/>
      <c r="D72" s="490">
        <f>SUM(D67:D71)</f>
        <v>231</v>
      </c>
      <c r="E72" s="490">
        <f>AVERAGE(E28:E71)</f>
        <v>1.0513025652518533</v>
      </c>
      <c r="F72" s="490">
        <f>SUM(F67:F71)</f>
        <v>231</v>
      </c>
      <c r="G72" s="490">
        <f>H72/F72</f>
        <v>49.42588744588744</v>
      </c>
      <c r="H72" s="490">
        <f t="shared" ref="H72:V72" si="82">SUM(H67:H71)</f>
        <v>11417.38</v>
      </c>
      <c r="I72" s="490">
        <f t="shared" si="82"/>
        <v>2079</v>
      </c>
      <c r="J72" s="490">
        <f t="shared" si="82"/>
        <v>1540.0769999999998</v>
      </c>
      <c r="K72" s="491">
        <f t="shared" si="82"/>
        <v>12957.457</v>
      </c>
      <c r="L72" s="490">
        <f t="shared" si="82"/>
        <v>169</v>
      </c>
      <c r="M72" s="490">
        <f t="shared" si="82"/>
        <v>676</v>
      </c>
      <c r="N72" s="490">
        <f t="shared" si="82"/>
        <v>2366</v>
      </c>
      <c r="O72" s="490">
        <f t="shared" si="82"/>
        <v>845</v>
      </c>
      <c r="P72" s="490">
        <f t="shared" si="82"/>
        <v>2366</v>
      </c>
      <c r="Q72" s="490">
        <f t="shared" si="82"/>
        <v>4732</v>
      </c>
      <c r="R72" s="490">
        <f t="shared" si="82"/>
        <v>1521</v>
      </c>
      <c r="S72" s="490">
        <f t="shared" si="82"/>
        <v>38.025000000000006</v>
      </c>
      <c r="T72" s="490">
        <f t="shared" si="82"/>
        <v>17689.457000000002</v>
      </c>
      <c r="U72" s="490">
        <f t="shared" si="82"/>
        <v>5352</v>
      </c>
      <c r="V72" s="492">
        <f t="shared" si="82"/>
        <v>17727.482</v>
      </c>
      <c r="W72" s="156"/>
      <c r="X72" s="156"/>
      <c r="Y72" s="156"/>
      <c r="Z72" s="156"/>
      <c r="AA72" s="194"/>
      <c r="AB72" s="195"/>
      <c r="AD72" s="195"/>
    </row>
    <row r="73" spans="1:30" ht="34.5" customHeight="1" thickBot="1" x14ac:dyDescent="0.5">
      <c r="A73" s="569" t="s">
        <v>366</v>
      </c>
      <c r="B73" s="570"/>
      <c r="C73" s="570"/>
      <c r="D73" s="493">
        <f>D72+D65+D48+D42</f>
        <v>6967</v>
      </c>
      <c r="E73" s="494">
        <f>AVERAGE(E29:E72)</f>
        <v>1.0525538473311669</v>
      </c>
      <c r="F73" s="493">
        <f>F72+F65+F48+F42</f>
        <v>7066</v>
      </c>
      <c r="G73" s="495">
        <f>H73/F73</f>
        <v>38.256367676195858</v>
      </c>
      <c r="H73" s="496">
        <f t="shared" ref="H73:U73" si="83">H72+H65+H48+H42</f>
        <v>270319.49399999995</v>
      </c>
      <c r="I73" s="493">
        <f t="shared" si="83"/>
        <v>56277</v>
      </c>
      <c r="J73" s="493">
        <f t="shared" si="83"/>
        <v>45477.896999999997</v>
      </c>
      <c r="K73" s="496">
        <f t="shared" si="83"/>
        <v>315797.39099999995</v>
      </c>
      <c r="L73" s="493">
        <f t="shared" si="83"/>
        <v>5223</v>
      </c>
      <c r="M73" s="493">
        <f t="shared" si="83"/>
        <v>20892</v>
      </c>
      <c r="N73" s="493">
        <f t="shared" si="83"/>
        <v>73122</v>
      </c>
      <c r="O73" s="493">
        <f t="shared" si="83"/>
        <v>26115</v>
      </c>
      <c r="P73" s="493">
        <f t="shared" si="83"/>
        <v>73122</v>
      </c>
      <c r="Q73" s="493">
        <f t="shared" si="83"/>
        <v>146495</v>
      </c>
      <c r="R73" s="493">
        <f t="shared" si="83"/>
        <v>47007</v>
      </c>
      <c r="S73" s="493">
        <f t="shared" si="83"/>
        <v>1175.175</v>
      </c>
      <c r="T73" s="493">
        <f t="shared" si="83"/>
        <v>462292.39100000006</v>
      </c>
      <c r="U73" s="494">
        <f t="shared" si="83"/>
        <v>157357</v>
      </c>
      <c r="V73" s="497">
        <f>V72+V65+V48+V42</f>
        <v>463467.56599999999</v>
      </c>
      <c r="W73" s="294">
        <f>+V75-1390407</f>
        <v>109593</v>
      </c>
      <c r="X73" s="157"/>
      <c r="Y73" s="157"/>
      <c r="Z73" s="157"/>
      <c r="AA73" s="113"/>
      <c r="AB73" s="113"/>
      <c r="AD73" s="113"/>
    </row>
    <row r="74" spans="1:30" x14ac:dyDescent="0.45">
      <c r="A74" s="160"/>
      <c r="E74" s="421"/>
      <c r="F74" s="422"/>
      <c r="H74" s="157"/>
      <c r="I74" s="152"/>
      <c r="J74" s="152"/>
      <c r="K74" s="190"/>
      <c r="L74" s="155"/>
      <c r="M74" s="155"/>
      <c r="N74" s="155"/>
      <c r="O74" s="155"/>
      <c r="P74" s="155"/>
      <c r="Q74" s="155"/>
      <c r="R74" s="152"/>
      <c r="S74" s="155"/>
      <c r="T74" s="155"/>
      <c r="U74" s="155"/>
      <c r="V74" s="156"/>
      <c r="W74" s="155"/>
      <c r="X74" s="152"/>
      <c r="Y74" s="157"/>
      <c r="Z74" s="157"/>
    </row>
    <row r="75" spans="1:30" x14ac:dyDescent="0.45">
      <c r="A75"/>
      <c r="E75" s="421"/>
      <c r="F75" s="422"/>
      <c r="G75" s="152"/>
      <c r="H75" s="157"/>
      <c r="I75" s="157"/>
      <c r="J75" s="152"/>
      <c r="K75" s="190"/>
      <c r="L75" s="155"/>
      <c r="M75" s="155"/>
      <c r="N75" s="155"/>
      <c r="O75" s="155"/>
      <c r="P75" s="155"/>
      <c r="Q75" s="155"/>
      <c r="R75" s="152"/>
      <c r="S75" s="155" t="s">
        <v>147</v>
      </c>
      <c r="T75" s="162" t="s">
        <v>148</v>
      </c>
      <c r="U75" s="295">
        <f>+U73*3</f>
        <v>472071</v>
      </c>
      <c r="V75" s="295">
        <f>500000*3</f>
        <v>1500000</v>
      </c>
      <c r="W75" s="152" t="s">
        <v>149</v>
      </c>
      <c r="X75" s="152"/>
      <c r="Y75" s="152"/>
      <c r="Z75" s="163"/>
      <c r="AA75" s="113"/>
    </row>
    <row r="76" spans="1:30" x14ac:dyDescent="0.45">
      <c r="A76" s="152"/>
      <c r="E76" s="421"/>
      <c r="F76" s="422"/>
      <c r="G76" s="157"/>
      <c r="H76" s="152"/>
      <c r="I76" s="152"/>
      <c r="J76" s="152"/>
      <c r="K76" s="190"/>
      <c r="L76" s="155"/>
      <c r="M76" s="155"/>
      <c r="N76" s="155"/>
      <c r="O76" s="155"/>
      <c r="P76" s="155"/>
      <c r="Q76" s="155"/>
      <c r="R76" s="152"/>
      <c r="S76" s="155" t="s">
        <v>150</v>
      </c>
      <c r="T76" s="162" t="s">
        <v>151</v>
      </c>
      <c r="U76" s="295">
        <f>U73</f>
        <v>157357</v>
      </c>
      <c r="V76" s="295">
        <f>+V73</f>
        <v>463467.56599999999</v>
      </c>
      <c r="W76" s="156" t="s">
        <v>152</v>
      </c>
      <c r="X76" s="157"/>
      <c r="Y76" s="157"/>
      <c r="Z76" s="152"/>
    </row>
    <row r="77" spans="1:30" x14ac:dyDescent="0.45">
      <c r="A77" s="152"/>
      <c r="E77" s="421"/>
      <c r="F77" s="422"/>
      <c r="G77" s="152"/>
      <c r="H77" s="152"/>
      <c r="I77" s="152"/>
      <c r="J77" s="152"/>
      <c r="K77" s="190"/>
      <c r="L77" s="155"/>
      <c r="M77" s="155"/>
      <c r="N77" s="155"/>
      <c r="O77" s="155"/>
      <c r="P77" s="155"/>
      <c r="Q77" s="155"/>
      <c r="R77" s="152"/>
      <c r="S77" s="155"/>
      <c r="T77" s="162" t="s">
        <v>153</v>
      </c>
      <c r="U77" s="295">
        <f>U75-U76</f>
        <v>314714</v>
      </c>
      <c r="V77" s="295">
        <f>V75-V76</f>
        <v>1036532.434</v>
      </c>
      <c r="W77" s="155" t="s">
        <v>154</v>
      </c>
      <c r="X77" s="152"/>
      <c r="Y77" s="152"/>
      <c r="Z77" s="152"/>
    </row>
    <row r="78" spans="1:30" x14ac:dyDescent="0.45">
      <c r="F78" s="423"/>
      <c r="T78" s="116"/>
      <c r="U78" s="113"/>
      <c r="V78" s="113"/>
      <c r="W78" s="114"/>
    </row>
    <row r="79" spans="1:30" x14ac:dyDescent="0.45">
      <c r="W79" s="114"/>
    </row>
    <row r="80" spans="1:30" x14ac:dyDescent="0.45">
      <c r="N80" s="117"/>
      <c r="P80" s="117"/>
      <c r="Q80" s="117"/>
      <c r="W80" s="114"/>
    </row>
    <row r="81" spans="23:23" x14ac:dyDescent="0.45">
      <c r="W81" s="114"/>
    </row>
    <row r="82" spans="23:23" x14ac:dyDescent="0.45">
      <c r="W82" s="114"/>
    </row>
    <row r="83" spans="23:23" x14ac:dyDescent="0.45">
      <c r="W83" s="114"/>
    </row>
    <row r="84" spans="23:23" x14ac:dyDescent="0.45">
      <c r="W84" s="114"/>
    </row>
    <row r="85" spans="23:23" x14ac:dyDescent="0.45">
      <c r="W85" s="114"/>
    </row>
  </sheetData>
  <mergeCells count="14">
    <mergeCell ref="A3:V3"/>
    <mergeCell ref="D1:H1"/>
    <mergeCell ref="L1:N1"/>
    <mergeCell ref="O1:P1"/>
    <mergeCell ref="R1:S1"/>
    <mergeCell ref="T1:V1"/>
    <mergeCell ref="A72:C72"/>
    <mergeCell ref="A73:C73"/>
    <mergeCell ref="A42:C42"/>
    <mergeCell ref="A43:V43"/>
    <mergeCell ref="A48:C48"/>
    <mergeCell ref="A49:V49"/>
    <mergeCell ref="A65:C65"/>
    <mergeCell ref="A66:V6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FF"/>
    <pageSetUpPr fitToPage="1"/>
  </sheetPr>
  <dimension ref="A1:T52"/>
  <sheetViews>
    <sheetView workbookViewId="0"/>
  </sheetViews>
  <sheetFormatPr defaultColWidth="9.1796875" defaultRowHeight="14.5" x14ac:dyDescent="0.35"/>
  <cols>
    <col min="1" max="1" width="19.1796875" style="37" customWidth="1"/>
    <col min="2" max="2" width="51.54296875" style="37" customWidth="1"/>
    <col min="3" max="3" width="18.1796875" style="37" customWidth="1"/>
    <col min="4" max="4" width="13.81640625" style="37" bestFit="1" customWidth="1"/>
    <col min="5" max="5" width="14.81640625" style="37" bestFit="1" customWidth="1"/>
    <col min="6" max="6" width="9.81640625" style="37" customWidth="1"/>
    <col min="7" max="7" width="10.453125" style="37" bestFit="1" customWidth="1"/>
    <col min="8" max="9" width="12.1796875" style="37" customWidth="1"/>
    <col min="10" max="12" width="11.453125" style="37" customWidth="1"/>
    <col min="13" max="13" width="9.1796875" style="37"/>
    <col min="14" max="17" width="9.1796875" style="37" customWidth="1"/>
    <col min="18" max="16384" width="9.1796875" style="37"/>
  </cols>
  <sheetData>
    <row r="1" spans="1:17" ht="58.5" thickBot="1" x14ac:dyDescent="0.4">
      <c r="A1" s="11" t="s">
        <v>1</v>
      </c>
      <c r="B1" s="12" t="s">
        <v>236</v>
      </c>
      <c r="C1" s="15" t="s">
        <v>237</v>
      </c>
      <c r="D1" s="11" t="s">
        <v>238</v>
      </c>
      <c r="E1" s="13" t="s">
        <v>239</v>
      </c>
      <c r="F1" s="13" t="s">
        <v>240</v>
      </c>
      <c r="G1" s="13" t="s">
        <v>241</v>
      </c>
      <c r="H1" s="14" t="s">
        <v>242</v>
      </c>
      <c r="I1" s="11" t="s">
        <v>243</v>
      </c>
      <c r="J1" s="13" t="s">
        <v>244</v>
      </c>
      <c r="K1" s="13" t="s">
        <v>245</v>
      </c>
      <c r="L1" s="14" t="s">
        <v>246</v>
      </c>
    </row>
    <row r="2" spans="1:17" s="148" customFormat="1" ht="29" x14ac:dyDescent="0.35">
      <c r="A2" s="147" t="s">
        <v>247</v>
      </c>
      <c r="B2" s="133" t="s">
        <v>248</v>
      </c>
      <c r="C2" s="134" t="s">
        <v>249</v>
      </c>
      <c r="D2" s="132">
        <v>1</v>
      </c>
      <c r="E2" s="135">
        <v>1</v>
      </c>
      <c r="F2" s="133">
        <v>1</v>
      </c>
      <c r="G2" s="135">
        <v>0.25</v>
      </c>
      <c r="H2" s="136">
        <f>F2*G2</f>
        <v>0.25</v>
      </c>
      <c r="I2" s="137">
        <v>0</v>
      </c>
      <c r="J2" s="133">
        <v>0</v>
      </c>
      <c r="K2" s="138">
        <v>0</v>
      </c>
      <c r="L2" s="139">
        <v>0</v>
      </c>
      <c r="N2" s="148" t="s">
        <v>250</v>
      </c>
      <c r="O2" s="149">
        <f>SLT_PreRespondents-'2022 Burden Table'!D39</f>
        <v>2981</v>
      </c>
      <c r="P2" s="148" t="s">
        <v>251</v>
      </c>
      <c r="Q2" s="149">
        <f>Bus_PreRespondents-'2022 Burden Table'!D71</f>
        <v>181</v>
      </c>
    </row>
    <row r="3" spans="1:17" s="148" customFormat="1" ht="29" x14ac:dyDescent="0.35">
      <c r="A3" s="150" t="s">
        <v>252</v>
      </c>
      <c r="B3" s="141" t="s">
        <v>253</v>
      </c>
      <c r="C3" s="142" t="s">
        <v>254</v>
      </c>
      <c r="D3" s="140">
        <v>1</v>
      </c>
      <c r="E3" s="143">
        <v>1</v>
      </c>
      <c r="F3" s="143">
        <f>D3*E3</f>
        <v>1</v>
      </c>
      <c r="G3" s="143">
        <v>0.25</v>
      </c>
      <c r="H3" s="144">
        <f>F3*G3</f>
        <v>0.25</v>
      </c>
      <c r="I3" s="137">
        <v>0</v>
      </c>
      <c r="J3" s="133">
        <v>0</v>
      </c>
      <c r="K3" s="138">
        <v>0</v>
      </c>
      <c r="L3" s="139">
        <v>0</v>
      </c>
    </row>
    <row r="4" spans="1:17" s="148" customFormat="1" ht="29" x14ac:dyDescent="0.35">
      <c r="A4" s="150" t="s">
        <v>255</v>
      </c>
      <c r="B4" s="141" t="s">
        <v>256</v>
      </c>
      <c r="C4" s="142" t="s">
        <v>254</v>
      </c>
      <c r="D4" s="140">
        <v>1</v>
      </c>
      <c r="E4" s="143">
        <v>1</v>
      </c>
      <c r="F4" s="143">
        <f t="shared" ref="F4:F12" si="0">D4*E4</f>
        <v>1</v>
      </c>
      <c r="G4" s="143">
        <v>0.25</v>
      </c>
      <c r="H4" s="144">
        <f t="shared" ref="H4:H12" si="1">F4*G4</f>
        <v>0.25</v>
      </c>
      <c r="I4" s="137">
        <v>0</v>
      </c>
      <c r="J4" s="133">
        <v>0</v>
      </c>
      <c r="K4" s="138">
        <v>0</v>
      </c>
      <c r="L4" s="139">
        <v>0</v>
      </c>
    </row>
    <row r="5" spans="1:17" s="148" customFormat="1" ht="43.5" x14ac:dyDescent="0.35">
      <c r="A5" s="150" t="s">
        <v>257</v>
      </c>
      <c r="B5" s="141" t="s">
        <v>258</v>
      </c>
      <c r="C5" s="142" t="s">
        <v>254</v>
      </c>
      <c r="D5" s="140">
        <v>1</v>
      </c>
      <c r="E5" s="143">
        <v>1</v>
      </c>
      <c r="F5" s="143">
        <f t="shared" ref="F5" si="2">D5*E5</f>
        <v>1</v>
      </c>
      <c r="G5" s="143">
        <v>0.25</v>
      </c>
      <c r="H5" s="144">
        <f t="shared" ref="H5" si="3">F5*G5</f>
        <v>0.25</v>
      </c>
      <c r="I5" s="137">
        <v>0</v>
      </c>
      <c r="J5" s="133">
        <v>0</v>
      </c>
      <c r="K5" s="138">
        <v>0</v>
      </c>
      <c r="L5" s="139">
        <v>0</v>
      </c>
    </row>
    <row r="6" spans="1:17" s="148" customFormat="1" ht="29" x14ac:dyDescent="0.35">
      <c r="A6" s="150" t="s">
        <v>259</v>
      </c>
      <c r="B6" s="141" t="s">
        <v>260</v>
      </c>
      <c r="C6" s="142" t="s">
        <v>254</v>
      </c>
      <c r="D6" s="140">
        <v>1</v>
      </c>
      <c r="E6" s="143">
        <v>1</v>
      </c>
      <c r="F6" s="143">
        <f t="shared" si="0"/>
        <v>1</v>
      </c>
      <c r="G6" s="143">
        <v>0.25</v>
      </c>
      <c r="H6" s="144">
        <f t="shared" si="1"/>
        <v>0.25</v>
      </c>
      <c r="I6" s="137">
        <v>0</v>
      </c>
      <c r="J6" s="133">
        <v>0</v>
      </c>
      <c r="K6" s="138">
        <v>0</v>
      </c>
      <c r="L6" s="139">
        <v>0</v>
      </c>
    </row>
    <row r="7" spans="1:17" s="148" customFormat="1" x14ac:dyDescent="0.35">
      <c r="A7" s="279" t="s">
        <v>261</v>
      </c>
      <c r="B7" s="277" t="s">
        <v>262</v>
      </c>
      <c r="C7" s="278" t="s">
        <v>263</v>
      </c>
      <c r="D7" s="279">
        <v>1</v>
      </c>
      <c r="E7" s="280">
        <v>1</v>
      </c>
      <c r="F7" s="280">
        <f t="shared" si="0"/>
        <v>1</v>
      </c>
      <c r="G7" s="280">
        <v>0.25</v>
      </c>
      <c r="H7" s="281">
        <f t="shared" si="1"/>
        <v>0.25</v>
      </c>
      <c r="I7" s="282">
        <f>+'2022 Burden Table'!D7*'Forms Burden Detail'!H7</f>
        <v>48.75</v>
      </c>
      <c r="J7" s="283">
        <f>+'2022 Burden Table'!D7*'Forms Burden Detail'!H7</f>
        <v>48.75</v>
      </c>
      <c r="K7" s="284">
        <f>+'2022 Burden Table'!D44*'Forms Burden Detail'!G7</f>
        <v>40</v>
      </c>
      <c r="L7" s="285">
        <v>40</v>
      </c>
    </row>
    <row r="8" spans="1:17" x14ac:dyDescent="0.35">
      <c r="A8" s="7" t="s">
        <v>264</v>
      </c>
      <c r="B8" s="2" t="s">
        <v>265</v>
      </c>
      <c r="C8" s="16" t="s">
        <v>266</v>
      </c>
      <c r="D8" s="7">
        <v>1</v>
      </c>
      <c r="E8" s="1">
        <v>1</v>
      </c>
      <c r="F8" s="1">
        <f t="shared" si="0"/>
        <v>1</v>
      </c>
      <c r="G8" s="1">
        <v>1</v>
      </c>
      <c r="H8" s="8">
        <f t="shared" si="1"/>
        <v>1</v>
      </c>
      <c r="I8" s="28">
        <f t="shared" ref="I8:I12" si="4">F8*$O$2</f>
        <v>2981</v>
      </c>
      <c r="J8" s="29">
        <f t="shared" ref="J8:J12" si="5">H8*$O$2</f>
        <v>2981</v>
      </c>
      <c r="K8" s="30">
        <f t="shared" ref="K8:K12" si="6">F8*$Q$2</f>
        <v>181</v>
      </c>
      <c r="L8" s="31">
        <f t="shared" ref="L8:L12" si="7">H8*$Q$2</f>
        <v>181</v>
      </c>
    </row>
    <row r="9" spans="1:17" x14ac:dyDescent="0.35">
      <c r="A9" s="7" t="s">
        <v>267</v>
      </c>
      <c r="B9" s="2" t="s">
        <v>268</v>
      </c>
      <c r="C9" s="16" t="s">
        <v>269</v>
      </c>
      <c r="D9" s="7">
        <v>1</v>
      </c>
      <c r="E9" s="1">
        <v>1</v>
      </c>
      <c r="F9" s="1">
        <f t="shared" si="0"/>
        <v>1</v>
      </c>
      <c r="G9" s="1">
        <v>3</v>
      </c>
      <c r="H9" s="8">
        <f t="shared" si="1"/>
        <v>3</v>
      </c>
      <c r="I9" s="28">
        <f t="shared" si="4"/>
        <v>2981</v>
      </c>
      <c r="J9" s="29">
        <f t="shared" si="5"/>
        <v>8943</v>
      </c>
      <c r="K9" s="30">
        <f t="shared" si="6"/>
        <v>181</v>
      </c>
      <c r="L9" s="31">
        <f t="shared" si="7"/>
        <v>543</v>
      </c>
    </row>
    <row r="10" spans="1:17" x14ac:dyDescent="0.35">
      <c r="A10" s="7" t="s">
        <v>270</v>
      </c>
      <c r="B10" s="2" t="s">
        <v>271</v>
      </c>
      <c r="C10" s="16" t="s">
        <v>272</v>
      </c>
      <c r="D10" s="7">
        <v>1</v>
      </c>
      <c r="E10" s="1">
        <v>1</v>
      </c>
      <c r="F10" s="1">
        <f t="shared" si="0"/>
        <v>1</v>
      </c>
      <c r="G10" s="6">
        <v>0.25</v>
      </c>
      <c r="H10" s="8">
        <f t="shared" si="1"/>
        <v>0.25</v>
      </c>
      <c r="I10" s="28">
        <f t="shared" si="4"/>
        <v>2981</v>
      </c>
      <c r="J10" s="29">
        <f t="shared" si="5"/>
        <v>745.25</v>
      </c>
      <c r="K10" s="30">
        <f t="shared" si="6"/>
        <v>181</v>
      </c>
      <c r="L10" s="31">
        <f t="shared" si="7"/>
        <v>45.25</v>
      </c>
    </row>
    <row r="11" spans="1:17" s="148" customFormat="1" ht="29" x14ac:dyDescent="0.35">
      <c r="A11" s="150" t="s">
        <v>273</v>
      </c>
      <c r="B11" s="141" t="s">
        <v>274</v>
      </c>
      <c r="C11" s="142" t="s">
        <v>275</v>
      </c>
      <c r="D11" s="140">
        <v>1</v>
      </c>
      <c r="E11" s="143">
        <v>1</v>
      </c>
      <c r="F11" s="143">
        <f t="shared" si="0"/>
        <v>1</v>
      </c>
      <c r="G11" s="143">
        <v>1.25</v>
      </c>
      <c r="H11" s="144">
        <f t="shared" si="1"/>
        <v>1.25</v>
      </c>
      <c r="I11" s="145">
        <f t="shared" si="4"/>
        <v>2981</v>
      </c>
      <c r="J11" s="146">
        <f t="shared" si="5"/>
        <v>3726.25</v>
      </c>
      <c r="K11" s="138">
        <v>0</v>
      </c>
      <c r="L11" s="139">
        <v>0</v>
      </c>
    </row>
    <row r="12" spans="1:17" ht="15" thickBot="1" x14ac:dyDescent="0.4">
      <c r="A12" s="21" t="s">
        <v>276</v>
      </c>
      <c r="B12" s="20" t="s">
        <v>277</v>
      </c>
      <c r="C12" s="16" t="s">
        <v>278</v>
      </c>
      <c r="D12" s="21">
        <v>1</v>
      </c>
      <c r="E12" s="17">
        <v>1</v>
      </c>
      <c r="F12" s="17">
        <f t="shared" si="0"/>
        <v>1</v>
      </c>
      <c r="G12" s="17">
        <v>0.16700000000000001</v>
      </c>
      <c r="H12" s="18">
        <f t="shared" si="1"/>
        <v>0.16700000000000001</v>
      </c>
      <c r="I12" s="28">
        <f t="shared" si="4"/>
        <v>2981</v>
      </c>
      <c r="J12" s="29">
        <f t="shared" si="5"/>
        <v>497.82700000000006</v>
      </c>
      <c r="K12" s="30">
        <f t="shared" si="6"/>
        <v>181</v>
      </c>
      <c r="L12" s="31">
        <f t="shared" si="7"/>
        <v>30.227</v>
      </c>
    </row>
    <row r="13" spans="1:17" ht="15" thickBot="1" x14ac:dyDescent="0.4">
      <c r="A13" s="22" t="s">
        <v>7</v>
      </c>
      <c r="B13" s="12"/>
      <c r="C13" s="15"/>
      <c r="D13" s="286">
        <f t="shared" ref="D13:H13" si="8">SUM(D2:D12)</f>
        <v>11</v>
      </c>
      <c r="E13" s="286">
        <v>1</v>
      </c>
      <c r="F13" s="286">
        <v>1</v>
      </c>
      <c r="G13" s="286">
        <f t="shared" si="8"/>
        <v>7.1669999999999998</v>
      </c>
      <c r="H13" s="286">
        <f t="shared" si="8"/>
        <v>7.1669999999999998</v>
      </c>
      <c r="I13" s="286">
        <f>SUM(I2:I12)</f>
        <v>14953.75</v>
      </c>
      <c r="J13" s="286">
        <f t="shared" ref="J13:L13" si="9">SUM(J2:J12)</f>
        <v>16942.077000000001</v>
      </c>
      <c r="K13" s="286">
        <f t="shared" si="9"/>
        <v>764</v>
      </c>
      <c r="L13" s="286">
        <f t="shared" si="9"/>
        <v>839.47699999999998</v>
      </c>
    </row>
    <row r="14" spans="1:17" x14ac:dyDescent="0.35">
      <c r="A14" s="5" t="s">
        <v>279</v>
      </c>
      <c r="B14" s="26"/>
      <c r="C14" s="26"/>
      <c r="D14" s="26"/>
      <c r="E14" s="26"/>
      <c r="F14" s="26"/>
      <c r="G14" s="27"/>
      <c r="H14" s="26"/>
      <c r="I14" s="26"/>
      <c r="J14" s="26"/>
      <c r="K14" s="26"/>
      <c r="L14" s="26"/>
    </row>
    <row r="16" spans="1:17" ht="15" thickBot="1" x14ac:dyDescent="0.4"/>
    <row r="17" spans="1:20" ht="58.5" thickBot="1" x14ac:dyDescent="0.4">
      <c r="A17" s="11" t="s">
        <v>280</v>
      </c>
      <c r="B17" s="12" t="s">
        <v>236</v>
      </c>
      <c r="C17" s="12" t="s">
        <v>237</v>
      </c>
      <c r="D17" s="13" t="s">
        <v>281</v>
      </c>
      <c r="E17" s="13" t="s">
        <v>239</v>
      </c>
      <c r="F17" s="13" t="s">
        <v>240</v>
      </c>
      <c r="G17" s="13" t="s">
        <v>241</v>
      </c>
      <c r="H17" s="25" t="s">
        <v>242</v>
      </c>
      <c r="I17" s="11" t="s">
        <v>243</v>
      </c>
      <c r="J17" s="13" t="s">
        <v>282</v>
      </c>
      <c r="K17" s="13" t="s">
        <v>245</v>
      </c>
      <c r="L17" s="14" t="s">
        <v>246</v>
      </c>
    </row>
    <row r="18" spans="1:20" ht="29" x14ac:dyDescent="0.35">
      <c r="A18" s="50" t="s">
        <v>283</v>
      </c>
      <c r="B18" s="51"/>
      <c r="C18" s="51"/>
      <c r="D18" s="52">
        <v>1</v>
      </c>
      <c r="E18" s="53">
        <v>3</v>
      </c>
      <c r="F18" s="52">
        <f>D18*E18</f>
        <v>3</v>
      </c>
      <c r="G18" s="53">
        <v>3</v>
      </c>
      <c r="H18" s="54">
        <f>F18*G18</f>
        <v>9</v>
      </c>
      <c r="I18" s="55">
        <f>F18*$O$18</f>
        <v>7311</v>
      </c>
      <c r="J18" s="30">
        <f>H18*$O$18</f>
        <v>21933</v>
      </c>
      <c r="K18" s="30">
        <f>F18*$Q$18</f>
        <v>447</v>
      </c>
      <c r="L18" s="31">
        <f>H18*$Q$18</f>
        <v>1341</v>
      </c>
      <c r="N18" s="37" t="s">
        <v>284</v>
      </c>
      <c r="O18" s="38">
        <f>SLT_PostRespondents-'2022 Burden Table'!L39</f>
        <v>2437</v>
      </c>
      <c r="P18" s="37" t="s">
        <v>285</v>
      </c>
      <c r="Q18" s="38">
        <f>Bus_PostRespondents-'2022 Burden Table'!L71</f>
        <v>149</v>
      </c>
    </row>
    <row r="19" spans="1:20" ht="29.5" thickBot="1" x14ac:dyDescent="0.4">
      <c r="A19" s="56" t="s">
        <v>286</v>
      </c>
      <c r="B19" s="57"/>
      <c r="C19" s="57"/>
      <c r="D19" s="58">
        <v>1</v>
      </c>
      <c r="E19" s="59">
        <v>1</v>
      </c>
      <c r="F19" s="58">
        <f t="shared" ref="F19" si="10">D19*E19</f>
        <v>1</v>
      </c>
      <c r="G19" s="59">
        <v>5</v>
      </c>
      <c r="H19" s="60">
        <f t="shared" ref="H19" si="11">F19*G19</f>
        <v>5</v>
      </c>
      <c r="I19" s="55">
        <f>F19*$O$18</f>
        <v>2437</v>
      </c>
      <c r="J19" s="30">
        <f>H19*$O$18</f>
        <v>12185</v>
      </c>
      <c r="K19" s="30">
        <f>F19*$Q$18</f>
        <v>149</v>
      </c>
      <c r="L19" s="31">
        <f>H19*$Q$18</f>
        <v>745</v>
      </c>
    </row>
    <row r="20" spans="1:20" ht="15" thickBot="1" x14ac:dyDescent="0.4">
      <c r="A20" s="61" t="s">
        <v>287</v>
      </c>
      <c r="B20" s="62"/>
      <c r="C20" s="62"/>
      <c r="D20" s="63">
        <v>1</v>
      </c>
      <c r="E20" s="64">
        <f>F20/D20</f>
        <v>4</v>
      </c>
      <c r="F20" s="63">
        <v>4</v>
      </c>
      <c r="G20" s="64">
        <f>H20/F20</f>
        <v>3.5</v>
      </c>
      <c r="H20" s="65">
        <f>SUM(H18:H19)</f>
        <v>14</v>
      </c>
      <c r="I20" s="22">
        <f>SUM(I18:I19)</f>
        <v>9748</v>
      </c>
      <c r="J20" s="12">
        <f>SUM(J18:J19)</f>
        <v>34118</v>
      </c>
      <c r="K20" s="12">
        <f>SUM(K18:K19)</f>
        <v>596</v>
      </c>
      <c r="L20" s="19">
        <f>SUM(L18:L19)</f>
        <v>2086</v>
      </c>
    </row>
    <row r="21" spans="1:20" ht="29" x14ac:dyDescent="0.35">
      <c r="A21" s="50" t="s">
        <v>288</v>
      </c>
      <c r="B21" s="3" t="s">
        <v>289</v>
      </c>
      <c r="C21" s="10" t="s">
        <v>290</v>
      </c>
      <c r="D21" s="52">
        <v>1</v>
      </c>
      <c r="E21" s="53">
        <v>4</v>
      </c>
      <c r="F21" s="52">
        <f t="shared" ref="F21:F22" si="12">D21*E21</f>
        <v>4</v>
      </c>
      <c r="G21" s="53">
        <v>1.5</v>
      </c>
      <c r="H21" s="54">
        <f t="shared" ref="H21:H22" si="13">F21*G21</f>
        <v>6</v>
      </c>
      <c r="I21" s="55">
        <f>F21*$O$18</f>
        <v>9748</v>
      </c>
      <c r="J21" s="30">
        <f>H21*$O$18</f>
        <v>14622</v>
      </c>
      <c r="K21" s="30">
        <f>F21*$Q$18</f>
        <v>596</v>
      </c>
      <c r="L21" s="31">
        <f>H21*$Q$18</f>
        <v>894</v>
      </c>
    </row>
    <row r="22" spans="1:20" ht="15" thickBot="1" x14ac:dyDescent="0.4">
      <c r="A22" s="56" t="s">
        <v>291</v>
      </c>
      <c r="B22" s="20" t="s">
        <v>292</v>
      </c>
      <c r="C22" s="17" t="s">
        <v>290</v>
      </c>
      <c r="D22" s="58">
        <v>1</v>
      </c>
      <c r="E22" s="59">
        <v>1</v>
      </c>
      <c r="F22" s="58">
        <f t="shared" si="12"/>
        <v>1</v>
      </c>
      <c r="G22" s="59">
        <v>8</v>
      </c>
      <c r="H22" s="60">
        <f t="shared" si="13"/>
        <v>8</v>
      </c>
      <c r="I22" s="55">
        <f>F22*$O$18</f>
        <v>2437</v>
      </c>
      <c r="J22" s="30">
        <f>H22*$O$18</f>
        <v>19496</v>
      </c>
      <c r="K22" s="30">
        <f>F22*$Q$18</f>
        <v>149</v>
      </c>
      <c r="L22" s="31">
        <f>H22*$Q$18</f>
        <v>1192</v>
      </c>
    </row>
    <row r="23" spans="1:20" ht="15" thickBot="1" x14ac:dyDescent="0.4">
      <c r="A23" s="66" t="s">
        <v>293</v>
      </c>
      <c r="B23" s="67"/>
      <c r="C23" s="67"/>
      <c r="D23" s="63">
        <v>1</v>
      </c>
      <c r="E23" s="64">
        <f>F23/D23</f>
        <v>5</v>
      </c>
      <c r="F23" s="63">
        <f>SUM(F21:F22)</f>
        <v>5</v>
      </c>
      <c r="G23" s="64">
        <f>H23/F23</f>
        <v>2.8</v>
      </c>
      <c r="H23" s="65">
        <f>SUM(H21:H22)</f>
        <v>14</v>
      </c>
      <c r="I23" s="68">
        <f>SUM(I21:I22)</f>
        <v>12185</v>
      </c>
      <c r="J23" s="69">
        <f>SUM(J21:J22)</f>
        <v>34118</v>
      </c>
      <c r="K23" s="69">
        <f>SUM(K21:K22)</f>
        <v>745</v>
      </c>
      <c r="L23" s="70">
        <f>SUM(L21:L22)</f>
        <v>2086</v>
      </c>
    </row>
    <row r="24" spans="1:20" ht="15" thickBot="1" x14ac:dyDescent="0.4">
      <c r="A24" s="71" t="s">
        <v>7</v>
      </c>
      <c r="B24" s="72"/>
      <c r="C24" s="72"/>
      <c r="D24" s="73">
        <v>1</v>
      </c>
      <c r="E24" s="74">
        <f>F24/D24</f>
        <v>9</v>
      </c>
      <c r="F24" s="73">
        <f t="shared" ref="F24:L24" si="14">F23+F20</f>
        <v>9</v>
      </c>
      <c r="G24" s="73">
        <f t="shared" si="14"/>
        <v>6.3</v>
      </c>
      <c r="H24" s="75">
        <f>H23+H20</f>
        <v>28</v>
      </c>
      <c r="I24" s="76">
        <f t="shared" si="14"/>
        <v>21933</v>
      </c>
      <c r="J24" s="73">
        <f t="shared" si="14"/>
        <v>68236</v>
      </c>
      <c r="K24" s="73">
        <f t="shared" si="14"/>
        <v>1341</v>
      </c>
      <c r="L24" s="77">
        <f t="shared" si="14"/>
        <v>4172</v>
      </c>
    </row>
    <row r="25" spans="1:20" x14ac:dyDescent="0.35">
      <c r="A25" s="78"/>
      <c r="B25" s="78"/>
      <c r="C25" s="78"/>
      <c r="D25" s="79"/>
      <c r="E25" s="80"/>
      <c r="F25" s="79"/>
      <c r="G25" s="80"/>
      <c r="H25" s="79"/>
      <c r="I25" s="81"/>
      <c r="J25" s="81"/>
      <c r="K25" s="81"/>
      <c r="L25" s="81"/>
    </row>
    <row r="26" spans="1:20" ht="15" thickBot="1" x14ac:dyDescent="0.4"/>
    <row r="27" spans="1:20" ht="58.5" thickBot="1" x14ac:dyDescent="0.4">
      <c r="A27" s="22" t="s">
        <v>294</v>
      </c>
      <c r="B27" s="12"/>
      <c r="C27" s="12"/>
      <c r="D27" s="13" t="s">
        <v>281</v>
      </c>
      <c r="E27" s="13" t="s">
        <v>239</v>
      </c>
      <c r="F27" s="13" t="s">
        <v>240</v>
      </c>
      <c r="G27" s="13" t="s">
        <v>241</v>
      </c>
      <c r="H27" s="25" t="s">
        <v>242</v>
      </c>
      <c r="I27" s="11" t="s">
        <v>243</v>
      </c>
      <c r="J27" s="13" t="s">
        <v>282</v>
      </c>
      <c r="K27" s="13" t="s">
        <v>245</v>
      </c>
      <c r="L27" s="14" t="s">
        <v>246</v>
      </c>
      <c r="T27" s="95"/>
    </row>
    <row r="28" spans="1:20" x14ac:dyDescent="0.35">
      <c r="A28" s="4" t="s">
        <v>264</v>
      </c>
      <c r="B28" s="3" t="s">
        <v>265</v>
      </c>
      <c r="C28" s="10" t="s">
        <v>266</v>
      </c>
      <c r="D28" s="82">
        <v>1</v>
      </c>
      <c r="E28" s="82">
        <v>1</v>
      </c>
      <c r="F28" s="82">
        <v>1</v>
      </c>
      <c r="G28" s="82">
        <v>2.5000000000000001E-2</v>
      </c>
      <c r="H28" s="83">
        <f t="shared" ref="H28:H32" si="15">F28*G28</f>
        <v>2.5000000000000001E-2</v>
      </c>
      <c r="I28" s="55">
        <f>F28*$O$18</f>
        <v>2437</v>
      </c>
      <c r="J28" s="30">
        <f>H28*$O$18</f>
        <v>60.925000000000004</v>
      </c>
      <c r="K28" s="30">
        <f>F28*$Q$18</f>
        <v>149</v>
      </c>
      <c r="L28" s="31">
        <f>H28*$Q$18</f>
        <v>3.7250000000000001</v>
      </c>
    </row>
    <row r="29" spans="1:20" x14ac:dyDescent="0.35">
      <c r="A29" s="84" t="s">
        <v>267</v>
      </c>
      <c r="B29" s="2" t="s">
        <v>268</v>
      </c>
      <c r="C29" s="1" t="s">
        <v>269</v>
      </c>
      <c r="D29" s="85">
        <v>1</v>
      </c>
      <c r="E29" s="85">
        <v>1</v>
      </c>
      <c r="F29" s="85">
        <v>1</v>
      </c>
      <c r="G29" s="85">
        <v>2.5000000000000001E-2</v>
      </c>
      <c r="H29" s="86">
        <f t="shared" ref="H29" si="16">F29*G29</f>
        <v>2.5000000000000001E-2</v>
      </c>
      <c r="I29" s="55">
        <f t="shared" ref="I29:I33" si="17">F29*$O$18</f>
        <v>2437</v>
      </c>
      <c r="J29" s="30">
        <f t="shared" ref="J29:J33" si="18">H29*$O$18</f>
        <v>60.925000000000004</v>
      </c>
      <c r="K29" s="30">
        <f t="shared" ref="K29:K33" si="19">F29*$Q$18</f>
        <v>149</v>
      </c>
      <c r="L29" s="31">
        <f t="shared" ref="L29:L33" si="20">H29*$Q$18</f>
        <v>3.7250000000000001</v>
      </c>
    </row>
    <row r="30" spans="1:20" x14ac:dyDescent="0.35">
      <c r="A30" s="84" t="s">
        <v>295</v>
      </c>
      <c r="B30" s="2" t="s">
        <v>271</v>
      </c>
      <c r="C30" s="1" t="s">
        <v>272</v>
      </c>
      <c r="D30" s="85">
        <v>1</v>
      </c>
      <c r="E30" s="85">
        <v>1</v>
      </c>
      <c r="F30" s="85">
        <v>1</v>
      </c>
      <c r="G30" s="85">
        <v>2.5000000000000001E-2</v>
      </c>
      <c r="H30" s="86">
        <f t="shared" si="15"/>
        <v>2.5000000000000001E-2</v>
      </c>
      <c r="I30" s="55">
        <f t="shared" si="17"/>
        <v>2437</v>
      </c>
      <c r="J30" s="30">
        <f t="shared" si="18"/>
        <v>60.925000000000004</v>
      </c>
      <c r="K30" s="30">
        <f t="shared" si="19"/>
        <v>149</v>
      </c>
      <c r="L30" s="31">
        <f t="shared" si="20"/>
        <v>3.7250000000000001</v>
      </c>
    </row>
    <row r="31" spans="1:20" x14ac:dyDescent="0.35">
      <c r="A31" s="84" t="s">
        <v>276</v>
      </c>
      <c r="B31" s="2" t="s">
        <v>277</v>
      </c>
      <c r="C31" s="16" t="s">
        <v>278</v>
      </c>
      <c r="D31" s="85">
        <v>1</v>
      </c>
      <c r="E31" s="85">
        <v>1</v>
      </c>
      <c r="F31" s="85">
        <v>1</v>
      </c>
      <c r="G31" s="85">
        <v>2.5000000000000001E-2</v>
      </c>
      <c r="H31" s="86">
        <f t="shared" si="15"/>
        <v>2.5000000000000001E-2</v>
      </c>
      <c r="I31" s="55">
        <f t="shared" si="17"/>
        <v>2437</v>
      </c>
      <c r="J31" s="30">
        <f t="shared" si="18"/>
        <v>60.925000000000004</v>
      </c>
      <c r="K31" s="30">
        <f t="shared" si="19"/>
        <v>149</v>
      </c>
      <c r="L31" s="31">
        <f t="shared" si="20"/>
        <v>3.7250000000000001</v>
      </c>
    </row>
    <row r="32" spans="1:20" ht="29" x14ac:dyDescent="0.35">
      <c r="A32" s="84" t="s">
        <v>296</v>
      </c>
      <c r="B32" s="2" t="s">
        <v>289</v>
      </c>
      <c r="C32" s="10" t="s">
        <v>290</v>
      </c>
      <c r="D32" s="85">
        <v>1</v>
      </c>
      <c r="E32" s="87">
        <v>4</v>
      </c>
      <c r="F32" s="85">
        <v>4</v>
      </c>
      <c r="G32" s="85">
        <v>2.5000000000000001E-2</v>
      </c>
      <c r="H32" s="86">
        <f t="shared" si="15"/>
        <v>0.1</v>
      </c>
      <c r="I32" s="55">
        <f t="shared" si="17"/>
        <v>9748</v>
      </c>
      <c r="J32" s="30">
        <f t="shared" si="18"/>
        <v>243.70000000000002</v>
      </c>
      <c r="K32" s="30">
        <f t="shared" si="19"/>
        <v>596</v>
      </c>
      <c r="L32" s="31">
        <f t="shared" si="20"/>
        <v>14.9</v>
      </c>
    </row>
    <row r="33" spans="1:12" ht="15" thickBot="1" x14ac:dyDescent="0.4">
      <c r="A33" s="88" t="s">
        <v>291</v>
      </c>
      <c r="B33" s="20" t="s">
        <v>292</v>
      </c>
      <c r="C33" s="10" t="s">
        <v>290</v>
      </c>
      <c r="D33" s="89">
        <v>1</v>
      </c>
      <c r="E33" s="89">
        <v>1</v>
      </c>
      <c r="F33" s="89">
        <v>1</v>
      </c>
      <c r="G33" s="89">
        <v>2.5000000000000001E-2</v>
      </c>
      <c r="H33" s="90">
        <f>F33*G33</f>
        <v>2.5000000000000001E-2</v>
      </c>
      <c r="I33" s="55">
        <f t="shared" si="17"/>
        <v>2437</v>
      </c>
      <c r="J33" s="30">
        <f t="shared" si="18"/>
        <v>60.925000000000004</v>
      </c>
      <c r="K33" s="30">
        <f t="shared" si="19"/>
        <v>149</v>
      </c>
      <c r="L33" s="31">
        <f t="shared" si="20"/>
        <v>3.7250000000000001</v>
      </c>
    </row>
    <row r="34" spans="1:12" ht="15" thickBot="1" x14ac:dyDescent="0.4">
      <c r="A34" s="91" t="s">
        <v>7</v>
      </c>
      <c r="B34" s="92"/>
      <c r="C34" s="92"/>
      <c r="D34" s="32">
        <v>1</v>
      </c>
      <c r="E34" s="32">
        <f>RecordResponse/D34</f>
        <v>9</v>
      </c>
      <c r="F34" s="12">
        <f>SUM(F28:F33)</f>
        <v>9</v>
      </c>
      <c r="G34" s="12">
        <f>RecordHours/RecordResponse</f>
        <v>2.5000000000000001E-2</v>
      </c>
      <c r="H34" s="93">
        <f>SUM(H28:H33)</f>
        <v>0.22500000000000001</v>
      </c>
      <c r="I34" s="94">
        <f>SUM(I28:I33)</f>
        <v>21933</v>
      </c>
      <c r="J34" s="23">
        <f t="shared" ref="J34:K34" si="21">SUM(J28:J33)</f>
        <v>548.32500000000005</v>
      </c>
      <c r="K34" s="23">
        <f t="shared" si="21"/>
        <v>1341</v>
      </c>
      <c r="L34" s="24">
        <f>SUM(L28:L33)</f>
        <v>33.524999999999999</v>
      </c>
    </row>
    <row r="36" spans="1:12" ht="15" thickBot="1" x14ac:dyDescent="0.4"/>
    <row r="37" spans="1:12" ht="15" thickBot="1" x14ac:dyDescent="0.4">
      <c r="A37" s="33"/>
      <c r="B37" s="39"/>
      <c r="C37" s="583" t="s">
        <v>221</v>
      </c>
      <c r="D37" s="583"/>
      <c r="E37" s="583" t="s">
        <v>222</v>
      </c>
      <c r="F37" s="583"/>
      <c r="G37" s="583" t="s">
        <v>7</v>
      </c>
      <c r="H37" s="584"/>
    </row>
    <row r="38" spans="1:12" ht="15" thickBot="1" x14ac:dyDescent="0.4">
      <c r="A38" s="33" t="s">
        <v>297</v>
      </c>
      <c r="B38" s="34" t="s">
        <v>236</v>
      </c>
      <c r="C38" s="34" t="s">
        <v>298</v>
      </c>
      <c r="D38" s="34" t="s">
        <v>299</v>
      </c>
      <c r="E38" s="34" t="s">
        <v>298</v>
      </c>
      <c r="F38" s="34" t="s">
        <v>299</v>
      </c>
      <c r="G38" s="34" t="s">
        <v>298</v>
      </c>
      <c r="H38" s="35" t="s">
        <v>299</v>
      </c>
    </row>
    <row r="39" spans="1:12" ht="29" x14ac:dyDescent="0.35">
      <c r="A39" s="7" t="s">
        <v>247</v>
      </c>
      <c r="B39" s="2" t="s">
        <v>248</v>
      </c>
      <c r="C39" s="1"/>
      <c r="D39" s="1"/>
      <c r="E39" s="1"/>
      <c r="F39" s="1"/>
      <c r="G39" s="1"/>
      <c r="H39" s="8"/>
    </row>
    <row r="40" spans="1:12" ht="29" x14ac:dyDescent="0.35">
      <c r="A40" s="7" t="s">
        <v>252</v>
      </c>
      <c r="B40" s="2" t="s">
        <v>253</v>
      </c>
      <c r="C40" s="1"/>
      <c r="D40" s="1"/>
      <c r="E40" s="1"/>
      <c r="F40" s="1"/>
      <c r="G40" s="1"/>
      <c r="H40" s="8"/>
    </row>
    <row r="41" spans="1:12" ht="29" x14ac:dyDescent="0.35">
      <c r="A41" s="7" t="s">
        <v>255</v>
      </c>
      <c r="B41" s="2" t="s">
        <v>256</v>
      </c>
      <c r="C41" s="1"/>
      <c r="D41" s="1"/>
      <c r="E41" s="1"/>
      <c r="F41" s="1"/>
      <c r="G41" s="1"/>
      <c r="H41" s="8"/>
    </row>
    <row r="42" spans="1:12" ht="29" x14ac:dyDescent="0.35">
      <c r="A42" s="7" t="s">
        <v>300</v>
      </c>
      <c r="B42" s="2" t="s">
        <v>301</v>
      </c>
      <c r="C42" s="1"/>
      <c r="D42" s="1"/>
      <c r="E42" s="1"/>
      <c r="F42" s="1"/>
      <c r="G42" s="1"/>
      <c r="H42" s="8"/>
    </row>
    <row r="43" spans="1:12" ht="29.5" thickBot="1" x14ac:dyDescent="0.4">
      <c r="A43" s="21" t="s">
        <v>302</v>
      </c>
      <c r="B43" s="20" t="s">
        <v>303</v>
      </c>
      <c r="C43" s="17"/>
      <c r="D43" s="17"/>
      <c r="E43" s="17"/>
      <c r="F43" s="17"/>
      <c r="G43" s="17"/>
      <c r="H43" s="18"/>
    </row>
    <row r="44" spans="1:12" ht="15" thickBot="1" x14ac:dyDescent="0.4">
      <c r="A44" s="40" t="s">
        <v>304</v>
      </c>
      <c r="B44" s="36"/>
      <c r="C44" s="41">
        <f>SUM(C39:C43)</f>
        <v>0</v>
      </c>
      <c r="D44" s="41">
        <f t="shared" ref="D44:H44" si="22">SUM(D39:D43)</f>
        <v>0</v>
      </c>
      <c r="E44" s="41">
        <f t="shared" si="22"/>
        <v>0</v>
      </c>
      <c r="F44" s="41">
        <f t="shared" si="22"/>
        <v>0</v>
      </c>
      <c r="G44" s="41">
        <f t="shared" si="22"/>
        <v>0</v>
      </c>
      <c r="H44" s="42">
        <f t="shared" si="22"/>
        <v>0</v>
      </c>
    </row>
    <row r="45" spans="1:12" x14ac:dyDescent="0.35">
      <c r="A45" s="9" t="s">
        <v>264</v>
      </c>
      <c r="B45" s="3" t="s">
        <v>265</v>
      </c>
      <c r="C45" s="10">
        <f t="shared" ref="C45:F47" si="23">I8+I28</f>
        <v>5418</v>
      </c>
      <c r="D45" s="10">
        <f t="shared" si="23"/>
        <v>3041.9250000000002</v>
      </c>
      <c r="E45" s="10">
        <f t="shared" si="23"/>
        <v>330</v>
      </c>
      <c r="F45" s="10">
        <f t="shared" si="23"/>
        <v>184.72499999999999</v>
      </c>
      <c r="G45" s="10">
        <f t="shared" ref="G45:G50" si="24">C45+E45</f>
        <v>5748</v>
      </c>
      <c r="H45" s="43">
        <f t="shared" ref="H45:H50" si="25">D45+F45</f>
        <v>3226.65</v>
      </c>
    </row>
    <row r="46" spans="1:12" x14ac:dyDescent="0.35">
      <c r="A46" s="7" t="s">
        <v>267</v>
      </c>
      <c r="B46" s="2" t="s">
        <v>268</v>
      </c>
      <c r="C46" s="1">
        <f t="shared" si="23"/>
        <v>5418</v>
      </c>
      <c r="D46" s="1">
        <f t="shared" si="23"/>
        <v>9003.9249999999993</v>
      </c>
      <c r="E46" s="1">
        <f t="shared" si="23"/>
        <v>330</v>
      </c>
      <c r="F46" s="1">
        <f t="shared" si="23"/>
        <v>546.72500000000002</v>
      </c>
      <c r="G46" s="1">
        <f t="shared" si="24"/>
        <v>5748</v>
      </c>
      <c r="H46" s="8">
        <f t="shared" si="25"/>
        <v>9550.65</v>
      </c>
    </row>
    <row r="47" spans="1:12" x14ac:dyDescent="0.35">
      <c r="A47" s="7" t="s">
        <v>270</v>
      </c>
      <c r="B47" s="2" t="s">
        <v>271</v>
      </c>
      <c r="C47" s="1">
        <f t="shared" si="23"/>
        <v>5418</v>
      </c>
      <c r="D47" s="44">
        <f t="shared" si="23"/>
        <v>806.17499999999995</v>
      </c>
      <c r="E47" s="1">
        <f t="shared" si="23"/>
        <v>330</v>
      </c>
      <c r="F47" s="1">
        <f t="shared" si="23"/>
        <v>48.975000000000001</v>
      </c>
      <c r="G47" s="1">
        <f t="shared" si="24"/>
        <v>5748</v>
      </c>
      <c r="H47" s="8">
        <f t="shared" si="25"/>
        <v>855.15</v>
      </c>
    </row>
    <row r="48" spans="1:12" ht="29" x14ac:dyDescent="0.35">
      <c r="A48" s="7" t="s">
        <v>273</v>
      </c>
      <c r="B48" s="2" t="s">
        <v>274</v>
      </c>
      <c r="C48" s="1">
        <f>I11</f>
        <v>2981</v>
      </c>
      <c r="D48" s="44">
        <f>J11</f>
        <v>3726.25</v>
      </c>
      <c r="E48" s="1">
        <f>K11</f>
        <v>0</v>
      </c>
      <c r="F48" s="1">
        <f>L11</f>
        <v>0</v>
      </c>
      <c r="G48" s="1">
        <f t="shared" si="24"/>
        <v>2981</v>
      </c>
      <c r="H48" s="8">
        <f t="shared" si="25"/>
        <v>3726.25</v>
      </c>
    </row>
    <row r="49" spans="1:10" x14ac:dyDescent="0.35">
      <c r="A49" s="7" t="s">
        <v>276</v>
      </c>
      <c r="B49" s="2" t="s">
        <v>277</v>
      </c>
      <c r="C49" s="1">
        <f>I12+I31</f>
        <v>5418</v>
      </c>
      <c r="D49" s="44">
        <f>J12+J31</f>
        <v>558.75200000000007</v>
      </c>
      <c r="E49" s="1">
        <f>K12+K31</f>
        <v>330</v>
      </c>
      <c r="F49" s="1">
        <f>L12+L31</f>
        <v>33.951999999999998</v>
      </c>
      <c r="G49" s="1">
        <f t="shared" si="24"/>
        <v>5748</v>
      </c>
      <c r="H49" s="8">
        <f t="shared" si="25"/>
        <v>592.70400000000006</v>
      </c>
    </row>
    <row r="50" spans="1:10" ht="15" thickBot="1" x14ac:dyDescent="0.4">
      <c r="A50" s="45" t="s">
        <v>305</v>
      </c>
      <c r="B50" s="20" t="s">
        <v>306</v>
      </c>
      <c r="C50" s="46">
        <f>I21+I22+I32+I33</f>
        <v>24370</v>
      </c>
      <c r="D50" s="46">
        <f>J21+J22+J32+J33</f>
        <v>34422.625</v>
      </c>
      <c r="E50" s="46">
        <f>K21+K22+K32+K33</f>
        <v>1490</v>
      </c>
      <c r="F50" s="46">
        <f>L21+L22+L32+L33</f>
        <v>2104.625</v>
      </c>
      <c r="G50" s="17">
        <f t="shared" si="24"/>
        <v>25860</v>
      </c>
      <c r="H50" s="18">
        <f t="shared" si="25"/>
        <v>36527.25</v>
      </c>
    </row>
    <row r="51" spans="1:10" ht="15" thickBot="1" x14ac:dyDescent="0.4">
      <c r="A51" s="47" t="s">
        <v>307</v>
      </c>
      <c r="B51" s="36"/>
      <c r="C51" s="48">
        <f>SUM(C45:C50)</f>
        <v>49023</v>
      </c>
      <c r="D51" s="48">
        <f>SUM(D45:D50)</f>
        <v>51559.652000000002</v>
      </c>
      <c r="E51" s="48">
        <f t="shared" ref="E51:H51" si="26">SUM(E45:E50)</f>
        <v>2810</v>
      </c>
      <c r="F51" s="48">
        <f t="shared" si="26"/>
        <v>2919.002</v>
      </c>
      <c r="G51" s="48">
        <f t="shared" si="26"/>
        <v>51833</v>
      </c>
      <c r="H51" s="49">
        <f t="shared" si="26"/>
        <v>54478.653999999995</v>
      </c>
      <c r="J51" s="96"/>
    </row>
    <row r="52" spans="1:10" ht="15" thickBot="1" x14ac:dyDescent="0.4">
      <c r="A52" s="47" t="s">
        <v>7</v>
      </c>
      <c r="B52" s="48"/>
      <c r="C52" s="41">
        <f>+C51+C44</f>
        <v>49023</v>
      </c>
      <c r="D52" s="41">
        <f t="shared" ref="D52:H52" si="27">+D51+D44</f>
        <v>51559.652000000002</v>
      </c>
      <c r="E52" s="41">
        <f t="shared" si="27"/>
        <v>2810</v>
      </c>
      <c r="F52" s="41">
        <f t="shared" si="27"/>
        <v>2919.002</v>
      </c>
      <c r="G52" s="41">
        <f t="shared" si="27"/>
        <v>51833</v>
      </c>
      <c r="H52" s="42">
        <f t="shared" si="27"/>
        <v>54478.653999999995</v>
      </c>
    </row>
  </sheetData>
  <mergeCells count="3">
    <mergeCell ref="E37:F37"/>
    <mergeCell ref="G37:H37"/>
    <mergeCell ref="C37:D37"/>
  </mergeCells>
  <pageMargins left="0.7" right="0.7" top="0.75" bottom="0.75" header="0.3" footer="0.3"/>
  <pageSetup scale="62" fitToHeight="0" orientation="landscape" r:id="rId1"/>
  <headerFooter>
    <oddHeader>&amp;F</oddHeader>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F13"/>
  <sheetViews>
    <sheetView workbookViewId="0">
      <selection sqref="A1:A3"/>
    </sheetView>
  </sheetViews>
  <sheetFormatPr defaultRowHeight="14.5" x14ac:dyDescent="0.35"/>
  <cols>
    <col min="1" max="1" width="30.1796875" customWidth="1"/>
    <col min="2" max="2" width="26.453125" customWidth="1"/>
    <col min="3" max="3" width="16.81640625" customWidth="1"/>
    <col min="4" max="4" width="19.1796875" customWidth="1"/>
    <col min="5" max="5" width="14" customWidth="1"/>
    <col min="6" max="6" width="27.54296875" customWidth="1"/>
  </cols>
  <sheetData>
    <row r="1" spans="1:6" ht="15.75" customHeight="1" x14ac:dyDescent="0.35">
      <c r="A1" s="596" t="s">
        <v>10</v>
      </c>
      <c r="B1" s="590" t="s">
        <v>155</v>
      </c>
      <c r="C1" s="590" t="s">
        <v>156</v>
      </c>
      <c r="D1" s="590" t="s">
        <v>157</v>
      </c>
      <c r="E1" s="590" t="s">
        <v>158</v>
      </c>
      <c r="F1" s="590" t="s">
        <v>159</v>
      </c>
    </row>
    <row r="2" spans="1:6" x14ac:dyDescent="0.35">
      <c r="A2" s="597"/>
      <c r="B2" s="591"/>
      <c r="C2" s="591"/>
      <c r="D2" s="591"/>
      <c r="E2" s="591"/>
      <c r="F2" s="591"/>
    </row>
    <row r="3" spans="1:6" ht="15" thickBot="1" x14ac:dyDescent="0.4">
      <c r="A3" s="598"/>
      <c r="B3" s="592"/>
      <c r="C3" s="592"/>
      <c r="D3" s="592"/>
      <c r="E3" s="592"/>
      <c r="F3" s="592"/>
    </row>
    <row r="4" spans="1:6" ht="15.5" thickBot="1" x14ac:dyDescent="0.4">
      <c r="A4" s="599" t="s">
        <v>160</v>
      </c>
      <c r="B4" s="600"/>
      <c r="C4" s="600"/>
      <c r="D4" s="600"/>
      <c r="E4" s="600"/>
      <c r="F4" s="601"/>
    </row>
    <row r="5" spans="1:6" ht="47" thickBot="1" x14ac:dyDescent="0.4">
      <c r="A5" s="119" t="s">
        <v>161</v>
      </c>
      <c r="B5" s="120">
        <v>3596</v>
      </c>
      <c r="C5" s="120">
        <v>1</v>
      </c>
      <c r="D5" s="120">
        <v>3596</v>
      </c>
      <c r="E5" s="120">
        <v>50.022243600000003</v>
      </c>
      <c r="F5" s="121">
        <v>179871.92</v>
      </c>
    </row>
    <row r="6" spans="1:6" ht="31.5" thickBot="1" x14ac:dyDescent="0.4">
      <c r="A6" s="119" t="s">
        <v>162</v>
      </c>
      <c r="B6" s="120">
        <v>2117</v>
      </c>
      <c r="C6" s="120">
        <v>36.381294963999999</v>
      </c>
      <c r="D6" s="123">
        <v>77018.570000000007</v>
      </c>
      <c r="E6" s="120">
        <v>0.76962626059999995</v>
      </c>
      <c r="F6" s="121">
        <v>59273.5</v>
      </c>
    </row>
    <row r="7" spans="1:6" ht="30.5" thickBot="1" x14ac:dyDescent="0.4">
      <c r="A7" s="312" t="s">
        <v>163</v>
      </c>
      <c r="B7" s="124">
        <f>SUM(B5:B6)</f>
        <v>5713</v>
      </c>
      <c r="C7" s="124">
        <f>SUM(C5:C6)</f>
        <v>37.381294963999999</v>
      </c>
      <c r="D7" s="124">
        <f>SUM(D5:D6)</f>
        <v>80614.570000000007</v>
      </c>
      <c r="E7" s="124">
        <f>SUM(E5:E6)</f>
        <v>50.791869860600002</v>
      </c>
      <c r="F7" s="125">
        <f>SUM(F5:F6)</f>
        <v>239145.42</v>
      </c>
    </row>
    <row r="8" spans="1:6" ht="15.5" thickBot="1" x14ac:dyDescent="0.4">
      <c r="A8" s="593" t="s">
        <v>164</v>
      </c>
      <c r="B8" s="594"/>
      <c r="C8" s="594"/>
      <c r="D8" s="594"/>
      <c r="E8" s="594"/>
      <c r="F8" s="595"/>
    </row>
    <row r="9" spans="1:6" ht="71.25" customHeight="1" thickBot="1" x14ac:dyDescent="0.4">
      <c r="A9" s="118" t="s">
        <v>165</v>
      </c>
      <c r="B9" s="122">
        <v>1586</v>
      </c>
      <c r="C9" s="122">
        <v>14276</v>
      </c>
      <c r="D9" s="126">
        <v>5355</v>
      </c>
      <c r="E9" s="122">
        <v>0.2</v>
      </c>
      <c r="F9" s="122">
        <v>1071</v>
      </c>
    </row>
    <row r="10" spans="1:6" ht="45.5" thickBot="1" x14ac:dyDescent="0.4">
      <c r="A10" s="130" t="s">
        <v>166</v>
      </c>
      <c r="B10" s="180">
        <v>66988</v>
      </c>
      <c r="C10" s="129">
        <v>4.4279999999999999</v>
      </c>
      <c r="D10" s="128">
        <v>296622</v>
      </c>
      <c r="E10" s="313">
        <v>11.234999999999999</v>
      </c>
      <c r="F10" s="127">
        <v>3332557.8</v>
      </c>
    </row>
    <row r="11" spans="1:6" ht="93.75" customHeight="1" x14ac:dyDescent="0.35">
      <c r="A11" s="585" t="s">
        <v>167</v>
      </c>
      <c r="B11" s="606">
        <v>200964</v>
      </c>
      <c r="C11" s="602"/>
      <c r="D11" s="604">
        <v>66988</v>
      </c>
      <c r="E11" s="602" t="s">
        <v>168</v>
      </c>
      <c r="F11" s="604">
        <v>224658</v>
      </c>
    </row>
    <row r="12" spans="1:6" ht="15.75" customHeight="1" thickBot="1" x14ac:dyDescent="0.4">
      <c r="A12" s="586"/>
      <c r="B12" s="607"/>
      <c r="C12" s="603"/>
      <c r="D12" s="605"/>
      <c r="E12" s="603"/>
      <c r="F12" s="605"/>
    </row>
    <row r="13" spans="1:6" ht="55.5" customHeight="1" thickBot="1" x14ac:dyDescent="0.4">
      <c r="A13" s="587" t="s">
        <v>169</v>
      </c>
      <c r="B13" s="588"/>
      <c r="C13" s="589"/>
      <c r="D13" s="124"/>
      <c r="E13" s="131" t="s">
        <v>168</v>
      </c>
      <c r="F13" s="124"/>
    </row>
  </sheetData>
  <mergeCells count="15">
    <mergeCell ref="A11:A12"/>
    <mergeCell ref="A13:C13"/>
    <mergeCell ref="B1:B3"/>
    <mergeCell ref="A8:F8"/>
    <mergeCell ref="A1:A3"/>
    <mergeCell ref="C1:C3"/>
    <mergeCell ref="D1:D3"/>
    <mergeCell ref="E1:E3"/>
    <mergeCell ref="F1:F3"/>
    <mergeCell ref="A4:F4"/>
    <mergeCell ref="C11:C12"/>
    <mergeCell ref="D11:D12"/>
    <mergeCell ref="E11:E12"/>
    <mergeCell ref="F11:F12"/>
    <mergeCell ref="B11:B12"/>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EEAAC-FF7C-4B59-BD12-1562932A1B31}">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869FC-49E4-4491-8042-14F9AC300F6A}">
  <dimension ref="A1:P29"/>
  <sheetViews>
    <sheetView workbookViewId="0">
      <selection sqref="A1:A2"/>
    </sheetView>
  </sheetViews>
  <sheetFormatPr defaultRowHeight="14.5" x14ac:dyDescent="0.35"/>
  <cols>
    <col min="4" max="4" width="11.1796875" customWidth="1"/>
  </cols>
  <sheetData>
    <row r="1" spans="1:16" ht="21" x14ac:dyDescent="0.35">
      <c r="A1" s="611"/>
      <c r="B1" s="613"/>
      <c r="C1" s="613"/>
      <c r="D1" s="615" t="s">
        <v>0</v>
      </c>
      <c r="E1" s="616"/>
      <c r="F1" s="613" t="s">
        <v>1</v>
      </c>
      <c r="G1" s="613"/>
      <c r="H1" s="374" t="s">
        <v>321</v>
      </c>
      <c r="I1" s="615" t="s">
        <v>4</v>
      </c>
      <c r="J1" s="616"/>
      <c r="K1" s="374" t="s">
        <v>323</v>
      </c>
      <c r="L1" s="615" t="s">
        <v>6</v>
      </c>
      <c r="M1" s="616"/>
      <c r="N1" s="615" t="s">
        <v>7</v>
      </c>
      <c r="O1" s="619"/>
      <c r="P1" s="620"/>
    </row>
    <row r="2" spans="1:16" ht="15" thickBot="1" x14ac:dyDescent="0.4">
      <c r="A2" s="612"/>
      <c r="B2" s="614"/>
      <c r="C2" s="614"/>
      <c r="D2" s="617"/>
      <c r="E2" s="618"/>
      <c r="F2" s="614"/>
      <c r="G2" s="614"/>
      <c r="H2" s="375" t="s">
        <v>322</v>
      </c>
      <c r="I2" s="617"/>
      <c r="J2" s="618"/>
      <c r="K2" s="375" t="s">
        <v>324</v>
      </c>
      <c r="L2" s="617"/>
      <c r="M2" s="618"/>
      <c r="N2" s="617"/>
      <c r="O2" s="621"/>
      <c r="P2" s="622"/>
    </row>
    <row r="3" spans="1:16" ht="52.5" x14ac:dyDescent="0.35">
      <c r="A3" s="376"/>
      <c r="B3" s="377"/>
      <c r="C3" s="377"/>
      <c r="D3" s="377"/>
      <c r="E3" s="377"/>
      <c r="F3" s="377" t="s">
        <v>327</v>
      </c>
      <c r="G3" s="623" t="s">
        <v>329</v>
      </c>
      <c r="H3" s="623"/>
      <c r="I3" s="377"/>
      <c r="J3" s="377" t="s">
        <v>332</v>
      </c>
      <c r="K3" s="377"/>
      <c r="L3" s="377"/>
      <c r="M3" s="377"/>
      <c r="N3" s="377"/>
      <c r="O3" s="377"/>
      <c r="P3" s="378"/>
    </row>
    <row r="4" spans="1:16" ht="55" customHeight="1" x14ac:dyDescent="0.35">
      <c r="A4" s="376"/>
      <c r="B4" s="377"/>
      <c r="C4" s="377"/>
      <c r="D4" s="377" t="s">
        <v>325</v>
      </c>
      <c r="E4" s="377" t="s">
        <v>326</v>
      </c>
      <c r="F4" s="377" t="s">
        <v>328</v>
      </c>
      <c r="G4" s="624"/>
      <c r="H4" s="624"/>
      <c r="I4" s="377" t="s">
        <v>330</v>
      </c>
      <c r="J4" s="377" t="s">
        <v>333</v>
      </c>
      <c r="K4" s="377"/>
      <c r="L4" s="377" t="s">
        <v>334</v>
      </c>
      <c r="M4" s="377" t="s">
        <v>26</v>
      </c>
      <c r="N4" s="377" t="s">
        <v>27</v>
      </c>
      <c r="O4" s="377"/>
      <c r="P4" s="378" t="s">
        <v>336</v>
      </c>
    </row>
    <row r="5" spans="1:16" ht="38.5" customHeight="1" thickBot="1" x14ac:dyDescent="0.4">
      <c r="A5" s="379" t="s">
        <v>8</v>
      </c>
      <c r="B5" s="375" t="s">
        <v>9</v>
      </c>
      <c r="C5" s="375" t="s">
        <v>10</v>
      </c>
      <c r="D5" s="380"/>
      <c r="E5" s="380"/>
      <c r="F5" s="380"/>
      <c r="G5" s="614"/>
      <c r="H5" s="614"/>
      <c r="I5" s="375" t="s">
        <v>331</v>
      </c>
      <c r="J5" s="380"/>
      <c r="K5" s="375" t="s">
        <v>24</v>
      </c>
      <c r="L5" s="380"/>
      <c r="M5" s="380"/>
      <c r="N5" s="380"/>
      <c r="O5" s="375" t="s">
        <v>335</v>
      </c>
      <c r="P5" s="381"/>
    </row>
    <row r="6" spans="1:16" ht="16" thickBot="1" x14ac:dyDescent="0.4">
      <c r="A6" s="608" t="s">
        <v>337</v>
      </c>
      <c r="B6" s="609"/>
      <c r="C6" s="609"/>
      <c r="D6" s="609"/>
      <c r="E6" s="609"/>
      <c r="F6" s="609"/>
      <c r="G6" s="609"/>
      <c r="H6" s="609"/>
      <c r="I6" s="609"/>
      <c r="J6" s="609"/>
      <c r="K6" s="609"/>
      <c r="L6" s="609"/>
      <c r="M6" s="609"/>
      <c r="N6" s="609"/>
      <c r="O6" s="609"/>
      <c r="P6" s="610"/>
    </row>
    <row r="7" spans="1:16" x14ac:dyDescent="0.35">
      <c r="A7" s="625" t="s">
        <v>338</v>
      </c>
      <c r="B7" s="626"/>
      <c r="C7" s="627"/>
      <c r="D7" s="377"/>
      <c r="E7" s="377"/>
      <c r="F7" s="377"/>
      <c r="G7" s="377"/>
      <c r="H7" s="377"/>
      <c r="I7" s="377"/>
      <c r="J7" s="377"/>
      <c r="K7" s="377"/>
      <c r="L7" s="377"/>
      <c r="M7" s="377"/>
      <c r="N7" s="377"/>
      <c r="O7" s="377"/>
      <c r="P7" s="378"/>
    </row>
    <row r="8" spans="1:16" ht="15" thickBot="1" x14ac:dyDescent="0.4">
      <c r="A8" s="628" t="s">
        <v>339</v>
      </c>
      <c r="B8" s="621"/>
      <c r="C8" s="618"/>
      <c r="D8" s="382">
        <f>+'2022 Burden Table'!D42</f>
        <v>3320</v>
      </c>
      <c r="E8" s="382">
        <f>+'2022 Burden Table'!H42</f>
        <v>139034.95399999997</v>
      </c>
      <c r="F8" s="382">
        <f>+'2022 Burden Table'!I42</f>
        <v>26560</v>
      </c>
      <c r="G8" s="382">
        <f>+'2022 Burden Table'!J42</f>
        <v>21368.609999999997</v>
      </c>
      <c r="H8" s="382">
        <f>+'2022 Burden Table'!K42</f>
        <v>160403.56399999998</v>
      </c>
      <c r="I8" s="382">
        <f>+'2022 Burden Table'!O42</f>
        <v>12310</v>
      </c>
      <c r="J8" s="382">
        <f>+'2022 Burden Table'!N42</f>
        <v>34468</v>
      </c>
      <c r="K8" s="382">
        <f>+'2022 Burden Table'!Q42</f>
        <v>69187</v>
      </c>
      <c r="L8" s="382">
        <f>+'2022 Burden Table'!R42</f>
        <v>22158</v>
      </c>
      <c r="M8" s="383">
        <f>+'2022 Burden Table'!S42</f>
        <v>553.94999999999993</v>
      </c>
      <c r="N8" s="382">
        <f>+'2022 Burden Table'!T42</f>
        <v>229590.56400000004</v>
      </c>
      <c r="O8" s="382">
        <f>+'2022 Burden Table'!U42</f>
        <v>74206</v>
      </c>
      <c r="P8" s="384">
        <f>+'2022 Burden Table'!V42</f>
        <v>230144.51400000002</v>
      </c>
    </row>
    <row r="9" spans="1:16" ht="16" thickBot="1" x14ac:dyDescent="0.4">
      <c r="A9" s="608" t="s">
        <v>340</v>
      </c>
      <c r="B9" s="609"/>
      <c r="C9" s="609"/>
      <c r="D9" s="609"/>
      <c r="E9" s="609"/>
      <c r="F9" s="609"/>
      <c r="G9" s="609"/>
      <c r="H9" s="609"/>
      <c r="I9" s="609"/>
      <c r="J9" s="609"/>
      <c r="K9" s="609"/>
      <c r="L9" s="609"/>
      <c r="M9" s="609"/>
      <c r="N9" s="609"/>
      <c r="O9" s="609"/>
      <c r="P9" s="610"/>
    </row>
    <row r="10" spans="1:16" x14ac:dyDescent="0.35">
      <c r="A10" s="625" t="s">
        <v>116</v>
      </c>
      <c r="B10" s="626"/>
      <c r="C10" s="627"/>
      <c r="D10" s="377"/>
      <c r="E10" s="377"/>
      <c r="F10" s="377"/>
      <c r="G10" s="377"/>
      <c r="H10" s="377"/>
      <c r="I10" s="377"/>
      <c r="J10" s="377"/>
      <c r="K10" s="377"/>
      <c r="L10" s="377"/>
      <c r="M10" s="377"/>
      <c r="N10" s="377"/>
      <c r="O10" s="377"/>
      <c r="P10" s="378"/>
    </row>
    <row r="11" spans="1:16" ht="15" thickBot="1" x14ac:dyDescent="0.4">
      <c r="A11" s="628"/>
      <c r="B11" s="621"/>
      <c r="C11" s="618"/>
      <c r="D11" s="375">
        <f>+'2022 Burden Table'!D48</f>
        <v>310</v>
      </c>
      <c r="E11" s="382">
        <f>+'2022 Burden Table'!H48</f>
        <v>15305.775</v>
      </c>
      <c r="F11" s="382">
        <f>+'2022 Burden Table'!I48</f>
        <v>2790</v>
      </c>
      <c r="G11" s="382">
        <f>+'2022 Burden Table'!J48</f>
        <v>2066.77</v>
      </c>
      <c r="H11" s="382">
        <f>+'2022 Burden Table'!K48</f>
        <v>17372.544999999998</v>
      </c>
      <c r="I11" s="375">
        <f>+'2022 Burden Table'!O48</f>
        <v>500</v>
      </c>
      <c r="J11" s="382">
        <f>+'2022 Burden Table'!P48</f>
        <v>1400</v>
      </c>
      <c r="K11" s="382">
        <f>+'2022 Burden Table'!Q48</f>
        <v>2800</v>
      </c>
      <c r="L11" s="375">
        <f>+'2022 Burden Table'!R48</f>
        <v>900</v>
      </c>
      <c r="M11" s="383">
        <f>+'2022 Burden Table'!S48</f>
        <v>22.5</v>
      </c>
      <c r="N11" s="382">
        <f>+'2022 Burden Table'!T48</f>
        <v>20172.544999999998</v>
      </c>
      <c r="O11" s="382">
        <f>+'2022 Burden Table'!U48</f>
        <v>4900</v>
      </c>
      <c r="P11" s="384">
        <f>+'2022 Burden Table'!V48</f>
        <v>20195.044999999998</v>
      </c>
    </row>
    <row r="12" spans="1:16" ht="16" thickBot="1" x14ac:dyDescent="0.4">
      <c r="A12" s="608" t="s">
        <v>341</v>
      </c>
      <c r="B12" s="609"/>
      <c r="C12" s="609"/>
      <c r="D12" s="609"/>
      <c r="E12" s="609"/>
      <c r="F12" s="609"/>
      <c r="G12" s="609"/>
      <c r="H12" s="609"/>
      <c r="I12" s="609"/>
      <c r="J12" s="609"/>
      <c r="K12" s="609"/>
      <c r="L12" s="609"/>
      <c r="M12" s="609"/>
      <c r="N12" s="609"/>
      <c r="O12" s="609"/>
      <c r="P12" s="610"/>
    </row>
    <row r="13" spans="1:16" x14ac:dyDescent="0.35">
      <c r="A13" s="625" t="s">
        <v>342</v>
      </c>
      <c r="B13" s="626"/>
      <c r="C13" s="627"/>
      <c r="D13" s="629">
        <f>+'2022 Burden Table'!D65</f>
        <v>3106</v>
      </c>
      <c r="E13" s="629">
        <f>+'2022 Burden Table'!H65</f>
        <v>104561.38500000001</v>
      </c>
      <c r="F13" s="629">
        <f>+'2022 Burden Table'!I65</f>
        <v>24848</v>
      </c>
      <c r="G13" s="629">
        <f>+'2022 Burden Table'!J65</f>
        <v>20502.440000000002</v>
      </c>
      <c r="H13" s="629">
        <f>+'2022 Burden Table'!K65</f>
        <v>125063.825</v>
      </c>
      <c r="I13" s="629">
        <f>+'2022 Burden Table'!O65</f>
        <v>12460</v>
      </c>
      <c r="J13" s="629">
        <f>+'2022 Burden Table'!P65</f>
        <v>34888</v>
      </c>
      <c r="K13" s="629">
        <f>+'2022 Burden Table'!Q65</f>
        <v>69776</v>
      </c>
      <c r="L13" s="629">
        <f>+'2022 Burden Table'!R65</f>
        <v>22428</v>
      </c>
      <c r="M13" s="637">
        <f>+'2022 Burden Table'!S65</f>
        <v>560.70000000000005</v>
      </c>
      <c r="N13" s="629">
        <f>+'2022 Burden Table'!T65</f>
        <v>194839.82500000001</v>
      </c>
      <c r="O13" s="629">
        <v>73766</v>
      </c>
      <c r="P13" s="631">
        <f>+'2022 Burden Table'!V65</f>
        <v>195400.52499999999</v>
      </c>
    </row>
    <row r="14" spans="1:16" ht="15" thickBot="1" x14ac:dyDescent="0.4">
      <c r="A14" s="628" t="s">
        <v>343</v>
      </c>
      <c r="B14" s="621"/>
      <c r="C14" s="618"/>
      <c r="D14" s="630"/>
      <c r="E14" s="630"/>
      <c r="F14" s="630"/>
      <c r="G14" s="630"/>
      <c r="H14" s="630"/>
      <c r="I14" s="630"/>
      <c r="J14" s="630"/>
      <c r="K14" s="630"/>
      <c r="L14" s="630"/>
      <c r="M14" s="638"/>
      <c r="N14" s="630"/>
      <c r="O14" s="630"/>
      <c r="P14" s="632"/>
    </row>
    <row r="15" spans="1:16" ht="16" thickBot="1" x14ac:dyDescent="0.4">
      <c r="A15" s="608" t="s">
        <v>344</v>
      </c>
      <c r="B15" s="609"/>
      <c r="C15" s="609"/>
      <c r="D15" s="609"/>
      <c r="E15" s="609"/>
      <c r="F15" s="609"/>
      <c r="G15" s="609"/>
      <c r="H15" s="609"/>
      <c r="I15" s="609"/>
      <c r="J15" s="609"/>
      <c r="K15" s="609"/>
      <c r="L15" s="609"/>
      <c r="M15" s="609"/>
      <c r="N15" s="609"/>
      <c r="O15" s="609"/>
      <c r="P15" s="610"/>
    </row>
    <row r="16" spans="1:16" x14ac:dyDescent="0.35">
      <c r="A16" s="625" t="s">
        <v>145</v>
      </c>
      <c r="B16" s="626"/>
      <c r="C16" s="627"/>
      <c r="D16" s="377"/>
      <c r="E16" s="377"/>
      <c r="F16" s="377"/>
      <c r="G16" s="377"/>
      <c r="H16" s="377"/>
      <c r="I16" s="377"/>
      <c r="J16" s="377"/>
      <c r="K16" s="377"/>
      <c r="L16" s="377"/>
      <c r="M16" s="377"/>
      <c r="N16" s="377"/>
      <c r="O16" s="377"/>
      <c r="P16" s="378"/>
    </row>
    <row r="17" spans="1:16" ht="15" thickBot="1" x14ac:dyDescent="0.4">
      <c r="A17" s="628"/>
      <c r="B17" s="621"/>
      <c r="C17" s="618"/>
      <c r="D17" s="375">
        <f>+Bus_PreRespondents</f>
        <v>231</v>
      </c>
      <c r="E17" s="382">
        <f>+'2022 Burden Table'!H72</f>
        <v>11417.38</v>
      </c>
      <c r="F17" s="382">
        <f>+'2022 Burden Table'!I72</f>
        <v>2079</v>
      </c>
      <c r="G17" s="382">
        <f>+'2022 Burden Table'!J72</f>
        <v>1540.0769999999998</v>
      </c>
      <c r="H17" s="382">
        <f>+'2022 Burden Table'!K72</f>
        <v>12957.457</v>
      </c>
      <c r="I17" s="375">
        <f>+'2022 Burden Table'!O72</f>
        <v>845</v>
      </c>
      <c r="J17" s="382">
        <f>+'2022 Burden Table'!P72</f>
        <v>2366</v>
      </c>
      <c r="K17" s="382">
        <f>+'2022 Burden Table'!Q72</f>
        <v>4732</v>
      </c>
      <c r="L17" s="382">
        <f>+'2022 Burden Table'!R72</f>
        <v>1521</v>
      </c>
      <c r="M17" s="383">
        <f>+'2022 Burden Table'!S72</f>
        <v>38.025000000000006</v>
      </c>
      <c r="N17" s="382">
        <f>+'2022 Burden Table'!T72</f>
        <v>17689.457000000002</v>
      </c>
      <c r="O17" s="382">
        <f>+'2022 Burden Table'!U72</f>
        <v>5352</v>
      </c>
      <c r="P17" s="384">
        <f>+'2022 Burden Table'!V72</f>
        <v>17727.482</v>
      </c>
    </row>
    <row r="18" spans="1:16" x14ac:dyDescent="0.35">
      <c r="A18" s="625" t="s">
        <v>345</v>
      </c>
      <c r="B18" s="626"/>
      <c r="C18" s="627"/>
      <c r="D18" s="377"/>
      <c r="E18" s="377"/>
      <c r="F18" s="377"/>
      <c r="G18" s="377"/>
      <c r="H18" s="377"/>
      <c r="I18" s="377"/>
      <c r="J18" s="377"/>
      <c r="K18" s="385" t="s">
        <v>347</v>
      </c>
      <c r="L18" s="377"/>
      <c r="M18" s="377"/>
      <c r="N18" s="377"/>
      <c r="O18" s="377"/>
      <c r="P18" s="378"/>
    </row>
    <row r="19" spans="1:16" x14ac:dyDescent="0.35">
      <c r="A19" s="633" t="s">
        <v>346</v>
      </c>
      <c r="B19" s="634"/>
      <c r="C19" s="635"/>
      <c r="D19" s="386">
        <f>+D17+D13+D11+D8</f>
        <v>6967</v>
      </c>
      <c r="E19" s="386">
        <f t="shared" ref="E19:P19" si="0">+E17+E13+E11+E8</f>
        <v>270319.49399999995</v>
      </c>
      <c r="F19" s="386">
        <f t="shared" si="0"/>
        <v>56277</v>
      </c>
      <c r="G19" s="386">
        <f t="shared" si="0"/>
        <v>45477.896999999997</v>
      </c>
      <c r="H19" s="386">
        <f t="shared" si="0"/>
        <v>315797.39099999995</v>
      </c>
      <c r="I19" s="386">
        <f t="shared" si="0"/>
        <v>26115</v>
      </c>
      <c r="J19" s="386">
        <f t="shared" si="0"/>
        <v>73122</v>
      </c>
      <c r="K19" s="386">
        <f t="shared" si="0"/>
        <v>146495</v>
      </c>
      <c r="L19" s="386">
        <f t="shared" si="0"/>
        <v>47007</v>
      </c>
      <c r="M19" s="386">
        <f t="shared" si="0"/>
        <v>1175.175</v>
      </c>
      <c r="N19" s="386">
        <f t="shared" si="0"/>
        <v>462292.39100000006</v>
      </c>
      <c r="O19" s="386">
        <f t="shared" si="0"/>
        <v>158224</v>
      </c>
      <c r="P19" s="387">
        <f t="shared" si="0"/>
        <v>463467.56599999999</v>
      </c>
    </row>
    <row r="20" spans="1:16" x14ac:dyDescent="0.35">
      <c r="A20" s="367"/>
      <c r="B20" s="367"/>
      <c r="C20" s="367"/>
      <c r="D20" s="368"/>
      <c r="E20" s="368"/>
      <c r="F20" s="368"/>
      <c r="G20" s="368"/>
      <c r="H20" s="368"/>
      <c r="I20" s="368"/>
      <c r="J20" s="368"/>
      <c r="K20" s="368"/>
      <c r="L20" s="368"/>
      <c r="M20" s="368"/>
      <c r="N20" s="368"/>
      <c r="O20" s="368"/>
      <c r="P20" s="368"/>
    </row>
    <row r="21" spans="1:16" x14ac:dyDescent="0.35">
      <c r="A21" t="s">
        <v>348</v>
      </c>
    </row>
    <row r="22" spans="1:16" x14ac:dyDescent="0.35">
      <c r="A22" s="636" t="s">
        <v>116</v>
      </c>
      <c r="B22" s="636"/>
      <c r="C22" s="636"/>
      <c r="D22" s="371"/>
      <c r="E22" s="371"/>
      <c r="F22" s="371"/>
      <c r="G22" s="371"/>
      <c r="H22" s="371"/>
      <c r="I22" s="371"/>
      <c r="J22" s="371"/>
      <c r="K22" s="371"/>
      <c r="L22" s="371"/>
      <c r="M22" s="371"/>
      <c r="N22" s="371"/>
      <c r="O22" s="371"/>
      <c r="P22" s="371"/>
    </row>
    <row r="23" spans="1:16" x14ac:dyDescent="0.35">
      <c r="A23" s="636"/>
      <c r="B23" s="636"/>
      <c r="C23" s="636"/>
      <c r="D23" s="372">
        <f>+D11</f>
        <v>310</v>
      </c>
      <c r="E23" s="372">
        <f t="shared" ref="E23:P23" si="1">+E11</f>
        <v>15305.775</v>
      </c>
      <c r="F23" s="372">
        <f t="shared" si="1"/>
        <v>2790</v>
      </c>
      <c r="G23" s="372">
        <f t="shared" si="1"/>
        <v>2066.77</v>
      </c>
      <c r="H23" s="372">
        <f t="shared" si="1"/>
        <v>17372.544999999998</v>
      </c>
      <c r="I23" s="372">
        <f t="shared" si="1"/>
        <v>500</v>
      </c>
      <c r="J23" s="372">
        <f t="shared" si="1"/>
        <v>1400</v>
      </c>
      <c r="K23" s="372">
        <f t="shared" si="1"/>
        <v>2800</v>
      </c>
      <c r="L23" s="372">
        <f t="shared" si="1"/>
        <v>900</v>
      </c>
      <c r="M23" s="372">
        <f t="shared" si="1"/>
        <v>22.5</v>
      </c>
      <c r="N23" s="372">
        <f t="shared" si="1"/>
        <v>20172.544999999998</v>
      </c>
      <c r="O23" s="372">
        <f t="shared" si="1"/>
        <v>4900</v>
      </c>
      <c r="P23" s="372">
        <f t="shared" si="1"/>
        <v>20195.044999999998</v>
      </c>
    </row>
    <row r="24" spans="1:16" x14ac:dyDescent="0.35">
      <c r="A24" s="636" t="s">
        <v>145</v>
      </c>
      <c r="B24" s="636"/>
      <c r="C24" s="636"/>
      <c r="D24" s="372"/>
      <c r="E24" s="372"/>
      <c r="F24" s="372"/>
      <c r="G24" s="372"/>
      <c r="H24" s="372"/>
      <c r="I24" s="372"/>
      <c r="J24" s="372"/>
      <c r="K24" s="372"/>
      <c r="L24" s="372"/>
      <c r="M24" s="372"/>
      <c r="N24" s="372"/>
      <c r="O24" s="372"/>
      <c r="P24" s="372"/>
    </row>
    <row r="25" spans="1:16" x14ac:dyDescent="0.35">
      <c r="A25" s="636"/>
      <c r="B25" s="636"/>
      <c r="C25" s="636"/>
      <c r="D25" s="372">
        <f>+D17</f>
        <v>231</v>
      </c>
      <c r="E25" s="372">
        <f t="shared" ref="E25:P25" si="2">+E17</f>
        <v>11417.38</v>
      </c>
      <c r="F25" s="372">
        <f t="shared" si="2"/>
        <v>2079</v>
      </c>
      <c r="G25" s="372">
        <f t="shared" si="2"/>
        <v>1540.0769999999998</v>
      </c>
      <c r="H25" s="372">
        <f t="shared" si="2"/>
        <v>12957.457</v>
      </c>
      <c r="I25" s="372">
        <f t="shared" si="2"/>
        <v>845</v>
      </c>
      <c r="J25" s="372">
        <f t="shared" si="2"/>
        <v>2366</v>
      </c>
      <c r="K25" s="372">
        <f t="shared" si="2"/>
        <v>4732</v>
      </c>
      <c r="L25" s="372">
        <f t="shared" si="2"/>
        <v>1521</v>
      </c>
      <c r="M25" s="372">
        <f t="shared" si="2"/>
        <v>38.025000000000006</v>
      </c>
      <c r="N25" s="372">
        <f t="shared" si="2"/>
        <v>17689.457000000002</v>
      </c>
      <c r="O25" s="372">
        <f t="shared" si="2"/>
        <v>5352</v>
      </c>
      <c r="P25" s="372">
        <f t="shared" si="2"/>
        <v>17727.482</v>
      </c>
    </row>
    <row r="26" spans="1:16" x14ac:dyDescent="0.35">
      <c r="B26" t="s">
        <v>350</v>
      </c>
      <c r="D26" s="373">
        <f>+D25+D23</f>
        <v>541</v>
      </c>
      <c r="E26" s="373">
        <f t="shared" ref="E26:P26" si="3">+E25+E23</f>
        <v>26723.154999999999</v>
      </c>
      <c r="F26" s="373">
        <f t="shared" si="3"/>
        <v>4869</v>
      </c>
      <c r="G26" s="373">
        <f t="shared" si="3"/>
        <v>3606.8469999999998</v>
      </c>
      <c r="H26" s="373">
        <f t="shared" si="3"/>
        <v>30330.002</v>
      </c>
      <c r="I26" s="373">
        <f t="shared" si="3"/>
        <v>1345</v>
      </c>
      <c r="J26" s="373">
        <f t="shared" si="3"/>
        <v>3766</v>
      </c>
      <c r="K26" s="373">
        <f t="shared" si="3"/>
        <v>7532</v>
      </c>
      <c r="L26" s="373">
        <f t="shared" si="3"/>
        <v>2421</v>
      </c>
      <c r="M26" s="373">
        <f t="shared" si="3"/>
        <v>60.525000000000006</v>
      </c>
      <c r="N26" s="373">
        <f t="shared" si="3"/>
        <v>37862.002</v>
      </c>
      <c r="O26" s="373">
        <f t="shared" si="3"/>
        <v>10252</v>
      </c>
      <c r="P26" s="373">
        <f t="shared" si="3"/>
        <v>37922.527000000002</v>
      </c>
    </row>
    <row r="27" spans="1:16" x14ac:dyDescent="0.35">
      <c r="B27" t="s">
        <v>352</v>
      </c>
    </row>
    <row r="29" spans="1:16" x14ac:dyDescent="0.35">
      <c r="A29" t="s">
        <v>349</v>
      </c>
    </row>
  </sheetData>
  <mergeCells count="38">
    <mergeCell ref="A18:C18"/>
    <mergeCell ref="A19:C19"/>
    <mergeCell ref="A22:C23"/>
    <mergeCell ref="A24:C25"/>
    <mergeCell ref="M13:M14"/>
    <mergeCell ref="N13:N14"/>
    <mergeCell ref="O13:O14"/>
    <mergeCell ref="P13:P14"/>
    <mergeCell ref="A15:P15"/>
    <mergeCell ref="A16:C17"/>
    <mergeCell ref="A14:C14"/>
    <mergeCell ref="D13:D14"/>
    <mergeCell ref="E13:E14"/>
    <mergeCell ref="F13:F14"/>
    <mergeCell ref="G13:G14"/>
    <mergeCell ref="H13:H14"/>
    <mergeCell ref="A13:C13"/>
    <mergeCell ref="I13:I14"/>
    <mergeCell ref="J13:J14"/>
    <mergeCell ref="K13:K14"/>
    <mergeCell ref="L13:L14"/>
    <mergeCell ref="A7:C7"/>
    <mergeCell ref="A8:C8"/>
    <mergeCell ref="A9:P9"/>
    <mergeCell ref="A10:C11"/>
    <mergeCell ref="A12:P12"/>
    <mergeCell ref="A6:P6"/>
    <mergeCell ref="A1:A2"/>
    <mergeCell ref="B1:B2"/>
    <mergeCell ref="C1:C2"/>
    <mergeCell ref="D1:E2"/>
    <mergeCell ref="F1:F2"/>
    <mergeCell ref="G1:G2"/>
    <mergeCell ref="I1:J2"/>
    <mergeCell ref="L1:M2"/>
    <mergeCell ref="N1:P2"/>
    <mergeCell ref="G3:G5"/>
    <mergeCell ref="H3:H5"/>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6DEE50806CC641A80D8D20CBA91F16" ma:contentTypeVersion="9" ma:contentTypeDescription="Create a new document." ma:contentTypeScope="" ma:versionID="6fdd79841f70176ef688cd0a964a5592">
  <xsd:schema xmlns:xsd="http://www.w3.org/2001/XMLSchema" xmlns:xs="http://www.w3.org/2001/XMLSchema" xmlns:p="http://schemas.microsoft.com/office/2006/metadata/properties" xmlns:ns3="cf4d41b3-ce81-4c80-8fa2-d44de1136e35" xmlns:ns4="8bc85be1-75fe-44fa-94be-73ea8c15ef0e" targetNamespace="http://schemas.microsoft.com/office/2006/metadata/properties" ma:root="true" ma:fieldsID="365d70fe699f7e063fd0c44fceb5ca12" ns3:_="" ns4:_="">
    <xsd:import namespace="cf4d41b3-ce81-4c80-8fa2-d44de1136e35"/>
    <xsd:import namespace="8bc85be1-75fe-44fa-94be-73ea8c15ef0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4d41b3-ce81-4c80-8fa2-d44de1136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c85be1-75fe-44fa-94be-73ea8c15ef0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93C961-8B3F-4376-A915-734A3F144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4d41b3-ce81-4c80-8fa2-d44de1136e35"/>
    <ds:schemaRef ds:uri="8bc85be1-75fe-44fa-94be-73ea8c15ef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B09254-DBEA-4CD1-9AFB-4AFC00E2A587}">
  <ds:schemaRefs>
    <ds:schemaRef ds:uri="http://schemas.microsoft.com/sharepoint/v3/contenttype/forms"/>
  </ds:schemaRefs>
</ds:datastoreItem>
</file>

<file path=customXml/itemProps3.xml><?xml version="1.0" encoding="utf-8"?>
<ds:datastoreItem xmlns:ds="http://schemas.openxmlformats.org/officeDocument/2006/customXml" ds:itemID="{8A68AC27-F522-4F76-B231-90479EABBA79}">
  <ds:schemaRefs>
    <ds:schemaRef ds:uri="cf4d41b3-ce81-4c80-8fa2-d44de1136e35"/>
    <ds:schemaRef ds:uri="http://purl.org/dc/elements/1.1/"/>
    <ds:schemaRef ds:uri="http://www.w3.org/XML/1998/namespace"/>
    <ds:schemaRef ds:uri="http://schemas.openxmlformats.org/package/2006/metadata/core-properties"/>
    <ds:schemaRef ds:uri="http://purl.org/dc/dcmitype/"/>
    <ds:schemaRef ds:uri="http://schemas.microsoft.com/office/infopath/2007/PartnerControls"/>
    <ds:schemaRef ds:uri="http://purl.org/dc/terms/"/>
    <ds:schemaRef ds:uri="http://schemas.microsoft.com/office/2006/documentManagement/types"/>
    <ds:schemaRef ds:uri="8bc85be1-75fe-44fa-94be-73ea8c15ef0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2022 Burden Table</vt:lpstr>
      <vt:lpstr>FR22</vt:lpstr>
      <vt:lpstr>2022 60dayFRN</vt:lpstr>
      <vt:lpstr>state agency</vt:lpstr>
      <vt:lpstr>Sheet2</vt:lpstr>
      <vt:lpstr>Forms Burden Detail</vt:lpstr>
      <vt:lpstr>2022 Burden Summary for SS</vt:lpstr>
      <vt:lpstr>Sheet1</vt:lpstr>
      <vt:lpstr>FR</vt:lpstr>
      <vt:lpstr>Bus_PostRespondents</vt:lpstr>
      <vt:lpstr>Bus_PreRespondents</vt:lpstr>
      <vt:lpstr>postHours</vt:lpstr>
      <vt:lpstr>postResponses</vt:lpstr>
      <vt:lpstr>RecordHours</vt:lpstr>
      <vt:lpstr>RecordResponse</vt:lpstr>
      <vt:lpstr>SLT_PostRespondents</vt:lpstr>
      <vt:lpstr>SLT_PreRespondents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Lynnette Thomas</dc:creator>
  <cp:keywords/>
  <dc:description/>
  <cp:lastModifiedBy>Sandberg, Christina - FNS</cp:lastModifiedBy>
  <cp:revision/>
  <cp:lastPrinted>2022-06-09T17:29:35Z</cp:lastPrinted>
  <dcterms:created xsi:type="dcterms:W3CDTF">2016-01-20T19:14:01Z</dcterms:created>
  <dcterms:modified xsi:type="dcterms:W3CDTF">2022-06-27T17:14:52Z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0x0101007A6DEE50806CC641A80D8D20CBA91F16</vt:lpwstr>
  </property>
</Properties>
</file>