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66299354-F947-4477-8B38-EA688B503822}" xr6:coauthVersionLast="47" xr6:coauthVersionMax="47" xr10:uidLastSave="{00000000-0000-0000-0000-000000000000}"/>
  <bookViews>
    <workbookView xWindow="-110" yWindow="-110" windowWidth="19420" windowHeight="10300" xr2:uid="{00000000-000D-0000-FFFF-FFFF00000000}"/>
  </bookViews>
  <sheets>
    <sheet name="Summary" sheetId="6" r:id="rId1"/>
    <sheet name="Table 1" sheetId="1" r:id="rId2"/>
    <sheet name="Table 2" sheetId="2" r:id="rId3"/>
    <sheet name="Capital O&amp;M" sheetId="5" r:id="rId4"/>
    <sheet name="Respondents" sheetId="3" r:id="rId5"/>
    <sheet name="Responses"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5" l="1"/>
  <c r="M56" i="1"/>
  <c r="I54" i="1"/>
  <c r="E7" i="2"/>
  <c r="E8" i="5"/>
  <c r="B11" i="5"/>
  <c r="B10" i="5"/>
  <c r="B9" i="5"/>
  <c r="B8" i="5"/>
  <c r="E6" i="5"/>
  <c r="G12" i="5" l="1"/>
  <c r="G6" i="5" l="1"/>
  <c r="B12" i="4"/>
  <c r="G8" i="5"/>
  <c r="D11" i="5"/>
  <c r="D10" i="5"/>
  <c r="D9" i="5"/>
  <c r="D8" i="5"/>
  <c r="I19" i="2"/>
  <c r="F19" i="2"/>
  <c r="I18" i="2"/>
  <c r="I17" i="2"/>
  <c r="F18" i="2"/>
  <c r="F14" i="2"/>
  <c r="I14" i="2"/>
  <c r="I6" i="2"/>
  <c r="F53" i="1"/>
  <c r="I53" i="1"/>
  <c r="I52" i="1"/>
  <c r="F52" i="1"/>
  <c r="I51" i="1"/>
  <c r="F51" i="1"/>
  <c r="I44" i="1"/>
  <c r="F44" i="1"/>
  <c r="I38" i="1"/>
  <c r="F5" i="3"/>
  <c r="I8" i="1"/>
  <c r="I23" i="1"/>
  <c r="F23" i="1"/>
  <c r="E21" i="1"/>
  <c r="E12" i="1"/>
  <c r="B3" i="6" l="1"/>
  <c r="D6" i="5" l="1"/>
  <c r="D12" i="5" s="1"/>
  <c r="I12" i="5" s="1"/>
  <c r="E5" i="4"/>
  <c r="E6" i="4"/>
  <c r="E7" i="4"/>
  <c r="E8" i="4"/>
  <c r="E10" i="4"/>
  <c r="E13" i="4"/>
  <c r="F6" i="3"/>
  <c r="F7" i="3"/>
  <c r="B8" i="3"/>
  <c r="C8" i="3"/>
  <c r="I56" i="1" l="1"/>
  <c r="B6" i="6"/>
  <c r="E12" i="4"/>
  <c r="E14" i="4" s="1"/>
  <c r="E9" i="4"/>
  <c r="F8" i="3"/>
  <c r="E20" i="1" l="1"/>
  <c r="E19" i="1"/>
  <c r="E18" i="1"/>
  <c r="E17" i="1"/>
  <c r="E13" i="1"/>
  <c r="E11" i="1"/>
  <c r="B7" i="6" l="1"/>
  <c r="F8" i="2"/>
  <c r="H8" i="2" s="1"/>
  <c r="D17" i="2"/>
  <c r="F17" i="2" s="1"/>
  <c r="D7" i="2"/>
  <c r="F7" i="2" s="1"/>
  <c r="H7" i="2" s="1"/>
  <c r="D9" i="2"/>
  <c r="F9" i="2" s="1"/>
  <c r="H9" i="2" s="1"/>
  <c r="D10" i="2"/>
  <c r="F10" i="2" s="1"/>
  <c r="D11" i="2"/>
  <c r="F11" i="2" s="1"/>
  <c r="H11" i="2" s="1"/>
  <c r="D12" i="2"/>
  <c r="F12" i="2" s="1"/>
  <c r="D13" i="2"/>
  <c r="F13" i="2" s="1"/>
  <c r="D6" i="2"/>
  <c r="F6" i="2" s="1"/>
  <c r="H12" i="2" l="1"/>
  <c r="G12" i="2"/>
  <c r="I12" i="2" s="1"/>
  <c r="G17" i="2"/>
  <c r="H13" i="2"/>
  <c r="G13" i="2"/>
  <c r="I13" i="2" s="1"/>
  <c r="H10" i="2"/>
  <c r="I10" i="2" s="1"/>
  <c r="G10" i="2"/>
  <c r="H17" i="2"/>
  <c r="G8" i="2"/>
  <c r="I8" i="2" s="1"/>
  <c r="G11" i="2"/>
  <c r="I11" i="2" s="1"/>
  <c r="G9" i="2"/>
  <c r="I9" i="2" s="1"/>
  <c r="G7" i="2"/>
  <c r="I7" i="2" s="1"/>
  <c r="G6" i="2"/>
  <c r="H6" i="2"/>
  <c r="D25" i="1"/>
  <c r="F25" i="1" s="1"/>
  <c r="H25" i="1" l="1"/>
  <c r="G25" i="1"/>
  <c r="I25" i="1"/>
  <c r="D39" i="1"/>
  <c r="F39" i="1" s="1"/>
  <c r="D40" i="1"/>
  <c r="F40" i="1" s="1"/>
  <c r="D41" i="1"/>
  <c r="F41" i="1" s="1"/>
  <c r="H41" i="1" s="1"/>
  <c r="D43" i="1"/>
  <c r="F43" i="1" s="1"/>
  <c r="D47" i="1"/>
  <c r="F47" i="1" s="1"/>
  <c r="D48" i="1"/>
  <c r="F48" i="1" s="1"/>
  <c r="D49" i="1"/>
  <c r="F49" i="1" s="1"/>
  <c r="D38" i="1"/>
  <c r="F38" i="1" s="1"/>
  <c r="D10" i="1"/>
  <c r="F10" i="1" s="1"/>
  <c r="D11" i="1"/>
  <c r="F11" i="1" s="1"/>
  <c r="D12" i="1"/>
  <c r="F12" i="1" s="1"/>
  <c r="G12" i="1" s="1"/>
  <c r="D13" i="1"/>
  <c r="F13" i="1" s="1"/>
  <c r="D17" i="1"/>
  <c r="F17" i="1" s="1"/>
  <c r="D18" i="1"/>
  <c r="F18" i="1" s="1"/>
  <c r="D19" i="1"/>
  <c r="F19" i="1" s="1"/>
  <c r="G19" i="1" s="1"/>
  <c r="D20" i="1"/>
  <c r="F20" i="1" s="1"/>
  <c r="D21" i="1"/>
  <c r="F21" i="1" s="1"/>
  <c r="D22" i="1"/>
  <c r="F22" i="1" s="1"/>
  <c r="D28" i="1"/>
  <c r="F28" i="1" s="1"/>
  <c r="D8" i="1"/>
  <c r="F8" i="1" s="1"/>
  <c r="H48" i="1" l="1"/>
  <c r="G48" i="1"/>
  <c r="G22" i="1"/>
  <c r="H22" i="1"/>
  <c r="G18" i="1"/>
  <c r="H18" i="1"/>
  <c r="G11" i="1"/>
  <c r="H11" i="1"/>
  <c r="H40" i="1"/>
  <c r="G40" i="1"/>
  <c r="H8" i="1"/>
  <c r="G8" i="1"/>
  <c r="G21" i="1"/>
  <c r="H21" i="1"/>
  <c r="G17" i="1"/>
  <c r="H17" i="1"/>
  <c r="G10" i="1"/>
  <c r="H10" i="1"/>
  <c r="H39" i="1"/>
  <c r="G39" i="1"/>
  <c r="G28" i="1"/>
  <c r="I28" i="1" s="1"/>
  <c r="H28" i="1"/>
  <c r="G20" i="1"/>
  <c r="H20" i="1"/>
  <c r="G13" i="1"/>
  <c r="H13" i="1"/>
  <c r="G38" i="1"/>
  <c r="H38" i="1"/>
  <c r="H43" i="1"/>
  <c r="G43" i="1"/>
  <c r="H49" i="1"/>
  <c r="G49" i="1"/>
  <c r="I49" i="1" s="1"/>
  <c r="H19" i="1"/>
  <c r="I19" i="1" s="1"/>
  <c r="H12" i="1"/>
  <c r="I12" i="1" s="1"/>
  <c r="G41" i="1"/>
  <c r="I41" i="1" s="1"/>
  <c r="G47" i="1"/>
  <c r="H47" i="1"/>
  <c r="F29" i="1" l="1"/>
  <c r="F55" i="1" s="1"/>
  <c r="I18" i="1"/>
  <c r="I48" i="1"/>
  <c r="I11" i="1"/>
  <c r="I22" i="1"/>
  <c r="I40" i="1"/>
  <c r="I47" i="1"/>
  <c r="I39" i="1"/>
  <c r="I43" i="1"/>
  <c r="I13" i="1"/>
  <c r="I17" i="1"/>
  <c r="I29" i="1"/>
  <c r="I20" i="1"/>
  <c r="I10" i="1"/>
  <c r="I21" i="1"/>
  <c r="F30" i="1" l="1"/>
  <c r="F54" i="1"/>
  <c r="I55" i="1"/>
  <c r="I57" i="1" s="1"/>
  <c r="B5" i="6" s="1"/>
  <c r="I30" i="1"/>
  <c r="B4" i="6"/>
  <c r="B2" i="6"/>
</calcChain>
</file>

<file path=xl/sharedStrings.xml><?xml version="1.0" encoding="utf-8"?>
<sst xmlns="http://schemas.openxmlformats.org/spreadsheetml/2006/main" count="199" uniqueCount="157">
  <si>
    <t>N/A</t>
  </si>
  <si>
    <t>2.  Survey and Studies</t>
  </si>
  <si>
    <t>3.  Reporting Requirements</t>
  </si>
  <si>
    <t>Sources Constructed or Modified after 10/14/2011 – Subpart Ga</t>
  </si>
  <si>
    <t xml:space="preserve">   B.  Required Activities</t>
  </si>
  <si>
    <t xml:space="preserve">     Demonstration of CERMS</t>
  </si>
  <si>
    <r>
      <t xml:space="preserve">     Repeat performance test </t>
    </r>
    <r>
      <rPr>
        <vertAlign val="superscript"/>
        <sz val="9"/>
        <color theme="1"/>
        <rFont val="Times New Roman"/>
        <family val="1"/>
      </rPr>
      <t>d</t>
    </r>
  </si>
  <si>
    <t xml:space="preserve">     Daily monitoring of CERMS</t>
  </si>
  <si>
    <t xml:space="preserve">   C. Create Information</t>
  </si>
  <si>
    <t>See 3B</t>
  </si>
  <si>
    <t xml:space="preserve">   D. Gather Existing Information</t>
  </si>
  <si>
    <t>See 3E</t>
  </si>
  <si>
    <t xml:space="preserve">   E. Write Report</t>
  </si>
  <si>
    <t>Notification of construction/reconstruction</t>
  </si>
  <si>
    <t>Notification of actual startup</t>
  </si>
  <si>
    <t>Notification of initial performance test</t>
  </si>
  <si>
    <t>Notification of demonstration of CERMS</t>
  </si>
  <si>
    <t>Report of performance test</t>
  </si>
  <si>
    <t>Subtotal for Reporting Requirements - Subpart Ga</t>
  </si>
  <si>
    <t>Existing Sources – Subpart G</t>
  </si>
  <si>
    <t>Subtotal for Reporting Requirements-  Subpart G</t>
  </si>
  <si>
    <t>Total  Reporting Requirements for Subparts G and Ga</t>
  </si>
  <si>
    <t>4.  Recordkeeping Requirements</t>
  </si>
  <si>
    <t xml:space="preserve">     B. Plan activities</t>
  </si>
  <si>
    <t xml:space="preserve">     C. Implement activities</t>
  </si>
  <si>
    <t xml:space="preserve">     D. Develop record system </t>
  </si>
  <si>
    <t>Subpart Ga: Sources Constructed or Modified after 10/14/2011</t>
  </si>
  <si>
    <t xml:space="preserve">    E  Time to Enter Information  </t>
  </si>
  <si>
    <t xml:space="preserve">    Daily production and flow rates</t>
  </si>
  <si>
    <t xml:space="preserve">    Data collection</t>
  </si>
  <si>
    <t xml:space="preserve">    Records of occurrence of startup, shutdown and malfunctions</t>
  </si>
  <si>
    <t>F. Time to Train Personnel</t>
  </si>
  <si>
    <t xml:space="preserve">    Train personnel for CERMS maintenance</t>
  </si>
  <si>
    <t>Subtotal for Recordkeeping Requirements - Subpart Ga</t>
  </si>
  <si>
    <t>Subpart G: Existing Sources</t>
  </si>
  <si>
    <t xml:space="preserve">E. Time to Enter Information  </t>
  </si>
  <si>
    <t xml:space="preserve">    Records of daily production rates and hours of operation</t>
  </si>
  <si>
    <t xml:space="preserve">    Records of performance test data</t>
  </si>
  <si>
    <t>G. Audits</t>
  </si>
  <si>
    <t>Subtotal for Recordkeeping Requirements - Subpart G</t>
  </si>
  <si>
    <t>Total Recordkeeping Requirements for Subparts G and Ga</t>
  </si>
  <si>
    <r>
      <t xml:space="preserve">Table 1: Annual Respondent Burden and Cost </t>
    </r>
    <r>
      <rPr>
        <b/>
        <sz val="12"/>
        <color theme="1"/>
        <rFont val="Times New Roman"/>
        <family val="1"/>
      </rPr>
      <t>– NSPS for Nitric Acid Plants (40 CFR Part 60, Subparts G and Ga) (Renewal)</t>
    </r>
  </si>
  <si>
    <t>Burden Item</t>
  </si>
  <si>
    <t>(A) 
Respondent Hours per Occurrence</t>
  </si>
  <si>
    <t>(B)
Number of Occurrences per Respondent per Year</t>
  </si>
  <si>
    <t>(C)
Hours per Respondent per Year
(C=AxB)</t>
  </si>
  <si>
    <t>(E)
Technical Hours per Year 
(E=CxD)</t>
  </si>
  <si>
    <t>(F)
Management Hours per Year
(F=Ex0.05)</t>
  </si>
  <si>
    <t>(G)
Clerical Hours per Year
(G=Ex0.1)</t>
  </si>
  <si>
    <t xml:space="preserve">     A. Familiarize with regulatory requirements</t>
  </si>
  <si>
    <t>1.  Applications</t>
  </si>
  <si>
    <r>
      <t xml:space="preserve">(D)
Number of Respondents per Year </t>
    </r>
    <r>
      <rPr>
        <b/>
        <vertAlign val="superscript"/>
        <sz val="9"/>
        <color theme="1"/>
        <rFont val="Times New Roman"/>
        <family val="1"/>
      </rPr>
      <t>a</t>
    </r>
  </si>
  <si>
    <r>
      <t xml:space="preserve">(H)
Total Labor Costs per Year, </t>
    </r>
    <r>
      <rPr>
        <b/>
        <vertAlign val="superscript"/>
        <sz val="9"/>
        <color theme="1"/>
        <rFont val="Times New Roman"/>
        <family val="1"/>
      </rPr>
      <t>b</t>
    </r>
  </si>
  <si>
    <r>
      <t xml:space="preserve">   A.  Familiarize with regulatory requirements </t>
    </r>
    <r>
      <rPr>
        <vertAlign val="superscript"/>
        <sz val="9"/>
        <color theme="1"/>
        <rFont val="Times New Roman"/>
        <family val="1"/>
      </rPr>
      <t>c</t>
    </r>
  </si>
  <si>
    <t xml:space="preserve">           Initial performance test</t>
  </si>
  <si>
    <t xml:space="preserve">   B.  Write Report</t>
  </si>
  <si>
    <t>See 3A</t>
  </si>
  <si>
    <r>
      <t xml:space="preserve">Report of noncompliance with NOX emission standard </t>
    </r>
    <r>
      <rPr>
        <vertAlign val="superscript"/>
        <sz val="9"/>
        <color theme="1"/>
        <rFont val="Times New Roman"/>
        <family val="1"/>
      </rPr>
      <t>e</t>
    </r>
  </si>
  <si>
    <r>
      <t xml:space="preserve">          Records of noncompliance </t>
    </r>
    <r>
      <rPr>
        <vertAlign val="superscript"/>
        <sz val="9"/>
        <color theme="1"/>
        <rFont val="Times New Roman"/>
        <family val="1"/>
      </rPr>
      <t>e</t>
    </r>
  </si>
  <si>
    <r>
      <t xml:space="preserve">Subpart Ga </t>
    </r>
    <r>
      <rPr>
        <b/>
        <vertAlign val="superscript"/>
        <sz val="9"/>
        <color theme="1"/>
        <rFont val="Times New Roman"/>
        <family val="1"/>
      </rPr>
      <t>a</t>
    </r>
    <r>
      <rPr>
        <b/>
        <sz val="9"/>
        <color theme="1"/>
        <rFont val="Times New Roman"/>
        <family val="1"/>
      </rPr>
      <t xml:space="preserve"> </t>
    </r>
    <r>
      <rPr>
        <sz val="9"/>
        <color theme="1"/>
        <rFont val="Times New Roman"/>
        <family val="1"/>
      </rPr>
      <t>  </t>
    </r>
  </si>
  <si>
    <t>Required Activities</t>
  </si>
  <si>
    <t xml:space="preserve">Observe initial performance test </t>
  </si>
  <si>
    <t>Report Review</t>
  </si>
  <si>
    <t>Review test results</t>
  </si>
  <si>
    <t>Subtotal for Subpart Ga</t>
  </si>
  <si>
    <r>
      <t>Subpart G</t>
    </r>
    <r>
      <rPr>
        <sz val="9"/>
        <color theme="1"/>
        <rFont val="Times New Roman"/>
        <family val="1"/>
      </rPr>
      <t> </t>
    </r>
  </si>
  <si>
    <t>Subtotal for Subpart G</t>
  </si>
  <si>
    <r>
      <t xml:space="preserve">Notification of physical/operational changes </t>
    </r>
    <r>
      <rPr>
        <vertAlign val="superscript"/>
        <sz val="9"/>
        <color theme="1"/>
        <rFont val="Times New Roman"/>
        <family val="1"/>
      </rPr>
      <t>f</t>
    </r>
  </si>
  <si>
    <r>
      <t xml:space="preserve">Semiannual reports </t>
    </r>
    <r>
      <rPr>
        <vertAlign val="superscript"/>
        <sz val="9"/>
        <color theme="1"/>
        <rFont val="Times New Roman"/>
        <family val="1"/>
      </rPr>
      <t>g</t>
    </r>
  </si>
  <si>
    <r>
      <t xml:space="preserve">Total Labor Burden and Cost for Subpart Ga (rounded) </t>
    </r>
    <r>
      <rPr>
        <b/>
        <vertAlign val="superscript"/>
        <sz val="9"/>
        <color theme="1"/>
        <rFont val="Times New Roman"/>
        <family val="1"/>
      </rPr>
      <t>h</t>
    </r>
  </si>
  <si>
    <r>
      <t xml:space="preserve">Total Labor Burden and Cost for Subpart G (rounded) </t>
    </r>
    <r>
      <rPr>
        <b/>
        <vertAlign val="superscript"/>
        <sz val="9"/>
        <color theme="1"/>
        <rFont val="Times New Roman"/>
        <family val="1"/>
      </rPr>
      <t>h</t>
    </r>
  </si>
  <si>
    <r>
      <t xml:space="preserve">TOTAL LABOR BURDEN AND COST (rounded) </t>
    </r>
    <r>
      <rPr>
        <b/>
        <vertAlign val="superscript"/>
        <sz val="9"/>
        <color theme="1"/>
        <rFont val="Times New Roman"/>
        <family val="1"/>
      </rPr>
      <t>h</t>
    </r>
  </si>
  <si>
    <r>
      <t xml:space="preserve">Table 2: Average Annual EPA Burden and Cost </t>
    </r>
    <r>
      <rPr>
        <b/>
        <sz val="12"/>
        <color theme="1"/>
        <rFont val="Times New Roman"/>
        <family val="1"/>
      </rPr>
      <t>– NSPS for Nitric Acid Plants (40 CFR Part 60, Subparts G and Ga) (Renewal)</t>
    </r>
  </si>
  <si>
    <t>(A) 
EPA Hours per Occurrence</t>
  </si>
  <si>
    <t>(B)
Number of Occurrences per Plant per Year</t>
  </si>
  <si>
    <t>(C)
EPA Hours per Respondent per Year
(C=AxB)</t>
  </si>
  <si>
    <t>Assumptions</t>
  </si>
  <si>
    <r>
      <t xml:space="preserve">Review test NOX noncompliance reports </t>
    </r>
    <r>
      <rPr>
        <vertAlign val="superscript"/>
        <sz val="9"/>
        <color theme="1"/>
        <rFont val="Times New Roman"/>
        <family val="1"/>
      </rPr>
      <t>d</t>
    </r>
  </si>
  <si>
    <r>
      <t xml:space="preserve">Repeat performance test </t>
    </r>
    <r>
      <rPr>
        <vertAlign val="superscript"/>
        <sz val="9"/>
        <color theme="1"/>
        <rFont val="Times New Roman"/>
        <family val="1"/>
      </rPr>
      <t>c</t>
    </r>
  </si>
  <si>
    <r>
      <t xml:space="preserve">Semiannual reports </t>
    </r>
    <r>
      <rPr>
        <vertAlign val="superscript"/>
        <sz val="9"/>
        <color theme="1"/>
        <rFont val="Times New Roman"/>
        <family val="1"/>
      </rPr>
      <t>a</t>
    </r>
  </si>
  <si>
    <r>
      <t xml:space="preserve">TOTAL ANNUAL BURDEN and COST (rounded) </t>
    </r>
    <r>
      <rPr>
        <b/>
        <vertAlign val="superscript"/>
        <sz val="9"/>
        <color theme="1"/>
        <rFont val="Times New Roman"/>
        <family val="1"/>
      </rPr>
      <t>e</t>
    </r>
  </si>
  <si>
    <r>
      <t xml:space="preserve">TOTAL CAPITAL AND O&amp;M COST (rounded) </t>
    </r>
    <r>
      <rPr>
        <b/>
        <vertAlign val="superscript"/>
        <sz val="9"/>
        <color theme="1"/>
        <rFont val="Times New Roman"/>
        <family val="1"/>
      </rPr>
      <t>h</t>
    </r>
  </si>
  <si>
    <r>
      <t xml:space="preserve">GRAND TOTAL (rounded) </t>
    </r>
    <r>
      <rPr>
        <b/>
        <vertAlign val="superscript"/>
        <sz val="9"/>
        <color theme="1"/>
        <rFont val="Times New Roman"/>
        <family val="1"/>
      </rPr>
      <t>h</t>
    </r>
  </si>
  <si>
    <t>hrs per response</t>
  </si>
  <si>
    <r>
      <rPr>
        <vertAlign val="superscript"/>
        <sz val="10"/>
        <rFont val="Times New Roman"/>
        <family val="1"/>
      </rPr>
      <t>c</t>
    </r>
    <r>
      <rPr>
        <sz val="10"/>
        <rFont val="Times New Roman"/>
        <family val="1"/>
      </rPr>
      <t xml:space="preserve">  We have assumed that each respondent will have to familiarize with regulatory requirements each year.</t>
    </r>
  </si>
  <si>
    <r>
      <rPr>
        <vertAlign val="superscript"/>
        <sz val="10"/>
        <rFont val="Times New Roman"/>
        <family val="1"/>
      </rPr>
      <t>d</t>
    </r>
    <r>
      <rPr>
        <sz val="10"/>
        <rFont val="Times New Roman"/>
        <family val="1"/>
      </rPr>
      <t xml:space="preserve">  We assume that 20% of sources will have to repeat performance tests.</t>
    </r>
  </si>
  <si>
    <r>
      <rPr>
        <vertAlign val="superscript"/>
        <sz val="10"/>
        <rFont val="Times New Roman"/>
        <family val="1"/>
      </rPr>
      <t>f</t>
    </r>
    <r>
      <rPr>
        <sz val="10"/>
        <rFont val="Times New Roman"/>
        <family val="1"/>
      </rPr>
      <t xml:space="preserve">  We assume 1 existing facility will be reconstructed or modified over the next 5 years (0.2 respondents per year).</t>
    </r>
  </si>
  <si>
    <r>
      <rPr>
        <vertAlign val="superscript"/>
        <sz val="10"/>
        <rFont val="Times New Roman"/>
        <family val="1"/>
      </rPr>
      <t>g</t>
    </r>
    <r>
      <rPr>
        <sz val="10"/>
        <rFont val="Times New Roman"/>
        <family val="1"/>
      </rPr>
      <t xml:space="preserve">  We assume it will take 8 hours to write semiannual reports.</t>
    </r>
  </si>
  <si>
    <r>
      <rPr>
        <vertAlign val="superscript"/>
        <sz val="10"/>
        <rFont val="Times New Roman"/>
        <family val="1"/>
      </rPr>
      <t>h</t>
    </r>
    <r>
      <rPr>
        <sz val="10"/>
        <rFont val="Times New Roman"/>
        <family val="1"/>
      </rPr>
      <t xml:space="preserve">  Totals have been rounded to 3 significant figures. Figures may not add exactly due to rounding.</t>
    </r>
  </si>
  <si>
    <r>
      <rPr>
        <vertAlign val="superscript"/>
        <sz val="10"/>
        <rFont val="Times New Roman"/>
        <family val="1"/>
      </rPr>
      <t>c</t>
    </r>
    <r>
      <rPr>
        <sz val="10"/>
        <rFont val="Times New Roman"/>
        <family val="1"/>
      </rPr>
      <t xml:space="preserve">  We assume that 20% of new sources will have to repeat performance tests.</t>
    </r>
  </si>
  <si>
    <r>
      <rPr>
        <vertAlign val="superscript"/>
        <sz val="10"/>
        <rFont val="Times New Roman"/>
        <family val="1"/>
      </rPr>
      <t>e</t>
    </r>
    <r>
      <rPr>
        <sz val="10"/>
        <rFont val="Times New Roman"/>
        <family val="1"/>
      </rPr>
      <t xml:space="preserve">  Totals have been rounded to 3 significant figures. Figures may not add exactly due to rounding.</t>
    </r>
  </si>
  <si>
    <r>
      <rPr>
        <vertAlign val="superscript"/>
        <sz val="10"/>
        <rFont val="Times New Roman"/>
        <family val="1"/>
      </rPr>
      <t>d</t>
    </r>
    <r>
      <rPr>
        <sz val="10"/>
        <rFont val="Times New Roman"/>
        <family val="1"/>
      </rPr>
      <t xml:space="preserve">  We assume 10% of sources will report non-compliance.</t>
    </r>
  </si>
  <si>
    <r>
      <rPr>
        <vertAlign val="superscript"/>
        <sz val="10"/>
        <rFont val="Times New Roman"/>
        <family val="1"/>
      </rPr>
      <t>e</t>
    </r>
    <r>
      <rPr>
        <sz val="10"/>
        <rFont val="Times New Roman"/>
        <family val="1"/>
      </rPr>
      <t xml:space="preserve">  We assume 10% of sources will report non-compliance.</t>
    </r>
  </si>
  <si>
    <t>Average</t>
  </si>
  <si>
    <t>Number of Respondents (E=A+B+C-D)</t>
  </si>
  <si>
    <t>Number of Existing Respondents That Are Also New Respondents</t>
  </si>
  <si>
    <t>Number of Existing Respondents that keep records but do not submit reports</t>
  </si>
  <si>
    <t>Number of Existing Respondents</t>
  </si>
  <si>
    <r>
      <t xml:space="preserve">Number of New Respondents </t>
    </r>
    <r>
      <rPr>
        <b/>
        <vertAlign val="superscript"/>
        <sz val="10"/>
        <color rgb="FF000000"/>
        <rFont val="Times New Roman"/>
        <family val="1"/>
      </rPr>
      <t>a</t>
    </r>
  </si>
  <si>
    <t>Year</t>
  </si>
  <si>
    <t>(E)</t>
  </si>
  <si>
    <t>(D)</t>
  </si>
  <si>
    <t>(C)</t>
  </si>
  <si>
    <t>(B)</t>
  </si>
  <si>
    <t>(A)</t>
  </si>
  <si>
    <t>Respondents That Do Not Submit Any Reports</t>
  </si>
  <si>
    <t>Respondents That Submit Reports</t>
  </si>
  <si>
    <t>Number of Respondents</t>
  </si>
  <si>
    <t>Total</t>
  </si>
  <si>
    <t>Total Annual Responses E=(BxC)+D</t>
  </si>
  <si>
    <t>Number of Existing Respondents That Keep Records But Do Not Submit Reports</t>
  </si>
  <si>
    <t>Number of Responses</t>
  </si>
  <si>
    <r>
      <t xml:space="preserve">Number of Respondents </t>
    </r>
    <r>
      <rPr>
        <vertAlign val="superscript"/>
        <sz val="10"/>
        <color rgb="FF000000"/>
        <rFont val="Times New Roman"/>
        <family val="1"/>
      </rPr>
      <t>a</t>
    </r>
  </si>
  <si>
    <t>Information Collection Activity</t>
  </si>
  <si>
    <t>Total Annual Responses</t>
  </si>
  <si>
    <t>Subpart Ga</t>
  </si>
  <si>
    <t>Notification of CERMS demonstration</t>
  </si>
  <si>
    <t>Report of noncompliance with NOx emission standard</t>
  </si>
  <si>
    <t>Subpart G</t>
  </si>
  <si>
    <t>Notification of physical/operational changes</t>
  </si>
  <si>
    <t>Semiannual reports</t>
  </si>
  <si>
    <r>
      <rPr>
        <vertAlign val="superscript"/>
        <sz val="10"/>
        <rFont val="Times New Roman"/>
        <family val="1"/>
      </rPr>
      <t>a</t>
    </r>
    <r>
      <rPr>
        <sz val="10"/>
        <rFont val="Times New Roman"/>
        <family val="1"/>
      </rPr>
      <t xml:space="preserve">  We have assumed there are approximately 35 respondents (24 subject to Subpart G and 11 subject to Subpart Ga), with 1.2 new sources per year becoming subject to the rule over the next three years.</t>
    </r>
  </si>
  <si>
    <r>
      <rPr>
        <vertAlign val="superscript"/>
        <sz val="10"/>
        <color theme="1"/>
        <rFont val="Times New Roman"/>
        <family val="1"/>
      </rPr>
      <t>c</t>
    </r>
    <r>
      <rPr>
        <sz val="10"/>
        <color theme="1"/>
        <rFont val="Times New Roman"/>
        <family val="1"/>
      </rPr>
      <t xml:space="preserve"> Totals have been rounded to 3 significant digits. Figures may not add exactly due to rounding. </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</si>
  <si>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c</t>
    </r>
  </si>
  <si>
    <t>Total O&amp;M, 
(E X F)</t>
  </si>
  <si>
    <t>Total Capital/Startup Cost,  (B X C)</t>
  </si>
  <si>
    <t>Continuous Monitoring Device</t>
  </si>
  <si>
    <t>(G)</t>
  </si>
  <si>
    <t>(F)</t>
  </si>
  <si>
    <r>
      <t>Capital/Startup vs. Operation and Maintenance (O&amp;M) Costs</t>
    </r>
    <r>
      <rPr>
        <sz val="10"/>
        <color theme="1"/>
        <rFont val="Times New Roman"/>
        <family val="1"/>
      </rPr>
      <t> </t>
    </r>
  </si>
  <si>
    <t>NOx CMS</t>
  </si>
  <si>
    <t>CERMS testing</t>
  </si>
  <si>
    <t>NA</t>
  </si>
  <si>
    <t>Flow meter testing</t>
  </si>
  <si>
    <t>File cabinets</t>
  </si>
  <si>
    <r>
      <rPr>
        <vertAlign val="superscript"/>
        <sz val="10"/>
        <rFont val="Times New Roman"/>
        <family val="1"/>
      </rPr>
      <t>b</t>
    </r>
    <r>
      <rPr>
        <sz val="10"/>
        <rFont val="Times New Roman"/>
        <family val="1"/>
      </rPr>
      <t xml:space="preserve">  This ICR uses the following average hourly labor rates: $73.46 for managerial (GS-13, Step 5, $45.91 + 60%), $54.51 (GS-12, Step 1, $34.07 + 60%) for technical and $29.50 (GS-6, Step 3, $18.44 + 60%) for clerical.  These rates are from the Office of Personnel Management (OPM), 2023 General Schedule, which excludes locality rates of pay.  The rates have been increased by 60 percent to account for the benefit packages available to government employees.</t>
    </r>
  </si>
  <si>
    <t xml:space="preserve">Number of New  Respondents </t>
  </si>
  <si>
    <r>
      <t>Number of Respondents with O&amp;M</t>
    </r>
    <r>
      <rPr>
        <b/>
        <vertAlign val="superscript"/>
        <sz val="10"/>
        <color theme="1"/>
        <rFont val="Times New Roman"/>
        <family val="1"/>
      </rPr>
      <t xml:space="preserve"> </t>
    </r>
  </si>
  <si>
    <r>
      <t>NOx CERMS</t>
    </r>
    <r>
      <rPr>
        <vertAlign val="superscript"/>
        <sz val="10"/>
        <rFont val="Times New Roman"/>
        <family val="1"/>
      </rPr>
      <t>a,b</t>
    </r>
  </si>
  <si>
    <r>
      <t xml:space="preserve">a </t>
    </r>
    <r>
      <rPr>
        <sz val="10"/>
        <color rgb="FF000000"/>
        <rFont val="Times New Roman"/>
        <family val="1"/>
      </rPr>
      <t xml:space="preserve"> New respondents include sources with constructed, reconstructed and modified affected facilities. In this standard existing respondents submit initial notifications.</t>
    </r>
  </si>
  <si>
    <t>Form Number</t>
  </si>
  <si>
    <t>Annualized Capital O&amp;M</t>
  </si>
  <si>
    <t>Total Estimated Costs</t>
  </si>
  <si>
    <t>Total Estimated Burden Hours</t>
  </si>
  <si>
    <t>Hours per Response</t>
  </si>
  <si>
    <t>ICR Summary Information</t>
  </si>
  <si>
    <t>Not Applicable</t>
  </si>
  <si>
    <r>
      <rPr>
        <vertAlign val="superscript"/>
        <sz val="10"/>
        <rFont val="Times New Roman"/>
        <family val="1"/>
      </rPr>
      <t>b</t>
    </r>
    <r>
      <rPr>
        <sz val="10"/>
        <rFont val="Times New Roman"/>
        <family val="1"/>
      </rPr>
      <t xml:space="preserve">  This ICR uses the following labor rates: $130.28 for technical, $163.17 for managerial, and $65.71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</si>
  <si>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t>a  We have assumed there are approximately 35 respondents (24 subject to Subpart G and 11 subject to Subpart Ga), with 1.2 new sources per year becoming subject to the rule over the next three years.</t>
  </si>
  <si>
    <r>
      <rPr>
        <vertAlign val="superscript"/>
        <sz val="10"/>
        <color theme="1"/>
        <rFont val="Times New Roman"/>
        <family val="1"/>
      </rPr>
      <t xml:space="preserve">b  </t>
    </r>
    <r>
      <rPr>
        <sz val="10"/>
        <color theme="1"/>
        <rFont val="Times New Roman"/>
        <family val="1"/>
      </rPr>
      <t xml:space="preserve">On average over the three-year period of this ICR, we estimate an average 11 respondents per year will be subject to Subpart Ga (a growth rate of 1.2 respondents per year). </t>
    </r>
  </si>
  <si>
    <t>2013 CE Index Value</t>
  </si>
  <si>
    <t>2007 CE Index Value</t>
  </si>
  <si>
    <r>
      <t xml:space="preserve">Capital/Startup Cost for One Respondent </t>
    </r>
    <r>
      <rPr>
        <b/>
        <vertAlign val="superscript"/>
        <sz val="10"/>
        <color theme="1"/>
        <rFont val="Times New Roman"/>
        <family val="1"/>
      </rPr>
      <t>d</t>
    </r>
  </si>
  <si>
    <r>
      <t xml:space="preserve">Annual O&amp;M Costs for One Respondent </t>
    </r>
    <r>
      <rPr>
        <b/>
        <vertAlign val="superscript"/>
        <sz val="10"/>
        <color theme="1"/>
        <rFont val="Times New Roman"/>
        <family val="1"/>
      </rPr>
      <t>d</t>
    </r>
  </si>
  <si>
    <t>2022 CE Index Value</t>
  </si>
  <si>
    <r>
      <rPr>
        <vertAlign val="superscript"/>
        <sz val="10"/>
        <rFont val="Times New Roman"/>
        <family val="1"/>
      </rPr>
      <t xml:space="preserve">d </t>
    </r>
    <r>
      <rPr>
        <sz val="10"/>
        <rFont val="Times New Roman"/>
        <family val="1"/>
      </rPr>
      <t>Costs have been updated to 2022 $ using the CEPCI Equipment Cost Index.</t>
    </r>
  </si>
  <si>
    <r>
      <rPr>
        <vertAlign val="superscript"/>
        <sz val="10"/>
        <color theme="1"/>
        <rFont val="Times New Roman"/>
        <family val="1"/>
      </rPr>
      <t xml:space="preserve">a  </t>
    </r>
    <r>
      <rPr>
        <sz val="10"/>
        <color theme="1"/>
        <rFont val="Times New Roman"/>
        <family val="1"/>
      </rPr>
      <t xml:space="preserve">We estimate an annual capital cost of $163,226 for NOx CERMS and $1,126 for file cabinets for all respondents. The capital cost per respondent is calculated by dividing the total capital cost by 1.2 new respondents.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</si>
</sst>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1" formatCode="_(* #,##0_);_(* \(#,##0\);_(* &quot;-&quot;_);_(@_)"/>
    <numFmt numFmtId="164" formatCode="0.0"/>
    <numFmt numFmtId="165" formatCode="General_)"/>
    <numFmt numFmtId="166" formatCode="&quot;$&quot;#,##0.00"/>
  </numFmts>
  <fonts count="26" x14ac:knownFonts="1">
    <font>
      <sz val="11"/>
      <color theme="1"/>
      <name val="Calibri"/>
      <family val="2"/>
      <scheme val="minor"/>
    </font>
    <font>
      <sz val="10"/>
      <color theme="1"/>
      <name val="Times New Roman"/>
      <family val="1"/>
    </font>
    <font>
      <sz val="9"/>
      <color theme="1"/>
      <name val="Times New Roman"/>
      <family val="1"/>
    </font>
    <font>
      <vertAlign val="superscript"/>
      <sz val="9"/>
      <color theme="1"/>
      <name val="Times New Roman"/>
      <family val="1"/>
    </font>
    <font>
      <b/>
      <sz val="12"/>
      <color theme="1"/>
      <name val="Times New Roman"/>
      <family val="1"/>
    </font>
    <font>
      <b/>
      <sz val="9"/>
      <color theme="1"/>
      <name val="Times New Roman"/>
      <family val="1"/>
    </font>
    <font>
      <sz val="9"/>
      <color rgb="FF000000"/>
      <name val="Times New Roman"/>
      <family val="1"/>
    </font>
    <font>
      <b/>
      <sz val="12"/>
      <color rgb="FF000000"/>
      <name val="Times New Roman"/>
      <family val="1"/>
    </font>
    <font>
      <b/>
      <vertAlign val="superscript"/>
      <sz val="9"/>
      <color theme="1"/>
      <name val="Times New Roman"/>
      <family val="1"/>
    </font>
    <font>
      <b/>
      <sz val="10"/>
      <color theme="1"/>
      <name val="Times New Roman"/>
      <family val="1"/>
    </font>
    <font>
      <sz val="11"/>
      <color rgb="FFFF0000"/>
      <name val="Calibri"/>
      <family val="2"/>
      <scheme val="minor"/>
    </font>
    <font>
      <b/>
      <sz val="9"/>
      <color rgb="FFFF0000"/>
      <name val="Times New Roman"/>
      <family val="1"/>
    </font>
    <font>
      <sz val="10"/>
      <name val="Times New Roman"/>
      <family val="1"/>
    </font>
    <font>
      <vertAlign val="superscript"/>
      <sz val="10"/>
      <name val="Times New Roman"/>
      <family val="1"/>
    </font>
    <font>
      <sz val="11"/>
      <name val="Calibri"/>
      <family val="2"/>
      <scheme val="minor"/>
    </font>
    <font>
      <sz val="10"/>
      <color theme="1"/>
      <name val="Calibri"/>
      <family val="2"/>
      <scheme val="minor"/>
    </font>
    <font>
      <vertAlign val="superscript"/>
      <sz val="10"/>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sz val="8"/>
      <name val="Helv"/>
    </font>
    <font>
      <sz val="10"/>
      <color rgb="FFFF0000"/>
      <name val="Times New Roman"/>
      <family val="1"/>
    </font>
    <font>
      <b/>
      <sz val="10"/>
      <name val="Times New Roman"/>
      <family val="1"/>
    </font>
    <font>
      <sz val="10"/>
      <color rgb="FFFF0000"/>
      <name val="Calibri"/>
      <family val="2"/>
      <scheme val="minor"/>
    </font>
    <font>
      <vertAlign val="superscript"/>
      <sz val="10"/>
      <color theme="1"/>
      <name val="Times New Roman"/>
      <family val="1"/>
    </font>
    <font>
      <b/>
      <vertAlign val="superscript"/>
      <sz val="10"/>
      <color theme="1"/>
      <name val="Times New Roman"/>
      <family val="1"/>
    </font>
  </fonts>
  <fills count="3">
    <fill>
      <patternFill patternType="none"/>
    </fill>
    <fill>
      <patternFill patternType="gray125"/>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xf numFmtId="165" fontId="20" fillId="0" borderId="0"/>
  </cellStyleXfs>
  <cellXfs count="103">
    <xf numFmtId="0" fontId="0" fillId="0" borderId="0" xfId="0"/>
    <xf numFmtId="0" fontId="1" fillId="0" borderId="0" xfId="0" applyFont="1"/>
    <xf numFmtId="0" fontId="7"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xf numFmtId="0" fontId="5" fillId="0" borderId="1" xfId="0" applyFont="1" applyBorder="1" applyAlignment="1">
      <alignment vertical="center"/>
    </xf>
    <xf numFmtId="8" fontId="2" fillId="0" borderId="1" xfId="0" applyNumberFormat="1" applyFont="1" applyBorder="1" applyAlignment="1">
      <alignment horizontal="right" vertical="center"/>
    </xf>
    <xf numFmtId="0" fontId="2" fillId="0" borderId="1" xfId="0" applyFont="1" applyBorder="1" applyAlignment="1">
      <alignment horizontal="left" vertical="center" indent="2"/>
    </xf>
    <xf numFmtId="0" fontId="2" fillId="0" borderId="1" xfId="0" applyFont="1" applyBorder="1" applyAlignment="1">
      <alignment horizontal="right" vertical="center"/>
    </xf>
    <xf numFmtId="0" fontId="2" fillId="0" borderId="1" xfId="0" applyFont="1" applyBorder="1" applyAlignment="1">
      <alignment horizontal="left" vertical="center" indent="3"/>
    </xf>
    <xf numFmtId="3" fontId="5" fillId="0" borderId="1" xfId="0" applyNumberFormat="1" applyFont="1" applyBorder="1" applyAlignment="1">
      <alignment horizontal="center" vertical="center"/>
    </xf>
    <xf numFmtId="0" fontId="2" fillId="0" borderId="1" xfId="0" applyFont="1" applyBorder="1" applyAlignment="1">
      <alignment horizontal="left" vertical="center" indent="1"/>
    </xf>
    <xf numFmtId="0" fontId="6" fillId="0" borderId="1" xfId="0" applyFont="1" applyBorder="1" applyAlignment="1">
      <alignment vertical="center"/>
    </xf>
    <xf numFmtId="0" fontId="5" fillId="2" borderId="1" xfId="0" applyFont="1" applyFill="1" applyBorder="1" applyAlignment="1">
      <alignment vertical="center"/>
    </xf>
    <xf numFmtId="0" fontId="2" fillId="2" borderId="1" xfId="0" applyFont="1" applyFill="1" applyBorder="1" applyAlignment="1">
      <alignment vertical="center"/>
    </xf>
    <xf numFmtId="6" fontId="5" fillId="0" borderId="1" xfId="0" applyNumberFormat="1" applyFont="1" applyBorder="1" applyAlignment="1">
      <alignment horizontal="right" vertical="center"/>
    </xf>
    <xf numFmtId="0" fontId="5" fillId="0" borderId="1" xfId="0" applyFont="1" applyBorder="1" applyAlignment="1">
      <alignment horizontal="center" vertical="center" wrapText="1"/>
    </xf>
    <xf numFmtId="0" fontId="6" fillId="0" borderId="1" xfId="0" applyFont="1" applyBorder="1" applyAlignment="1">
      <alignment vertical="center" wrapText="1"/>
    </xf>
    <xf numFmtId="6" fontId="5" fillId="2" borderId="1" xfId="0" applyNumberFormat="1" applyFont="1" applyFill="1" applyBorder="1" applyAlignment="1">
      <alignment horizontal="right" vertical="center"/>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7" fillId="0" borderId="0" xfId="0" applyFont="1"/>
    <xf numFmtId="164" fontId="2" fillId="0" borderId="1" xfId="0" applyNumberFormat="1" applyFont="1" applyBorder="1" applyAlignment="1">
      <alignment horizontal="center" vertical="center"/>
    </xf>
    <xf numFmtId="6" fontId="2" fillId="0" borderId="1" xfId="0" applyNumberFormat="1" applyFont="1" applyBorder="1" applyAlignment="1">
      <alignment horizontal="right" vertical="center"/>
    </xf>
    <xf numFmtId="0" fontId="5" fillId="0" borderId="0" xfId="0" applyFont="1" applyAlignment="1">
      <alignment vertical="center"/>
    </xf>
    <xf numFmtId="6" fontId="5" fillId="0" borderId="0" xfId="0" applyNumberFormat="1" applyFont="1" applyAlignment="1">
      <alignment horizontal="right" vertical="center"/>
    </xf>
    <xf numFmtId="0" fontId="9" fillId="0" borderId="0" xfId="0" applyFont="1" applyAlignment="1">
      <alignment vertical="center"/>
    </xf>
    <xf numFmtId="0" fontId="2" fillId="0" borderId="0" xfId="0" applyFont="1" applyAlignment="1">
      <alignment horizontal="center" vertical="center"/>
    </xf>
    <xf numFmtId="1" fontId="5" fillId="0" borderId="0" xfId="0" applyNumberFormat="1" applyFont="1" applyAlignment="1">
      <alignment horizontal="center" vertical="center"/>
    </xf>
    <xf numFmtId="0" fontId="5" fillId="0" borderId="0" xfId="0" applyFont="1" applyAlignment="1">
      <alignment horizontal="center" vertical="center"/>
    </xf>
    <xf numFmtId="1" fontId="0" fillId="0" borderId="0" xfId="0" applyNumberFormat="1"/>
    <xf numFmtId="0" fontId="10" fillId="0" borderId="0" xfId="0" applyFont="1"/>
    <xf numFmtId="0" fontId="10" fillId="0" borderId="0" xfId="0" applyFont="1" applyAlignment="1">
      <alignment horizontal="right"/>
    </xf>
    <xf numFmtId="0" fontId="11" fillId="0" borderId="5" xfId="0" applyFont="1" applyBorder="1" applyAlignment="1">
      <alignment vertical="center"/>
    </xf>
    <xf numFmtId="0" fontId="11" fillId="0" borderId="0" xfId="0" applyFont="1" applyAlignment="1">
      <alignment vertical="center"/>
    </xf>
    <xf numFmtId="0" fontId="10" fillId="0" borderId="0" xfId="0" applyFont="1" applyAlignment="1">
      <alignment horizontal="left"/>
    </xf>
    <xf numFmtId="0" fontId="14" fillId="0" borderId="0" xfId="0" applyFont="1"/>
    <xf numFmtId="0" fontId="15" fillId="0" borderId="0" xfId="0" applyFont="1"/>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1" fontId="9" fillId="0" borderId="6"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vertical="center" wrapText="1"/>
    </xf>
    <xf numFmtId="1" fontId="9"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2" fillId="0" borderId="1" xfId="0" applyFont="1" applyBorder="1" applyAlignment="1">
      <alignment horizontal="left" vertical="center" wrapText="1"/>
    </xf>
    <xf numFmtId="0" fontId="21" fillId="0" borderId="0" xfId="0" applyFont="1"/>
    <xf numFmtId="0" fontId="12"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15" fillId="0" borderId="0" xfId="0" applyFont="1" applyAlignment="1">
      <alignment wrapText="1"/>
    </xf>
    <xf numFmtId="6" fontId="9" fillId="0" borderId="0" xfId="0" applyNumberFormat="1" applyFont="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vertical="center" wrapText="1"/>
    </xf>
    <xf numFmtId="6" fontId="15" fillId="0" borderId="0" xfId="0" applyNumberFormat="1" applyFont="1"/>
    <xf numFmtId="6"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6" fontId="12" fillId="0" borderId="1" xfId="0" applyNumberFormat="1" applyFont="1" applyBorder="1" applyAlignment="1">
      <alignment horizontal="center" vertical="center" wrapText="1"/>
    </xf>
    <xf numFmtId="0" fontId="12" fillId="0" borderId="1" xfId="0" applyFont="1" applyBorder="1" applyAlignment="1">
      <alignment vertical="center" wrapText="1"/>
    </xf>
    <xf numFmtId="6" fontId="1" fillId="0" borderId="1" xfId="0" applyNumberFormat="1" applyFont="1" applyBorder="1" applyAlignment="1">
      <alignment horizontal="center" vertical="center" wrapText="1"/>
    </xf>
    <xf numFmtId="6" fontId="1" fillId="0" borderId="0" xfId="0" applyNumberFormat="1" applyFont="1" applyAlignment="1">
      <alignment horizontal="center" vertical="center" wrapText="1"/>
    </xf>
    <xf numFmtId="0" fontId="9" fillId="0" borderId="0" xfId="0" applyFont="1" applyAlignment="1">
      <alignment horizontal="center" vertical="center" wrapText="1"/>
    </xf>
    <xf numFmtId="166" fontId="12" fillId="0" borderId="0" xfId="1" applyNumberFormat="1" applyFont="1" applyAlignment="1">
      <alignment horizontal="right" wrapText="1"/>
    </xf>
    <xf numFmtId="165" fontId="12" fillId="0" borderId="0" xfId="1" applyFont="1" applyAlignment="1">
      <alignment horizontal="center" vertical="center" wrapText="1"/>
    </xf>
    <xf numFmtId="164" fontId="12" fillId="0" borderId="1" xfId="0" applyNumberFormat="1" applyFont="1" applyBorder="1" applyAlignment="1">
      <alignment horizontal="center" vertical="center" wrapText="1"/>
    </xf>
    <xf numFmtId="2" fontId="0" fillId="0" borderId="0" xfId="0" applyNumberFormat="1"/>
    <xf numFmtId="6" fontId="0" fillId="0" borderId="0" xfId="0" applyNumberFormat="1"/>
    <xf numFmtId="3" fontId="0" fillId="0" borderId="0" xfId="0" applyNumberFormat="1"/>
    <xf numFmtId="41" fontId="0" fillId="0" borderId="0" xfId="0" applyNumberFormat="1"/>
    <xf numFmtId="0" fontId="23" fillId="0" borderId="0" xfId="0" applyFont="1"/>
    <xf numFmtId="1" fontId="12" fillId="0" borderId="1" xfId="0" applyNumberFormat="1" applyFont="1" applyBorder="1" applyAlignment="1">
      <alignment horizontal="center" vertical="center" wrapText="1"/>
    </xf>
    <xf numFmtId="0" fontId="0" fillId="0" borderId="0" xfId="0" applyAlignment="1">
      <alignment horizontal="center"/>
    </xf>
    <xf numFmtId="0" fontId="12" fillId="0" borderId="0" xfId="0" applyFont="1" applyAlignment="1">
      <alignment horizontal="left" vertical="top"/>
    </xf>
    <xf numFmtId="0" fontId="12" fillId="0" borderId="0" xfId="0" applyFont="1" applyAlignment="1">
      <alignment horizontal="left" vertical="top" wrapText="1"/>
    </xf>
    <xf numFmtId="1"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3" fontId="5" fillId="0" borderId="1" xfId="0" applyNumberFormat="1" applyFont="1" applyBorder="1" applyAlignment="1">
      <alignment horizontal="center" vertical="center"/>
    </xf>
    <xf numFmtId="1" fontId="5" fillId="0" borderId="2" xfId="0" applyNumberFormat="1" applyFont="1" applyBorder="1" applyAlignment="1">
      <alignment horizontal="center" vertical="center"/>
    </xf>
    <xf numFmtId="1" fontId="5" fillId="0" borderId="3" xfId="0" applyNumberFormat="1" applyFont="1" applyBorder="1" applyAlignment="1">
      <alignment horizontal="center" vertical="center"/>
    </xf>
    <xf numFmtId="1" fontId="5" fillId="0" borderId="4" xfId="0" applyNumberFormat="1" applyFont="1" applyBorder="1" applyAlignment="1">
      <alignment horizontal="center" vertical="center"/>
    </xf>
    <xf numFmtId="1" fontId="5" fillId="0" borderId="1" xfId="0" applyNumberFormat="1" applyFont="1" applyBorder="1" applyAlignment="1">
      <alignment horizontal="center" vertical="center"/>
    </xf>
    <xf numFmtId="0" fontId="5" fillId="0" borderId="1" xfId="0" applyFont="1" applyBorder="1" applyAlignment="1">
      <alignment horizontal="center" vertical="center"/>
    </xf>
    <xf numFmtId="3" fontId="5" fillId="2" borderId="1" xfId="0" applyNumberFormat="1" applyFont="1" applyFill="1" applyBorder="1" applyAlignment="1">
      <alignment horizontal="center" vertical="center"/>
    </xf>
    <xf numFmtId="0" fontId="1" fillId="0" borderId="0" xfId="0" applyFont="1" applyAlignment="1">
      <alignment horizontal="left" vertical="top" wrapText="1"/>
    </xf>
    <xf numFmtId="0" fontId="1" fillId="0" borderId="0" xfId="0" applyFont="1" applyAlignment="1">
      <alignment vertical="center" wrapText="1"/>
    </xf>
    <xf numFmtId="0" fontId="15" fillId="0" borderId="0" xfId="0" applyFont="1" applyAlignment="1">
      <alignment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7" fillId="0" borderId="1" xfId="0" applyFont="1" applyBorder="1" applyAlignment="1">
      <alignment horizontal="center" vertical="center" wrapText="1"/>
    </xf>
    <xf numFmtId="0" fontId="18" fillId="0" borderId="1" xfId="0" applyFont="1" applyBorder="1" applyAlignment="1">
      <alignment vertical="center" wrapText="1"/>
    </xf>
    <xf numFmtId="0" fontId="16" fillId="0" borderId="6" xfId="0" applyFont="1" applyBorder="1" applyAlignment="1">
      <alignment horizontal="left" vertical="top" wrapText="1"/>
    </xf>
  </cellXfs>
  <cellStyles count="2">
    <cellStyle name="Normal" xfId="0" builtinId="0"/>
    <cellStyle name="Normal_SSI Burden Estimate BML 060710" xfId="1" xr:uid="{186A31E8-7D15-4CB0-971F-E8568BE0EF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995D-B310-424E-AF1F-BF5CF24C9239}">
  <dimension ref="A1:B8"/>
  <sheetViews>
    <sheetView tabSelected="1" workbookViewId="0">
      <selection activeCell="H12" sqref="H12"/>
    </sheetView>
  </sheetViews>
  <sheetFormatPr defaultRowHeight="14.5" x14ac:dyDescent="0.35"/>
  <cols>
    <col min="1" max="1" width="27.81640625" customWidth="1"/>
    <col min="2" max="2" width="14.26953125" bestFit="1" customWidth="1"/>
  </cols>
  <sheetData>
    <row r="1" spans="1:2" x14ac:dyDescent="0.35">
      <c r="A1" s="77" t="s">
        <v>145</v>
      </c>
      <c r="B1" s="77"/>
    </row>
    <row r="2" spans="1:2" x14ac:dyDescent="0.35">
      <c r="A2" t="s">
        <v>144</v>
      </c>
      <c r="B2" s="74">
        <f>'Table 1'!F55/Responses!E14</f>
        <v>51.542649727767696</v>
      </c>
    </row>
    <row r="3" spans="1:2" x14ac:dyDescent="0.35">
      <c r="A3" t="s">
        <v>107</v>
      </c>
      <c r="B3">
        <f>Respondents!F8</f>
        <v>35</v>
      </c>
    </row>
    <row r="4" spans="1:2" x14ac:dyDescent="0.35">
      <c r="A4" t="s">
        <v>143</v>
      </c>
      <c r="B4" s="73">
        <f>'Table 1'!F55</f>
        <v>2840</v>
      </c>
    </row>
    <row r="5" spans="1:2" x14ac:dyDescent="0.35">
      <c r="A5" t="s">
        <v>142</v>
      </c>
      <c r="B5" s="72">
        <f>'Table 1'!I57</f>
        <v>4690000</v>
      </c>
    </row>
    <row r="6" spans="1:2" x14ac:dyDescent="0.35">
      <c r="A6" t="s">
        <v>141</v>
      </c>
      <c r="B6" s="72">
        <f>'Capital O&amp;M'!I12</f>
        <v>4330000</v>
      </c>
    </row>
    <row r="7" spans="1:2" x14ac:dyDescent="0.35">
      <c r="A7" t="s">
        <v>114</v>
      </c>
      <c r="B7" s="32">
        <f>Responses!E14</f>
        <v>55.1</v>
      </c>
    </row>
    <row r="8" spans="1:2" x14ac:dyDescent="0.35">
      <c r="A8" t="s">
        <v>140</v>
      </c>
      <c r="B8" t="s">
        <v>146</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zoomScaleNormal="100" workbookViewId="0">
      <selection activeCell="K28" sqref="K28"/>
    </sheetView>
  </sheetViews>
  <sheetFormatPr defaultRowHeight="14.5" x14ac:dyDescent="0.35"/>
  <cols>
    <col min="1" max="1" width="49.7265625" customWidth="1"/>
    <col min="2" max="2" width="9.81640625" customWidth="1"/>
    <col min="3" max="3" width="10.1796875" customWidth="1"/>
    <col min="4" max="4" width="10.81640625" customWidth="1"/>
    <col min="5" max="5" width="10.26953125" customWidth="1"/>
    <col min="7" max="7" width="11.1796875" customWidth="1"/>
    <col min="9" max="9" width="10.1796875" bestFit="1" customWidth="1"/>
  </cols>
  <sheetData>
    <row r="1" spans="1:12" ht="15" x14ac:dyDescent="0.35">
      <c r="A1" s="2" t="s">
        <v>41</v>
      </c>
    </row>
    <row r="2" spans="1:12" x14ac:dyDescent="0.35">
      <c r="F2">
        <v>130.28</v>
      </c>
      <c r="G2">
        <v>163.16999999999999</v>
      </c>
      <c r="H2">
        <v>65.709999999999994</v>
      </c>
    </row>
    <row r="3" spans="1:12" ht="69" x14ac:dyDescent="0.35">
      <c r="A3" s="18" t="s">
        <v>42</v>
      </c>
      <c r="B3" s="18" t="s">
        <v>43</v>
      </c>
      <c r="C3" s="18" t="s">
        <v>44</v>
      </c>
      <c r="D3" s="18" t="s">
        <v>45</v>
      </c>
      <c r="E3" s="18" t="s">
        <v>51</v>
      </c>
      <c r="F3" s="18" t="s">
        <v>46</v>
      </c>
      <c r="G3" s="18" t="s">
        <v>47</v>
      </c>
      <c r="H3" s="18" t="s">
        <v>48</v>
      </c>
      <c r="I3" s="18" t="s">
        <v>52</v>
      </c>
    </row>
    <row r="4" spans="1:12" x14ac:dyDescent="0.35">
      <c r="A4" s="3" t="s">
        <v>50</v>
      </c>
      <c r="B4" s="4" t="s">
        <v>0</v>
      </c>
      <c r="C4" s="5"/>
      <c r="D4" s="5"/>
      <c r="E4" s="5"/>
      <c r="F4" s="5"/>
      <c r="G4" s="6"/>
      <c r="H4" s="6"/>
      <c r="I4" s="5"/>
    </row>
    <row r="5" spans="1:12" x14ac:dyDescent="0.35">
      <c r="A5" s="3" t="s">
        <v>1</v>
      </c>
      <c r="B5" s="4" t="s">
        <v>0</v>
      </c>
      <c r="C5" s="5"/>
      <c r="D5" s="5"/>
      <c r="E5" s="5"/>
      <c r="F5" s="5"/>
      <c r="G5" s="6"/>
      <c r="H5" s="6"/>
      <c r="I5" s="5"/>
      <c r="K5" s="35"/>
      <c r="L5" s="36"/>
    </row>
    <row r="6" spans="1:12" x14ac:dyDescent="0.35">
      <c r="A6" s="3" t="s">
        <v>2</v>
      </c>
      <c r="B6" s="5"/>
      <c r="C6" s="5"/>
      <c r="D6" s="5"/>
      <c r="E6" s="5"/>
      <c r="F6" s="5"/>
      <c r="G6" s="6"/>
      <c r="H6" s="6"/>
      <c r="I6" s="5"/>
      <c r="K6" s="33"/>
      <c r="L6" s="33"/>
    </row>
    <row r="7" spans="1:12" x14ac:dyDescent="0.35">
      <c r="A7" s="7" t="s">
        <v>3</v>
      </c>
      <c r="B7" s="6"/>
      <c r="C7" s="6"/>
      <c r="D7" s="6"/>
      <c r="E7" s="6"/>
      <c r="F7" s="6"/>
      <c r="G7" s="6"/>
      <c r="H7" s="6"/>
      <c r="I7" s="6"/>
      <c r="J7" s="34"/>
      <c r="K7" s="33"/>
      <c r="L7" s="33"/>
    </row>
    <row r="8" spans="1:12" x14ac:dyDescent="0.35">
      <c r="A8" s="3" t="s">
        <v>53</v>
      </c>
      <c r="B8" s="4">
        <v>1</v>
      </c>
      <c r="C8" s="4">
        <v>1</v>
      </c>
      <c r="D8" s="4">
        <f>+B8*C8</f>
        <v>1</v>
      </c>
      <c r="E8" s="4">
        <v>11</v>
      </c>
      <c r="F8" s="4">
        <f>+D8*E8</f>
        <v>11</v>
      </c>
      <c r="G8" s="4">
        <f>+F8*0.05</f>
        <v>0.55000000000000004</v>
      </c>
      <c r="H8" s="4">
        <f>+F8*0.1</f>
        <v>1.1000000000000001</v>
      </c>
      <c r="I8" s="8">
        <f>+$F$2*F8+$G$2*G8+$H$2*H8</f>
        <v>1595.1044999999999</v>
      </c>
      <c r="J8" s="37"/>
      <c r="K8" s="33"/>
      <c r="L8" s="33"/>
    </row>
    <row r="9" spans="1:12" x14ac:dyDescent="0.35">
      <c r="A9" s="3" t="s">
        <v>4</v>
      </c>
      <c r="B9" s="5"/>
      <c r="C9" s="5"/>
      <c r="D9" s="4"/>
      <c r="E9" s="5"/>
      <c r="F9" s="4"/>
      <c r="G9" s="4"/>
      <c r="H9" s="4"/>
      <c r="I9" s="8"/>
      <c r="K9" s="33"/>
      <c r="L9" s="33"/>
    </row>
    <row r="10" spans="1:12" x14ac:dyDescent="0.35">
      <c r="A10" s="3" t="s">
        <v>54</v>
      </c>
      <c r="B10" s="4">
        <v>180</v>
      </c>
      <c r="C10" s="4">
        <v>1</v>
      </c>
      <c r="D10" s="4">
        <f t="shared" ref="D10:D28" si="0">+B10*C10</f>
        <v>180</v>
      </c>
      <c r="E10" s="4">
        <v>1.2</v>
      </c>
      <c r="F10" s="4">
        <f t="shared" ref="F10:F22" si="1">+D10*E10</f>
        <v>216</v>
      </c>
      <c r="G10" s="4">
        <f t="shared" ref="G10:G22" si="2">+F10*0.05</f>
        <v>10.8</v>
      </c>
      <c r="H10" s="4">
        <f t="shared" ref="H10:H22" si="3">+F10*0.1</f>
        <v>21.6</v>
      </c>
      <c r="I10" s="8">
        <f t="shared" ref="I10:I22" si="4">+$F$2*F10+$G$2*G10+$H$2*H10</f>
        <v>31322.052</v>
      </c>
    </row>
    <row r="11" spans="1:12" x14ac:dyDescent="0.35">
      <c r="A11" s="9" t="s">
        <v>5</v>
      </c>
      <c r="B11" s="4">
        <v>180</v>
      </c>
      <c r="C11" s="4">
        <v>1</v>
      </c>
      <c r="D11" s="4">
        <f t="shared" si="0"/>
        <v>180</v>
      </c>
      <c r="E11" s="4">
        <f>E10</f>
        <v>1.2</v>
      </c>
      <c r="F11" s="4">
        <f t="shared" si="1"/>
        <v>216</v>
      </c>
      <c r="G11" s="4">
        <f t="shared" si="2"/>
        <v>10.8</v>
      </c>
      <c r="H11" s="4">
        <f t="shared" si="3"/>
        <v>21.6</v>
      </c>
      <c r="I11" s="8">
        <f t="shared" si="4"/>
        <v>31322.052</v>
      </c>
    </row>
    <row r="12" spans="1:12" x14ac:dyDescent="0.35">
      <c r="A12" s="9" t="s">
        <v>6</v>
      </c>
      <c r="B12" s="4">
        <v>180</v>
      </c>
      <c r="C12" s="4">
        <v>1</v>
      </c>
      <c r="D12" s="4">
        <f t="shared" si="0"/>
        <v>180</v>
      </c>
      <c r="E12" s="4">
        <f>E10*0.2</f>
        <v>0.24</v>
      </c>
      <c r="F12" s="24">
        <f t="shared" si="1"/>
        <v>43.199999999999996</v>
      </c>
      <c r="G12" s="4">
        <f t="shared" si="2"/>
        <v>2.1599999999999997</v>
      </c>
      <c r="H12" s="4">
        <f t="shared" si="3"/>
        <v>4.3199999999999994</v>
      </c>
      <c r="I12" s="8">
        <f t="shared" si="4"/>
        <v>6264.4103999999988</v>
      </c>
    </row>
    <row r="13" spans="1:12" x14ac:dyDescent="0.35">
      <c r="A13" s="9" t="s">
        <v>7</v>
      </c>
      <c r="B13" s="4">
        <v>0.5</v>
      </c>
      <c r="C13" s="4">
        <v>330</v>
      </c>
      <c r="D13" s="4">
        <f t="shared" si="0"/>
        <v>165</v>
      </c>
      <c r="E13" s="4">
        <f>E10</f>
        <v>1.2</v>
      </c>
      <c r="F13" s="4">
        <f t="shared" si="1"/>
        <v>198</v>
      </c>
      <c r="G13" s="4">
        <f t="shared" si="2"/>
        <v>9.9</v>
      </c>
      <c r="H13" s="4">
        <f t="shared" si="3"/>
        <v>19.8</v>
      </c>
      <c r="I13" s="8">
        <f t="shared" si="4"/>
        <v>28711.881000000001</v>
      </c>
    </row>
    <row r="14" spans="1:12" x14ac:dyDescent="0.35">
      <c r="A14" s="3" t="s">
        <v>8</v>
      </c>
      <c r="B14" s="4" t="s">
        <v>9</v>
      </c>
      <c r="C14" s="3"/>
      <c r="D14" s="4"/>
      <c r="E14" s="3"/>
      <c r="F14" s="4"/>
      <c r="G14" s="4"/>
      <c r="H14" s="4"/>
      <c r="I14" s="8"/>
    </row>
    <row r="15" spans="1:12" x14ac:dyDescent="0.35">
      <c r="A15" s="3" t="s">
        <v>10</v>
      </c>
      <c r="B15" s="4" t="s">
        <v>11</v>
      </c>
      <c r="C15" s="4"/>
      <c r="D15" s="4"/>
      <c r="E15" s="4"/>
      <c r="F15" s="4"/>
      <c r="G15" s="4"/>
      <c r="H15" s="4"/>
      <c r="I15" s="8"/>
    </row>
    <row r="16" spans="1:12" x14ac:dyDescent="0.35">
      <c r="A16" s="3" t="s">
        <v>12</v>
      </c>
      <c r="B16" s="5"/>
      <c r="C16" s="5"/>
      <c r="D16" s="4"/>
      <c r="E16" s="5"/>
      <c r="F16" s="4"/>
      <c r="G16" s="4"/>
      <c r="H16" s="4"/>
      <c r="I16" s="8"/>
    </row>
    <row r="17" spans="1:10" x14ac:dyDescent="0.35">
      <c r="A17" s="11" t="s">
        <v>13</v>
      </c>
      <c r="B17" s="4">
        <v>2</v>
      </c>
      <c r="C17" s="4">
        <v>1</v>
      </c>
      <c r="D17" s="4">
        <f t="shared" si="0"/>
        <v>2</v>
      </c>
      <c r="E17" s="4">
        <f>E10</f>
        <v>1.2</v>
      </c>
      <c r="F17" s="4">
        <f t="shared" si="1"/>
        <v>2.4</v>
      </c>
      <c r="G17" s="4">
        <f t="shared" si="2"/>
        <v>0.12</v>
      </c>
      <c r="H17" s="4">
        <f t="shared" si="3"/>
        <v>0.24</v>
      </c>
      <c r="I17" s="8">
        <f t="shared" si="4"/>
        <v>348.02279999999996</v>
      </c>
    </row>
    <row r="18" spans="1:10" x14ac:dyDescent="0.35">
      <c r="A18" s="11" t="s">
        <v>14</v>
      </c>
      <c r="B18" s="4">
        <v>2</v>
      </c>
      <c r="C18" s="4">
        <v>1</v>
      </c>
      <c r="D18" s="4">
        <f t="shared" si="0"/>
        <v>2</v>
      </c>
      <c r="E18" s="4">
        <f>E10</f>
        <v>1.2</v>
      </c>
      <c r="F18" s="4">
        <f t="shared" si="1"/>
        <v>2.4</v>
      </c>
      <c r="G18" s="4">
        <f t="shared" si="2"/>
        <v>0.12</v>
      </c>
      <c r="H18" s="4">
        <f t="shared" si="3"/>
        <v>0.24</v>
      </c>
      <c r="I18" s="8">
        <f t="shared" si="4"/>
        <v>348.02279999999996</v>
      </c>
    </row>
    <row r="19" spans="1:10" x14ac:dyDescent="0.35">
      <c r="A19" s="11" t="s">
        <v>15</v>
      </c>
      <c r="B19" s="4">
        <v>2</v>
      </c>
      <c r="C19" s="4">
        <v>1</v>
      </c>
      <c r="D19" s="4">
        <f t="shared" si="0"/>
        <v>2</v>
      </c>
      <c r="E19" s="4">
        <f>E10</f>
        <v>1.2</v>
      </c>
      <c r="F19" s="4">
        <f t="shared" si="1"/>
        <v>2.4</v>
      </c>
      <c r="G19" s="4">
        <f t="shared" si="2"/>
        <v>0.12</v>
      </c>
      <c r="H19" s="4">
        <f t="shared" si="3"/>
        <v>0.24</v>
      </c>
      <c r="I19" s="8">
        <f t="shared" si="4"/>
        <v>348.02279999999996</v>
      </c>
    </row>
    <row r="20" spans="1:10" x14ac:dyDescent="0.35">
      <c r="A20" s="11" t="s">
        <v>16</v>
      </c>
      <c r="B20" s="4">
        <v>2</v>
      </c>
      <c r="C20" s="4">
        <v>1</v>
      </c>
      <c r="D20" s="4">
        <f t="shared" si="0"/>
        <v>2</v>
      </c>
      <c r="E20" s="4">
        <f>E10</f>
        <v>1.2</v>
      </c>
      <c r="F20" s="4">
        <f t="shared" si="1"/>
        <v>2.4</v>
      </c>
      <c r="G20" s="4">
        <f t="shared" si="2"/>
        <v>0.12</v>
      </c>
      <c r="H20" s="4">
        <f t="shared" si="3"/>
        <v>0.24</v>
      </c>
      <c r="I20" s="8">
        <f t="shared" si="4"/>
        <v>348.02279999999996</v>
      </c>
    </row>
    <row r="21" spans="1:10" x14ac:dyDescent="0.35">
      <c r="A21" s="11" t="s">
        <v>17</v>
      </c>
      <c r="B21" s="4">
        <v>2</v>
      </c>
      <c r="C21" s="4">
        <v>1</v>
      </c>
      <c r="D21" s="4">
        <f t="shared" si="0"/>
        <v>2</v>
      </c>
      <c r="E21" s="4">
        <f>E10</f>
        <v>1.2</v>
      </c>
      <c r="F21" s="4">
        <f t="shared" si="1"/>
        <v>2.4</v>
      </c>
      <c r="G21" s="4">
        <f t="shared" si="2"/>
        <v>0.12</v>
      </c>
      <c r="H21" s="4">
        <f t="shared" si="3"/>
        <v>0.24</v>
      </c>
      <c r="I21" s="8">
        <f t="shared" si="4"/>
        <v>348.02279999999996</v>
      </c>
    </row>
    <row r="22" spans="1:10" x14ac:dyDescent="0.35">
      <c r="A22" s="11" t="s">
        <v>57</v>
      </c>
      <c r="B22" s="4">
        <v>2</v>
      </c>
      <c r="C22" s="4">
        <v>1</v>
      </c>
      <c r="D22" s="4">
        <f t="shared" si="0"/>
        <v>2</v>
      </c>
      <c r="E22" s="4">
        <v>1.1000000000000001</v>
      </c>
      <c r="F22" s="4">
        <f t="shared" si="1"/>
        <v>2.2000000000000002</v>
      </c>
      <c r="G22" s="4">
        <f t="shared" si="2"/>
        <v>0.11000000000000001</v>
      </c>
      <c r="H22" s="4">
        <f t="shared" si="3"/>
        <v>0.22000000000000003</v>
      </c>
      <c r="I22" s="8">
        <f t="shared" si="4"/>
        <v>319.02090000000004</v>
      </c>
      <c r="J22" s="33"/>
    </row>
    <row r="23" spans="1:10" x14ac:dyDescent="0.35">
      <c r="A23" s="7" t="s">
        <v>18</v>
      </c>
      <c r="B23" s="4"/>
      <c r="C23" s="4"/>
      <c r="D23" s="4"/>
      <c r="E23" s="4"/>
      <c r="F23" s="83">
        <f>+SUM(F8:H22)</f>
        <v>803.16000000000008</v>
      </c>
      <c r="G23" s="84"/>
      <c r="H23" s="85"/>
      <c r="I23" s="17">
        <f>+SUM(I8:I22)</f>
        <v>101274.63480000003</v>
      </c>
    </row>
    <row r="24" spans="1:10" x14ac:dyDescent="0.35">
      <c r="A24" s="7" t="s">
        <v>19</v>
      </c>
      <c r="B24" s="4"/>
      <c r="C24" s="4"/>
      <c r="D24" s="4"/>
      <c r="E24" s="4"/>
      <c r="F24" s="4"/>
      <c r="G24" s="4"/>
      <c r="H24" s="4"/>
      <c r="I24" s="10"/>
    </row>
    <row r="25" spans="1:10" x14ac:dyDescent="0.35">
      <c r="A25" s="3" t="s">
        <v>53</v>
      </c>
      <c r="B25" s="4">
        <v>1</v>
      </c>
      <c r="C25" s="4">
        <v>1</v>
      </c>
      <c r="D25" s="4">
        <f>+B25*C25</f>
        <v>1</v>
      </c>
      <c r="E25" s="4">
        <v>24</v>
      </c>
      <c r="F25" s="4">
        <f>+D25*E25</f>
        <v>24</v>
      </c>
      <c r="G25" s="4">
        <f>+F25*0.05</f>
        <v>1.2000000000000002</v>
      </c>
      <c r="H25" s="4">
        <f>+F25*0.1</f>
        <v>2.4000000000000004</v>
      </c>
      <c r="I25" s="8">
        <f>+$F$2*F25+$G$2*G25+$H$2*H25</f>
        <v>3480.2280000000005</v>
      </c>
    </row>
    <row r="26" spans="1:10" x14ac:dyDescent="0.35">
      <c r="A26" s="3" t="s">
        <v>55</v>
      </c>
      <c r="B26" s="4"/>
      <c r="C26" s="4"/>
      <c r="D26" s="4"/>
      <c r="E26" s="4"/>
      <c r="F26" s="4"/>
      <c r="G26" s="4"/>
      <c r="H26" s="4"/>
      <c r="I26" s="8"/>
    </row>
    <row r="27" spans="1:10" x14ac:dyDescent="0.35">
      <c r="A27" s="11" t="s">
        <v>67</v>
      </c>
      <c r="B27" s="4" t="s">
        <v>11</v>
      </c>
      <c r="C27" s="4"/>
      <c r="D27" s="4"/>
      <c r="E27" s="4"/>
      <c r="F27" s="4"/>
      <c r="G27" s="4"/>
      <c r="H27" s="4"/>
      <c r="I27" s="8"/>
    </row>
    <row r="28" spans="1:10" x14ac:dyDescent="0.35">
      <c r="A28" s="11" t="s">
        <v>68</v>
      </c>
      <c r="B28" s="4">
        <v>8</v>
      </c>
      <c r="C28" s="4">
        <v>2</v>
      </c>
      <c r="D28" s="4">
        <f t="shared" si="0"/>
        <v>16</v>
      </c>
      <c r="E28" s="4">
        <v>24</v>
      </c>
      <c r="F28" s="4">
        <f t="shared" ref="F28" si="5">+D28*E28</f>
        <v>384</v>
      </c>
      <c r="G28" s="4">
        <f t="shared" ref="G28" si="6">+F28*0.05</f>
        <v>19.200000000000003</v>
      </c>
      <c r="H28" s="4">
        <f t="shared" ref="H28" si="7">+F28*0.1</f>
        <v>38.400000000000006</v>
      </c>
      <c r="I28" s="8">
        <f>+$F$2*F28+$G$2*G28+$H$2*H28</f>
        <v>55683.648000000008</v>
      </c>
    </row>
    <row r="29" spans="1:10" x14ac:dyDescent="0.35">
      <c r="A29" s="7" t="s">
        <v>20</v>
      </c>
      <c r="B29" s="19"/>
      <c r="C29" s="19"/>
      <c r="D29" s="19"/>
      <c r="E29" s="19"/>
      <c r="F29" s="83">
        <f>+SUM(F25:H28)</f>
        <v>469.20000000000005</v>
      </c>
      <c r="G29" s="84"/>
      <c r="H29" s="85"/>
      <c r="I29" s="17">
        <f>+SUM(I25:I28)</f>
        <v>59163.876000000011</v>
      </c>
    </row>
    <row r="30" spans="1:10" x14ac:dyDescent="0.35">
      <c r="A30" s="7" t="s">
        <v>21</v>
      </c>
      <c r="B30" s="4"/>
      <c r="C30" s="4"/>
      <c r="D30" s="4"/>
      <c r="E30" s="4"/>
      <c r="F30" s="82">
        <f>ROUND(F23+F29,-1)</f>
        <v>1270</v>
      </c>
      <c r="G30" s="82"/>
      <c r="H30" s="82"/>
      <c r="I30" s="17">
        <f>+ROUND(I23+I29,-3)</f>
        <v>160000</v>
      </c>
    </row>
    <row r="31" spans="1:10" x14ac:dyDescent="0.35">
      <c r="A31" s="3" t="s">
        <v>22</v>
      </c>
      <c r="B31" s="6"/>
      <c r="C31" s="6"/>
      <c r="D31" s="6"/>
      <c r="E31" s="6"/>
      <c r="F31" s="6"/>
      <c r="G31" s="6"/>
      <c r="H31" s="6"/>
      <c r="I31" s="6"/>
    </row>
    <row r="32" spans="1:10" x14ac:dyDescent="0.35">
      <c r="A32" s="3" t="s">
        <v>49</v>
      </c>
      <c r="B32" s="4" t="s">
        <v>56</v>
      </c>
      <c r="C32" s="3"/>
      <c r="D32" s="3"/>
      <c r="E32" s="3"/>
      <c r="F32" s="3"/>
      <c r="G32" s="3"/>
      <c r="H32" s="3"/>
      <c r="I32" s="10"/>
    </row>
    <row r="33" spans="1:10" x14ac:dyDescent="0.35">
      <c r="A33" s="3" t="s">
        <v>23</v>
      </c>
      <c r="B33" s="4" t="s">
        <v>9</v>
      </c>
      <c r="C33" s="3"/>
      <c r="D33" s="3"/>
      <c r="E33" s="3"/>
      <c r="F33" s="3"/>
      <c r="G33" s="3"/>
      <c r="H33" s="3"/>
      <c r="I33" s="10"/>
    </row>
    <row r="34" spans="1:10" x14ac:dyDescent="0.35">
      <c r="A34" s="3" t="s">
        <v>24</v>
      </c>
      <c r="B34" s="4" t="s">
        <v>9</v>
      </c>
      <c r="C34" s="3"/>
      <c r="D34" s="3"/>
      <c r="E34" s="3"/>
      <c r="F34" s="3"/>
      <c r="G34" s="3"/>
      <c r="H34" s="3"/>
      <c r="I34" s="10"/>
    </row>
    <row r="35" spans="1:10" x14ac:dyDescent="0.35">
      <c r="A35" s="3" t="s">
        <v>25</v>
      </c>
      <c r="B35" s="4" t="s">
        <v>0</v>
      </c>
      <c r="C35" s="4"/>
      <c r="D35" s="4"/>
      <c r="E35" s="4"/>
      <c r="F35" s="4"/>
      <c r="G35" s="4"/>
      <c r="H35" s="4"/>
      <c r="I35" s="4"/>
    </row>
    <row r="36" spans="1:10" x14ac:dyDescent="0.35">
      <c r="A36" s="7" t="s">
        <v>26</v>
      </c>
      <c r="B36" s="4"/>
      <c r="C36" s="4"/>
      <c r="D36" s="4"/>
      <c r="E36" s="4"/>
      <c r="F36" s="4"/>
      <c r="G36" s="4"/>
      <c r="H36" s="4"/>
      <c r="I36" s="10"/>
    </row>
    <row r="37" spans="1:10" x14ac:dyDescent="0.35">
      <c r="A37" s="3" t="s">
        <v>27</v>
      </c>
      <c r="B37" s="6"/>
      <c r="C37" s="6"/>
      <c r="D37" s="6"/>
      <c r="E37" s="6"/>
      <c r="F37" s="6"/>
      <c r="G37" s="6"/>
      <c r="H37" s="6"/>
      <c r="I37" s="6"/>
    </row>
    <row r="38" spans="1:10" x14ac:dyDescent="0.35">
      <c r="A38" s="3" t="s">
        <v>58</v>
      </c>
      <c r="B38" s="4">
        <v>0.5</v>
      </c>
      <c r="C38" s="4">
        <v>1</v>
      </c>
      <c r="D38" s="4">
        <f t="shared" ref="D38:D49" si="8">+B38*C38</f>
        <v>0.5</v>
      </c>
      <c r="E38" s="4">
        <v>1.1000000000000001</v>
      </c>
      <c r="F38" s="4">
        <f t="shared" ref="F38" si="9">+D38*E38</f>
        <v>0.55000000000000004</v>
      </c>
      <c r="G38" s="21">
        <f t="shared" ref="G38:G43" si="10">+F38*0.05</f>
        <v>2.7500000000000004E-2</v>
      </c>
      <c r="H38" s="21">
        <f t="shared" ref="H38" si="11">+F38*0.1</f>
        <v>5.5000000000000007E-2</v>
      </c>
      <c r="I38" s="8">
        <f>+$F$2*F38+$G$2*G38+$H$2*H38</f>
        <v>79.75522500000001</v>
      </c>
      <c r="J38" s="33"/>
    </row>
    <row r="39" spans="1:10" x14ac:dyDescent="0.35">
      <c r="A39" s="9" t="s">
        <v>28</v>
      </c>
      <c r="B39" s="4">
        <v>8</v>
      </c>
      <c r="C39" s="4">
        <v>1</v>
      </c>
      <c r="D39" s="4">
        <f t="shared" si="8"/>
        <v>8</v>
      </c>
      <c r="E39" s="4">
        <v>11</v>
      </c>
      <c r="F39" s="4">
        <f>+D39*E39</f>
        <v>88</v>
      </c>
      <c r="G39" s="4">
        <f t="shared" si="10"/>
        <v>4.4000000000000004</v>
      </c>
      <c r="H39" s="4">
        <f t="shared" ref="H39:H43" si="12">+F39*0.1</f>
        <v>8.8000000000000007</v>
      </c>
      <c r="I39" s="8">
        <f t="shared" ref="I39:I43" si="13">+$F$2*F39+$G$2*G39+$H$2*H39</f>
        <v>12760.835999999999</v>
      </c>
      <c r="J39" s="37"/>
    </row>
    <row r="40" spans="1:10" x14ac:dyDescent="0.35">
      <c r="A40" s="9" t="s">
        <v>29</v>
      </c>
      <c r="B40" s="21">
        <v>0.125</v>
      </c>
      <c r="C40" s="4">
        <v>330</v>
      </c>
      <c r="D40" s="4">
        <f t="shared" si="8"/>
        <v>41.25</v>
      </c>
      <c r="E40" s="4">
        <v>11</v>
      </c>
      <c r="F40" s="4">
        <f t="shared" ref="F40:F43" si="14">+D40*E40</f>
        <v>453.75</v>
      </c>
      <c r="G40" s="21">
        <f t="shared" si="10"/>
        <v>22.6875</v>
      </c>
      <c r="H40" s="21">
        <f t="shared" si="12"/>
        <v>45.375</v>
      </c>
      <c r="I40" s="8">
        <f t="shared" si="13"/>
        <v>65798.060624999998</v>
      </c>
      <c r="J40" s="37"/>
    </row>
    <row r="41" spans="1:10" x14ac:dyDescent="0.35">
      <c r="A41" s="9" t="s">
        <v>30</v>
      </c>
      <c r="B41" s="4">
        <v>8</v>
      </c>
      <c r="C41" s="4">
        <v>1</v>
      </c>
      <c r="D41" s="4">
        <f t="shared" si="8"/>
        <v>8</v>
      </c>
      <c r="E41" s="4">
        <v>11</v>
      </c>
      <c r="F41" s="4">
        <f t="shared" si="14"/>
        <v>88</v>
      </c>
      <c r="G41" s="4">
        <f t="shared" si="10"/>
        <v>4.4000000000000004</v>
      </c>
      <c r="H41" s="4">
        <f t="shared" si="12"/>
        <v>8.8000000000000007</v>
      </c>
      <c r="I41" s="8">
        <f t="shared" si="13"/>
        <v>12760.835999999999</v>
      </c>
      <c r="J41" s="37"/>
    </row>
    <row r="42" spans="1:10" x14ac:dyDescent="0.35">
      <c r="A42" s="13" t="s">
        <v>31</v>
      </c>
      <c r="B42" s="4"/>
      <c r="C42" s="4"/>
      <c r="D42" s="4"/>
      <c r="E42" s="4"/>
      <c r="F42" s="4"/>
      <c r="G42" s="4"/>
      <c r="H42" s="4"/>
      <c r="I42" s="8"/>
    </row>
    <row r="43" spans="1:10" x14ac:dyDescent="0.35">
      <c r="A43" s="9" t="s">
        <v>32</v>
      </c>
      <c r="B43" s="4">
        <v>16</v>
      </c>
      <c r="C43" s="4">
        <v>2</v>
      </c>
      <c r="D43" s="4">
        <f t="shared" si="8"/>
        <v>32</v>
      </c>
      <c r="E43" s="4">
        <v>11</v>
      </c>
      <c r="F43" s="4">
        <f t="shared" si="14"/>
        <v>352</v>
      </c>
      <c r="G43" s="4">
        <f t="shared" si="10"/>
        <v>17.600000000000001</v>
      </c>
      <c r="H43" s="4">
        <f t="shared" si="12"/>
        <v>35.200000000000003</v>
      </c>
      <c r="I43" s="8">
        <f t="shared" si="13"/>
        <v>51043.343999999997</v>
      </c>
      <c r="J43" s="37"/>
    </row>
    <row r="44" spans="1:10" x14ac:dyDescent="0.35">
      <c r="A44" s="7" t="s">
        <v>33</v>
      </c>
      <c r="B44" s="4"/>
      <c r="C44" s="4"/>
      <c r="D44" s="4"/>
      <c r="E44" s="4"/>
      <c r="F44" s="83">
        <f>+SUM(F38:H43)</f>
        <v>1129.6449999999998</v>
      </c>
      <c r="G44" s="84"/>
      <c r="H44" s="85"/>
      <c r="I44" s="17">
        <f>+SUM(I38:I43)</f>
        <v>142442.83184999999</v>
      </c>
    </row>
    <row r="45" spans="1:10" x14ac:dyDescent="0.35">
      <c r="A45" s="7" t="s">
        <v>34</v>
      </c>
      <c r="B45" s="4"/>
      <c r="C45" s="4"/>
      <c r="D45" s="4"/>
      <c r="E45" s="4"/>
      <c r="F45" s="4"/>
      <c r="G45" s="4"/>
      <c r="H45" s="4"/>
      <c r="I45" s="10"/>
    </row>
    <row r="46" spans="1:10" x14ac:dyDescent="0.35">
      <c r="A46" s="13" t="s">
        <v>35</v>
      </c>
      <c r="B46" s="4"/>
      <c r="C46" s="4"/>
      <c r="D46" s="4"/>
      <c r="E46" s="4"/>
      <c r="F46" s="4"/>
      <c r="G46" s="4"/>
      <c r="H46" s="4"/>
      <c r="I46" s="10"/>
    </row>
    <row r="47" spans="1:10" x14ac:dyDescent="0.35">
      <c r="A47" s="9" t="s">
        <v>36</v>
      </c>
      <c r="B47" s="4">
        <v>8</v>
      </c>
      <c r="C47" s="4">
        <v>1</v>
      </c>
      <c r="D47" s="4">
        <f t="shared" si="8"/>
        <v>8</v>
      </c>
      <c r="E47" s="4">
        <v>24</v>
      </c>
      <c r="F47" s="4">
        <f t="shared" ref="F47" si="15">+D47*E47</f>
        <v>192</v>
      </c>
      <c r="G47" s="4">
        <f t="shared" ref="G47:G49" si="16">+F47*0.05</f>
        <v>9.6000000000000014</v>
      </c>
      <c r="H47" s="4">
        <f t="shared" ref="H47" si="17">+F47*0.1</f>
        <v>19.200000000000003</v>
      </c>
      <c r="I47" s="8">
        <f t="shared" ref="I47" si="18">+$F$2*F47+$G$2*G47+$H$2*H47</f>
        <v>27841.824000000004</v>
      </c>
    </row>
    <row r="48" spans="1:10" x14ac:dyDescent="0.35">
      <c r="A48" s="9" t="s">
        <v>30</v>
      </c>
      <c r="B48" s="4">
        <v>8</v>
      </c>
      <c r="C48" s="4">
        <v>1</v>
      </c>
      <c r="D48" s="4">
        <f t="shared" si="8"/>
        <v>8</v>
      </c>
      <c r="E48" s="4">
        <v>24</v>
      </c>
      <c r="F48" s="4">
        <f t="shared" ref="F48:F49" si="19">+D48*E48</f>
        <v>192</v>
      </c>
      <c r="G48" s="4">
        <f t="shared" si="16"/>
        <v>9.6000000000000014</v>
      </c>
      <c r="H48" s="4">
        <f t="shared" ref="H48:H49" si="20">+F48*0.1</f>
        <v>19.200000000000003</v>
      </c>
      <c r="I48" s="8">
        <f t="shared" ref="I48" si="21">+$F$2*F48+$G$2*G48+$H$2*H48</f>
        <v>27841.824000000004</v>
      </c>
    </row>
    <row r="49" spans="1:14" x14ac:dyDescent="0.35">
      <c r="A49" s="9" t="s">
        <v>37</v>
      </c>
      <c r="B49" s="4">
        <v>80</v>
      </c>
      <c r="C49" s="4">
        <v>1</v>
      </c>
      <c r="D49" s="4">
        <f t="shared" si="8"/>
        <v>80</v>
      </c>
      <c r="E49" s="4">
        <v>0</v>
      </c>
      <c r="F49" s="4">
        <f t="shared" si="19"/>
        <v>0</v>
      </c>
      <c r="G49" s="4">
        <f t="shared" si="16"/>
        <v>0</v>
      </c>
      <c r="H49" s="4">
        <f t="shared" si="20"/>
        <v>0</v>
      </c>
      <c r="I49" s="25">
        <f>+$F$2*F49+$G$2*G49+$H$2*H49</f>
        <v>0</v>
      </c>
    </row>
    <row r="50" spans="1:14" x14ac:dyDescent="0.35">
      <c r="A50" s="13" t="s">
        <v>38</v>
      </c>
      <c r="B50" s="4" t="s">
        <v>0</v>
      </c>
      <c r="C50" s="4"/>
      <c r="D50" s="4"/>
      <c r="E50" s="4"/>
      <c r="F50" s="4"/>
      <c r="G50" s="4"/>
      <c r="H50" s="4"/>
      <c r="I50" s="4"/>
    </row>
    <row r="51" spans="1:14" x14ac:dyDescent="0.35">
      <c r="A51" s="7" t="s">
        <v>39</v>
      </c>
      <c r="B51" s="4"/>
      <c r="C51" s="4"/>
      <c r="D51" s="4"/>
      <c r="E51" s="4"/>
      <c r="F51" s="86">
        <f>+SUM(F47:H50)</f>
        <v>441.6</v>
      </c>
      <c r="G51" s="86"/>
      <c r="H51" s="86"/>
      <c r="I51" s="17">
        <f>+SUM(I47:I50)</f>
        <v>55683.648000000008</v>
      </c>
    </row>
    <row r="52" spans="1:14" x14ac:dyDescent="0.35">
      <c r="A52" s="7" t="s">
        <v>40</v>
      </c>
      <c r="B52" s="14"/>
      <c r="C52" s="14"/>
      <c r="D52" s="14"/>
      <c r="E52" s="14"/>
      <c r="F52" s="86">
        <f>+ROUND(F44+F51,0)</f>
        <v>1571</v>
      </c>
      <c r="G52" s="87"/>
      <c r="H52" s="87"/>
      <c r="I52" s="17">
        <f>+ROUND(I44+I51,-2)</f>
        <v>198100</v>
      </c>
    </row>
    <row r="53" spans="1:14" x14ac:dyDescent="0.35">
      <c r="A53" s="15" t="s">
        <v>69</v>
      </c>
      <c r="B53" s="16"/>
      <c r="C53" s="16"/>
      <c r="D53" s="16"/>
      <c r="E53" s="16"/>
      <c r="F53" s="88">
        <f>+ROUND(F23+F44,-1)</f>
        <v>1930</v>
      </c>
      <c r="G53" s="88"/>
      <c r="H53" s="88"/>
      <c r="I53" s="20">
        <f>ROUND(+I23+I44,-3)</f>
        <v>244000</v>
      </c>
    </row>
    <row r="54" spans="1:14" x14ac:dyDescent="0.35">
      <c r="A54" s="15" t="s">
        <v>70</v>
      </c>
      <c r="B54" s="16"/>
      <c r="C54" s="16"/>
      <c r="D54" s="16"/>
      <c r="E54" s="16"/>
      <c r="F54" s="80">
        <f>+ROUND(F29+F51,0)</f>
        <v>911</v>
      </c>
      <c r="G54" s="81"/>
      <c r="H54" s="81"/>
      <c r="I54" s="17">
        <f>+ROUND(I29+I51,-3)</f>
        <v>115000</v>
      </c>
    </row>
    <row r="55" spans="1:14" x14ac:dyDescent="0.35">
      <c r="A55" s="7" t="s">
        <v>71</v>
      </c>
      <c r="B55" s="3"/>
      <c r="C55" s="3"/>
      <c r="D55" s="3"/>
      <c r="E55" s="3"/>
      <c r="F55" s="82">
        <f>+ROUND(F23+F29+F44+F51,-1)</f>
        <v>2840</v>
      </c>
      <c r="G55" s="82"/>
      <c r="H55" s="82"/>
      <c r="I55" s="17">
        <f>+ROUND(I23+I29+I44+I51,-3)</f>
        <v>359000</v>
      </c>
    </row>
    <row r="56" spans="1:14" x14ac:dyDescent="0.35">
      <c r="A56" s="7" t="s">
        <v>81</v>
      </c>
      <c r="B56" s="3"/>
      <c r="C56" s="3"/>
      <c r="D56" s="3"/>
      <c r="E56" s="3"/>
      <c r="F56" s="12"/>
      <c r="G56" s="12"/>
      <c r="H56" s="12"/>
      <c r="I56" s="17">
        <f>'Capital O&amp;M'!I12</f>
        <v>4330000</v>
      </c>
      <c r="M56" s="32">
        <f>F55/Responses!E14</f>
        <v>51.542649727767696</v>
      </c>
      <c r="N56" t="s">
        <v>83</v>
      </c>
    </row>
    <row r="57" spans="1:14" x14ac:dyDescent="0.35">
      <c r="A57" s="7" t="s">
        <v>82</v>
      </c>
      <c r="B57" s="3"/>
      <c r="C57" s="3"/>
      <c r="D57" s="3"/>
      <c r="E57" s="3"/>
      <c r="F57" s="12"/>
      <c r="G57" s="12"/>
      <c r="H57" s="12"/>
      <c r="I57" s="17">
        <f>ROUND(+I55+I56,-4)</f>
        <v>4690000</v>
      </c>
    </row>
    <row r="59" spans="1:14" x14ac:dyDescent="0.35">
      <c r="A59" s="28" t="s">
        <v>76</v>
      </c>
    </row>
    <row r="60" spans="1:14" ht="28.9" customHeight="1" x14ac:dyDescent="0.35">
      <c r="A60" s="79" t="s">
        <v>121</v>
      </c>
      <c r="B60" s="79"/>
      <c r="C60" s="79"/>
      <c r="D60" s="79"/>
      <c r="E60" s="79"/>
      <c r="F60" s="79"/>
      <c r="G60" s="79"/>
      <c r="H60" s="79"/>
      <c r="I60" s="79"/>
    </row>
    <row r="61" spans="1:14" ht="59.25" customHeight="1" x14ac:dyDescent="0.35">
      <c r="A61" s="79" t="s">
        <v>147</v>
      </c>
      <c r="B61" s="79"/>
      <c r="C61" s="79"/>
      <c r="D61" s="79"/>
      <c r="E61" s="79"/>
      <c r="F61" s="79"/>
      <c r="G61" s="79"/>
      <c r="H61" s="79"/>
      <c r="I61" s="79"/>
    </row>
    <row r="62" spans="1:14" ht="18" customHeight="1" x14ac:dyDescent="0.35">
      <c r="A62" s="78" t="s">
        <v>84</v>
      </c>
      <c r="B62" s="78"/>
      <c r="C62" s="78"/>
      <c r="D62" s="78"/>
      <c r="E62" s="78"/>
      <c r="F62" s="78"/>
      <c r="G62" s="78"/>
      <c r="H62" s="78"/>
      <c r="I62" s="78"/>
    </row>
    <row r="63" spans="1:14" ht="15.5" x14ac:dyDescent="0.35">
      <c r="A63" s="78" t="s">
        <v>85</v>
      </c>
      <c r="B63" s="78"/>
      <c r="C63" s="78"/>
      <c r="D63" s="78"/>
      <c r="E63" s="78"/>
      <c r="F63" s="78"/>
      <c r="G63" s="78"/>
      <c r="H63" s="78"/>
      <c r="I63" s="78"/>
    </row>
    <row r="64" spans="1:14" ht="15.5" x14ac:dyDescent="0.35">
      <c r="A64" s="78" t="s">
        <v>92</v>
      </c>
      <c r="B64" s="78"/>
      <c r="C64" s="78"/>
      <c r="D64" s="78"/>
      <c r="E64" s="78"/>
      <c r="F64" s="78"/>
      <c r="G64" s="78"/>
      <c r="H64" s="78"/>
      <c r="I64" s="78"/>
    </row>
    <row r="65" spans="1:9" ht="15.5" x14ac:dyDescent="0.35">
      <c r="A65" s="78" t="s">
        <v>86</v>
      </c>
      <c r="B65" s="78"/>
      <c r="C65" s="78"/>
      <c r="D65" s="78"/>
      <c r="E65" s="78"/>
      <c r="F65" s="78"/>
      <c r="G65" s="78"/>
      <c r="H65" s="78"/>
      <c r="I65" s="78"/>
    </row>
    <row r="66" spans="1:9" ht="15.5" x14ac:dyDescent="0.35">
      <c r="A66" s="78" t="s">
        <v>87</v>
      </c>
      <c r="B66" s="78"/>
      <c r="C66" s="78"/>
      <c r="D66" s="78"/>
      <c r="E66" s="78"/>
      <c r="F66" s="78"/>
      <c r="G66" s="78"/>
      <c r="H66" s="78"/>
      <c r="I66" s="78"/>
    </row>
    <row r="67" spans="1:9" ht="15.5" x14ac:dyDescent="0.35">
      <c r="A67" s="78" t="s">
        <v>88</v>
      </c>
      <c r="B67" s="78"/>
      <c r="C67" s="78"/>
      <c r="D67" s="78"/>
      <c r="E67" s="78"/>
      <c r="F67" s="78"/>
      <c r="G67" s="78"/>
      <c r="H67" s="78"/>
      <c r="I67" s="78"/>
    </row>
    <row r="68" spans="1:9" x14ac:dyDescent="0.35">
      <c r="A68" s="1"/>
    </row>
    <row r="69" spans="1:9" x14ac:dyDescent="0.35">
      <c r="A69" s="1"/>
    </row>
    <row r="70" spans="1:9" x14ac:dyDescent="0.35">
      <c r="A70" s="1"/>
    </row>
    <row r="71" spans="1:9" x14ac:dyDescent="0.35">
      <c r="A71" s="1"/>
    </row>
    <row r="72" spans="1:9" x14ac:dyDescent="0.35">
      <c r="A72" s="1"/>
    </row>
  </sheetData>
  <mergeCells count="17">
    <mergeCell ref="F54:H54"/>
    <mergeCell ref="F55:H55"/>
    <mergeCell ref="F23:H23"/>
    <mergeCell ref="F44:H44"/>
    <mergeCell ref="F29:H29"/>
    <mergeCell ref="F51:H51"/>
    <mergeCell ref="F52:H52"/>
    <mergeCell ref="F53:H53"/>
    <mergeCell ref="F30:H30"/>
    <mergeCell ref="A65:I65"/>
    <mergeCell ref="A66:I66"/>
    <mergeCell ref="A67:I67"/>
    <mergeCell ref="A60:I60"/>
    <mergeCell ref="A61:I61"/>
    <mergeCell ref="A62:I62"/>
    <mergeCell ref="A63:I63"/>
    <mergeCell ref="A64:I6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7"/>
  <sheetViews>
    <sheetView workbookViewId="0">
      <selection activeCell="E7" sqref="E7"/>
    </sheetView>
  </sheetViews>
  <sheetFormatPr defaultRowHeight="14.5" x14ac:dyDescent="0.35"/>
  <cols>
    <col min="1" max="1" width="39.26953125" customWidth="1"/>
    <col min="2" max="2" width="10.26953125" customWidth="1"/>
    <col min="3" max="3" width="11.1796875" customWidth="1"/>
    <col min="5" max="5" width="10.7265625" customWidth="1"/>
  </cols>
  <sheetData>
    <row r="1" spans="1:10" ht="15.5" x14ac:dyDescent="0.35">
      <c r="A1" s="23" t="s">
        <v>72</v>
      </c>
    </row>
    <row r="2" spans="1:10" x14ac:dyDescent="0.35">
      <c r="F2">
        <v>54.51</v>
      </c>
      <c r="G2">
        <v>73.459999999999994</v>
      </c>
      <c r="H2" s="71">
        <v>29.5</v>
      </c>
    </row>
    <row r="3" spans="1:10" ht="69" x14ac:dyDescent="0.35">
      <c r="A3" s="18" t="s">
        <v>42</v>
      </c>
      <c r="B3" s="18" t="s">
        <v>73</v>
      </c>
      <c r="C3" s="18" t="s">
        <v>74</v>
      </c>
      <c r="D3" s="18" t="s">
        <v>75</v>
      </c>
      <c r="E3" s="18" t="s">
        <v>51</v>
      </c>
      <c r="F3" s="18" t="s">
        <v>46</v>
      </c>
      <c r="G3" s="18" t="s">
        <v>47</v>
      </c>
      <c r="H3" s="18" t="s">
        <v>48</v>
      </c>
      <c r="I3" s="18" t="s">
        <v>52</v>
      </c>
    </row>
    <row r="4" spans="1:10" x14ac:dyDescent="0.35">
      <c r="A4" s="7" t="s">
        <v>59</v>
      </c>
      <c r="B4" s="7"/>
      <c r="C4" s="7"/>
      <c r="D4" s="7"/>
      <c r="E4" s="7"/>
      <c r="F4" s="7"/>
      <c r="G4" s="7"/>
      <c r="H4" s="7"/>
      <c r="I4" s="7"/>
    </row>
    <row r="5" spans="1:10" x14ac:dyDescent="0.35">
      <c r="A5" s="3" t="s">
        <v>60</v>
      </c>
      <c r="B5" s="22"/>
      <c r="C5" s="22"/>
      <c r="D5" s="22"/>
      <c r="E5" s="22"/>
      <c r="F5" s="22"/>
      <c r="G5" s="22"/>
      <c r="H5" s="22"/>
      <c r="I5" s="22"/>
    </row>
    <row r="6" spans="1:10" x14ac:dyDescent="0.35">
      <c r="A6" s="13" t="s">
        <v>61</v>
      </c>
      <c r="B6" s="4">
        <v>24</v>
      </c>
      <c r="C6" s="4">
        <v>1</v>
      </c>
      <c r="D6" s="4">
        <f>+B6*C6</f>
        <v>24</v>
      </c>
      <c r="E6" s="4">
        <v>1.2</v>
      </c>
      <c r="F6" s="4">
        <f>+D6*E6</f>
        <v>28.799999999999997</v>
      </c>
      <c r="G6" s="4">
        <f>+F6*0.05</f>
        <v>1.44</v>
      </c>
      <c r="H6" s="4">
        <f>+F6*0.1</f>
        <v>2.88</v>
      </c>
      <c r="I6" s="8">
        <f>+$F$2*F6+$G$2*G6+$H$2*H6</f>
        <v>1760.6303999999998</v>
      </c>
    </row>
    <row r="7" spans="1:10" x14ac:dyDescent="0.35">
      <c r="A7" s="13" t="s">
        <v>78</v>
      </c>
      <c r="B7" s="4">
        <v>24</v>
      </c>
      <c r="C7" s="4">
        <v>0.2</v>
      </c>
      <c r="D7" s="4">
        <f t="shared" ref="D7:D13" si="0">+B7*C7</f>
        <v>4.8000000000000007</v>
      </c>
      <c r="E7" s="4">
        <f>0.2*E6</f>
        <v>0.24</v>
      </c>
      <c r="F7" s="21">
        <f t="shared" ref="F7:F12" si="1">+D7*E7</f>
        <v>1.1520000000000001</v>
      </c>
      <c r="G7" s="21">
        <f t="shared" ref="G7:G13" si="2">+F7*0.05</f>
        <v>5.7600000000000012E-2</v>
      </c>
      <c r="H7" s="21">
        <f t="shared" ref="H7:H13" si="3">+F7*0.1</f>
        <v>0.11520000000000002</v>
      </c>
      <c r="I7" s="8">
        <f t="shared" ref="I7:I13" si="4">+$F$2*F7+$G$2*G7+$H$2*H7</f>
        <v>70.425215999999992</v>
      </c>
    </row>
    <row r="8" spans="1:10" x14ac:dyDescent="0.35">
      <c r="A8" s="3" t="s">
        <v>62</v>
      </c>
      <c r="B8" s="4"/>
      <c r="C8" s="4"/>
      <c r="D8" s="4"/>
      <c r="E8" s="4"/>
      <c r="F8" s="4">
        <f t="shared" si="1"/>
        <v>0</v>
      </c>
      <c r="G8" s="4">
        <f t="shared" si="2"/>
        <v>0</v>
      </c>
      <c r="H8" s="4">
        <f t="shared" si="3"/>
        <v>0</v>
      </c>
      <c r="I8" s="8">
        <f t="shared" si="4"/>
        <v>0</v>
      </c>
    </row>
    <row r="9" spans="1:10" x14ac:dyDescent="0.35">
      <c r="A9" s="13" t="s">
        <v>13</v>
      </c>
      <c r="B9" s="4">
        <v>2</v>
      </c>
      <c r="C9" s="4">
        <v>1</v>
      </c>
      <c r="D9" s="4">
        <f t="shared" si="0"/>
        <v>2</v>
      </c>
      <c r="E9" s="4">
        <v>1.2</v>
      </c>
      <c r="F9" s="4">
        <f t="shared" si="1"/>
        <v>2.4</v>
      </c>
      <c r="G9" s="4">
        <f t="shared" si="2"/>
        <v>0.12</v>
      </c>
      <c r="H9" s="4">
        <f t="shared" si="3"/>
        <v>0.24</v>
      </c>
      <c r="I9" s="8">
        <f t="shared" si="4"/>
        <v>146.7192</v>
      </c>
    </row>
    <row r="10" spans="1:10" x14ac:dyDescent="0.35">
      <c r="A10" s="13" t="s">
        <v>14</v>
      </c>
      <c r="B10" s="4">
        <v>0.5</v>
      </c>
      <c r="C10" s="4">
        <v>1</v>
      </c>
      <c r="D10" s="4">
        <f t="shared" si="0"/>
        <v>0.5</v>
      </c>
      <c r="E10" s="4">
        <v>1.2</v>
      </c>
      <c r="F10" s="4">
        <f t="shared" si="1"/>
        <v>0.6</v>
      </c>
      <c r="G10" s="4">
        <f t="shared" si="2"/>
        <v>0.03</v>
      </c>
      <c r="H10" s="4">
        <f t="shared" si="3"/>
        <v>0.06</v>
      </c>
      <c r="I10" s="8">
        <f t="shared" si="4"/>
        <v>36.6798</v>
      </c>
    </row>
    <row r="11" spans="1:10" x14ac:dyDescent="0.35">
      <c r="A11" s="13" t="s">
        <v>15</v>
      </c>
      <c r="B11" s="4">
        <v>0.5</v>
      </c>
      <c r="C11" s="4">
        <v>1</v>
      </c>
      <c r="D11" s="4">
        <f t="shared" si="0"/>
        <v>0.5</v>
      </c>
      <c r="E11" s="4">
        <v>1.2</v>
      </c>
      <c r="F11" s="4">
        <f t="shared" si="1"/>
        <v>0.6</v>
      </c>
      <c r="G11" s="4">
        <f t="shared" si="2"/>
        <v>0.03</v>
      </c>
      <c r="H11" s="4">
        <f t="shared" si="3"/>
        <v>0.06</v>
      </c>
      <c r="I11" s="8">
        <f t="shared" si="4"/>
        <v>36.6798</v>
      </c>
    </row>
    <row r="12" spans="1:10" x14ac:dyDescent="0.35">
      <c r="A12" s="13" t="s">
        <v>63</v>
      </c>
      <c r="B12" s="4">
        <v>8</v>
      </c>
      <c r="C12" s="4">
        <v>1</v>
      </c>
      <c r="D12" s="4">
        <f t="shared" si="0"/>
        <v>8</v>
      </c>
      <c r="E12" s="4">
        <v>1.2</v>
      </c>
      <c r="F12" s="4">
        <f t="shared" si="1"/>
        <v>9.6</v>
      </c>
      <c r="G12" s="4">
        <f t="shared" si="2"/>
        <v>0.48</v>
      </c>
      <c r="H12" s="4">
        <f t="shared" si="3"/>
        <v>0.96</v>
      </c>
      <c r="I12" s="8">
        <f t="shared" si="4"/>
        <v>586.8768</v>
      </c>
    </row>
    <row r="13" spans="1:10" x14ac:dyDescent="0.35">
      <c r="A13" s="13" t="s">
        <v>77</v>
      </c>
      <c r="B13" s="4">
        <v>8</v>
      </c>
      <c r="C13" s="4">
        <v>1</v>
      </c>
      <c r="D13" s="4">
        <f t="shared" si="0"/>
        <v>8</v>
      </c>
      <c r="E13" s="4">
        <v>1.1000000000000001</v>
      </c>
      <c r="F13" s="4">
        <f>+D13*E13</f>
        <v>8.8000000000000007</v>
      </c>
      <c r="G13" s="4">
        <f t="shared" si="2"/>
        <v>0.44000000000000006</v>
      </c>
      <c r="H13" s="4">
        <f t="shared" si="3"/>
        <v>0.88000000000000012</v>
      </c>
      <c r="I13" s="8">
        <f t="shared" si="4"/>
        <v>537.97040000000004</v>
      </c>
      <c r="J13" s="33"/>
    </row>
    <row r="14" spans="1:10" x14ac:dyDescent="0.35">
      <c r="A14" s="7" t="s">
        <v>64</v>
      </c>
      <c r="B14" s="4"/>
      <c r="C14" s="4"/>
      <c r="D14" s="4"/>
      <c r="E14" s="4"/>
      <c r="F14" s="86">
        <f>+SUM(F6:H13)</f>
        <v>59.744800000000005</v>
      </c>
      <c r="G14" s="86"/>
      <c r="H14" s="86"/>
      <c r="I14" s="17">
        <f>+SUM(I6:I13)</f>
        <v>3175.981616</v>
      </c>
    </row>
    <row r="15" spans="1:10" x14ac:dyDescent="0.35">
      <c r="A15" s="7" t="s">
        <v>65</v>
      </c>
      <c r="B15" s="7"/>
      <c r="C15" s="7"/>
      <c r="D15" s="4"/>
      <c r="E15" s="7"/>
      <c r="F15" s="7"/>
      <c r="G15" s="7"/>
      <c r="H15" s="7"/>
      <c r="I15" s="7"/>
    </row>
    <row r="16" spans="1:10" x14ac:dyDescent="0.35">
      <c r="A16" s="3" t="s">
        <v>62</v>
      </c>
      <c r="B16" s="4"/>
      <c r="C16" s="4"/>
      <c r="D16" s="4"/>
      <c r="E16" s="4"/>
      <c r="F16" s="4"/>
      <c r="G16" s="4"/>
      <c r="H16" s="4"/>
      <c r="I16" s="10"/>
    </row>
    <row r="17" spans="1:9" x14ac:dyDescent="0.35">
      <c r="A17" s="13" t="s">
        <v>79</v>
      </c>
      <c r="B17" s="4">
        <v>2</v>
      </c>
      <c r="C17" s="4">
        <v>2</v>
      </c>
      <c r="D17" s="4">
        <f>+B17*C17</f>
        <v>4</v>
      </c>
      <c r="E17" s="4">
        <v>24</v>
      </c>
      <c r="F17" s="4">
        <f t="shared" ref="F17" si="5">+D17*E17</f>
        <v>96</v>
      </c>
      <c r="G17" s="4">
        <f t="shared" ref="G17" si="6">+F17*0.05</f>
        <v>4.8000000000000007</v>
      </c>
      <c r="H17" s="4">
        <f t="shared" ref="H17" si="7">+F17*0.1</f>
        <v>9.6000000000000014</v>
      </c>
      <c r="I17" s="8">
        <f>+$F$2*F17+$G$2*G17+$H$2*H17</f>
        <v>5868.768</v>
      </c>
    </row>
    <row r="18" spans="1:9" x14ac:dyDescent="0.35">
      <c r="A18" s="7" t="s">
        <v>66</v>
      </c>
      <c r="B18" s="4"/>
      <c r="C18" s="4"/>
      <c r="D18" s="4"/>
      <c r="E18" s="4"/>
      <c r="F18" s="86">
        <f>+SUM(F15:H17)</f>
        <v>110.4</v>
      </c>
      <c r="G18" s="86"/>
      <c r="H18" s="86"/>
      <c r="I18" s="17">
        <f>ROUND(+SUM(I15:I17),-1)</f>
        <v>5870</v>
      </c>
    </row>
    <row r="19" spans="1:9" x14ac:dyDescent="0.35">
      <c r="A19" s="7" t="s">
        <v>80</v>
      </c>
      <c r="B19" s="4"/>
      <c r="C19" s="4"/>
      <c r="D19" s="4"/>
      <c r="E19" s="4"/>
      <c r="F19" s="86">
        <f>+F14+F18</f>
        <v>170.1448</v>
      </c>
      <c r="G19" s="87"/>
      <c r="H19" s="87"/>
      <c r="I19" s="17">
        <f>+ROUND(I14+I18,-1)</f>
        <v>9050</v>
      </c>
    </row>
    <row r="20" spans="1:9" x14ac:dyDescent="0.35">
      <c r="A20" s="26"/>
      <c r="B20" s="29"/>
      <c r="C20" s="29"/>
      <c r="D20" s="29"/>
      <c r="E20" s="29"/>
      <c r="F20" s="30"/>
      <c r="G20" s="31"/>
      <c r="H20" s="31"/>
      <c r="I20" s="27"/>
    </row>
    <row r="21" spans="1:9" x14ac:dyDescent="0.35">
      <c r="A21" s="28" t="s">
        <v>76</v>
      </c>
    </row>
    <row r="22" spans="1:9" ht="28.9" customHeight="1" x14ac:dyDescent="0.35">
      <c r="A22" s="79" t="s">
        <v>148</v>
      </c>
      <c r="B22" s="79"/>
      <c r="C22" s="79"/>
      <c r="D22" s="79"/>
      <c r="E22" s="79"/>
      <c r="F22" s="79"/>
      <c r="G22" s="79"/>
      <c r="H22" s="79"/>
      <c r="I22" s="79"/>
    </row>
    <row r="23" spans="1:9" ht="56.5" customHeight="1" x14ac:dyDescent="0.35">
      <c r="A23" s="79" t="s">
        <v>135</v>
      </c>
      <c r="B23" s="79"/>
      <c r="C23" s="79"/>
      <c r="D23" s="79"/>
      <c r="E23" s="79"/>
      <c r="F23" s="79"/>
      <c r="G23" s="79"/>
      <c r="H23" s="79"/>
      <c r="I23" s="79"/>
    </row>
    <row r="24" spans="1:9" ht="15.5" x14ac:dyDescent="0.35">
      <c r="A24" s="78" t="s">
        <v>89</v>
      </c>
      <c r="B24" s="78"/>
      <c r="C24" s="78"/>
      <c r="D24" s="78"/>
      <c r="E24" s="78"/>
      <c r="F24" s="78"/>
      <c r="G24" s="78"/>
      <c r="H24" s="78"/>
      <c r="I24" s="78"/>
    </row>
    <row r="25" spans="1:9" ht="15.5" x14ac:dyDescent="0.35">
      <c r="A25" s="78" t="s">
        <v>91</v>
      </c>
      <c r="B25" s="78"/>
      <c r="C25" s="78"/>
      <c r="D25" s="78"/>
      <c r="E25" s="78"/>
      <c r="F25" s="78"/>
      <c r="G25" s="78"/>
      <c r="H25" s="78"/>
      <c r="I25" s="78"/>
    </row>
    <row r="26" spans="1:9" ht="15.5" x14ac:dyDescent="0.35">
      <c r="A26" s="78" t="s">
        <v>90</v>
      </c>
      <c r="B26" s="78"/>
      <c r="C26" s="78"/>
      <c r="D26" s="78"/>
      <c r="E26" s="78"/>
      <c r="F26" s="78"/>
      <c r="G26" s="78"/>
      <c r="H26" s="78"/>
      <c r="I26" s="78"/>
    </row>
    <row r="27" spans="1:9" x14ac:dyDescent="0.35">
      <c r="A27" s="38"/>
    </row>
  </sheetData>
  <mergeCells count="8">
    <mergeCell ref="A26:I26"/>
    <mergeCell ref="F18:H18"/>
    <mergeCell ref="F19:H19"/>
    <mergeCell ref="F14:H14"/>
    <mergeCell ref="A22:I22"/>
    <mergeCell ref="A23:I23"/>
    <mergeCell ref="A24:I24"/>
    <mergeCell ref="A25:I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52050-7F15-43D6-81A8-ADF533E6D3B7}">
  <dimension ref="A1:L17"/>
  <sheetViews>
    <sheetView zoomScale="90" zoomScaleNormal="90" workbookViewId="0">
      <selection activeCell="J14" sqref="J14"/>
    </sheetView>
  </sheetViews>
  <sheetFormatPr defaultColWidth="22" defaultRowHeight="13" x14ac:dyDescent="0.3"/>
  <cols>
    <col min="1" max="1" width="22" style="39"/>
    <col min="2" max="2" width="17.54296875" style="39" customWidth="1"/>
    <col min="3" max="3" width="17.26953125" style="39" customWidth="1"/>
    <col min="4" max="4" width="22" style="39"/>
    <col min="5" max="5" width="19.81640625" style="39" customWidth="1"/>
    <col min="6" max="7" width="16.81640625" style="39" customWidth="1"/>
    <col min="8" max="8" width="6" style="39" customWidth="1"/>
    <col min="9" max="16384" width="22" style="39"/>
  </cols>
  <sheetData>
    <row r="1" spans="1:12" x14ac:dyDescent="0.3">
      <c r="A1" s="69"/>
      <c r="B1" s="68"/>
      <c r="C1" s="68"/>
    </row>
    <row r="2" spans="1:12" x14ac:dyDescent="0.3">
      <c r="A2" s="92" t="s">
        <v>129</v>
      </c>
      <c r="B2" s="92"/>
      <c r="C2" s="92"/>
      <c r="D2" s="92"/>
      <c r="E2" s="92"/>
      <c r="F2" s="92"/>
      <c r="G2" s="93"/>
      <c r="H2" s="67"/>
    </row>
    <row r="3" spans="1:12" x14ac:dyDescent="0.3">
      <c r="A3" s="40" t="s">
        <v>104</v>
      </c>
      <c r="B3" s="40" t="s">
        <v>103</v>
      </c>
      <c r="C3" s="40" t="s">
        <v>102</v>
      </c>
      <c r="D3" s="40" t="s">
        <v>101</v>
      </c>
      <c r="E3" s="40" t="s">
        <v>100</v>
      </c>
      <c r="F3" s="40" t="s">
        <v>128</v>
      </c>
      <c r="G3" s="40" t="s">
        <v>127</v>
      </c>
      <c r="H3" s="67"/>
    </row>
    <row r="4" spans="1:12" ht="46.5" customHeight="1" x14ac:dyDescent="0.3">
      <c r="A4" s="40" t="s">
        <v>126</v>
      </c>
      <c r="B4" s="40" t="s">
        <v>152</v>
      </c>
      <c r="C4" s="40" t="s">
        <v>136</v>
      </c>
      <c r="D4" s="40" t="s">
        <v>125</v>
      </c>
      <c r="E4" s="40" t="s">
        <v>153</v>
      </c>
      <c r="F4" s="40" t="s">
        <v>137</v>
      </c>
      <c r="G4" s="40" t="s">
        <v>124</v>
      </c>
      <c r="H4" s="67"/>
    </row>
    <row r="5" spans="1:12" ht="36.75" customHeight="1" x14ac:dyDescent="0.3">
      <c r="A5" s="94" t="s">
        <v>118</v>
      </c>
      <c r="B5" s="95"/>
      <c r="C5" s="95"/>
      <c r="D5" s="95"/>
      <c r="E5" s="95"/>
      <c r="F5" s="95"/>
      <c r="G5" s="96"/>
      <c r="H5" s="66"/>
      <c r="K5" s="75">
        <v>816</v>
      </c>
      <c r="L5" s="75" t="s">
        <v>154</v>
      </c>
    </row>
    <row r="6" spans="1:12" ht="36.75" customHeight="1" x14ac:dyDescent="0.3">
      <c r="A6" s="50" t="s">
        <v>130</v>
      </c>
      <c r="B6" s="65">
        <f>68000*(K5/K7)</f>
        <v>105610.9630757518</v>
      </c>
      <c r="C6" s="41">
        <v>0</v>
      </c>
      <c r="D6" s="65">
        <f>B6*C6</f>
        <v>0</v>
      </c>
      <c r="E6" s="65">
        <f>100000*(K5/K7)</f>
        <v>155310.23981728207</v>
      </c>
      <c r="F6" s="41">
        <v>24</v>
      </c>
      <c r="G6" s="65">
        <f>F6*E6</f>
        <v>3727445.7556147696</v>
      </c>
      <c r="H6" s="66"/>
      <c r="K6" s="75">
        <v>567.29999999999995</v>
      </c>
      <c r="L6" s="75" t="s">
        <v>150</v>
      </c>
    </row>
    <row r="7" spans="1:12" ht="36.75" customHeight="1" x14ac:dyDescent="0.3">
      <c r="A7" s="97" t="s">
        <v>115</v>
      </c>
      <c r="B7" s="98"/>
      <c r="C7" s="98"/>
      <c r="D7" s="98"/>
      <c r="E7" s="98"/>
      <c r="F7" s="98"/>
      <c r="G7" s="99"/>
      <c r="H7" s="57"/>
      <c r="K7" s="75">
        <v>525.4</v>
      </c>
      <c r="L7" s="75" t="s">
        <v>151</v>
      </c>
    </row>
    <row r="8" spans="1:12" ht="36.75" customHeight="1" x14ac:dyDescent="0.3">
      <c r="A8" s="64" t="s">
        <v>138</v>
      </c>
      <c r="B8" s="63">
        <f>113478*(K5/K6)</f>
        <v>163225.8910629297</v>
      </c>
      <c r="C8" s="70">
        <v>1.2</v>
      </c>
      <c r="D8" s="63">
        <f>C8*B8</f>
        <v>195871.06927551565</v>
      </c>
      <c r="E8" s="65">
        <f>23488*(K5/K6)</f>
        <v>33784.960338445271</v>
      </c>
      <c r="F8" s="41">
        <v>11</v>
      </c>
      <c r="G8" s="65">
        <f>F8*E8</f>
        <v>371634.56372289796</v>
      </c>
      <c r="H8" s="56"/>
    </row>
    <row r="9" spans="1:12" ht="36.75" customHeight="1" x14ac:dyDescent="0.3">
      <c r="A9" s="64" t="s">
        <v>131</v>
      </c>
      <c r="B9" s="63">
        <f>15019*(K5/K6)</f>
        <v>21603.215230037022</v>
      </c>
      <c r="C9" s="70">
        <v>1.2</v>
      </c>
      <c r="D9" s="63">
        <f>C9*B9</f>
        <v>25923.858276044426</v>
      </c>
      <c r="E9" s="63" t="s">
        <v>132</v>
      </c>
      <c r="F9" s="54">
        <v>0</v>
      </c>
      <c r="G9" s="63" t="s">
        <v>132</v>
      </c>
    </row>
    <row r="10" spans="1:12" ht="36.75" customHeight="1" x14ac:dyDescent="0.3">
      <c r="A10" s="64" t="s">
        <v>133</v>
      </c>
      <c r="B10" s="63">
        <f>6229*(K5/K6)</f>
        <v>8959.7461660497102</v>
      </c>
      <c r="C10" s="70">
        <v>1.2</v>
      </c>
      <c r="D10" s="63">
        <f>C10*B10</f>
        <v>10751.695399259652</v>
      </c>
      <c r="E10" s="63" t="s">
        <v>132</v>
      </c>
      <c r="F10" s="54">
        <v>0</v>
      </c>
      <c r="G10" s="63" t="s">
        <v>132</v>
      </c>
    </row>
    <row r="11" spans="1:12" ht="36.75" customHeight="1" x14ac:dyDescent="0.3">
      <c r="A11" s="64" t="s">
        <v>134</v>
      </c>
      <c r="B11" s="63">
        <f>783*(K5/K6)</f>
        <v>1126.2612374405078</v>
      </c>
      <c r="C11" s="70">
        <v>1.2</v>
      </c>
      <c r="D11" s="63">
        <f>C11*B11</f>
        <v>1351.5134849286094</v>
      </c>
      <c r="E11" s="63" t="s">
        <v>132</v>
      </c>
      <c r="F11" s="54">
        <v>0</v>
      </c>
      <c r="G11" s="63" t="s">
        <v>132</v>
      </c>
    </row>
    <row r="12" spans="1:12" ht="46.5" customHeight="1" x14ac:dyDescent="0.3">
      <c r="A12" s="62" t="s">
        <v>123</v>
      </c>
      <c r="B12" s="41"/>
      <c r="C12" s="41"/>
      <c r="D12" s="61">
        <f>ROUND(SUM(D5:D11), -3)</f>
        <v>234000</v>
      </c>
      <c r="E12" s="41"/>
      <c r="F12" s="41"/>
      <c r="G12" s="61">
        <f>ROUND(SUM(G6:G11), -4)</f>
        <v>4100000</v>
      </c>
      <c r="I12" s="60">
        <f>ROUND(G12+D12, -4)</f>
        <v>4330000</v>
      </c>
    </row>
    <row r="13" spans="1:12" ht="11.25" customHeight="1" x14ac:dyDescent="0.3">
      <c r="A13" s="59"/>
      <c r="B13" s="58"/>
      <c r="C13" s="58"/>
      <c r="D13" s="57"/>
      <c r="E13" s="58"/>
      <c r="F13" s="58"/>
      <c r="G13" s="57"/>
    </row>
    <row r="14" spans="1:12" ht="33" customHeight="1" x14ac:dyDescent="0.3">
      <c r="A14" s="90" t="s">
        <v>156</v>
      </c>
      <c r="B14" s="91"/>
      <c r="C14" s="91"/>
      <c r="D14" s="91"/>
      <c r="E14" s="91"/>
      <c r="F14" s="91"/>
      <c r="G14" s="91"/>
    </row>
    <row r="15" spans="1:12" ht="34.5" customHeight="1" x14ac:dyDescent="0.3">
      <c r="A15" s="90" t="s">
        <v>149</v>
      </c>
      <c r="B15" s="91"/>
      <c r="C15" s="91"/>
      <c r="D15" s="91"/>
      <c r="E15" s="91"/>
      <c r="F15" s="91"/>
      <c r="G15" s="91"/>
    </row>
    <row r="16" spans="1:12" ht="22.5" customHeight="1" x14ac:dyDescent="0.3">
      <c r="A16" s="89" t="s">
        <v>122</v>
      </c>
      <c r="B16" s="89"/>
      <c r="C16" s="89"/>
      <c r="D16" s="89"/>
      <c r="E16" s="89"/>
      <c r="F16" s="89"/>
      <c r="G16" s="89"/>
    </row>
    <row r="17" spans="1:7" ht="20.25" customHeight="1" x14ac:dyDescent="0.3">
      <c r="A17" s="79" t="s">
        <v>155</v>
      </c>
      <c r="B17" s="89"/>
      <c r="C17" s="89"/>
      <c r="D17" s="89"/>
      <c r="E17" s="89"/>
      <c r="F17" s="89"/>
      <c r="G17" s="89"/>
    </row>
  </sheetData>
  <mergeCells count="7">
    <mergeCell ref="A17:G17"/>
    <mergeCell ref="A16:G16"/>
    <mergeCell ref="A14:G14"/>
    <mergeCell ref="A2:G2"/>
    <mergeCell ref="A15:G15"/>
    <mergeCell ref="A5:G5"/>
    <mergeCell ref="A7:G7"/>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C8FC5-BFED-4403-A2AF-2FE08F32B090}">
  <dimension ref="A1:F9"/>
  <sheetViews>
    <sheetView zoomScale="90" zoomScaleNormal="90" workbookViewId="0">
      <selection activeCell="I8" sqref="I8"/>
    </sheetView>
  </sheetViews>
  <sheetFormatPr defaultColWidth="17.7265625" defaultRowHeight="31.9" customHeight="1" x14ac:dyDescent="0.35"/>
  <sheetData>
    <row r="1" spans="1:6" s="39" customFormat="1" ht="31.9" customHeight="1" x14ac:dyDescent="0.3">
      <c r="A1" s="100" t="s">
        <v>107</v>
      </c>
      <c r="B1" s="100"/>
      <c r="C1" s="100"/>
      <c r="D1" s="100"/>
      <c r="E1" s="100"/>
      <c r="F1" s="100"/>
    </row>
    <row r="2" spans="1:6" s="39" customFormat="1" ht="31.9" customHeight="1" x14ac:dyDescent="0.3">
      <c r="A2" s="43"/>
      <c r="B2" s="101" t="s">
        <v>106</v>
      </c>
      <c r="C2" s="101"/>
      <c r="D2" s="43" t="s">
        <v>105</v>
      </c>
      <c r="E2" s="101"/>
      <c r="F2" s="101"/>
    </row>
    <row r="3" spans="1:6" s="39" customFormat="1" ht="31.9" customHeight="1" x14ac:dyDescent="0.3">
      <c r="A3" s="43"/>
      <c r="B3" s="44" t="s">
        <v>104</v>
      </c>
      <c r="C3" s="44" t="s">
        <v>103</v>
      </c>
      <c r="D3" s="44" t="s">
        <v>102</v>
      </c>
      <c r="E3" s="44" t="s">
        <v>101</v>
      </c>
      <c r="F3" s="44" t="s">
        <v>100</v>
      </c>
    </row>
    <row r="4" spans="1:6" s="39" customFormat="1" ht="70.900000000000006" customHeight="1" x14ac:dyDescent="0.3">
      <c r="A4" s="44" t="s">
        <v>99</v>
      </c>
      <c r="B4" s="43" t="s">
        <v>98</v>
      </c>
      <c r="C4" s="43" t="s">
        <v>97</v>
      </c>
      <c r="D4" s="43" t="s">
        <v>96</v>
      </c>
      <c r="E4" s="43" t="s">
        <v>95</v>
      </c>
      <c r="F4" s="43" t="s">
        <v>94</v>
      </c>
    </row>
    <row r="5" spans="1:6" s="39" customFormat="1" ht="31.9" customHeight="1" x14ac:dyDescent="0.3">
      <c r="A5" s="42">
        <v>1</v>
      </c>
      <c r="B5" s="41">
        <v>1.2</v>
      </c>
      <c r="C5" s="41">
        <v>33</v>
      </c>
      <c r="D5" s="41">
        <v>0</v>
      </c>
      <c r="E5" s="41">
        <v>0.2</v>
      </c>
      <c r="F5" s="41">
        <f>B5+C5+D5-E5</f>
        <v>34</v>
      </c>
    </row>
    <row r="6" spans="1:6" s="39" customFormat="1" ht="31.9" customHeight="1" x14ac:dyDescent="0.3">
      <c r="A6" s="42">
        <v>2</v>
      </c>
      <c r="B6" s="41">
        <v>1.2</v>
      </c>
      <c r="C6" s="41">
        <v>34</v>
      </c>
      <c r="D6" s="41">
        <v>0</v>
      </c>
      <c r="E6" s="41">
        <v>0.2</v>
      </c>
      <c r="F6" s="41">
        <f>B6+C6+D6-E6</f>
        <v>35</v>
      </c>
    </row>
    <row r="7" spans="1:6" s="39" customFormat="1" ht="31.9" customHeight="1" x14ac:dyDescent="0.3">
      <c r="A7" s="42">
        <v>3</v>
      </c>
      <c r="B7" s="41">
        <v>1.2</v>
      </c>
      <c r="C7" s="41">
        <v>35</v>
      </c>
      <c r="D7" s="41">
        <v>0</v>
      </c>
      <c r="E7" s="41">
        <v>0.2</v>
      </c>
      <c r="F7" s="41">
        <f>B7+C7+D7-E7</f>
        <v>36</v>
      </c>
    </row>
    <row r="8" spans="1:6" s="39" customFormat="1" ht="31.9" customHeight="1" x14ac:dyDescent="0.3">
      <c r="A8" s="42" t="s">
        <v>93</v>
      </c>
      <c r="B8" s="41">
        <f>AVERAGE(B5:B7)</f>
        <v>1.2</v>
      </c>
      <c r="C8" s="41">
        <f>AVERAGE(C5:C7)</f>
        <v>34</v>
      </c>
      <c r="D8" s="41">
        <v>0</v>
      </c>
      <c r="E8" s="41">
        <v>0</v>
      </c>
      <c r="F8" s="40">
        <f>AVERAGE(F5:F7)</f>
        <v>35</v>
      </c>
    </row>
    <row r="9" spans="1:6" s="39" customFormat="1" ht="31.15" customHeight="1" x14ac:dyDescent="0.3">
      <c r="A9" s="102" t="s">
        <v>139</v>
      </c>
      <c r="B9" s="102"/>
      <c r="C9" s="102"/>
      <c r="D9" s="102"/>
      <c r="E9" s="102"/>
      <c r="F9" s="102"/>
    </row>
  </sheetData>
  <mergeCells count="4">
    <mergeCell ref="A1:F1"/>
    <mergeCell ref="B2:C2"/>
    <mergeCell ref="E2:F2"/>
    <mergeCell ref="A9:F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FB527-9977-456A-B527-5159E912B886}">
  <dimension ref="A1:F15"/>
  <sheetViews>
    <sheetView zoomScaleNormal="100" workbookViewId="0">
      <selection activeCell="A21" sqref="A21"/>
    </sheetView>
  </sheetViews>
  <sheetFormatPr defaultRowHeight="14.5" x14ac:dyDescent="0.35"/>
  <cols>
    <col min="1" max="1" width="24.81640625" customWidth="1"/>
    <col min="2" max="2" width="11.81640625" customWidth="1"/>
    <col min="3" max="3" width="12.7265625" customWidth="1"/>
    <col min="4" max="4" width="11.453125" customWidth="1"/>
    <col min="5" max="5" width="14.7265625" customWidth="1"/>
  </cols>
  <sheetData>
    <row r="1" spans="1:6" s="39" customFormat="1" ht="15" x14ac:dyDescent="0.3">
      <c r="A1" s="100" t="s">
        <v>114</v>
      </c>
      <c r="B1" s="100"/>
      <c r="C1" s="100"/>
      <c r="D1" s="100"/>
      <c r="E1" s="100"/>
    </row>
    <row r="2" spans="1:6" s="39" customFormat="1" ht="13" x14ac:dyDescent="0.3">
      <c r="A2" s="42" t="s">
        <v>104</v>
      </c>
      <c r="B2" s="42" t="s">
        <v>103</v>
      </c>
      <c r="C2" s="42" t="s">
        <v>102</v>
      </c>
      <c r="D2" s="42" t="s">
        <v>101</v>
      </c>
      <c r="E2" s="42" t="s">
        <v>100</v>
      </c>
    </row>
    <row r="3" spans="1:6" s="39" customFormat="1" ht="104" x14ac:dyDescent="0.3">
      <c r="A3" s="42" t="s">
        <v>113</v>
      </c>
      <c r="B3" s="42" t="s">
        <v>112</v>
      </c>
      <c r="C3" s="42" t="s">
        <v>111</v>
      </c>
      <c r="D3" s="42" t="s">
        <v>110</v>
      </c>
      <c r="E3" s="42" t="s">
        <v>109</v>
      </c>
    </row>
    <row r="4" spans="1:6" s="39" customFormat="1" ht="17.25" customHeight="1" x14ac:dyDescent="0.3">
      <c r="A4" s="97" t="s">
        <v>115</v>
      </c>
      <c r="B4" s="98"/>
      <c r="C4" s="98"/>
      <c r="D4" s="98"/>
      <c r="E4" s="99"/>
    </row>
    <row r="5" spans="1:6" s="39" customFormat="1" ht="26" x14ac:dyDescent="0.3">
      <c r="A5" s="51" t="s">
        <v>13</v>
      </c>
      <c r="B5" s="41">
        <v>1.2</v>
      </c>
      <c r="C5" s="41">
        <v>1</v>
      </c>
      <c r="D5" s="41">
        <v>0</v>
      </c>
      <c r="E5" s="41">
        <f t="shared" ref="E5:E10" si="0">(B5*C5)+D5</f>
        <v>1.2</v>
      </c>
    </row>
    <row r="6" spans="1:6" s="39" customFormat="1" ht="13" x14ac:dyDescent="0.3">
      <c r="A6" s="51" t="s">
        <v>14</v>
      </c>
      <c r="B6" s="41">
        <v>1.2</v>
      </c>
      <c r="C6" s="41">
        <v>1</v>
      </c>
      <c r="D6" s="41">
        <v>0</v>
      </c>
      <c r="E6" s="41">
        <f t="shared" si="0"/>
        <v>1.2</v>
      </c>
    </row>
    <row r="7" spans="1:6" s="39" customFormat="1" ht="26" x14ac:dyDescent="0.3">
      <c r="A7" s="51" t="s">
        <v>15</v>
      </c>
      <c r="B7" s="41">
        <v>1.2</v>
      </c>
      <c r="C7" s="41">
        <v>1</v>
      </c>
      <c r="D7" s="41">
        <v>0</v>
      </c>
      <c r="E7" s="41">
        <f t="shared" si="0"/>
        <v>1.2</v>
      </c>
    </row>
    <row r="8" spans="1:6" s="39" customFormat="1" ht="26" x14ac:dyDescent="0.3">
      <c r="A8" s="51" t="s">
        <v>116</v>
      </c>
      <c r="B8" s="41">
        <v>1.2</v>
      </c>
      <c r="C8" s="41">
        <v>1</v>
      </c>
      <c r="D8" s="41">
        <v>0</v>
      </c>
      <c r="E8" s="41">
        <f t="shared" si="0"/>
        <v>1.2</v>
      </c>
      <c r="F8" s="53"/>
    </row>
    <row r="9" spans="1:6" s="39" customFormat="1" ht="28.5" customHeight="1" x14ac:dyDescent="0.3">
      <c r="A9" s="52" t="s">
        <v>17</v>
      </c>
      <c r="B9" s="55">
        <v>1.2</v>
      </c>
      <c r="C9" s="41">
        <v>1</v>
      </c>
      <c r="D9" s="41">
        <v>0</v>
      </c>
      <c r="E9" s="41">
        <f t="shared" si="0"/>
        <v>1.2</v>
      </c>
    </row>
    <row r="10" spans="1:6" s="39" customFormat="1" ht="28.5" customHeight="1" x14ac:dyDescent="0.3">
      <c r="A10" s="52" t="s">
        <v>117</v>
      </c>
      <c r="B10" s="55">
        <v>1.1000000000000001</v>
      </c>
      <c r="C10" s="41">
        <v>1</v>
      </c>
      <c r="D10" s="41">
        <v>0</v>
      </c>
      <c r="E10" s="41">
        <f t="shared" si="0"/>
        <v>1.1000000000000001</v>
      </c>
    </row>
    <row r="11" spans="1:6" s="39" customFormat="1" ht="18.649999999999999" customHeight="1" x14ac:dyDescent="0.3">
      <c r="A11" s="94" t="s">
        <v>118</v>
      </c>
      <c r="B11" s="95"/>
      <c r="C11" s="95"/>
      <c r="D11" s="95"/>
      <c r="E11" s="96"/>
    </row>
    <row r="12" spans="1:6" s="39" customFormat="1" ht="28.5" customHeight="1" x14ac:dyDescent="0.3">
      <c r="A12" s="52" t="s">
        <v>119</v>
      </c>
      <c r="B12" s="76">
        <f>'Table 1'!E27</f>
        <v>0</v>
      </c>
      <c r="C12" s="41">
        <v>1</v>
      </c>
      <c r="D12" s="41">
        <v>0</v>
      </c>
      <c r="E12" s="41">
        <f>(B12*C12)+D12</f>
        <v>0</v>
      </c>
    </row>
    <row r="13" spans="1:6" s="39" customFormat="1" ht="29.25" customHeight="1" x14ac:dyDescent="0.3">
      <c r="A13" s="51" t="s">
        <v>120</v>
      </c>
      <c r="B13" s="41">
        <v>24</v>
      </c>
      <c r="C13" s="41">
        <v>2</v>
      </c>
      <c r="D13" s="41">
        <v>0</v>
      </c>
      <c r="E13" s="41">
        <f>(B13*C13)+D13</f>
        <v>48</v>
      </c>
    </row>
    <row r="14" spans="1:6" s="39" customFormat="1" ht="13" x14ac:dyDescent="0.3">
      <c r="A14" s="50"/>
      <c r="B14" s="41"/>
      <c r="C14" s="41"/>
      <c r="D14" s="40" t="s">
        <v>108</v>
      </c>
      <c r="E14" s="49">
        <f>SUM(E4:E13)</f>
        <v>55.1</v>
      </c>
    </row>
    <row r="15" spans="1:6" s="39" customFormat="1" ht="9.75" customHeight="1" x14ac:dyDescent="0.3">
      <c r="A15" s="48"/>
      <c r="B15" s="47"/>
      <c r="C15" s="47"/>
      <c r="D15" s="46"/>
      <c r="E15" s="45"/>
    </row>
  </sheetData>
  <mergeCells count="3">
    <mergeCell ref="A1:E1"/>
    <mergeCell ref="A4:E4"/>
    <mergeCell ref="A11:E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Respondents</vt:lpstr>
      <vt:lpstr>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2016-02-11T14:28:52Z</dcterms:created>
  <dcterms:modified xsi:type="dcterms:W3CDTF">2023-07-28T11:53:46Z</dcterms:modified>
</cp:coreProperties>
</file>