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ttps://usdagcc-my.sharepoint.com/personal/dionne_duncan-hughes_usda_gov/Documents/Desktop/0584-0043 WIC ICB/"/>
    </mc:Choice>
  </mc:AlternateContent>
  <xr:revisionPtr revIDLastSave="1109" documentId="8_{BC78DB77-C239-470C-A015-C7DCF3D3DEF3}" xr6:coauthVersionLast="47" xr6:coauthVersionMax="47" xr10:uidLastSave="{7C3A1284-8AD3-4B30-8568-5CA7769E33A3}"/>
  <bookViews>
    <workbookView xWindow="-110" yWindow="-110" windowWidth="19420" windowHeight="10420" tabRatio="599" xr2:uid="{00000000-000D-0000-FFFF-FFFF00000000}"/>
  </bookViews>
  <sheets>
    <sheet name="2023-Final" sheetId="5" r:id="rId1"/>
    <sheet name="2023 - LA" sheetId="4" state="hidden" r:id="rId2"/>
    <sheet name="2023" sheetId="3" state="hidden" r:id="rId3"/>
    <sheet name="2020" sheetId="2" state="hidden"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4" i="5" l="1"/>
  <c r="I39" i="5"/>
  <c r="E99" i="5"/>
  <c r="E60" i="5"/>
  <c r="G60" i="5" s="1"/>
  <c r="C103" i="5"/>
  <c r="D58" i="5"/>
  <c r="D41" i="5"/>
  <c r="C85" i="5"/>
  <c r="E85" i="5" s="1"/>
  <c r="G85" i="5" s="1"/>
  <c r="C11" i="5"/>
  <c r="C84" i="5"/>
  <c r="E84" i="5" s="1"/>
  <c r="G84" i="5" s="1"/>
  <c r="C9" i="5"/>
  <c r="D123" i="5"/>
  <c r="C98" i="5"/>
  <c r="C6" i="5"/>
  <c r="C79" i="5"/>
  <c r="C77" i="5"/>
  <c r="D47" i="5"/>
  <c r="D14" i="5"/>
  <c r="E102" i="5"/>
  <c r="G102" i="5" s="1"/>
  <c r="C75" i="5"/>
  <c r="D46" i="5"/>
  <c r="D37" i="5"/>
  <c r="D20" i="5"/>
  <c r="D19" i="5"/>
  <c r="J138" i="5"/>
  <c r="J139" i="5" s="1"/>
  <c r="H138" i="5"/>
  <c r="H139" i="5" s="1"/>
  <c r="C166" i="5" s="1"/>
  <c r="F138" i="5"/>
  <c r="F139" i="5" s="1"/>
  <c r="C164" i="5" s="1"/>
  <c r="D138" i="5"/>
  <c r="D139" i="5" s="1"/>
  <c r="C162" i="5" s="1"/>
  <c r="E7" i="5"/>
  <c r="G7" i="5"/>
  <c r="K7" i="5" s="1"/>
  <c r="I7" i="5"/>
  <c r="C137" i="5"/>
  <c r="C133" i="5"/>
  <c r="C134" i="5" s="1"/>
  <c r="H132" i="5"/>
  <c r="C132" i="5"/>
  <c r="E132" i="5" s="1"/>
  <c r="G132" i="5" s="1"/>
  <c r="H131" i="5"/>
  <c r="D131" i="5"/>
  <c r="C131" i="5"/>
  <c r="E131" i="5" s="1"/>
  <c r="G131" i="5" s="1"/>
  <c r="H130" i="5"/>
  <c r="C130" i="5"/>
  <c r="E130" i="5" s="1"/>
  <c r="G130" i="5" s="1"/>
  <c r="E129" i="5"/>
  <c r="G129" i="5" s="1"/>
  <c r="H128" i="5"/>
  <c r="H133" i="5" s="1"/>
  <c r="D128" i="5"/>
  <c r="C128" i="5"/>
  <c r="E128" i="5" s="1"/>
  <c r="E125" i="5"/>
  <c r="G125" i="5" s="1"/>
  <c r="H124" i="5"/>
  <c r="C124" i="5"/>
  <c r="E124" i="5" s="1"/>
  <c r="G124" i="5" s="1"/>
  <c r="H123" i="5"/>
  <c r="C123" i="5"/>
  <c r="E123" i="5" s="1"/>
  <c r="G123" i="5" s="1"/>
  <c r="H122" i="5"/>
  <c r="C122" i="5"/>
  <c r="E122" i="5" s="1"/>
  <c r="G122" i="5" s="1"/>
  <c r="H121" i="5"/>
  <c r="E121" i="5"/>
  <c r="G121" i="5" s="1"/>
  <c r="K121" i="5" s="1"/>
  <c r="E120" i="5"/>
  <c r="G120" i="5" s="1"/>
  <c r="D119" i="5"/>
  <c r="E119" i="5" s="1"/>
  <c r="G119" i="5" s="1"/>
  <c r="E118" i="5"/>
  <c r="G118" i="5" s="1"/>
  <c r="H117" i="5"/>
  <c r="D117" i="5"/>
  <c r="E117" i="5" s="1"/>
  <c r="G117" i="5" s="1"/>
  <c r="H116" i="5"/>
  <c r="D116" i="5"/>
  <c r="E116" i="5" s="1"/>
  <c r="G116" i="5" s="1"/>
  <c r="H115" i="5"/>
  <c r="D115" i="5"/>
  <c r="E115" i="5" s="1"/>
  <c r="G115" i="5" s="1"/>
  <c r="H114" i="5"/>
  <c r="E114" i="5"/>
  <c r="G114" i="5" s="1"/>
  <c r="K114" i="5" s="1"/>
  <c r="H113" i="5"/>
  <c r="C113" i="5"/>
  <c r="E113" i="5" s="1"/>
  <c r="G113" i="5" s="1"/>
  <c r="K113" i="5" s="1"/>
  <c r="H112" i="5"/>
  <c r="D112" i="5"/>
  <c r="E112" i="5" s="1"/>
  <c r="G112" i="5" s="1"/>
  <c r="H111" i="5"/>
  <c r="E111" i="5"/>
  <c r="G111" i="5" s="1"/>
  <c r="K111" i="5" s="1"/>
  <c r="H110" i="5"/>
  <c r="H126" i="5" s="1"/>
  <c r="D110" i="5"/>
  <c r="C110" i="5"/>
  <c r="E110" i="5" s="1"/>
  <c r="G110" i="5" s="1"/>
  <c r="E109" i="5"/>
  <c r="C105" i="5"/>
  <c r="E104" i="5"/>
  <c r="G104" i="5" s="1"/>
  <c r="E103" i="5"/>
  <c r="G103" i="5" s="1"/>
  <c r="E101" i="5"/>
  <c r="G101" i="5" s="1"/>
  <c r="C100" i="5"/>
  <c r="E100" i="5" s="1"/>
  <c r="G100" i="5" s="1"/>
  <c r="G99" i="5"/>
  <c r="I99" i="5" s="1"/>
  <c r="H98" i="5"/>
  <c r="E98" i="5"/>
  <c r="G98" i="5" s="1"/>
  <c r="K98" i="5" s="1"/>
  <c r="E97" i="5"/>
  <c r="G97" i="5" s="1"/>
  <c r="I97" i="5" s="1"/>
  <c r="H96" i="5"/>
  <c r="C96" i="5"/>
  <c r="E96" i="5" s="1"/>
  <c r="G96" i="5" s="1"/>
  <c r="C95" i="5"/>
  <c r="E95" i="5" s="1"/>
  <c r="G95" i="5" s="1"/>
  <c r="H94" i="5"/>
  <c r="C94" i="5"/>
  <c r="E94" i="5" s="1"/>
  <c r="G94" i="5" s="1"/>
  <c r="H93" i="5"/>
  <c r="E93" i="5"/>
  <c r="G93" i="5" s="1"/>
  <c r="K93" i="5" s="1"/>
  <c r="H92" i="5"/>
  <c r="C92" i="5"/>
  <c r="E92" i="5" s="1"/>
  <c r="G92" i="5" s="1"/>
  <c r="D91" i="5"/>
  <c r="C91" i="5"/>
  <c r="E91" i="5" s="1"/>
  <c r="G91" i="5" s="1"/>
  <c r="H90" i="5"/>
  <c r="D90" i="5"/>
  <c r="C90" i="5"/>
  <c r="E90" i="5" s="1"/>
  <c r="G90" i="5" s="1"/>
  <c r="H89" i="5"/>
  <c r="H105" i="5" s="1"/>
  <c r="D89" i="5"/>
  <c r="C89" i="5"/>
  <c r="E89" i="5" s="1"/>
  <c r="G89" i="5" s="1"/>
  <c r="D88" i="5"/>
  <c r="C88" i="5"/>
  <c r="E88" i="5" s="1"/>
  <c r="G88" i="5" s="1"/>
  <c r="D87" i="5"/>
  <c r="C87" i="5"/>
  <c r="E87" i="5" s="1"/>
  <c r="G87" i="5" s="1"/>
  <c r="D86" i="5"/>
  <c r="C86" i="5"/>
  <c r="E86" i="5" s="1"/>
  <c r="G86" i="5" s="1"/>
  <c r="C83" i="5"/>
  <c r="E83" i="5" s="1"/>
  <c r="C81" i="5"/>
  <c r="C80" i="5"/>
  <c r="E80" i="5" s="1"/>
  <c r="G80" i="5" s="1"/>
  <c r="E79" i="5"/>
  <c r="G79" i="5" s="1"/>
  <c r="E78" i="5"/>
  <c r="G78" i="5" s="1"/>
  <c r="H77" i="5"/>
  <c r="E77" i="5"/>
  <c r="G77" i="5" s="1"/>
  <c r="H76" i="5"/>
  <c r="C76" i="5"/>
  <c r="E76" i="5" s="1"/>
  <c r="G76" i="5" s="1"/>
  <c r="E75" i="5"/>
  <c r="G75" i="5" s="1"/>
  <c r="E74" i="5"/>
  <c r="G74" i="5" s="1"/>
  <c r="E73" i="5"/>
  <c r="G73" i="5" s="1"/>
  <c r="H72" i="5"/>
  <c r="E72" i="5"/>
  <c r="G72" i="5" s="1"/>
  <c r="H71" i="5"/>
  <c r="E71" i="5"/>
  <c r="G71" i="5" s="1"/>
  <c r="H70" i="5"/>
  <c r="H81" i="5" s="1"/>
  <c r="E70" i="5"/>
  <c r="C68" i="5"/>
  <c r="C106" i="5" s="1"/>
  <c r="C67" i="5"/>
  <c r="E67" i="5" s="1"/>
  <c r="G67" i="5" s="1"/>
  <c r="E66" i="5"/>
  <c r="G66" i="5" s="1"/>
  <c r="E65" i="5"/>
  <c r="G65" i="5" s="1"/>
  <c r="E64" i="5"/>
  <c r="G64" i="5" s="1"/>
  <c r="H63" i="5"/>
  <c r="E63" i="5"/>
  <c r="G63" i="5" s="1"/>
  <c r="K63" i="5" s="1"/>
  <c r="H62" i="5"/>
  <c r="D62" i="5"/>
  <c r="E62" i="5" s="1"/>
  <c r="G62" i="5" s="1"/>
  <c r="D61" i="5"/>
  <c r="E61" i="5" s="1"/>
  <c r="G61" i="5" s="1"/>
  <c r="H59" i="5"/>
  <c r="C59" i="5"/>
  <c r="E59" i="5" s="1"/>
  <c r="G59" i="5" s="1"/>
  <c r="K59" i="5" s="1"/>
  <c r="E58" i="5"/>
  <c r="G58" i="5" s="1"/>
  <c r="H57" i="5"/>
  <c r="D57" i="5"/>
  <c r="E57" i="5" s="1"/>
  <c r="G57" i="5" s="1"/>
  <c r="K57" i="5" s="1"/>
  <c r="E56" i="5"/>
  <c r="G56" i="5" s="1"/>
  <c r="E55" i="5"/>
  <c r="G55" i="5" s="1"/>
  <c r="C54" i="5"/>
  <c r="E54" i="5" s="1"/>
  <c r="G54" i="5" s="1"/>
  <c r="E53" i="5"/>
  <c r="G53" i="5" s="1"/>
  <c r="H52" i="5"/>
  <c r="D52" i="5"/>
  <c r="E52" i="5" s="1"/>
  <c r="G52" i="5" s="1"/>
  <c r="E51" i="5"/>
  <c r="G51" i="5" s="1"/>
  <c r="H50" i="5"/>
  <c r="E50" i="5"/>
  <c r="G50" i="5" s="1"/>
  <c r="K50" i="5" s="1"/>
  <c r="E49" i="5"/>
  <c r="G49" i="5" s="1"/>
  <c r="D48" i="5"/>
  <c r="E48" i="5" s="1"/>
  <c r="G48" i="5" s="1"/>
  <c r="E47" i="5"/>
  <c r="G47" i="5" s="1"/>
  <c r="E46" i="5"/>
  <c r="G46" i="5" s="1"/>
  <c r="H45" i="5"/>
  <c r="E45" i="5"/>
  <c r="G45" i="5" s="1"/>
  <c r="K45" i="5" s="1"/>
  <c r="E44" i="5"/>
  <c r="G44" i="5" s="1"/>
  <c r="H43" i="5"/>
  <c r="D43" i="5"/>
  <c r="E43" i="5" s="1"/>
  <c r="G43" i="5" s="1"/>
  <c r="K43" i="5" s="1"/>
  <c r="E42" i="5"/>
  <c r="G42" i="5" s="1"/>
  <c r="E41" i="5"/>
  <c r="G41" i="5" s="1"/>
  <c r="E40" i="5"/>
  <c r="G40" i="5" s="1"/>
  <c r="H39" i="5"/>
  <c r="D39" i="5"/>
  <c r="E39" i="5" s="1"/>
  <c r="G39" i="5" s="1"/>
  <c r="D38" i="5"/>
  <c r="E38" i="5" s="1"/>
  <c r="G38" i="5" s="1"/>
  <c r="H37" i="5"/>
  <c r="E37" i="5"/>
  <c r="G37" i="5" s="1"/>
  <c r="H36" i="5"/>
  <c r="E36" i="5"/>
  <c r="G36" i="5" s="1"/>
  <c r="K36" i="5" s="1"/>
  <c r="D35" i="5"/>
  <c r="E35" i="5" s="1"/>
  <c r="G35" i="5" s="1"/>
  <c r="E34" i="5"/>
  <c r="G34" i="5" s="1"/>
  <c r="E33" i="5"/>
  <c r="G33" i="5" s="1"/>
  <c r="E32" i="5"/>
  <c r="G32" i="5" s="1"/>
  <c r="H31" i="5"/>
  <c r="E31" i="5"/>
  <c r="G31" i="5" s="1"/>
  <c r="K31" i="5" s="1"/>
  <c r="H30" i="5"/>
  <c r="D30" i="5"/>
  <c r="E30" i="5" s="1"/>
  <c r="G30" i="5" s="1"/>
  <c r="H29" i="5"/>
  <c r="D29" i="5"/>
  <c r="E29" i="5" s="1"/>
  <c r="G29" i="5" s="1"/>
  <c r="K29" i="5" s="1"/>
  <c r="E28" i="5"/>
  <c r="G28" i="5" s="1"/>
  <c r="E27" i="5"/>
  <c r="G27" i="5" s="1"/>
  <c r="H26" i="5"/>
  <c r="C26" i="5"/>
  <c r="E26" i="5" s="1"/>
  <c r="G26" i="5" s="1"/>
  <c r="D25" i="5"/>
  <c r="C25" i="5"/>
  <c r="E25" i="5" s="1"/>
  <c r="G25" i="5" s="1"/>
  <c r="C24" i="5"/>
  <c r="E24" i="5" s="1"/>
  <c r="G24" i="5" s="1"/>
  <c r="K24" i="5" s="1"/>
  <c r="H23" i="5"/>
  <c r="D23" i="5"/>
  <c r="C23" i="5"/>
  <c r="E23" i="5" s="1"/>
  <c r="G23" i="5" s="1"/>
  <c r="H22" i="5"/>
  <c r="E22" i="5"/>
  <c r="G22" i="5" s="1"/>
  <c r="K22" i="5" s="1"/>
  <c r="H21" i="5"/>
  <c r="E21" i="5"/>
  <c r="G21" i="5" s="1"/>
  <c r="K21" i="5" s="1"/>
  <c r="E20" i="5"/>
  <c r="G20" i="5" s="1"/>
  <c r="E19" i="5"/>
  <c r="G19" i="5" s="1"/>
  <c r="E18" i="5"/>
  <c r="G18" i="5" s="1"/>
  <c r="H17" i="5"/>
  <c r="D17" i="5"/>
  <c r="C17" i="5"/>
  <c r="E17" i="5" s="1"/>
  <c r="G17" i="5" s="1"/>
  <c r="H16" i="5"/>
  <c r="E16" i="5"/>
  <c r="G16" i="5" s="1"/>
  <c r="K16" i="5" s="1"/>
  <c r="H15" i="5"/>
  <c r="D15" i="5"/>
  <c r="C15" i="5"/>
  <c r="E15" i="5" s="1"/>
  <c r="G15" i="5" s="1"/>
  <c r="H14" i="5"/>
  <c r="C14" i="5"/>
  <c r="E14" i="5" s="1"/>
  <c r="G14" i="5" s="1"/>
  <c r="H13" i="5"/>
  <c r="D13" i="5"/>
  <c r="C13" i="5"/>
  <c r="E13" i="5" s="1"/>
  <c r="G13" i="5" s="1"/>
  <c r="H12" i="5"/>
  <c r="E12" i="5"/>
  <c r="G12" i="5" s="1"/>
  <c r="K12" i="5" s="1"/>
  <c r="H11" i="5"/>
  <c r="E11" i="5"/>
  <c r="G11" i="5" s="1"/>
  <c r="D10" i="5"/>
  <c r="E10" i="5" s="1"/>
  <c r="G10" i="5" s="1"/>
  <c r="H9" i="5"/>
  <c r="E9" i="5"/>
  <c r="G9" i="5" s="1"/>
  <c r="D8" i="5"/>
  <c r="E8" i="5" s="1"/>
  <c r="G8" i="5" s="1"/>
  <c r="H6" i="5"/>
  <c r="E6" i="5"/>
  <c r="G6" i="5" s="1"/>
  <c r="H5" i="5"/>
  <c r="H68" i="5" s="1"/>
  <c r="E5" i="5"/>
  <c r="E68" i="5" s="1"/>
  <c r="H133" i="4"/>
  <c r="H121" i="4"/>
  <c r="G39" i="3"/>
  <c r="G27" i="3"/>
  <c r="H117" i="3"/>
  <c r="J131" i="4"/>
  <c r="I131" i="4"/>
  <c r="H131" i="4"/>
  <c r="G131" i="4"/>
  <c r="E131" i="4"/>
  <c r="D117" i="3"/>
  <c r="C131" i="4"/>
  <c r="D129" i="4"/>
  <c r="E129" i="4" s="1"/>
  <c r="G129" i="4" s="1"/>
  <c r="J129" i="4" s="1"/>
  <c r="D121" i="4"/>
  <c r="C130" i="4"/>
  <c r="C129" i="4"/>
  <c r="C128" i="4"/>
  <c r="E128" i="4" s="1"/>
  <c r="G128" i="4" s="1"/>
  <c r="J128" i="4" s="1"/>
  <c r="C122" i="4"/>
  <c r="E122" i="4" s="1"/>
  <c r="G122" i="4" s="1"/>
  <c r="C121" i="4"/>
  <c r="C120" i="4"/>
  <c r="C103" i="4"/>
  <c r="C69" i="4"/>
  <c r="H130" i="4"/>
  <c r="E130" i="4"/>
  <c r="G130" i="4" s="1"/>
  <c r="J130" i="4" s="1"/>
  <c r="H129" i="4"/>
  <c r="H128" i="4"/>
  <c r="D126" i="4"/>
  <c r="C126" i="4"/>
  <c r="D108" i="4"/>
  <c r="C108" i="4"/>
  <c r="D24" i="3"/>
  <c r="D88" i="4"/>
  <c r="D26" i="3"/>
  <c r="D26" i="4"/>
  <c r="D24" i="4"/>
  <c r="E24" i="4" s="1"/>
  <c r="G24" i="4" s="1"/>
  <c r="J24" i="4" s="1"/>
  <c r="D18" i="4"/>
  <c r="D90" i="4"/>
  <c r="D89" i="4"/>
  <c r="C91" i="4"/>
  <c r="E91" i="4" s="1"/>
  <c r="G91" i="4" s="1"/>
  <c r="J91" i="4" s="1"/>
  <c r="C90" i="4"/>
  <c r="E90" i="4" s="1"/>
  <c r="G90" i="4" s="1"/>
  <c r="I90" i="4" s="1"/>
  <c r="C89" i="4"/>
  <c r="C88" i="4"/>
  <c r="C27" i="4"/>
  <c r="C26" i="4"/>
  <c r="C24" i="4"/>
  <c r="C18" i="4"/>
  <c r="H126" i="4"/>
  <c r="H91" i="4"/>
  <c r="H89" i="4"/>
  <c r="H88" i="4"/>
  <c r="E92" i="4"/>
  <c r="G92" i="4" s="1"/>
  <c r="H92" i="4"/>
  <c r="C132" i="4"/>
  <c r="C145" i="4" s="1"/>
  <c r="E127" i="4"/>
  <c r="G127" i="4" s="1"/>
  <c r="E123" i="4"/>
  <c r="G123" i="4" s="1"/>
  <c r="I123" i="4" s="1"/>
  <c r="H122" i="4"/>
  <c r="H120" i="4"/>
  <c r="E120" i="4"/>
  <c r="G120" i="4" s="1"/>
  <c r="H119" i="4"/>
  <c r="E119" i="4"/>
  <c r="G119" i="4" s="1"/>
  <c r="E118" i="4"/>
  <c r="G118" i="4" s="1"/>
  <c r="I118" i="4" s="1"/>
  <c r="D117" i="4"/>
  <c r="E117" i="4" s="1"/>
  <c r="G117" i="4" s="1"/>
  <c r="I117" i="4" s="1"/>
  <c r="E116" i="4"/>
  <c r="G116" i="4" s="1"/>
  <c r="I116" i="4" s="1"/>
  <c r="H115" i="4"/>
  <c r="D115" i="4"/>
  <c r="E115" i="4" s="1"/>
  <c r="G115" i="4" s="1"/>
  <c r="H114" i="4"/>
  <c r="D114" i="4"/>
  <c r="E114" i="4" s="1"/>
  <c r="G114" i="4" s="1"/>
  <c r="H113" i="4"/>
  <c r="D113" i="4"/>
  <c r="E113" i="4" s="1"/>
  <c r="G113" i="4" s="1"/>
  <c r="J113" i="4" s="1"/>
  <c r="H112" i="4"/>
  <c r="E112" i="4"/>
  <c r="G112" i="4" s="1"/>
  <c r="H111" i="4"/>
  <c r="C111" i="4"/>
  <c r="E111" i="4" s="1"/>
  <c r="G111" i="4" s="1"/>
  <c r="H110" i="4"/>
  <c r="D110" i="4"/>
  <c r="E110" i="4" s="1"/>
  <c r="G110" i="4" s="1"/>
  <c r="H109" i="4"/>
  <c r="E109" i="4"/>
  <c r="G109" i="4" s="1"/>
  <c r="H108" i="4"/>
  <c r="E108" i="4"/>
  <c r="G108" i="4" s="1"/>
  <c r="E107" i="4"/>
  <c r="G107" i="4" s="1"/>
  <c r="I107" i="4" s="1"/>
  <c r="C102" i="4"/>
  <c r="E102" i="4" s="1"/>
  <c r="G102" i="4" s="1"/>
  <c r="I102" i="4" s="1"/>
  <c r="C101" i="4"/>
  <c r="E101" i="4" s="1"/>
  <c r="G101" i="4" s="1"/>
  <c r="I101" i="4" s="1"/>
  <c r="E100" i="4"/>
  <c r="G100" i="4" s="1"/>
  <c r="I100" i="4" s="1"/>
  <c r="C99" i="4"/>
  <c r="E99" i="4" s="1"/>
  <c r="G99" i="4" s="1"/>
  <c r="I99" i="4" s="1"/>
  <c r="E98" i="4"/>
  <c r="G98" i="4" s="1"/>
  <c r="J98" i="4" s="1"/>
  <c r="H97" i="4"/>
  <c r="C97" i="4"/>
  <c r="E97" i="4" s="1"/>
  <c r="G97" i="4" s="1"/>
  <c r="E96" i="4"/>
  <c r="G96" i="4" s="1"/>
  <c r="J96" i="4" s="1"/>
  <c r="H95" i="4"/>
  <c r="C95" i="4"/>
  <c r="E95" i="4" s="1"/>
  <c r="G95" i="4" s="1"/>
  <c r="C94" i="4"/>
  <c r="E94" i="4" s="1"/>
  <c r="G94" i="4" s="1"/>
  <c r="I94" i="4" s="1"/>
  <c r="H93" i="4"/>
  <c r="C93" i="4"/>
  <c r="E93" i="4" s="1"/>
  <c r="G93" i="4" s="1"/>
  <c r="J93" i="4" s="1"/>
  <c r="D87" i="4"/>
  <c r="C87" i="4"/>
  <c r="D86" i="4"/>
  <c r="C86" i="4"/>
  <c r="D85" i="4"/>
  <c r="C85" i="4"/>
  <c r="C84" i="4"/>
  <c r="E84" i="4" s="1"/>
  <c r="C82" i="4"/>
  <c r="C81" i="4"/>
  <c r="E81" i="4" s="1"/>
  <c r="G81" i="4" s="1"/>
  <c r="I81" i="4" s="1"/>
  <c r="C80" i="4"/>
  <c r="E80" i="4" s="1"/>
  <c r="G80" i="4" s="1"/>
  <c r="I80" i="4" s="1"/>
  <c r="E79" i="4"/>
  <c r="G79" i="4" s="1"/>
  <c r="I79" i="4" s="1"/>
  <c r="H78" i="4"/>
  <c r="C78" i="4"/>
  <c r="E78" i="4" s="1"/>
  <c r="G78" i="4" s="1"/>
  <c r="H77" i="4"/>
  <c r="C77" i="4"/>
  <c r="E77" i="4" s="1"/>
  <c r="G77" i="4" s="1"/>
  <c r="C76" i="4"/>
  <c r="E76" i="4" s="1"/>
  <c r="G76" i="4" s="1"/>
  <c r="I76" i="4" s="1"/>
  <c r="E75" i="4"/>
  <c r="G75" i="4" s="1"/>
  <c r="I75" i="4" s="1"/>
  <c r="E74" i="4"/>
  <c r="G74" i="4" s="1"/>
  <c r="I74" i="4" s="1"/>
  <c r="H73" i="4"/>
  <c r="E73" i="4"/>
  <c r="G73" i="4" s="1"/>
  <c r="H72" i="4"/>
  <c r="E72" i="4"/>
  <c r="G72" i="4" s="1"/>
  <c r="H71" i="4"/>
  <c r="E71" i="4"/>
  <c r="G71" i="4" s="1"/>
  <c r="C68" i="4"/>
  <c r="E68" i="4" s="1"/>
  <c r="G68" i="4" s="1"/>
  <c r="I68" i="4" s="1"/>
  <c r="E67" i="4"/>
  <c r="G67" i="4" s="1"/>
  <c r="I67" i="4" s="1"/>
  <c r="E66" i="4"/>
  <c r="G66" i="4" s="1"/>
  <c r="I66" i="4" s="1"/>
  <c r="E65" i="4"/>
  <c r="G65" i="4" s="1"/>
  <c r="I65" i="4" s="1"/>
  <c r="H64" i="4"/>
  <c r="E64" i="4"/>
  <c r="G64" i="4" s="1"/>
  <c r="H63" i="4"/>
  <c r="D63" i="4"/>
  <c r="E63" i="4" s="1"/>
  <c r="G63" i="4" s="1"/>
  <c r="D62" i="4"/>
  <c r="E62" i="4" s="1"/>
  <c r="G62" i="4" s="1"/>
  <c r="I62" i="4" s="1"/>
  <c r="H61" i="4"/>
  <c r="C61" i="4"/>
  <c r="E61" i="4" s="1"/>
  <c r="G61" i="4" s="1"/>
  <c r="E60" i="4"/>
  <c r="G60" i="4" s="1"/>
  <c r="I60" i="4" s="1"/>
  <c r="D59" i="4"/>
  <c r="E59" i="4" s="1"/>
  <c r="G59" i="4" s="1"/>
  <c r="I59" i="4" s="1"/>
  <c r="H58" i="4"/>
  <c r="D58" i="4"/>
  <c r="E58" i="4" s="1"/>
  <c r="G58" i="4" s="1"/>
  <c r="E57" i="4"/>
  <c r="G57" i="4" s="1"/>
  <c r="I57" i="4" s="1"/>
  <c r="E56" i="4"/>
  <c r="G56" i="4" s="1"/>
  <c r="I56" i="4" s="1"/>
  <c r="C55" i="4"/>
  <c r="E55" i="4" s="1"/>
  <c r="G55" i="4" s="1"/>
  <c r="I55" i="4" s="1"/>
  <c r="E54" i="4"/>
  <c r="G54" i="4" s="1"/>
  <c r="I54" i="4" s="1"/>
  <c r="H53" i="4"/>
  <c r="D53" i="4"/>
  <c r="E53" i="4" s="1"/>
  <c r="G53" i="4" s="1"/>
  <c r="E52" i="4"/>
  <c r="G52" i="4" s="1"/>
  <c r="I52" i="4" s="1"/>
  <c r="H51" i="4"/>
  <c r="E51" i="4"/>
  <c r="G51" i="4" s="1"/>
  <c r="E50" i="4"/>
  <c r="G50" i="4" s="1"/>
  <c r="I50" i="4" s="1"/>
  <c r="D49" i="4"/>
  <c r="E49" i="4" s="1"/>
  <c r="G49" i="4" s="1"/>
  <c r="I49" i="4" s="1"/>
  <c r="D48" i="4"/>
  <c r="E48" i="4" s="1"/>
  <c r="G48" i="4" s="1"/>
  <c r="I48" i="4" s="1"/>
  <c r="D47" i="4"/>
  <c r="E47" i="4" s="1"/>
  <c r="G47" i="4" s="1"/>
  <c r="I47" i="4" s="1"/>
  <c r="H46" i="4"/>
  <c r="E46" i="4"/>
  <c r="G46" i="4" s="1"/>
  <c r="E45" i="4"/>
  <c r="G45" i="4" s="1"/>
  <c r="I45" i="4" s="1"/>
  <c r="H44" i="4"/>
  <c r="D44" i="4"/>
  <c r="E44" i="4" s="1"/>
  <c r="G44" i="4" s="1"/>
  <c r="E43" i="4"/>
  <c r="G43" i="4" s="1"/>
  <c r="I43" i="4" s="1"/>
  <c r="D42" i="4"/>
  <c r="E42" i="4" s="1"/>
  <c r="G42" i="4" s="1"/>
  <c r="I42" i="4" s="1"/>
  <c r="E41" i="4"/>
  <c r="G41" i="4" s="1"/>
  <c r="I41" i="4" s="1"/>
  <c r="H40" i="4"/>
  <c r="D40" i="4"/>
  <c r="E40" i="4" s="1"/>
  <c r="G40" i="4" s="1"/>
  <c r="D39" i="4"/>
  <c r="E39" i="4" s="1"/>
  <c r="G39" i="4" s="1"/>
  <c r="I39" i="4" s="1"/>
  <c r="H38" i="4"/>
  <c r="D38" i="4"/>
  <c r="E38" i="4" s="1"/>
  <c r="G38" i="4" s="1"/>
  <c r="J38" i="4" s="1"/>
  <c r="H37" i="4"/>
  <c r="E37" i="4"/>
  <c r="G37" i="4" s="1"/>
  <c r="D36" i="4"/>
  <c r="E36" i="4" s="1"/>
  <c r="G36" i="4" s="1"/>
  <c r="I36" i="4" s="1"/>
  <c r="E35" i="4"/>
  <c r="G35" i="4" s="1"/>
  <c r="I35" i="4" s="1"/>
  <c r="E34" i="4"/>
  <c r="G34" i="4" s="1"/>
  <c r="I34" i="4" s="1"/>
  <c r="E33" i="4"/>
  <c r="G33" i="4" s="1"/>
  <c r="I33" i="4" s="1"/>
  <c r="H32" i="4"/>
  <c r="E32" i="4"/>
  <c r="G32" i="4" s="1"/>
  <c r="H31" i="4"/>
  <c r="D31" i="4"/>
  <c r="E31" i="4" s="1"/>
  <c r="G31" i="4" s="1"/>
  <c r="H30" i="4"/>
  <c r="D30" i="4"/>
  <c r="E30" i="4" s="1"/>
  <c r="G30" i="4" s="1"/>
  <c r="E29" i="4"/>
  <c r="G29" i="4" s="1"/>
  <c r="I29" i="4" s="1"/>
  <c r="E28" i="4"/>
  <c r="G28" i="4" s="1"/>
  <c r="I28" i="4" s="1"/>
  <c r="H27" i="4"/>
  <c r="E27" i="4"/>
  <c r="G27" i="4" s="1"/>
  <c r="J27" i="4" s="1"/>
  <c r="E26" i="4"/>
  <c r="G26" i="4" s="1"/>
  <c r="I26" i="4" s="1"/>
  <c r="C25" i="4"/>
  <c r="E25" i="4" s="1"/>
  <c r="G25" i="4" s="1"/>
  <c r="H24" i="4"/>
  <c r="H23" i="4"/>
  <c r="E23" i="4"/>
  <c r="G23" i="4" s="1"/>
  <c r="H22" i="4"/>
  <c r="E22" i="4"/>
  <c r="G22" i="4" s="1"/>
  <c r="D21" i="4"/>
  <c r="E21" i="4" s="1"/>
  <c r="G21" i="4" s="1"/>
  <c r="I21" i="4" s="1"/>
  <c r="D20" i="4"/>
  <c r="E20" i="4" s="1"/>
  <c r="G20" i="4" s="1"/>
  <c r="I20" i="4" s="1"/>
  <c r="E19" i="4"/>
  <c r="G19" i="4" s="1"/>
  <c r="I19" i="4" s="1"/>
  <c r="H18" i="4"/>
  <c r="H17" i="4"/>
  <c r="E17" i="4"/>
  <c r="G17" i="4" s="1"/>
  <c r="H16" i="4"/>
  <c r="D16" i="4"/>
  <c r="C16" i="4"/>
  <c r="H15" i="4"/>
  <c r="D15" i="4"/>
  <c r="C15" i="4"/>
  <c r="H14" i="4"/>
  <c r="D14" i="4"/>
  <c r="C14" i="4"/>
  <c r="H13" i="4"/>
  <c r="E13" i="4"/>
  <c r="G13" i="4" s="1"/>
  <c r="H12" i="4"/>
  <c r="C12" i="4"/>
  <c r="E12" i="4" s="1"/>
  <c r="G12" i="4" s="1"/>
  <c r="D11" i="4"/>
  <c r="E11" i="4" s="1"/>
  <c r="G11" i="4" s="1"/>
  <c r="I11" i="4" s="1"/>
  <c r="H10" i="4"/>
  <c r="C10" i="4"/>
  <c r="E10" i="4" s="1"/>
  <c r="G10" i="4" s="1"/>
  <c r="D9" i="4"/>
  <c r="E9" i="4" s="1"/>
  <c r="G9" i="4" s="1"/>
  <c r="I9" i="4" s="1"/>
  <c r="C8" i="4"/>
  <c r="E8" i="4" s="1"/>
  <c r="G8" i="4" s="1"/>
  <c r="I8" i="4" s="1"/>
  <c r="E7" i="4"/>
  <c r="G7" i="4" s="1"/>
  <c r="I7" i="4" s="1"/>
  <c r="H6" i="4"/>
  <c r="C6" i="4"/>
  <c r="E6" i="4" s="1"/>
  <c r="G6" i="4" s="1"/>
  <c r="H5" i="4"/>
  <c r="E5" i="4"/>
  <c r="C125" i="3"/>
  <c r="I124" i="3"/>
  <c r="C124" i="3"/>
  <c r="F123" i="3"/>
  <c r="D123" i="3"/>
  <c r="J123" i="3"/>
  <c r="I123" i="3"/>
  <c r="G123" i="3"/>
  <c r="E123" i="3"/>
  <c r="C123" i="3"/>
  <c r="H120" i="3"/>
  <c r="H124" i="3" s="1"/>
  <c r="I120" i="3"/>
  <c r="D104" i="3"/>
  <c r="E122" i="3"/>
  <c r="G122" i="3" s="1"/>
  <c r="I122" i="3" s="1"/>
  <c r="C81" i="3"/>
  <c r="C69" i="3"/>
  <c r="K60" i="5" l="1"/>
  <c r="I60" i="5"/>
  <c r="I6" i="5"/>
  <c r="K6" i="5"/>
  <c r="I8" i="5"/>
  <c r="K8" i="5"/>
  <c r="I9" i="5"/>
  <c r="K9" i="5"/>
  <c r="I10" i="5"/>
  <c r="K10" i="5"/>
  <c r="I11" i="5"/>
  <c r="K11" i="5"/>
  <c r="I13" i="5"/>
  <c r="K13" i="5"/>
  <c r="I14" i="5"/>
  <c r="K14" i="5"/>
  <c r="I15" i="5"/>
  <c r="K15" i="5"/>
  <c r="I17" i="5"/>
  <c r="K17" i="5"/>
  <c r="I18" i="5"/>
  <c r="K18" i="5"/>
  <c r="I19" i="5"/>
  <c r="K19" i="5"/>
  <c r="I20" i="5"/>
  <c r="K20" i="5"/>
  <c r="I23" i="5"/>
  <c r="K23" i="5"/>
  <c r="I25" i="5"/>
  <c r="K25" i="5"/>
  <c r="I26" i="5"/>
  <c r="K26" i="5"/>
  <c r="I27" i="5"/>
  <c r="K27" i="5"/>
  <c r="I28" i="5"/>
  <c r="K28" i="5"/>
  <c r="J30" i="5"/>
  <c r="K30" i="5"/>
  <c r="I32" i="5"/>
  <c r="K32" i="5"/>
  <c r="I33" i="5"/>
  <c r="K33" i="5"/>
  <c r="I34" i="5"/>
  <c r="K34" i="5"/>
  <c r="I35" i="5"/>
  <c r="K35" i="5"/>
  <c r="J37" i="5"/>
  <c r="K37" i="5"/>
  <c r="I38" i="5"/>
  <c r="K38" i="5"/>
  <c r="K39" i="5"/>
  <c r="I40" i="5"/>
  <c r="K40" i="5"/>
  <c r="I41" i="5"/>
  <c r="K41" i="5"/>
  <c r="I42" i="5"/>
  <c r="K42" i="5"/>
  <c r="I44" i="5"/>
  <c r="K44" i="5"/>
  <c r="I46" i="5"/>
  <c r="K46" i="5"/>
  <c r="I47" i="5"/>
  <c r="K47" i="5"/>
  <c r="I48" i="5"/>
  <c r="K48" i="5"/>
  <c r="I49" i="5"/>
  <c r="K49" i="5"/>
  <c r="I51" i="5"/>
  <c r="K51" i="5"/>
  <c r="J52" i="5"/>
  <c r="K52" i="5"/>
  <c r="I53" i="5"/>
  <c r="K53" i="5"/>
  <c r="I54" i="5"/>
  <c r="K54" i="5"/>
  <c r="I55" i="5"/>
  <c r="K55" i="5"/>
  <c r="I56" i="5"/>
  <c r="K56" i="5"/>
  <c r="I58" i="5"/>
  <c r="K58" i="5"/>
  <c r="I61" i="5"/>
  <c r="K61" i="5"/>
  <c r="J62" i="5"/>
  <c r="K62" i="5"/>
  <c r="I64" i="5"/>
  <c r="K64" i="5"/>
  <c r="I65" i="5"/>
  <c r="K65" i="5"/>
  <c r="I66" i="5"/>
  <c r="K66" i="5"/>
  <c r="I67" i="5"/>
  <c r="K67" i="5"/>
  <c r="K71" i="5"/>
  <c r="K72" i="5"/>
  <c r="I73" i="5"/>
  <c r="K73" i="5"/>
  <c r="I74" i="5"/>
  <c r="K74" i="5"/>
  <c r="I75" i="5"/>
  <c r="K75" i="5"/>
  <c r="J76" i="5"/>
  <c r="K76" i="5"/>
  <c r="J77" i="5"/>
  <c r="K77" i="5"/>
  <c r="I78" i="5"/>
  <c r="K78" i="5"/>
  <c r="I79" i="5"/>
  <c r="K79" i="5"/>
  <c r="I80" i="5"/>
  <c r="K80" i="5"/>
  <c r="I86" i="5"/>
  <c r="K86" i="5"/>
  <c r="I87" i="5"/>
  <c r="K87" i="5"/>
  <c r="I88" i="5"/>
  <c r="K88" i="5"/>
  <c r="K89" i="5"/>
  <c r="I89" i="5"/>
  <c r="K90" i="5"/>
  <c r="I90" i="5"/>
  <c r="I91" i="5"/>
  <c r="K91" i="5"/>
  <c r="K92" i="5"/>
  <c r="I92" i="5"/>
  <c r="J94" i="5"/>
  <c r="K94" i="5"/>
  <c r="I95" i="5"/>
  <c r="K95" i="5"/>
  <c r="J96" i="5"/>
  <c r="K96" i="5"/>
  <c r="K97" i="5"/>
  <c r="K99" i="5"/>
  <c r="I100" i="5"/>
  <c r="K100" i="5"/>
  <c r="I101" i="5"/>
  <c r="K101" i="5"/>
  <c r="I103" i="5"/>
  <c r="K103" i="5"/>
  <c r="I104" i="5"/>
  <c r="K104" i="5"/>
  <c r="K110" i="5"/>
  <c r="I110" i="5"/>
  <c r="J112" i="5"/>
  <c r="K112" i="5"/>
  <c r="J115" i="5"/>
  <c r="K115" i="5"/>
  <c r="J116" i="5"/>
  <c r="K116" i="5"/>
  <c r="J117" i="5"/>
  <c r="K117" i="5"/>
  <c r="I118" i="5"/>
  <c r="K118" i="5"/>
  <c r="I119" i="5"/>
  <c r="K119" i="5"/>
  <c r="I120" i="5"/>
  <c r="K120" i="5"/>
  <c r="K122" i="5"/>
  <c r="I122" i="5"/>
  <c r="K123" i="5"/>
  <c r="I123" i="5"/>
  <c r="K124" i="5"/>
  <c r="I124" i="5"/>
  <c r="I125" i="5"/>
  <c r="K125" i="5"/>
  <c r="I129" i="5"/>
  <c r="K129" i="5"/>
  <c r="I130" i="5"/>
  <c r="K130" i="5"/>
  <c r="I131" i="5"/>
  <c r="K131" i="5"/>
  <c r="I132" i="5"/>
  <c r="K132" i="5"/>
  <c r="I102" i="5"/>
  <c r="K102" i="5"/>
  <c r="I84" i="5"/>
  <c r="K84" i="5"/>
  <c r="I85" i="5"/>
  <c r="K85" i="5"/>
  <c r="E137" i="5"/>
  <c r="C138" i="5"/>
  <c r="C139" i="5" s="1"/>
  <c r="C161" i="5" s="1"/>
  <c r="C152" i="5"/>
  <c r="G5" i="5"/>
  <c r="K5" i="5" s="1"/>
  <c r="J12" i="5"/>
  <c r="I12" i="5"/>
  <c r="J16" i="5"/>
  <c r="I16" i="5"/>
  <c r="J21" i="5"/>
  <c r="I21" i="5"/>
  <c r="J22" i="5"/>
  <c r="I22" i="5"/>
  <c r="I24" i="5"/>
  <c r="J29" i="5"/>
  <c r="J31" i="5"/>
  <c r="I31" i="5"/>
  <c r="J36" i="5"/>
  <c r="I36" i="5"/>
  <c r="J43" i="5"/>
  <c r="I43" i="5"/>
  <c r="J45" i="5"/>
  <c r="I45" i="5"/>
  <c r="J50" i="5"/>
  <c r="I50" i="5"/>
  <c r="J57" i="5"/>
  <c r="I57" i="5"/>
  <c r="J59" i="5"/>
  <c r="I59" i="5"/>
  <c r="J63" i="5"/>
  <c r="I63" i="5"/>
  <c r="C143" i="5"/>
  <c r="C140" i="5"/>
  <c r="E81" i="5"/>
  <c r="D81" i="5" s="1"/>
  <c r="G70" i="5"/>
  <c r="E105" i="5"/>
  <c r="D105" i="5" s="1"/>
  <c r="G83" i="5"/>
  <c r="K83" i="5" s="1"/>
  <c r="K105" i="5" s="1"/>
  <c r="H106" i="5"/>
  <c r="C148" i="5" s="1"/>
  <c r="J93" i="5"/>
  <c r="J98" i="5"/>
  <c r="E126" i="5"/>
  <c r="D126" i="5" s="1"/>
  <c r="G109" i="5"/>
  <c r="K109" i="5" s="1"/>
  <c r="K126" i="5" s="1"/>
  <c r="J111" i="5"/>
  <c r="I111" i="5"/>
  <c r="J113" i="5"/>
  <c r="I113" i="5"/>
  <c r="J114" i="5"/>
  <c r="I114" i="5"/>
  <c r="J121" i="5"/>
  <c r="I121" i="5"/>
  <c r="E133" i="5"/>
  <c r="G128" i="5"/>
  <c r="K128" i="5" s="1"/>
  <c r="K133" i="5" s="1"/>
  <c r="K134" i="5" s="1"/>
  <c r="H134" i="5"/>
  <c r="H140" i="5" s="1"/>
  <c r="E121" i="4"/>
  <c r="G121" i="4" s="1"/>
  <c r="J121" i="4" s="1"/>
  <c r="J12" i="4"/>
  <c r="E88" i="4"/>
  <c r="G88" i="4" s="1"/>
  <c r="J88" i="4" s="1"/>
  <c r="J122" i="4"/>
  <c r="E126" i="4"/>
  <c r="G126" i="4" s="1"/>
  <c r="E89" i="4"/>
  <c r="G89" i="4" s="1"/>
  <c r="J89" i="4" s="1"/>
  <c r="E18" i="4"/>
  <c r="G18" i="4" s="1"/>
  <c r="J18" i="4" s="1"/>
  <c r="J126" i="4"/>
  <c r="I126" i="4"/>
  <c r="J17" i="4"/>
  <c r="J64" i="4"/>
  <c r="J77" i="4"/>
  <c r="J92" i="4"/>
  <c r="H82" i="4"/>
  <c r="E16" i="4"/>
  <c r="G16" i="4" s="1"/>
  <c r="J16" i="4" s="1"/>
  <c r="J31" i="4"/>
  <c r="J78" i="4"/>
  <c r="E15" i="4"/>
  <c r="G15" i="4" s="1"/>
  <c r="J15" i="4" s="1"/>
  <c r="C104" i="4"/>
  <c r="C136" i="4" s="1"/>
  <c r="J95" i="4"/>
  <c r="J114" i="4"/>
  <c r="J10" i="4"/>
  <c r="E14" i="4"/>
  <c r="G14" i="4" s="1"/>
  <c r="J14" i="4" s="1"/>
  <c r="J37" i="4"/>
  <c r="J115" i="4"/>
  <c r="J120" i="4"/>
  <c r="I58" i="4"/>
  <c r="J58" i="4"/>
  <c r="I13" i="4"/>
  <c r="J13" i="4"/>
  <c r="I92" i="4"/>
  <c r="I82" i="4"/>
  <c r="H103" i="4"/>
  <c r="E85" i="4"/>
  <c r="G85" i="4" s="1"/>
  <c r="I85" i="4" s="1"/>
  <c r="H124" i="4"/>
  <c r="H132" i="4" s="1"/>
  <c r="J6" i="4"/>
  <c r="J40" i="4"/>
  <c r="J72" i="4"/>
  <c r="E86" i="4"/>
  <c r="G86" i="4" s="1"/>
  <c r="I86" i="4" s="1"/>
  <c r="J53" i="4"/>
  <c r="J63" i="4"/>
  <c r="J73" i="4"/>
  <c r="E87" i="4"/>
  <c r="G87" i="4" s="1"/>
  <c r="I87" i="4" s="1"/>
  <c r="J110" i="4"/>
  <c r="J22" i="4"/>
  <c r="I22" i="4"/>
  <c r="J30" i="4"/>
  <c r="I30" i="4"/>
  <c r="J23" i="4"/>
  <c r="I23" i="4"/>
  <c r="I51" i="4"/>
  <c r="J51" i="4"/>
  <c r="I61" i="4"/>
  <c r="J61" i="4"/>
  <c r="J111" i="4"/>
  <c r="I111" i="4"/>
  <c r="J119" i="4"/>
  <c r="I119" i="4"/>
  <c r="J108" i="4"/>
  <c r="I108" i="4"/>
  <c r="J44" i="4"/>
  <c r="I44" i="4"/>
  <c r="I32" i="4"/>
  <c r="J32" i="4"/>
  <c r="I46" i="4"/>
  <c r="J46" i="4"/>
  <c r="J112" i="4"/>
  <c r="I112" i="4"/>
  <c r="I127" i="4"/>
  <c r="J25" i="4"/>
  <c r="I25" i="4"/>
  <c r="J71" i="4"/>
  <c r="G82" i="4"/>
  <c r="J97" i="4"/>
  <c r="J103" i="4" s="1"/>
  <c r="I97" i="4"/>
  <c r="I109" i="4"/>
  <c r="J109" i="4"/>
  <c r="I17" i="4"/>
  <c r="E82" i="4"/>
  <c r="D82" i="4" s="1"/>
  <c r="G84" i="4"/>
  <c r="G5" i="4"/>
  <c r="I37" i="4"/>
  <c r="I64" i="4"/>
  <c r="D9" i="3"/>
  <c r="E9" i="3" s="1"/>
  <c r="G9" i="3" s="1"/>
  <c r="I9" i="3" s="1"/>
  <c r="C80" i="3"/>
  <c r="C55" i="3"/>
  <c r="E55" i="3" s="1"/>
  <c r="G55" i="3" s="1"/>
  <c r="I55" i="3" s="1"/>
  <c r="E43" i="3"/>
  <c r="G43" i="3" s="1"/>
  <c r="I43" i="3" s="1"/>
  <c r="E60" i="3"/>
  <c r="G60" i="3" s="1"/>
  <c r="I60" i="3" s="1"/>
  <c r="D111" i="3"/>
  <c r="D30" i="3"/>
  <c r="C25" i="3"/>
  <c r="E25" i="3" s="1"/>
  <c r="G25" i="3" s="1"/>
  <c r="C97" i="3"/>
  <c r="E97" i="3" s="1"/>
  <c r="G97" i="3" s="1"/>
  <c r="I97" i="3" s="1"/>
  <c r="C98" i="3"/>
  <c r="D106" i="3"/>
  <c r="C8" i="3"/>
  <c r="E8" i="3" s="1"/>
  <c r="G8" i="3" s="1"/>
  <c r="I8" i="3" s="1"/>
  <c r="C90" i="3"/>
  <c r="E90" i="3" s="1"/>
  <c r="G90" i="3" s="1"/>
  <c r="I90" i="3" s="1"/>
  <c r="E50" i="3"/>
  <c r="G50" i="3" s="1"/>
  <c r="I50" i="3" s="1"/>
  <c r="D113" i="3"/>
  <c r="E113" i="3" s="1"/>
  <c r="G113" i="3" s="1"/>
  <c r="I113" i="3" s="1"/>
  <c r="C76" i="3"/>
  <c r="E76" i="3" s="1"/>
  <c r="G76" i="3" s="1"/>
  <c r="I76" i="3" s="1"/>
  <c r="E80" i="3"/>
  <c r="G80" i="3" s="1"/>
  <c r="I80" i="3" s="1"/>
  <c r="E81" i="3"/>
  <c r="G81" i="3" s="1"/>
  <c r="I81" i="3" s="1"/>
  <c r="E56" i="3"/>
  <c r="G56" i="3" s="1"/>
  <c r="I56" i="3" s="1"/>
  <c r="C68" i="3"/>
  <c r="E68" i="3" s="1"/>
  <c r="G68" i="3" s="1"/>
  <c r="I68" i="3" s="1"/>
  <c r="D62" i="3"/>
  <c r="E62" i="3" s="1"/>
  <c r="G62" i="3" s="1"/>
  <c r="I62" i="3" s="1"/>
  <c r="D59" i="3"/>
  <c r="E59" i="3" s="1"/>
  <c r="G59" i="3" s="1"/>
  <c r="I59" i="3" s="1"/>
  <c r="D49" i="3"/>
  <c r="E49" i="3" s="1"/>
  <c r="G49" i="3" s="1"/>
  <c r="I49" i="3" s="1"/>
  <c r="D47" i="3"/>
  <c r="E47" i="3" s="1"/>
  <c r="G47" i="3" s="1"/>
  <c r="I47" i="3" s="1"/>
  <c r="D21" i="3"/>
  <c r="E21" i="3" s="1"/>
  <c r="G21" i="3" s="1"/>
  <c r="I21" i="3" s="1"/>
  <c r="D42" i="3"/>
  <c r="E42" i="3" s="1"/>
  <c r="G42" i="3" s="1"/>
  <c r="I42" i="3" s="1"/>
  <c r="D40" i="3"/>
  <c r="D20" i="3"/>
  <c r="E20" i="3" s="1"/>
  <c r="G20" i="3" s="1"/>
  <c r="I20" i="3" s="1"/>
  <c r="D39" i="3"/>
  <c r="E39" i="3" s="1"/>
  <c r="I39" i="3" s="1"/>
  <c r="D31" i="3"/>
  <c r="D110" i="3"/>
  <c r="E110" i="3" s="1"/>
  <c r="G110" i="3" s="1"/>
  <c r="D109" i="3"/>
  <c r="E109" i="3" s="1"/>
  <c r="G109" i="3" s="1"/>
  <c r="C89" i="3"/>
  <c r="E89" i="3" s="1"/>
  <c r="G89" i="3" s="1"/>
  <c r="D48" i="3"/>
  <c r="E48" i="3" s="1"/>
  <c r="G48" i="3" s="1"/>
  <c r="I48" i="3" s="1"/>
  <c r="D36" i="3"/>
  <c r="E36" i="3" s="1"/>
  <c r="G36" i="3" s="1"/>
  <c r="I36" i="3" s="1"/>
  <c r="C118" i="3"/>
  <c r="C116" i="3"/>
  <c r="E116" i="3" s="1"/>
  <c r="G116" i="3" s="1"/>
  <c r="C78" i="3"/>
  <c r="E78" i="3" s="1"/>
  <c r="G78" i="3" s="1"/>
  <c r="J78" i="3" s="1"/>
  <c r="C77" i="3"/>
  <c r="E77" i="3" s="1"/>
  <c r="G77" i="3" s="1"/>
  <c r="J77" i="3" s="1"/>
  <c r="D63" i="3"/>
  <c r="D53" i="3"/>
  <c r="D38" i="3"/>
  <c r="C91" i="3"/>
  <c r="E91" i="3" s="1"/>
  <c r="G91" i="3" s="1"/>
  <c r="C95" i="3"/>
  <c r="E95" i="3" s="1"/>
  <c r="G95" i="3" s="1"/>
  <c r="I95" i="3" s="1"/>
  <c r="D86" i="3"/>
  <c r="D85" i="3"/>
  <c r="D15" i="3"/>
  <c r="D14" i="3"/>
  <c r="E72" i="3"/>
  <c r="G72" i="3" s="1"/>
  <c r="E73" i="3"/>
  <c r="G73" i="3" s="1"/>
  <c r="E74" i="3"/>
  <c r="G74" i="3" s="1"/>
  <c r="I74" i="3" s="1"/>
  <c r="E75" i="3"/>
  <c r="G75" i="3" s="1"/>
  <c r="I75" i="3" s="1"/>
  <c r="E79" i="3"/>
  <c r="G79" i="3" s="1"/>
  <c r="I79" i="3" s="1"/>
  <c r="E26" i="3"/>
  <c r="G26" i="3" s="1"/>
  <c r="I26" i="3" s="1"/>
  <c r="D11" i="3"/>
  <c r="E11" i="3" s="1"/>
  <c r="G11" i="3" s="1"/>
  <c r="I11" i="3" s="1"/>
  <c r="E104" i="3"/>
  <c r="G104" i="3" s="1"/>
  <c r="E105" i="3"/>
  <c r="G105" i="3" s="1"/>
  <c r="E108" i="3"/>
  <c r="G108" i="3" s="1"/>
  <c r="E112" i="3"/>
  <c r="G112" i="3" s="1"/>
  <c r="I112" i="3" s="1"/>
  <c r="E114" i="3"/>
  <c r="G114" i="3" s="1"/>
  <c r="I114" i="3" s="1"/>
  <c r="E115" i="3"/>
  <c r="G115" i="3" s="1"/>
  <c r="E119" i="3"/>
  <c r="G119" i="3" s="1"/>
  <c r="I119" i="3" s="1"/>
  <c r="E103" i="3"/>
  <c r="C84" i="3"/>
  <c r="E84" i="3" s="1"/>
  <c r="E88" i="3"/>
  <c r="G88" i="3" s="1"/>
  <c r="E92" i="3"/>
  <c r="G92" i="3" s="1"/>
  <c r="J92" i="3" s="1"/>
  <c r="E94" i="3"/>
  <c r="G94" i="3" s="1"/>
  <c r="J94" i="3" s="1"/>
  <c r="E96" i="3"/>
  <c r="G96" i="3" s="1"/>
  <c r="I96" i="3" s="1"/>
  <c r="E98" i="3"/>
  <c r="G98" i="3" s="1"/>
  <c r="I98" i="3" s="1"/>
  <c r="D87" i="3"/>
  <c r="C15" i="3"/>
  <c r="D16" i="3"/>
  <c r="C87" i="3"/>
  <c r="C86" i="3"/>
  <c r="E86" i="3" s="1"/>
  <c r="G86" i="3" s="1"/>
  <c r="I86" i="3" s="1"/>
  <c r="C85" i="3"/>
  <c r="C16" i="3"/>
  <c r="C14" i="3"/>
  <c r="E7" i="3"/>
  <c r="G7" i="3" s="1"/>
  <c r="I7" i="3" s="1"/>
  <c r="E13" i="3"/>
  <c r="G13" i="3" s="1"/>
  <c r="E17" i="3"/>
  <c r="G17" i="3" s="1"/>
  <c r="E19" i="3"/>
  <c r="G19" i="3" s="1"/>
  <c r="I19" i="3" s="1"/>
  <c r="E22" i="3"/>
  <c r="G22" i="3" s="1"/>
  <c r="E23" i="3"/>
  <c r="G23" i="3" s="1"/>
  <c r="E27" i="3"/>
  <c r="E28" i="3"/>
  <c r="G28" i="3" s="1"/>
  <c r="I28" i="3" s="1"/>
  <c r="E29" i="3"/>
  <c r="G29" i="3" s="1"/>
  <c r="I29" i="3" s="1"/>
  <c r="E32" i="3"/>
  <c r="G32" i="3" s="1"/>
  <c r="J32" i="3" s="1"/>
  <c r="E33" i="3"/>
  <c r="G33" i="3" s="1"/>
  <c r="I33" i="3" s="1"/>
  <c r="E34" i="3"/>
  <c r="G34" i="3" s="1"/>
  <c r="I34" i="3" s="1"/>
  <c r="E35" i="3"/>
  <c r="G35" i="3" s="1"/>
  <c r="I35" i="3" s="1"/>
  <c r="E37" i="3"/>
  <c r="E41" i="3"/>
  <c r="G41" i="3" s="1"/>
  <c r="I41" i="3" s="1"/>
  <c r="E45" i="3"/>
  <c r="G45" i="3" s="1"/>
  <c r="I45" i="3" s="1"/>
  <c r="E46" i="3"/>
  <c r="G46" i="3" s="1"/>
  <c r="E51" i="3"/>
  <c r="G51" i="3" s="1"/>
  <c r="E52" i="3"/>
  <c r="G52" i="3" s="1"/>
  <c r="I52" i="3" s="1"/>
  <c r="E54" i="3"/>
  <c r="G54" i="3" s="1"/>
  <c r="I54" i="3" s="1"/>
  <c r="E57" i="3"/>
  <c r="G57" i="3" s="1"/>
  <c r="E64" i="3"/>
  <c r="G64" i="3" s="1"/>
  <c r="E65" i="3"/>
  <c r="G65" i="3" s="1"/>
  <c r="I65" i="3" s="1"/>
  <c r="E66" i="3"/>
  <c r="G66" i="3" s="1"/>
  <c r="I66" i="3" s="1"/>
  <c r="E67" i="3"/>
  <c r="G67" i="3" s="1"/>
  <c r="I67" i="3" s="1"/>
  <c r="D18" i="3"/>
  <c r="E18" i="3" s="1"/>
  <c r="G18" i="3" s="1"/>
  <c r="C12" i="3"/>
  <c r="E12" i="3" s="1"/>
  <c r="G12" i="3" s="1"/>
  <c r="J12" i="3" s="1"/>
  <c r="C10" i="3"/>
  <c r="E10" i="3" s="1"/>
  <c r="G10" i="3" s="1"/>
  <c r="C6" i="3"/>
  <c r="E6" i="3" s="1"/>
  <c r="G6" i="3" s="1"/>
  <c r="J6" i="3" s="1"/>
  <c r="H115" i="3"/>
  <c r="H104" i="3"/>
  <c r="H105" i="3"/>
  <c r="I105" i="3" s="1"/>
  <c r="H106" i="3"/>
  <c r="H107" i="3"/>
  <c r="H108" i="3"/>
  <c r="H109" i="3"/>
  <c r="H110" i="3"/>
  <c r="H111" i="3"/>
  <c r="H116" i="3"/>
  <c r="H118" i="3"/>
  <c r="H88" i="3"/>
  <c r="H89" i="3"/>
  <c r="H91" i="3"/>
  <c r="H93" i="3"/>
  <c r="H71" i="3"/>
  <c r="H72" i="3"/>
  <c r="H73" i="3"/>
  <c r="H77" i="3"/>
  <c r="H78" i="3"/>
  <c r="H5" i="3"/>
  <c r="H6" i="3"/>
  <c r="H10" i="3"/>
  <c r="H12" i="3"/>
  <c r="H13" i="3"/>
  <c r="H14" i="3"/>
  <c r="H15" i="3"/>
  <c r="H16" i="3"/>
  <c r="H17" i="3"/>
  <c r="H18" i="3"/>
  <c r="H22" i="3"/>
  <c r="H23" i="3"/>
  <c r="H24" i="3"/>
  <c r="H27" i="3"/>
  <c r="H30" i="3"/>
  <c r="H31" i="3"/>
  <c r="H32" i="3"/>
  <c r="H37" i="3"/>
  <c r="H38" i="3"/>
  <c r="H40" i="3"/>
  <c r="H44" i="3"/>
  <c r="H46" i="3"/>
  <c r="H51" i="3"/>
  <c r="H53" i="3"/>
  <c r="H58" i="3"/>
  <c r="H61" i="3"/>
  <c r="H63" i="3"/>
  <c r="H64" i="3"/>
  <c r="C137" i="3"/>
  <c r="E118" i="3"/>
  <c r="G118" i="3" s="1"/>
  <c r="E117" i="3"/>
  <c r="E111" i="3"/>
  <c r="G111" i="3" s="1"/>
  <c r="C107" i="3"/>
  <c r="E107" i="3" s="1"/>
  <c r="G107" i="3" s="1"/>
  <c r="J107" i="3" s="1"/>
  <c r="E106" i="3"/>
  <c r="G106" i="3" s="1"/>
  <c r="C93" i="3"/>
  <c r="E93" i="3" s="1"/>
  <c r="G93" i="3" s="1"/>
  <c r="C82" i="3"/>
  <c r="E71" i="3"/>
  <c r="C61" i="3"/>
  <c r="D58" i="3"/>
  <c r="D44" i="3"/>
  <c r="G37" i="3"/>
  <c r="I37" i="3" s="1"/>
  <c r="E5" i="3"/>
  <c r="H40" i="2"/>
  <c r="J105" i="5" l="1"/>
  <c r="K70" i="5"/>
  <c r="K81" i="5" s="1"/>
  <c r="I81" i="5"/>
  <c r="G137" i="5"/>
  <c r="K137" i="5" s="1"/>
  <c r="K138" i="5" s="1"/>
  <c r="K139" i="5" s="1"/>
  <c r="E138" i="5"/>
  <c r="E139" i="5" s="1"/>
  <c r="C163" i="5" s="1"/>
  <c r="C157" i="5"/>
  <c r="C172" i="5"/>
  <c r="G133" i="5"/>
  <c r="J133" i="5"/>
  <c r="I128" i="5"/>
  <c r="I133" i="5" s="1"/>
  <c r="E134" i="5"/>
  <c r="D133" i="5"/>
  <c r="J126" i="5"/>
  <c r="G126" i="5"/>
  <c r="F126" i="5" s="1"/>
  <c r="I109" i="5"/>
  <c r="I126" i="5" s="1"/>
  <c r="G105" i="5"/>
  <c r="F105" i="5" s="1"/>
  <c r="I83" i="5"/>
  <c r="I105" i="5" s="1"/>
  <c r="G81" i="5"/>
  <c r="F81" i="5" s="1"/>
  <c r="J81" i="5"/>
  <c r="G68" i="5"/>
  <c r="K68" i="5" s="1"/>
  <c r="J5" i="5"/>
  <c r="J68" i="5" s="1"/>
  <c r="I5" i="5"/>
  <c r="E106" i="5"/>
  <c r="D68" i="5"/>
  <c r="G117" i="3"/>
  <c r="E120" i="3"/>
  <c r="E124" i="3" s="1"/>
  <c r="G124" i="4"/>
  <c r="F124" i="4" s="1"/>
  <c r="E124" i="4"/>
  <c r="D124" i="4" s="1"/>
  <c r="C133" i="4"/>
  <c r="C150" i="4"/>
  <c r="J82" i="4"/>
  <c r="E69" i="4"/>
  <c r="D69" i="4" s="1"/>
  <c r="H104" i="4"/>
  <c r="C141" i="4" s="1"/>
  <c r="E103" i="4"/>
  <c r="D103" i="4" s="1"/>
  <c r="I124" i="4"/>
  <c r="I132" i="4" s="1"/>
  <c r="F82" i="4"/>
  <c r="J124" i="4"/>
  <c r="J132" i="4" s="1"/>
  <c r="G103" i="4"/>
  <c r="I84" i="4"/>
  <c r="I103" i="4" s="1"/>
  <c r="F131" i="4"/>
  <c r="I5" i="4"/>
  <c r="I69" i="4" s="1"/>
  <c r="J5" i="4"/>
  <c r="J69" i="4" s="1"/>
  <c r="G69" i="4"/>
  <c r="E132" i="4"/>
  <c r="D131" i="4"/>
  <c r="J111" i="3"/>
  <c r="J27" i="3"/>
  <c r="J110" i="3"/>
  <c r="J13" i="3"/>
  <c r="J116" i="3"/>
  <c r="E15" i="3"/>
  <c r="G15" i="3" s="1"/>
  <c r="J108" i="3"/>
  <c r="I51" i="3"/>
  <c r="J106" i="3"/>
  <c r="I88" i="3"/>
  <c r="J73" i="3"/>
  <c r="J91" i="3"/>
  <c r="J46" i="3"/>
  <c r="J64" i="3"/>
  <c r="J15" i="3"/>
  <c r="J104" i="3"/>
  <c r="J89" i="3"/>
  <c r="J18" i="3"/>
  <c r="I115" i="3"/>
  <c r="J23" i="3"/>
  <c r="I23" i="3"/>
  <c r="I32" i="3"/>
  <c r="J10" i="3"/>
  <c r="I108" i="3"/>
  <c r="H99" i="3"/>
  <c r="I107" i="3"/>
  <c r="J105" i="3"/>
  <c r="J72" i="3"/>
  <c r="J17" i="3"/>
  <c r="J22" i="3"/>
  <c r="J118" i="3"/>
  <c r="I46" i="3"/>
  <c r="E16" i="3"/>
  <c r="G16" i="3" s="1"/>
  <c r="J16" i="3" s="1"/>
  <c r="E14" i="3"/>
  <c r="G14" i="3" s="1"/>
  <c r="J14" i="3" s="1"/>
  <c r="J109" i="3"/>
  <c r="I93" i="3"/>
  <c r="I104" i="3"/>
  <c r="J115" i="3"/>
  <c r="G84" i="3"/>
  <c r="J25" i="3"/>
  <c r="I25" i="3"/>
  <c r="I13" i="3"/>
  <c r="J51" i="3"/>
  <c r="J88" i="3"/>
  <c r="I64" i="3"/>
  <c r="E85" i="3"/>
  <c r="G85" i="3" s="1"/>
  <c r="I85" i="3" s="1"/>
  <c r="G103" i="3"/>
  <c r="G71" i="3"/>
  <c r="G82" i="3" s="1"/>
  <c r="E82" i="3"/>
  <c r="D82" i="3" s="1"/>
  <c r="H82" i="3"/>
  <c r="J93" i="3"/>
  <c r="I22" i="3"/>
  <c r="E87" i="3"/>
  <c r="G87" i="3" s="1"/>
  <c r="I87" i="3" s="1"/>
  <c r="J37" i="3"/>
  <c r="I17" i="3"/>
  <c r="I57" i="3"/>
  <c r="E24" i="3"/>
  <c r="G24" i="3" s="1"/>
  <c r="J24" i="3" s="1"/>
  <c r="E30" i="3"/>
  <c r="G30" i="3" s="1"/>
  <c r="E31" i="3"/>
  <c r="G31" i="3" s="1"/>
  <c r="J31" i="3" s="1"/>
  <c r="E38" i="3"/>
  <c r="G38" i="3" s="1"/>
  <c r="J38" i="3" s="1"/>
  <c r="E40" i="3"/>
  <c r="G40" i="3" s="1"/>
  <c r="J40" i="3" s="1"/>
  <c r="E44" i="3"/>
  <c r="G44" i="3" s="1"/>
  <c r="E53" i="3"/>
  <c r="G53" i="3" s="1"/>
  <c r="J53" i="3" s="1"/>
  <c r="E58" i="3"/>
  <c r="G58" i="3" s="1"/>
  <c r="E61" i="3"/>
  <c r="G61" i="3" s="1"/>
  <c r="E63" i="3"/>
  <c r="G63" i="3" s="1"/>
  <c r="J63" i="3" s="1"/>
  <c r="C142" i="3"/>
  <c r="C100" i="3"/>
  <c r="G5" i="3"/>
  <c r="D10" i="2"/>
  <c r="I68" i="5" l="1"/>
  <c r="I106" i="5" s="1"/>
  <c r="K106" i="5"/>
  <c r="K140" i="5" s="1"/>
  <c r="J106" i="5"/>
  <c r="E140" i="5"/>
  <c r="C170" i="5" s="1"/>
  <c r="I137" i="5"/>
  <c r="I138" i="5" s="1"/>
  <c r="I139" i="5" s="1"/>
  <c r="G138" i="5"/>
  <c r="G139" i="5" s="1"/>
  <c r="C165" i="5" s="1"/>
  <c r="C167" i="5" s="1"/>
  <c r="C145" i="5"/>
  <c r="D106" i="5"/>
  <c r="G106" i="5"/>
  <c r="F68" i="5"/>
  <c r="C154" i="5"/>
  <c r="C153" i="5" s="1"/>
  <c r="D140" i="5"/>
  <c r="D134" i="5"/>
  <c r="I134" i="5"/>
  <c r="I140" i="5" s="1"/>
  <c r="J134" i="5"/>
  <c r="G134" i="5"/>
  <c r="G140" i="5" s="1"/>
  <c r="D171" i="5" s="1"/>
  <c r="C173" i="5" s="1"/>
  <c r="F133" i="5"/>
  <c r="J117" i="3"/>
  <c r="J120" i="3" s="1"/>
  <c r="J124" i="3" s="1"/>
  <c r="G120" i="3"/>
  <c r="G124" i="3" s="1"/>
  <c r="F124" i="3" s="1"/>
  <c r="G132" i="4"/>
  <c r="F132" i="4" s="1"/>
  <c r="C156" i="4"/>
  <c r="F103" i="4"/>
  <c r="E104" i="4"/>
  <c r="E133" i="4" s="1"/>
  <c r="D133" i="4" s="1"/>
  <c r="C147" i="4"/>
  <c r="C146" i="4" s="1"/>
  <c r="D132" i="4"/>
  <c r="F69" i="4"/>
  <c r="G104" i="4"/>
  <c r="I104" i="4"/>
  <c r="I133" i="4" s="1"/>
  <c r="J99" i="3"/>
  <c r="E69" i="3"/>
  <c r="D69" i="3" s="1"/>
  <c r="J58" i="3"/>
  <c r="I58" i="3"/>
  <c r="I103" i="3"/>
  <c r="E99" i="3"/>
  <c r="D99" i="3" s="1"/>
  <c r="I30" i="3"/>
  <c r="J30" i="3"/>
  <c r="J71" i="3"/>
  <c r="J82" i="3" s="1"/>
  <c r="I82" i="3"/>
  <c r="G99" i="3"/>
  <c r="F99" i="3" s="1"/>
  <c r="I84" i="3"/>
  <c r="I99" i="3" s="1"/>
  <c r="G69" i="3"/>
  <c r="J5" i="3"/>
  <c r="I5" i="3"/>
  <c r="J61" i="3"/>
  <c r="I61" i="3"/>
  <c r="I44" i="3"/>
  <c r="J44" i="3"/>
  <c r="H100" i="3"/>
  <c r="C128" i="3"/>
  <c r="C139" i="3"/>
  <c r="C138" i="3" s="1"/>
  <c r="D124" i="3"/>
  <c r="F82" i="3"/>
  <c r="C62" i="2"/>
  <c r="J140" i="5" l="1"/>
  <c r="C156" i="5"/>
  <c r="F140" i="5"/>
  <c r="F134" i="5"/>
  <c r="C147" i="5"/>
  <c r="F106" i="5"/>
  <c r="C144" i="5"/>
  <c r="C149" i="4"/>
  <c r="C151" i="4" s="1"/>
  <c r="D104" i="4"/>
  <c r="C138" i="4"/>
  <c r="C154" i="4" s="1"/>
  <c r="J104" i="4"/>
  <c r="J133" i="4" s="1"/>
  <c r="C140" i="4"/>
  <c r="F104" i="4"/>
  <c r="G133" i="4"/>
  <c r="F133" i="4" s="1"/>
  <c r="F69" i="3"/>
  <c r="C133" i="3"/>
  <c r="I69" i="3"/>
  <c r="I100" i="3" s="1"/>
  <c r="I125" i="3" s="1"/>
  <c r="J69" i="3"/>
  <c r="E100" i="3"/>
  <c r="C148" i="3"/>
  <c r="G100" i="3"/>
  <c r="G125" i="3" s="1"/>
  <c r="C141" i="3"/>
  <c r="C72" i="2"/>
  <c r="C149" i="5" l="1"/>
  <c r="C146" i="5"/>
  <c r="C158" i="5"/>
  <c r="C155" i="5"/>
  <c r="C148" i="4"/>
  <c r="D120" i="3"/>
  <c r="E125" i="3"/>
  <c r="D125" i="3" s="1"/>
  <c r="C137" i="4"/>
  <c r="D155" i="4"/>
  <c r="C157" i="4" s="1"/>
  <c r="C142" i="4"/>
  <c r="C139" i="4"/>
  <c r="D100" i="3"/>
  <c r="C130" i="3"/>
  <c r="C146" i="3" s="1"/>
  <c r="F100" i="3"/>
  <c r="F120" i="3"/>
  <c r="J100" i="3"/>
  <c r="J125" i="3" s="1"/>
  <c r="C132" i="3"/>
  <c r="C143" i="3"/>
  <c r="C140" i="3"/>
  <c r="C63" i="2"/>
  <c r="C33" i="2"/>
  <c r="F125" i="3" l="1"/>
  <c r="C129" i="3"/>
  <c r="C131" i="3"/>
  <c r="C134" i="3"/>
  <c r="D147" i="3"/>
  <c r="C149" i="3" s="1"/>
  <c r="D61" i="2"/>
  <c r="D60" i="2"/>
  <c r="C59" i="2"/>
  <c r="D57" i="2"/>
  <c r="D56" i="2"/>
  <c r="D55" i="2"/>
  <c r="C53" i="2"/>
  <c r="C52" i="2"/>
  <c r="H51" i="2"/>
  <c r="C45" i="2"/>
  <c r="C44" i="2" l="1"/>
  <c r="C43" i="2"/>
  <c r="C39" i="2"/>
  <c r="C38" i="2"/>
  <c r="D31" i="2"/>
  <c r="C30" i="2"/>
  <c r="D29" i="2"/>
  <c r="D28" i="2"/>
  <c r="D25" i="2"/>
  <c r="D24" i="2"/>
  <c r="D23" i="2"/>
  <c r="D20" i="2"/>
  <c r="D19" i="2"/>
  <c r="D17" i="2"/>
  <c r="D14" i="2"/>
  <c r="D12" i="2"/>
  <c r="D11" i="2"/>
  <c r="C40" i="2" l="1"/>
  <c r="E16" i="2" l="1"/>
  <c r="G16" i="2" s="1"/>
  <c r="E5" i="2" l="1"/>
  <c r="G5" i="2" s="1"/>
  <c r="E6" i="2"/>
  <c r="G6" i="2" s="1"/>
  <c r="J6" i="2" s="1"/>
  <c r="E7" i="2"/>
  <c r="G7" i="2" s="1"/>
  <c r="J7" i="2" s="1"/>
  <c r="E8" i="2"/>
  <c r="G8" i="2" s="1"/>
  <c r="J8" i="2" s="1"/>
  <c r="E10" i="2"/>
  <c r="J10" i="2" s="1"/>
  <c r="E11" i="2"/>
  <c r="J11" i="2" s="1"/>
  <c r="E12" i="2"/>
  <c r="G12" i="2" s="1"/>
  <c r="J12" i="2" s="1"/>
  <c r="E13" i="2"/>
  <c r="G13" i="2" s="1"/>
  <c r="J13" i="2" s="1"/>
  <c r="E14" i="2"/>
  <c r="E15" i="2"/>
  <c r="G15" i="2" s="1"/>
  <c r="E17" i="2"/>
  <c r="J17" i="2" s="1"/>
  <c r="E18" i="2"/>
  <c r="G18" i="2" s="1"/>
  <c r="J18" i="2" s="1"/>
  <c r="E19" i="2"/>
  <c r="G19" i="2" s="1"/>
  <c r="J19" i="2" s="1"/>
  <c r="E20" i="2"/>
  <c r="G20" i="2" s="1"/>
  <c r="J20" i="2" s="1"/>
  <c r="E21" i="2"/>
  <c r="G21" i="2" s="1"/>
  <c r="E22" i="2"/>
  <c r="G22" i="2" s="1"/>
  <c r="E23" i="2"/>
  <c r="G23" i="2" s="1"/>
  <c r="J23" i="2" s="1"/>
  <c r="E24" i="2"/>
  <c r="G24" i="2" s="1"/>
  <c r="J24" i="2" s="1"/>
  <c r="E25" i="2"/>
  <c r="G25" i="2" s="1"/>
  <c r="H25" i="2" s="1"/>
  <c r="J25" i="2" s="1"/>
  <c r="E26" i="2"/>
  <c r="G26" i="2" s="1"/>
  <c r="E27" i="2"/>
  <c r="G27" i="2" s="1"/>
  <c r="E28" i="2"/>
  <c r="G28" i="2" s="1"/>
  <c r="J28" i="2" s="1"/>
  <c r="E30" i="2"/>
  <c r="G30" i="2" s="1"/>
  <c r="E31" i="2"/>
  <c r="G31" i="2" s="1"/>
  <c r="J31" i="2" s="1"/>
  <c r="E32" i="2"/>
  <c r="G32" i="2" s="1"/>
  <c r="J32" i="2" s="1"/>
  <c r="E35" i="2"/>
  <c r="G35" i="2" s="1"/>
  <c r="I35" i="2" s="1"/>
  <c r="E36" i="2"/>
  <c r="G36" i="2" s="1"/>
  <c r="I36" i="2" s="1"/>
  <c r="E37" i="2"/>
  <c r="G37" i="2" s="1"/>
  <c r="I37" i="2" s="1"/>
  <c r="E38" i="2"/>
  <c r="E39" i="2"/>
  <c r="G39" i="2" s="1"/>
  <c r="J39" i="2" s="1"/>
  <c r="E42" i="2"/>
  <c r="G42" i="2" s="1"/>
  <c r="J42" i="2" s="1"/>
  <c r="E43" i="2"/>
  <c r="G43" i="2" s="1"/>
  <c r="J43" i="2" s="1"/>
  <c r="E44" i="2"/>
  <c r="G44" i="2" s="1"/>
  <c r="J44" i="2" s="1"/>
  <c r="E45" i="2"/>
  <c r="G45" i="2" s="1"/>
  <c r="J45" i="2" s="1"/>
  <c r="E50" i="2"/>
  <c r="E51" i="2"/>
  <c r="G51" i="2" s="1"/>
  <c r="E52" i="2"/>
  <c r="G52" i="2" s="1"/>
  <c r="J52" i="2" s="1"/>
  <c r="E53" i="2"/>
  <c r="G53" i="2" s="1"/>
  <c r="J53" i="2" s="1"/>
  <c r="E54" i="2"/>
  <c r="G54" i="2" s="1"/>
  <c r="E55" i="2"/>
  <c r="G55" i="2" s="1"/>
  <c r="E56" i="2"/>
  <c r="G56" i="2" s="1"/>
  <c r="J56" i="2" s="1"/>
  <c r="E57" i="2"/>
  <c r="G57" i="2" s="1"/>
  <c r="E58" i="2"/>
  <c r="G58" i="2" s="1"/>
  <c r="E59" i="2"/>
  <c r="G59" i="2" s="1"/>
  <c r="J59" i="2" s="1"/>
  <c r="E60" i="2"/>
  <c r="G60" i="2" s="1"/>
  <c r="J60" i="2" s="1"/>
  <c r="E61" i="2"/>
  <c r="G61" i="2" s="1"/>
  <c r="J61" i="2" s="1"/>
  <c r="E62" i="2"/>
  <c r="G62" i="2" s="1"/>
  <c r="J62" i="2" s="1"/>
  <c r="C47" i="2"/>
  <c r="C76" i="2"/>
  <c r="I46" i="2"/>
  <c r="I63" i="2"/>
  <c r="I33" i="2"/>
  <c r="I40" i="2" l="1"/>
  <c r="E40" i="2"/>
  <c r="D40" i="2" s="1"/>
  <c r="C64" i="2"/>
  <c r="J14" i="2"/>
  <c r="J46" i="2"/>
  <c r="I47" i="2"/>
  <c r="I64" i="2" s="1"/>
  <c r="E29" i="2"/>
  <c r="G29" i="2" s="1"/>
  <c r="G46" i="2"/>
  <c r="E46" i="2"/>
  <c r="D46" i="2" s="1"/>
  <c r="G9" i="2"/>
  <c r="H9" i="2" s="1"/>
  <c r="J9" i="2" s="1"/>
  <c r="H46" i="2"/>
  <c r="C67" i="2"/>
  <c r="E63" i="2"/>
  <c r="G50" i="2"/>
  <c r="J50" i="2" s="1"/>
  <c r="J40" i="2" l="1"/>
  <c r="G40" i="2"/>
  <c r="F40" i="2" s="1"/>
  <c r="E33" i="2"/>
  <c r="E47" i="2" s="1"/>
  <c r="D47" i="2" s="1"/>
  <c r="H29" i="2"/>
  <c r="G33" i="2"/>
  <c r="F46" i="2"/>
  <c r="G63" i="2"/>
  <c r="C78" i="2"/>
  <c r="C77" i="2" s="1"/>
  <c r="D63" i="2"/>
  <c r="G47" i="2" l="1"/>
  <c r="J47" i="2" s="1"/>
  <c r="F33" i="2"/>
  <c r="D33" i="2"/>
  <c r="H63" i="2"/>
  <c r="C81" i="2" s="1"/>
  <c r="J63" i="2"/>
  <c r="J29" i="2"/>
  <c r="J33" i="2" s="1"/>
  <c r="C69" i="2"/>
  <c r="E64" i="2"/>
  <c r="D64" i="2" s="1"/>
  <c r="F63" i="2"/>
  <c r="C80" i="2"/>
  <c r="J64" i="2" l="1"/>
  <c r="G64" i="2"/>
  <c r="F64" i="2" s="1"/>
  <c r="C71" i="2"/>
  <c r="D86" i="2" s="1"/>
  <c r="F47" i="2"/>
  <c r="C68" i="2"/>
  <c r="C85" i="2"/>
  <c r="C79" i="2"/>
  <c r="C82" i="2"/>
  <c r="C88" i="2" s="1"/>
  <c r="H33" i="2"/>
  <c r="H64" i="2" s="1"/>
  <c r="C87" i="2" s="1"/>
  <c r="C7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tc={E469BE6D-3DE8-4C26-9A26-4A1D71B368FE}</author>
    <author>tc={0B7A882E-D7D4-4919-90DE-CE1FA8F22E9B}</author>
  </authors>
  <commentList>
    <comment ref="U3" authorId="0" shapeId="0" xr:uid="{E469BE6D-3DE8-4C26-9A26-4A1D71B368FE}">
      <text>
        <t xml:space="preserve">[Threaded comment]
Your version of Excel allows you to read this threaded comment; however, any edits to it will get removed if the file is opened in a newer version of Excel. Learn more: https://go.microsoft.com/fwlink/?linkid=870924
Comment:
    Used numbers provided by SAs who indicated they do accept WIC CVB at farmers markets.  For those, that did not provide a number, we used the number of authorized farmers/markets in the FMNP.  For those that don't administer FMNP, we came up with an average number of 173 farmers/markets per SA. </t>
      </text>
    </comment>
    <comment ref="L78" authorId="1" shapeId="0" xr:uid="{0B7A882E-D7D4-4919-90DE-CE1FA8F22E9B}">
      <text>
        <t xml:space="preserve">[Threaded comment]
Your version of Excel allows you to read this threaded comment; however, any edits to it will get removed if the file is opened in a newer version of Excel. Learn more: https://go.microsoft.com/fwlink/?linkid=870924
Comment:
    first nut ed contact is done during certification. Was this counted for  in certification section? How about  in section 246.4 (state plan section) where Nut Ed may be reported in State plans.   For the second Nut Ed contact, it may have decreased due to online options.  I am just thinking that 1st Nut Ed contact may have been reported in State Plan or Certification sections.  Just to check for any duplication as Nut Ed is a regulatory requirement, I am not sure how this was missed previously. I think in this section we can estimate the 2nd Nut Ed  session because the first one is embedded in Certification section. Please let me know for any further discussions. Thanks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tc={10EB286F-C105-4D91-8566-B6044961D4B8}</author>
    <author>tc={954E69EB-61FD-47F7-AD6C-E3B4A55B7900}</author>
    <author>tc={4E838C85-A621-403D-BBDE-A893B60CAC58}</author>
    <author>tc={C6E657BC-A666-4305-A93D-7B30E91873C0}</author>
    <author>tc={4D0F926E-9D4F-41A8-ACEC-26EA8641FC09}</author>
  </authors>
  <commentList>
    <comment ref="T3" authorId="0" shapeId="0" xr:uid="{10EB286F-C105-4D91-8566-B6044961D4B8}">
      <text>
        <t xml:space="preserve">[Threaded comment]
Your version of Excel allows you to read this threaded comment; however, any edits to it will get removed if the file is opened in a newer version of Excel. Learn more: https://go.microsoft.com/fwlink/?linkid=870924
Comment:
    Used numbers provided by SAs who indicated they do accept WIC CVB at farmers markets.  For those, that did not provide a number, we used the number of authorized farmers/markets in the FMNP.  For those that don't administer FMNP, we came up with an average number of 173 farmers/markets per SA. </t>
      </text>
    </comment>
    <comment ref="K14" authorId="1" shapeId="0" xr:uid="{954E69EB-61FD-47F7-AD6C-E3B4A55B7900}">
      <text>
        <t xml:space="preserve">[Threaded comment]
Your version of Excel allows you to read this threaded comment; however, any edits to it will get removed if the file is opened in a newer version of Excel. Learn more: https://go.microsoft.com/fwlink/?linkid=870924
Comment:
    Note to include mention of drug and substance abuse screening in the burden narrative under certification. 246.7(n), initial nutrition education, and referrals. </t>
      </text>
    </comment>
    <comment ref="B55" authorId="2" shapeId="0" xr:uid="{4E838C85-A621-403D-BBDE-A893B60CAC58}">
      <text>
        <t>[Threaded comment]
Your version of Excel allows you to read this threaded comment; however, any edits to it will get removed if the file is opened in a newer version of Excel. Learn more: https://go.microsoft.com/fwlink/?linkid=870924
Comment:
    Reaching out to other PIMB folks for this information</t>
      </text>
    </comment>
    <comment ref="K79" authorId="3" shapeId="0" xr:uid="{C6E657BC-A666-4305-A93D-7B30E91873C0}">
      <text>
        <t xml:space="preserve">[Threaded comment]
Your version of Excel allows you to read this threaded comment; however, any edits to it will get removed if the file is opened in a newer version of Excel. Learn more: https://go.microsoft.com/fwlink/?linkid=870924
Comment:
    first nut ed contact is done during certification. Was this counted for  in certification section? How about  in section 246.4 (state plan section) where Nut Ed may be reported in State plans.   For the second Nut Ed contact, it may have decreased due to online options.  I am just thinking that 1st Nut Ed contact may have been reported in State Plan or Certification sections.  Just to check for any duplication as Nut Ed is a regulatory requirement, I am not sure how this was missed previously. I think in this section we can estimate the 2nd Nut Ed  session because the first one is embedded in Certification section. Please let me know for any further discussions. Thanks
</t>
      </text>
    </comment>
    <comment ref="B97" authorId="4" shapeId="0" xr:uid="{4D0F926E-9D4F-41A8-ACEC-26EA8641FC09}">
      <text>
        <t>[Threaded comment]
Your version of Excel allows you to read this threaded comment; however, any edits to it will get removed if the file is opened in a newer version of Excel. Learn more: https://go.microsoft.com/fwlink/?linkid=870924
Comment:
    Melanie may have this info- PIMB does not</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tc={EAB4E216-C085-414A-AA09-6D9192754CDD}</author>
    <author>tc={9A8023AB-ACE0-42FC-97E2-CA10AF2BBA19}</author>
    <author>tc={A9A62B19-3A02-47CA-BD57-EDE0DC448F61}</author>
    <author>tc={C1DE83B4-C4A1-42FB-8EF9-F3C6F05FD020}</author>
    <author>tc={86658071-540F-4A31-8058-118BE172CFFC}</author>
    <author>tc={A38985B1-6D04-4483-AFBF-41A0D4582F0C}</author>
    <author>tc={0DFD45B5-73D1-4E3F-96F3-962835D44EA8}</author>
  </authors>
  <commentList>
    <comment ref="T3" authorId="0" shapeId="0" xr:uid="{EAB4E216-C085-414A-AA09-6D9192754CDD}">
      <text>
        <t xml:space="preserve">[Threaded comment]
Your version of Excel allows you to read this threaded comment; however, any edits to it will get removed if the file is opened in a newer version of Excel. Learn more: https://go.microsoft.com/fwlink/?linkid=870924
Comment:
    Used numbers provided by SAs who indicated they do accept WIC CVB at farmers markets.  For those, that did not provide a number, we used the number of authorized farmers/markets in the FMNP.  For those that don't administer FMNP, we came up with an average number of 173 farmers/markets per SA. </t>
      </text>
    </comment>
    <comment ref="B9" authorId="1" shapeId="0" xr:uid="{9A8023AB-ACE0-42FC-97E2-CA10AF2BBA19}">
      <text>
        <t xml:space="preserve">[Threaded comment]
Your version of Excel allows you to read this threaded comment; however, any edits to it will get removed if the file is opened in a newer version of Excel. Learn more: https://go.microsoft.com/fwlink/?linkid=870924
Comment:
    V&amp;T may have this info </t>
      </text>
    </comment>
    <comment ref="K14" authorId="2" shapeId="0" xr:uid="{A9A62B19-3A02-47CA-BD57-EDE0DC448F61}">
      <text>
        <t xml:space="preserve">[Threaded comment]
Your version of Excel allows you to read this threaded comment; however, any edits to it will get removed if the file is opened in a newer version of Excel. Learn more: https://go.microsoft.com/fwlink/?linkid=870924
Comment:
    Note to include mention of drug and substance abuse screening in the burden narrative under certification. 246.7(n), initial nutrition education, and referrals. </t>
      </text>
    </comment>
    <comment ref="B55" authorId="3" shapeId="0" xr:uid="{C1DE83B4-C4A1-42FB-8EF9-F3C6F05FD020}">
      <text>
        <t>[Threaded comment]
Your version of Excel allows you to read this threaded comment; however, any edits to it will get removed if the file is opened in a newer version of Excel. Learn more: https://go.microsoft.com/fwlink/?linkid=870924
Comment:
    Reaching out to other PIMB folks for this information</t>
      </text>
    </comment>
    <comment ref="K79" authorId="4" shapeId="0" xr:uid="{86658071-540F-4A31-8058-118BE172CFFC}">
      <text>
        <t xml:space="preserve">[Threaded comment]
Your version of Excel allows you to read this threaded comment; however, any edits to it will get removed if the file is opened in a newer version of Excel. Learn more: https://go.microsoft.com/fwlink/?linkid=870924
Comment:
    first nut ed contact is done during certification. Was this counted for  in certification section? How about  in section 246.4 (state plan section) where Nut Ed may be reported in State plans.   For the second Nut Ed contact, it may have decreased due to online options.  I am just thinking that 1st Nut Ed contact may have been reported in State Plan or Certification sections.  Just to check for any duplication as Nut Ed is a regulatory requirement, I am not sure how this was missed previously. I think in this section we can estimate the 2nd Nut Ed  session because the first one is embedded in Certification section. Please let me know for any further discussions. Thanks
</t>
      </text>
    </comment>
    <comment ref="B93" authorId="5" shapeId="0" xr:uid="{A38985B1-6D04-4483-AFBF-41A0D4582F0C}">
      <text>
        <t>[Threaded comment]
Your version of Excel allows you to read this threaded comment; however, any edits to it will get removed if the file is opened in a newer version of Excel. Learn more: https://go.microsoft.com/fwlink/?linkid=870924
Comment:
    Melanie may have this info- PIMB does not</t>
      </text>
    </comment>
    <comment ref="B122" authorId="6" shapeId="0" xr:uid="{0DFD45B5-73D1-4E3F-96F3-962835D44EA8}">
      <text>
        <t>[Threaded comment]
Your version of Excel allows you to read this threaded comment; however, any edits to it will get removed if the file is opened in a newer version of Excel. Learn more: https://go.microsoft.com/fwlink/?linkid=870924
Comment:
    putting here for now, but will need to create a new section for vendor recordkeeping</t>
      </text>
    </comment>
  </commentList>
</comments>
</file>

<file path=xl/sharedStrings.xml><?xml version="1.0" encoding="utf-8"?>
<sst xmlns="http://schemas.openxmlformats.org/spreadsheetml/2006/main" count="1415" uniqueCount="301">
  <si>
    <t xml:space="preserve">                 APPENDIX F:  WIC Burden Table                                            </t>
  </si>
  <si>
    <t>Number of respondents per category</t>
  </si>
  <si>
    <t>Regulatory Section</t>
  </si>
  <si>
    <t>Information Collected</t>
  </si>
  <si>
    <t>Estimated Number of Respondents</t>
  </si>
  <si>
    <t>Annual Responses per Respondent</t>
  </si>
  <si>
    <t>Total Annual Responses</t>
  </si>
  <si>
    <t>Number of Burden Hours per Request</t>
  </si>
  <si>
    <t>Estimated Total Burden Hours</t>
  </si>
  <si>
    <t>Previous Sumbission: Total Hours per Person</t>
  </si>
  <si>
    <t>Difference Due to Program Changes</t>
  </si>
  <si>
    <t>Difference Due to Adjustments</t>
  </si>
  <si>
    <t>Total Difference</t>
  </si>
  <si>
    <t>Explanation of Differences/Comments</t>
  </si>
  <si>
    <t>State Agencies</t>
  </si>
  <si>
    <t>Local Agencies</t>
  </si>
  <si>
    <t>Participants- Total</t>
  </si>
  <si>
    <t>Participants- Women</t>
  </si>
  <si>
    <t xml:space="preserve">Participants- Infants </t>
  </si>
  <si>
    <t>Participants- Children</t>
  </si>
  <si>
    <t>Vendors</t>
  </si>
  <si>
    <t>Farmers/Markets</t>
  </si>
  <si>
    <t>REPORTING BURDEN ESTIMATES</t>
  </si>
  <si>
    <t>Affected Public:  State and Local Agencies (including Indian Tribal Organizations and U.S. Territories)</t>
  </si>
  <si>
    <t>No Change</t>
  </si>
  <si>
    <t>Increase</t>
  </si>
  <si>
    <t>decrease</t>
  </si>
  <si>
    <t>N/A</t>
  </si>
  <si>
    <t>State Plan</t>
  </si>
  <si>
    <t>246.5(b)</t>
  </si>
  <si>
    <t>Local Agency (LA) applications</t>
  </si>
  <si>
    <t>Decrease due to nonprofit local agencies being reported as businesses</t>
  </si>
  <si>
    <t>246.5(c)(2)</t>
  </si>
  <si>
    <t>SA notification re not funding LA</t>
  </si>
  <si>
    <t>Increase due to not being reported in previous submission</t>
  </si>
  <si>
    <t>246.5(e)(3)(ii)</t>
  </si>
  <si>
    <t>SA notification of LA disqualification</t>
  </si>
  <si>
    <t>LA Agreements</t>
  </si>
  <si>
    <t>246.7(d)</t>
  </si>
  <si>
    <t>Provision of income eligibility determinations</t>
  </si>
  <si>
    <t>246.7(f)(2)(iii)(A)</t>
  </si>
  <si>
    <t>LA requests for notice extension</t>
  </si>
  <si>
    <t xml:space="preserve">Increase in number of local agencies. </t>
  </si>
  <si>
    <t>246.7(i)</t>
  </si>
  <si>
    <t>Cert. data for women and children</t>
  </si>
  <si>
    <t>246.7(b),(i),(n)</t>
  </si>
  <si>
    <t xml:space="preserve">Cert. data for women </t>
  </si>
  <si>
    <t xml:space="preserve">Decrease in number of women certifications. </t>
  </si>
  <si>
    <t xml:space="preserve">Cert. data for children </t>
  </si>
  <si>
    <t xml:space="preserve">Decrease in the number of children certifications but overall increase due to an increase in number of buden hours per request. </t>
  </si>
  <si>
    <t xml:space="preserve">Certification data for infants </t>
  </si>
  <si>
    <t xml:space="preserve">Decrease in the number of infant certifications but overall increase due to an increase in number of buden hours per request. </t>
  </si>
  <si>
    <t>246.7(j)(9)</t>
  </si>
  <si>
    <t>SA notification re funding shortfall</t>
  </si>
  <si>
    <t>246.7(k)</t>
  </si>
  <si>
    <t>Verification of Certification cards</t>
  </si>
  <si>
    <t>Decrease in number of total certifications.</t>
  </si>
  <si>
    <t>Provision of Non-English Materials</t>
  </si>
  <si>
    <t>246.9 (c)</t>
  </si>
  <si>
    <t>Informing WIC participants of the details of the appeal process and their individual rights.</t>
  </si>
  <si>
    <t>246.9 (h)</t>
  </si>
  <si>
    <t>Fair hearing procedures for participants</t>
  </si>
  <si>
    <t>246.10(b)(1)</t>
  </si>
  <si>
    <t>Identification of acceptable foods</t>
  </si>
  <si>
    <t>246.10(b(2)</t>
  </si>
  <si>
    <t>Submit APL as food list</t>
  </si>
  <si>
    <t>246.10(d)(1)</t>
  </si>
  <si>
    <t>Medical documentation, 1% of infants</t>
  </si>
  <si>
    <t xml:space="preserve">Decrease in number of infant certifications. (1% of infants) </t>
  </si>
  <si>
    <t>246.10(i)</t>
  </si>
  <si>
    <t>Plans for Substitutions</t>
  </si>
  <si>
    <t>246.11(d)(1), 246.7(b)</t>
  </si>
  <si>
    <t>LA nutrition education provision</t>
  </si>
  <si>
    <t>246.11(d)(2)</t>
  </si>
  <si>
    <t>LA nutrition education plan</t>
  </si>
  <si>
    <t>246.12(f)(3)</t>
  </si>
  <si>
    <t xml:space="preserve">Vendor identification </t>
  </si>
  <si>
    <t>246.12(f)(4)</t>
  </si>
  <si>
    <t>Split tender transactions</t>
  </si>
  <si>
    <t>246.12(g)(4)(i)</t>
  </si>
  <si>
    <t>Vendor food sales data</t>
  </si>
  <si>
    <t xml:space="preserve">Decrease in the number of above-50-percent vendors. </t>
  </si>
  <si>
    <t>246.12(g)(4)(ii)(B)</t>
  </si>
  <si>
    <t>Vendor shelf prices</t>
  </si>
  <si>
    <t xml:space="preserve">Decrease in the number of vendors. </t>
  </si>
  <si>
    <t xml:space="preserve">Vendor shelf prices exemption </t>
  </si>
  <si>
    <t>246.12(g)(4)(iii)</t>
  </si>
  <si>
    <t>Price Increases</t>
  </si>
  <si>
    <t>246.12(g)(5)</t>
  </si>
  <si>
    <t>Vendor initial preauthorization visits</t>
  </si>
  <si>
    <t>246.12(g)(8)</t>
  </si>
  <si>
    <t>Application periods</t>
  </si>
  <si>
    <t>246.12(h)</t>
  </si>
  <si>
    <t>Review Vendor applicaitons/agreements</t>
  </si>
  <si>
    <t>246.12(i)(1)</t>
  </si>
  <si>
    <t>Vendor training development</t>
  </si>
  <si>
    <t>Vendor training</t>
  </si>
  <si>
    <t>246.12(j)(2),(6)</t>
  </si>
  <si>
    <t>Routine vendor monitoring</t>
  </si>
  <si>
    <t>246.12(j)(4),(6)</t>
  </si>
  <si>
    <t>Vendor compliance investigations</t>
  </si>
  <si>
    <t xml:space="preserve">Decrease in the number of vendors but increase due to previous omission of travel time. </t>
  </si>
  <si>
    <t>246.12(k)(5)</t>
  </si>
  <si>
    <t>FI and CVV redeemed after the specified period.</t>
  </si>
  <si>
    <t>246.12(l)(3)</t>
  </si>
  <si>
    <t>Notification of vendor violations</t>
  </si>
  <si>
    <t>246.12(m)</t>
  </si>
  <si>
    <t>Home food delivery systems</t>
  </si>
  <si>
    <t>246.12(o)</t>
  </si>
  <si>
    <t>Complaints</t>
  </si>
  <si>
    <t>246.12(p)</t>
  </si>
  <si>
    <t>Food instrument and cash-value voucher security</t>
  </si>
  <si>
    <t>246.12(q)</t>
  </si>
  <si>
    <t>Disposition of food instruments</t>
  </si>
  <si>
    <t>246.12(u)</t>
  </si>
  <si>
    <t>Participant Sanctions</t>
  </si>
  <si>
    <t>246.12(v)</t>
  </si>
  <si>
    <t>Farmers Market applications/agreements</t>
  </si>
  <si>
    <t>246.12(v)(6)</t>
  </si>
  <si>
    <t>Farmers Market Disqualificaitons</t>
  </si>
  <si>
    <t>246.12(bb)</t>
  </si>
  <si>
    <t>EBT Technical standards and requirements</t>
  </si>
  <si>
    <t>246.14(d)</t>
  </si>
  <si>
    <t>ADP proposals</t>
  </si>
  <si>
    <t>246.16(b)(3)(i)&amp;(ii)</t>
  </si>
  <si>
    <t>Food backspend and NSA spendforward authority</t>
  </si>
  <si>
    <t>246.16(d)</t>
  </si>
  <si>
    <t>Distribution of funds to LAs</t>
  </si>
  <si>
    <t xml:space="preserve">Increase in the number of local agencies. </t>
  </si>
  <si>
    <t>246.16(e)(2)(i) &amp; (ii)</t>
  </si>
  <si>
    <t xml:space="preserve">Food expenditure requirement waiver; NSA expenditure requirement good cause justification </t>
  </si>
  <si>
    <t>246.16a</t>
  </si>
  <si>
    <t>Infant Formula Cost Containment Procedures</t>
  </si>
  <si>
    <t>246.16a(f)</t>
  </si>
  <si>
    <t>Postponement Request</t>
  </si>
  <si>
    <t>246.16a(g)(1)-(4)</t>
  </si>
  <si>
    <t>Cost containment Procedures for other supplemental foods</t>
  </si>
  <si>
    <t>246.17(c)(1)</t>
  </si>
  <si>
    <t>Termination of SAs &amp; LAs</t>
  </si>
  <si>
    <t>Administrative Review of State agency actions</t>
  </si>
  <si>
    <t>246.19(a)(2)</t>
  </si>
  <si>
    <t>SA corrective action plans to FNS</t>
  </si>
  <si>
    <t>Observations</t>
  </si>
  <si>
    <t>246.19(b)(3)</t>
  </si>
  <si>
    <t>LA Monitoring</t>
  </si>
  <si>
    <t>246.19(b)(5)</t>
  </si>
  <si>
    <t>Targeted LA reviews</t>
  </si>
  <si>
    <t>246.20(a)(2)</t>
  </si>
  <si>
    <t>SA response to OIG audits</t>
  </si>
  <si>
    <t>246.20(b)</t>
  </si>
  <si>
    <t>SA Annual Audits</t>
  </si>
  <si>
    <t>246.22(b)(2)</t>
  </si>
  <si>
    <t>Administrative appeal</t>
  </si>
  <si>
    <t>246.23(a)(3)</t>
  </si>
  <si>
    <t>Claims against State agencies</t>
  </si>
  <si>
    <t>246.26(h)(3)</t>
  </si>
  <si>
    <t>Written agreements with public organization</t>
  </si>
  <si>
    <r>
      <t xml:space="preserve">Subtotal </t>
    </r>
    <r>
      <rPr>
        <b/>
        <i/>
        <sz val="11"/>
        <rFont val="Arial"/>
        <family val="2"/>
      </rPr>
      <t>Reporting: State and Local Agencies</t>
    </r>
  </si>
  <si>
    <t>Affected Public:  Individuals and Households:  Applicants for Program Benefits</t>
  </si>
  <si>
    <t xml:space="preserve">Decrease in the number of women certificaitons, but an overall  increase in the number of burden hours per request. </t>
  </si>
  <si>
    <t>Cert. data for children</t>
  </si>
  <si>
    <t xml:space="preserve">Decrease in the number of children certificaitons, but an overall  increase in the number of burden hours per request. </t>
  </si>
  <si>
    <t xml:space="preserve">Decrease in the number of infant certificaitons, but an overall  increase in the number of burden hours per request. </t>
  </si>
  <si>
    <t>Travel time for certification appointments</t>
  </si>
  <si>
    <t>246.7(o)</t>
  </si>
  <si>
    <t>Certification appointments</t>
  </si>
  <si>
    <t>Participant Appeals</t>
  </si>
  <si>
    <t xml:space="preserve">Decrease in the number of infants. </t>
  </si>
  <si>
    <t>Medical documentation</t>
  </si>
  <si>
    <t>Decrease in number of participants.</t>
  </si>
  <si>
    <t>246.11(e)</t>
  </si>
  <si>
    <t xml:space="preserve">Nutrition Education </t>
  </si>
  <si>
    <t>246.12(r)(4)</t>
  </si>
  <si>
    <t>Offline EBT State agencies: Food instrument and cash-value voucher pick up (non-certification clinic visits)</t>
  </si>
  <si>
    <t>Online EBT State agencies: Food instrument and cash-value voucher pick up (non-certification clinic visits)</t>
  </si>
  <si>
    <t>Subtotal Reporting: Applicants</t>
  </si>
  <si>
    <t>Affected Public:  Business:  Retail Vendors (WIC-Authorized Food Stores) and Nonprofit Businesses</t>
  </si>
  <si>
    <t>Nonprofit Applicaitons</t>
  </si>
  <si>
    <t>Local Agency Agreements</t>
  </si>
  <si>
    <t>Vendor food sales data for A50s</t>
  </si>
  <si>
    <t>Decrease in number of retail vendors.</t>
  </si>
  <si>
    <t xml:space="preserve">Vendor applications &amp; Agreements </t>
  </si>
  <si>
    <t xml:space="preserve">Decrease in number of retail vendors. </t>
  </si>
  <si>
    <t>246.12(h)(3)(xiii)</t>
  </si>
  <si>
    <t>Vendor training of staff</t>
  </si>
  <si>
    <t>246.12(h)(8)(i)</t>
  </si>
  <si>
    <t>Vendor incentive items</t>
  </si>
  <si>
    <t>246.12(i)</t>
  </si>
  <si>
    <t>Vendor Training</t>
  </si>
  <si>
    <t xml:space="preserve">Farmer/Market applications &amp; agreements </t>
  </si>
  <si>
    <t>246.12(v)(1)(v)</t>
  </si>
  <si>
    <t>Farmer/Market Training</t>
  </si>
  <si>
    <t>Infant Formula Manufacturer Rebates</t>
  </si>
  <si>
    <t>246.18(a)(1)</t>
  </si>
  <si>
    <t>Vendor Appeals</t>
  </si>
  <si>
    <t>246.18(a)(4)</t>
  </si>
  <si>
    <t>Farmers Market Appeals</t>
  </si>
  <si>
    <t>Subtotal Reporting: Businesses</t>
  </si>
  <si>
    <t>GRAND SUBTOTAL: REPORTING</t>
  </si>
  <si>
    <t>RECORDKEEPING BURDEN ESTIMATES</t>
  </si>
  <si>
    <t>246.4(d)</t>
  </si>
  <si>
    <t>State Plan Record Maintenance</t>
  </si>
  <si>
    <t>246.12(g)(10)</t>
  </si>
  <si>
    <t>Vendor infant formula suppliers</t>
  </si>
  <si>
    <t>246.12(h)(1)(i)</t>
  </si>
  <si>
    <t xml:space="preserve">Vendor applications &amp; agreements </t>
  </si>
  <si>
    <t>246.12(i)(4)</t>
  </si>
  <si>
    <t>Vendor training content</t>
  </si>
  <si>
    <t>246.12(j)(6)</t>
  </si>
  <si>
    <t xml:space="preserve">Decrease in the number of retail vendors. </t>
  </si>
  <si>
    <t>246.12(j)(6)(ii)</t>
  </si>
  <si>
    <t>Vendor compliance Investigations</t>
  </si>
  <si>
    <t>Vendor notice of violations</t>
  </si>
  <si>
    <t>Increase in the number of violations</t>
  </si>
  <si>
    <t>246.12(m)(2)(iii)</t>
  </si>
  <si>
    <t>246.19(b)</t>
  </si>
  <si>
    <t>SA Annual Audit</t>
  </si>
  <si>
    <t xml:space="preserve"> </t>
  </si>
  <si>
    <t>246.23(c)(1)</t>
  </si>
  <si>
    <t>Disposition of participant claims</t>
  </si>
  <si>
    <t>246.25(a)</t>
  </si>
  <si>
    <t>Financial ops. &amp; food delivery sys.</t>
  </si>
  <si>
    <t xml:space="preserve">Nutrition education for women, infants, and children </t>
  </si>
  <si>
    <t xml:space="preserve">Decrease in the number of participants and due to nonprofit local agencies being reported as businesses. </t>
  </si>
  <si>
    <t>Fair hearings</t>
  </si>
  <si>
    <t>Subtotal Recordkeeping: State and Local Agencies</t>
  </si>
  <si>
    <t>246.12(h)(3)(xvi)</t>
  </si>
  <si>
    <t>Vendor Inventory Records</t>
  </si>
  <si>
    <t>Subtotal Recordkeeping: Businesses</t>
  </si>
  <si>
    <t>GRAND SUBTOTAL:  RECORDKEEPING</t>
  </si>
  <si>
    <t>PUBLIC DISCLOSURE BURDEN ESTIMATES</t>
  </si>
  <si>
    <t>246.5(d)(2)</t>
  </si>
  <si>
    <t>SA Public Notice for new LA</t>
  </si>
  <si>
    <t>Subtotal Public Disclosure: State and Local Agencies</t>
  </si>
  <si>
    <t>GRAND SUBTOTAL:  PUBLIC DISCLOSURE</t>
  </si>
  <si>
    <t>GRAND TOTAL: REPORTING, RECORDKEEPING, and PUBLIC DISCLOSURE</t>
  </si>
  <si>
    <t>SUMMARY OF REPORTING BURDEN (OMB #0584-0043)</t>
  </si>
  <si>
    <t>TOTAL NO. RESPONDENTS</t>
  </si>
  <si>
    <t>AVERAGE NO. RESPONSES PER RESPONDENT</t>
  </si>
  <si>
    <t>TOTAL ANNUAL RESPONSES</t>
  </si>
  <si>
    <t>AVERAGE HOURS PER RESPONSE</t>
  </si>
  <si>
    <t>TOTAL ANNUAL BURDEN HOURS REQUESTED</t>
  </si>
  <si>
    <t>CURRENT OMB INVENTORY</t>
  </si>
  <si>
    <t>DIFFERENCE</t>
  </si>
  <si>
    <t>SUMMARY OF RECORDKEEPING BURDEN (OMB #0584-0043)</t>
  </si>
  <si>
    <t>TOTAL NO. RECORDKEEPERS</t>
  </si>
  <si>
    <t>SUMMARY OF PUBLIC DISCLOSURE BURDEN (OMB #0584-0043)</t>
  </si>
  <si>
    <t>ANNUAL REPORTING &amp; RECORDKEEPING BURDEN (OMB #0584-0043)</t>
  </si>
  <si>
    <t>GRAND TOTAL - RESPONSES</t>
  </si>
  <si>
    <t>GRAND TOTAL - ANNUAL BURDEN HOURS</t>
  </si>
  <si>
    <t xml:space="preserve">                 APPENDIX I:  WIC Burden Table                                            </t>
  </si>
  <si>
    <t xml:space="preserve">Increase in number of infant certifications. (1% of infants) </t>
  </si>
  <si>
    <t>246.12(h)(3)(viii)</t>
  </si>
  <si>
    <t xml:space="preserve">N/A </t>
  </si>
  <si>
    <t>246.18(a)(1),(3)</t>
  </si>
  <si>
    <t>246.19(a),(b),(c)</t>
  </si>
  <si>
    <t xml:space="preserve">Decrease in the number of participants. </t>
  </si>
  <si>
    <t xml:space="preserve">GRAND TOTAL: REPORTING AND RECORDKEEPING </t>
  </si>
  <si>
    <t xml:space="preserve">Subtotal Reporting: Retail Vendors </t>
  </si>
  <si>
    <t xml:space="preserve">Subtotal Recordkeeping: Retail Vendors </t>
  </si>
  <si>
    <t>Explanation of Differences</t>
  </si>
  <si>
    <t>Change in number of State agencies</t>
  </si>
  <si>
    <t>Change in number of local agencies.</t>
  </si>
  <si>
    <t>Decrease in number of child certifications.</t>
  </si>
  <si>
    <t xml:space="preserve">Decrease in number of infant certifciations.  </t>
  </si>
  <si>
    <t>Decrease due to use of minutes to hours conversion chart</t>
  </si>
  <si>
    <t>Decrease in number of State agencies.</t>
  </si>
  <si>
    <t>Change in number of local agencies</t>
  </si>
  <si>
    <t xml:space="preserve">Respondent group = the number of vendors that derive more of their revenue from WIC than from SNAP.  The number of respondents increased.  </t>
  </si>
  <si>
    <t>Decrease in number of vendors and State agencies results in proportionate decrease in reporting for vendor shelf prices.</t>
  </si>
  <si>
    <t>Decrease of 8 hours due to program change from streamlining the process. Increase in adjustment hours due to an expected increase in State agencies requesting this exemption (due to reduced hours to respond).</t>
  </si>
  <si>
    <t>Change in number of State agencies.</t>
  </si>
  <si>
    <t>Decrease in number of vendors results in proportionate decrease in training.</t>
  </si>
  <si>
    <t>246.12(j)(4)</t>
  </si>
  <si>
    <t>Decrease in number of vendors results in proportionate decrease in estimated compliance investigations.</t>
  </si>
  <si>
    <t>Increase in the number of State agencies that have already transitioned to EBT due to the legislative mandate of state-wide EBT by October 1, 2020. Thus, fewer ADP proposals are anticipated.</t>
  </si>
  <si>
    <t>Program change decrease in 10 hours to develop action plan due to streamlining process. Decrease in 8.90 hours due to  change in number of State agencies and ME cycle.</t>
  </si>
  <si>
    <t xml:space="preserve">Increase due to items not previously included in estimate. Decrease in number of women certifications.  </t>
  </si>
  <si>
    <t xml:space="preserve">Increase due to items not previously included in estimate.  Decrease in number of children certifications. </t>
  </si>
  <si>
    <t xml:space="preserve">Increase due to items not previously included in estimate.  Decrease in number of infant certifications.  </t>
  </si>
  <si>
    <t>Increase in number of infant certifications. (1% of infants)</t>
  </si>
  <si>
    <t>Affected Public:  Business:  Retail Vendors (WIC-Authorized Food Stores)</t>
  </si>
  <si>
    <t>Decrease in number of retail vendors (% of total).</t>
  </si>
  <si>
    <t xml:space="preserve">Decrease in the number of above 50 percent vendors. </t>
  </si>
  <si>
    <t>Subtotal Reporting: Retail Vendors *</t>
  </si>
  <si>
    <t>GRAND SUBTOTAL: REPORTING**</t>
  </si>
  <si>
    <t>increase due to use of minutes to hours conversion chart</t>
  </si>
  <si>
    <t>Decrease due to change in number of State agencies.</t>
  </si>
  <si>
    <t>Decrease in number of retail vendors results in proportionate decrease in applications and agreements</t>
  </si>
  <si>
    <t>Program change decrease in 1,029.1 hours due use of technology to streamline process. Decrease in 178 hours due to  change in number of State agencies and vendors</t>
  </si>
  <si>
    <t>Decrease in number of retail vendors results in proportionate decrease in vendor compliance investigations</t>
  </si>
  <si>
    <t>Decrease due to a decrease in the n umber of vendor violations.</t>
  </si>
  <si>
    <t>Decrease in number of local agencies.</t>
  </si>
  <si>
    <t>Nutrition ed. for women &amp; children</t>
  </si>
  <si>
    <t>Decrease due to a decrease in women and child participants.</t>
  </si>
  <si>
    <t>Nutrition education for infants</t>
  </si>
  <si>
    <t xml:space="preserve">Decrease in infant participants.  </t>
  </si>
  <si>
    <t>SUBTOTAL:  RECORDKEEPING</t>
  </si>
  <si>
    <t xml:space="preserve">*Total retail vendor data provided from The Integrity Profile (TIP) database on WIC vendor population. </t>
  </si>
  <si>
    <t xml:space="preserve">**In the Grand Subtotal: Reporting for the previous submission total burden hours was adjusted to 3,165,043 to match the ROCIS calculatuions. In the Excel calculations, this total is actually 3,165,043.8, which Excel rounds to 3,165,044.  ROCIS, however, did not round this total so </t>
  </si>
  <si>
    <t>the total previously submitted hours were adjusted to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</si>
</sst>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000"/>
  </numFmts>
  <fonts count="18" x14ac:knownFonts="1">
    <font>
      <sz val="10"/>
      <name val="Arial"/>
    </font>
    <font>
      <sz val="10"/>
      <name val="Arial"/>
      <family val="2"/>
    </font>
    <font>
      <sz val="11"/>
      <name val="Arial"/>
      <family val="2"/>
    </font>
    <font>
      <b/>
      <sz val="11"/>
      <name val="Arial"/>
      <family val="2"/>
    </font>
    <font>
      <i/>
      <sz val="11"/>
      <name val="Arial"/>
      <family val="2"/>
    </font>
    <font>
      <b/>
      <sz val="10"/>
      <name val="Arial"/>
      <family val="2"/>
    </font>
    <font>
      <b/>
      <i/>
      <sz val="11"/>
      <name val="Arial"/>
      <family val="2"/>
    </font>
    <font>
      <b/>
      <sz val="11"/>
      <color indexed="8"/>
      <name val="Arial Narrow"/>
      <family val="2"/>
    </font>
    <font>
      <sz val="11"/>
      <name val="Arial Narrow"/>
      <family val="2"/>
    </font>
    <font>
      <sz val="10"/>
      <color rgb="FFFF0000"/>
      <name val="Arial"/>
      <family val="2"/>
    </font>
    <font>
      <b/>
      <sz val="10"/>
      <color rgb="FFFF0000"/>
      <name val="Arial"/>
      <family val="2"/>
    </font>
    <font>
      <sz val="11"/>
      <color rgb="FF000000"/>
      <name val="Arial"/>
      <family val="2"/>
    </font>
    <font>
      <b/>
      <sz val="11"/>
      <color rgb="FF000000"/>
      <name val="Arial"/>
      <family val="2"/>
    </font>
    <font>
      <i/>
      <sz val="11"/>
      <color rgb="FF000000"/>
      <name val="Arial"/>
      <family val="2"/>
    </font>
    <font>
      <sz val="11"/>
      <color rgb="FF444444"/>
      <name val="Arial"/>
      <family val="2"/>
    </font>
    <font>
      <b/>
      <sz val="11"/>
      <color indexed="8"/>
      <name val="Arial"/>
      <family val="2"/>
    </font>
    <font>
      <sz val="11"/>
      <color rgb="FFFF0000"/>
      <name val="Arial"/>
      <family val="2"/>
    </font>
    <font>
      <b/>
      <sz val="11"/>
      <color rgb="FFFF0000"/>
      <name val="Arial"/>
      <family val="2"/>
    </font>
  </fonts>
  <fills count="14">
    <fill>
      <patternFill patternType="none"/>
    </fill>
    <fill>
      <patternFill patternType="gray125"/>
    </fill>
    <fill>
      <patternFill patternType="solid">
        <fgColor theme="6"/>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7B6CC"/>
        <bgColor indexed="64"/>
      </patternFill>
    </fill>
    <fill>
      <patternFill patternType="solid">
        <fgColor rgb="FFFFFF00"/>
        <bgColor indexed="64"/>
      </patternFill>
    </fill>
  </fills>
  <borders count="45">
    <border>
      <left/>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theme="3" tint="0.79998168889431442"/>
      </top>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bottom style="thin">
        <color theme="3" tint="0.79998168889431442"/>
      </bottom>
      <diagonal/>
    </border>
    <border>
      <left/>
      <right style="thin">
        <color rgb="FF000000"/>
      </right>
      <top/>
      <bottom/>
      <diagonal/>
    </border>
    <border>
      <left/>
      <right style="thin">
        <color rgb="FF000000"/>
      </right>
      <top style="thin">
        <color rgb="FF000000"/>
      </top>
      <bottom/>
      <diagonal/>
    </border>
    <border>
      <left style="thin">
        <color indexed="64"/>
      </left>
      <right style="thin">
        <color rgb="FF000000"/>
      </right>
      <top/>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thin">
        <color indexed="64"/>
      </left>
      <right/>
      <top style="medium">
        <color indexed="64"/>
      </top>
      <bottom/>
      <diagonal/>
    </border>
    <border>
      <left style="medium">
        <color rgb="FF000000"/>
      </left>
      <right style="medium">
        <color rgb="FF000000"/>
      </right>
      <top style="medium">
        <color rgb="FF000000"/>
      </top>
      <bottom/>
      <diagonal/>
    </border>
    <border>
      <left/>
      <right style="thin">
        <color rgb="FF000000"/>
      </right>
      <top style="medium">
        <color indexed="64"/>
      </top>
      <bottom/>
      <diagonal/>
    </border>
  </borders>
  <cellStyleXfs count="3">
    <xf numFmtId="0" fontId="0" fillId="0" borderId="0"/>
    <xf numFmtId="43" fontId="1" fillId="0" borderId="0" applyFont="0" applyFill="0" applyBorder="0" applyAlignment="0" applyProtection="0"/>
    <xf numFmtId="0" fontId="1" fillId="0" borderId="0"/>
  </cellStyleXfs>
  <cellXfs count="301">
    <xf numFmtId="0" fontId="0" fillId="0" borderId="0" xfId="0"/>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3" fontId="3" fillId="0" borderId="0" xfId="1" applyFont="1" applyBorder="1" applyAlignment="1">
      <alignment horizontal="center" vertical="center" wrapText="1"/>
    </xf>
    <xf numFmtId="43" fontId="3" fillId="0" borderId="1" xfId="1" applyFont="1" applyBorder="1" applyAlignment="1">
      <alignment horizontal="center" vertical="center" wrapText="1"/>
    </xf>
    <xf numFmtId="43" fontId="3" fillId="0" borderId="2" xfId="1" applyFont="1" applyBorder="1" applyAlignment="1">
      <alignment horizontal="center" vertical="center" wrapText="1"/>
    </xf>
    <xf numFmtId="0" fontId="4" fillId="0" borderId="5"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2" fillId="0" borderId="0" xfId="0" applyFont="1" applyAlignment="1">
      <alignment wrapText="1"/>
    </xf>
    <xf numFmtId="3" fontId="3" fillId="7" borderId="13" xfId="1" applyNumberFormat="1" applyFont="1" applyFill="1" applyBorder="1" applyAlignment="1">
      <alignment horizontal="right" vertical="center" wrapText="1"/>
    </xf>
    <xf numFmtId="4" fontId="4" fillId="0" borderId="4" xfId="1" applyNumberFormat="1" applyFont="1" applyBorder="1" applyAlignment="1">
      <alignment horizontal="right" vertical="center" wrapText="1"/>
    </xf>
    <xf numFmtId="3" fontId="3" fillId="7" borderId="8" xfId="1" applyNumberFormat="1" applyFont="1" applyFill="1" applyBorder="1" applyAlignment="1">
      <alignment horizontal="right" vertical="center" wrapText="1"/>
    </xf>
    <xf numFmtId="3" fontId="6" fillId="7" borderId="8" xfId="1" applyNumberFormat="1" applyFont="1" applyFill="1" applyBorder="1" applyAlignment="1">
      <alignment horizontal="right" vertical="center" wrapText="1"/>
    </xf>
    <xf numFmtId="3" fontId="3" fillId="7" borderId="14" xfId="1" applyNumberFormat="1" applyFont="1" applyFill="1" applyBorder="1" applyAlignment="1">
      <alignment horizontal="right" vertical="center" wrapText="1"/>
    </xf>
    <xf numFmtId="3" fontId="3" fillId="6" borderId="8" xfId="1" applyNumberFormat="1" applyFont="1" applyFill="1" applyBorder="1" applyAlignment="1">
      <alignment horizontal="right" vertical="center" wrapText="1"/>
    </xf>
    <xf numFmtId="0" fontId="9" fillId="0" borderId="0" xfId="0" applyFont="1" applyAlignment="1">
      <alignment horizontal="center" vertical="center" wrapText="1"/>
    </xf>
    <xf numFmtId="4" fontId="2" fillId="0" borderId="6" xfId="1" applyNumberFormat="1" applyFont="1" applyBorder="1" applyAlignment="1">
      <alignment horizontal="right" vertical="center" wrapText="1"/>
    </xf>
    <xf numFmtId="4" fontId="2" fillId="0" borderId="6" xfId="1" applyNumberFormat="1" applyFont="1" applyFill="1" applyBorder="1" applyAlignment="1">
      <alignment horizontal="right" vertical="center" wrapText="1"/>
    </xf>
    <xf numFmtId="43" fontId="3" fillId="8" borderId="0" xfId="1" applyFont="1" applyFill="1" applyBorder="1" applyAlignment="1">
      <alignment horizontal="center" vertical="center" wrapText="1"/>
    </xf>
    <xf numFmtId="43" fontId="3" fillId="8" borderId="1" xfId="1" applyFont="1" applyFill="1" applyBorder="1" applyAlignment="1">
      <alignment horizontal="center" vertical="center" wrapText="1"/>
    </xf>
    <xf numFmtId="4" fontId="2" fillId="0" borderId="4" xfId="1" applyNumberFormat="1" applyFont="1" applyBorder="1" applyAlignment="1">
      <alignment horizontal="right" vertical="center" wrapText="1"/>
    </xf>
    <xf numFmtId="4" fontId="2" fillId="0" borderId="4" xfId="1" applyNumberFormat="1" applyFont="1" applyFill="1" applyBorder="1" applyAlignment="1">
      <alignment horizontal="right" vertical="center" wrapText="1"/>
    </xf>
    <xf numFmtId="4" fontId="2" fillId="0" borderId="4" xfId="0" applyNumberFormat="1" applyFont="1" applyBorder="1" applyAlignment="1">
      <alignment horizontal="right" vertical="center" wrapText="1"/>
    </xf>
    <xf numFmtId="4" fontId="4" fillId="0" borderId="4" xfId="1" applyNumberFormat="1" applyFont="1" applyFill="1" applyBorder="1" applyAlignment="1">
      <alignment horizontal="right" vertical="center" wrapText="1"/>
    </xf>
    <xf numFmtId="0" fontId="10" fillId="0" borderId="0" xfId="0" applyFont="1" applyAlignment="1">
      <alignment horizontal="center" vertical="center" wrapText="1"/>
    </xf>
    <xf numFmtId="4" fontId="2" fillId="0" borderId="0" xfId="1" applyNumberFormat="1" applyFont="1" applyFill="1" applyBorder="1" applyAlignment="1">
      <alignment horizontal="right" vertical="center" wrapText="1"/>
    </xf>
    <xf numFmtId="4" fontId="3" fillId="6" borderId="8" xfId="1" applyNumberFormat="1" applyFont="1" applyFill="1" applyBorder="1" applyAlignment="1">
      <alignment horizontal="right" vertical="center" wrapText="1"/>
    </xf>
    <xf numFmtId="0" fontId="1" fillId="0" borderId="0" xfId="0" applyFont="1" applyAlignment="1">
      <alignment wrapText="1"/>
    </xf>
    <xf numFmtId="43" fontId="3" fillId="0" borderId="0" xfId="1" applyFont="1" applyFill="1" applyBorder="1" applyAlignment="1">
      <alignment horizontal="center" vertical="center" wrapText="1"/>
    </xf>
    <xf numFmtId="3" fontId="3" fillId="0" borderId="0" xfId="0" applyNumberFormat="1" applyFont="1" applyAlignment="1">
      <alignment wrapText="1"/>
    </xf>
    <xf numFmtId="4" fontId="2" fillId="0" borderId="12" xfId="0" applyNumberFormat="1" applyFont="1" applyBorder="1" applyAlignment="1">
      <alignment horizontal="center" vertical="center" wrapText="1"/>
    </xf>
    <xf numFmtId="4" fontId="3" fillId="7" borderId="13" xfId="1" applyNumberFormat="1" applyFont="1" applyFill="1" applyBorder="1" applyAlignment="1">
      <alignment horizontal="right" vertical="center" wrapText="1"/>
    </xf>
    <xf numFmtId="4" fontId="3" fillId="7" borderId="8" xfId="1" applyNumberFormat="1" applyFont="1" applyFill="1" applyBorder="1" applyAlignment="1">
      <alignment horizontal="right" vertical="center" wrapText="1"/>
    </xf>
    <xf numFmtId="4" fontId="2" fillId="0" borderId="0" xfId="0" applyNumberFormat="1" applyFont="1" applyAlignment="1">
      <alignment wrapText="1"/>
    </xf>
    <xf numFmtId="4" fontId="0" fillId="0" borderId="0" xfId="0" applyNumberFormat="1" applyAlignment="1">
      <alignment wrapText="1"/>
    </xf>
    <xf numFmtId="4" fontId="2" fillId="9" borderId="0" xfId="1" applyNumberFormat="1" applyFont="1" applyFill="1" applyBorder="1" applyAlignment="1">
      <alignment horizontal="right" vertical="center" wrapText="1"/>
    </xf>
    <xf numFmtId="4" fontId="2" fillId="9" borderId="4" xfId="1" applyNumberFormat="1" applyFont="1" applyFill="1" applyBorder="1" applyAlignment="1">
      <alignment horizontal="right" vertical="center" wrapText="1"/>
    </xf>
    <xf numFmtId="4" fontId="2" fillId="9" borderId="0" xfId="0" applyNumberFormat="1" applyFont="1" applyFill="1" applyAlignment="1">
      <alignment horizontal="right" vertical="center" wrapText="1"/>
    </xf>
    <xf numFmtId="4" fontId="2" fillId="9" borderId="4" xfId="0" applyNumberFormat="1" applyFont="1" applyFill="1" applyBorder="1" applyAlignment="1">
      <alignment horizontal="right" vertical="center" wrapText="1"/>
    </xf>
    <xf numFmtId="4" fontId="2" fillId="8" borderId="4" xfId="1" applyNumberFormat="1" applyFont="1" applyFill="1" applyBorder="1" applyAlignment="1">
      <alignment horizontal="right" vertical="center" wrapText="1"/>
    </xf>
    <xf numFmtId="4" fontId="2" fillId="8" borderId="5" xfId="1" applyNumberFormat="1" applyFont="1" applyFill="1" applyBorder="1" applyAlignment="1">
      <alignment horizontal="right" vertical="center" wrapText="1"/>
    </xf>
    <xf numFmtId="4" fontId="2" fillId="9" borderId="6" xfId="1" applyNumberFormat="1" applyFont="1" applyFill="1" applyBorder="1" applyAlignment="1">
      <alignment horizontal="right" vertical="center" wrapText="1"/>
    </xf>
    <xf numFmtId="4" fontId="4" fillId="9" borderId="4" xfId="1" applyNumberFormat="1" applyFont="1" applyFill="1" applyBorder="1" applyAlignment="1">
      <alignment horizontal="right" vertical="center" wrapText="1"/>
    </xf>
    <xf numFmtId="0" fontId="10" fillId="0" borderId="0" xfId="0" applyFont="1" applyAlignment="1">
      <alignment horizontal="left" vertical="center" wrapText="1"/>
    </xf>
    <xf numFmtId="3" fontId="9" fillId="0" borderId="0" xfId="0" applyNumberFormat="1" applyFont="1" applyAlignment="1">
      <alignment horizontal="right" vertical="center" wrapText="1"/>
    </xf>
    <xf numFmtId="3" fontId="9" fillId="0" borderId="0" xfId="0" applyNumberFormat="1" applyFont="1" applyAlignment="1">
      <alignment horizontal="center" vertical="center" wrapText="1"/>
    </xf>
    <xf numFmtId="3" fontId="9" fillId="0" borderId="0" xfId="0" applyNumberFormat="1" applyFont="1" applyAlignment="1">
      <alignment wrapText="1"/>
    </xf>
    <xf numFmtId="0" fontId="5" fillId="0" borderId="0" xfId="0" applyFont="1" applyAlignment="1">
      <alignment horizontal="center" vertical="center" wrapText="1"/>
    </xf>
    <xf numFmtId="0" fontId="9" fillId="0" borderId="0" xfId="0" applyFont="1" applyAlignment="1">
      <alignment wrapText="1"/>
    </xf>
    <xf numFmtId="43" fontId="0" fillId="0" borderId="0" xfId="1" applyFont="1" applyAlignment="1">
      <alignment wrapText="1"/>
    </xf>
    <xf numFmtId="164" fontId="0" fillId="0" borderId="0" xfId="0" applyNumberFormat="1" applyAlignment="1">
      <alignment wrapText="1"/>
    </xf>
    <xf numFmtId="4" fontId="2" fillId="0" borderId="23" xfId="0" applyNumberFormat="1" applyFont="1" applyBorder="1" applyAlignment="1">
      <alignment horizontal="right" vertical="center" wrapText="1"/>
    </xf>
    <xf numFmtId="4" fontId="2" fillId="0" borderId="24" xfId="0" applyNumberFormat="1" applyFont="1" applyBorder="1" applyAlignment="1">
      <alignment horizontal="right" vertical="center" wrapText="1"/>
    </xf>
    <xf numFmtId="4" fontId="2" fillId="0" borderId="25" xfId="0" applyNumberFormat="1" applyFont="1" applyBorder="1" applyAlignment="1">
      <alignment horizontal="right" vertical="center" wrapText="1"/>
    </xf>
    <xf numFmtId="4" fontId="2" fillId="9" borderId="24" xfId="0" applyNumberFormat="1" applyFont="1" applyFill="1" applyBorder="1" applyAlignment="1">
      <alignment horizontal="right" vertical="center" wrapText="1"/>
    </xf>
    <xf numFmtId="4" fontId="2" fillId="0" borderId="6" xfId="0" applyNumberFormat="1" applyFont="1" applyBorder="1" applyAlignment="1">
      <alignment horizontal="right" vertical="center" wrapText="1"/>
    </xf>
    <xf numFmtId="0" fontId="3" fillId="9" borderId="4" xfId="0" applyFont="1" applyFill="1" applyBorder="1" applyAlignment="1">
      <alignment horizontal="left" vertical="center" wrapText="1"/>
    </xf>
    <xf numFmtId="4" fontId="1" fillId="9" borderId="4" xfId="2" applyNumberFormat="1" applyFill="1" applyBorder="1" applyAlignment="1">
      <alignment vertical="center" wrapText="1"/>
    </xf>
    <xf numFmtId="0" fontId="2" fillId="9" borderId="4" xfId="0" applyFont="1" applyFill="1" applyBorder="1" applyAlignment="1">
      <alignment horizontal="left" vertical="center" wrapText="1"/>
    </xf>
    <xf numFmtId="4" fontId="1" fillId="0" borderId="0" xfId="0" applyNumberFormat="1" applyFont="1" applyAlignment="1">
      <alignment wrapText="1"/>
    </xf>
    <xf numFmtId="0" fontId="2" fillId="0" borderId="0" xfId="0" applyFont="1"/>
    <xf numFmtId="4" fontId="4" fillId="9" borderId="5" xfId="1" applyNumberFormat="1" applyFont="1" applyFill="1" applyBorder="1" applyAlignment="1">
      <alignment horizontal="right" vertical="center" wrapText="1"/>
    </xf>
    <xf numFmtId="0" fontId="2" fillId="0" borderId="4" xfId="0" applyFont="1" applyBorder="1" applyAlignment="1">
      <alignment horizontal="left" vertical="center" wrapText="1"/>
    </xf>
    <xf numFmtId="4" fontId="0" fillId="0" borderId="4" xfId="0" applyNumberFormat="1" applyBorder="1" applyAlignment="1">
      <alignment vertical="center" wrapText="1"/>
    </xf>
    <xf numFmtId="4" fontId="1" fillId="0" borderId="4" xfId="0" applyNumberFormat="1" applyFont="1" applyBorder="1" applyAlignment="1">
      <alignment vertical="center" wrapText="1"/>
    </xf>
    <xf numFmtId="0" fontId="1" fillId="0" borderId="4" xfId="0" applyFont="1" applyBorder="1" applyAlignment="1">
      <alignment vertical="center" wrapText="1"/>
    </xf>
    <xf numFmtId="0" fontId="1" fillId="9" borderId="4" xfId="0" applyFont="1" applyFill="1" applyBorder="1" applyAlignment="1">
      <alignment vertical="center" wrapText="1"/>
    </xf>
    <xf numFmtId="4" fontId="0" fillId="9" borderId="24" xfId="0" applyNumberFormat="1" applyFill="1" applyBorder="1" applyAlignment="1">
      <alignment vertical="center" wrapText="1"/>
    </xf>
    <xf numFmtId="0" fontId="1" fillId="0" borderId="23" xfId="0" applyFont="1" applyBorder="1" applyAlignment="1">
      <alignment vertical="center" wrapText="1"/>
    </xf>
    <xf numFmtId="4" fontId="1" fillId="0" borderId="23" xfId="0" applyNumberFormat="1" applyFont="1" applyBorder="1" applyAlignment="1">
      <alignment vertical="center" wrapText="1"/>
    </xf>
    <xf numFmtId="4" fontId="1" fillId="9" borderId="4" xfId="0" applyNumberFormat="1" applyFont="1" applyFill="1" applyBorder="1" applyAlignment="1">
      <alignment vertical="center" wrapText="1"/>
    </xf>
    <xf numFmtId="0" fontId="3" fillId="0" borderId="4" xfId="0" applyFont="1" applyBorder="1" applyAlignment="1">
      <alignment horizontal="left" vertical="center" wrapText="1"/>
    </xf>
    <xf numFmtId="49" fontId="3" fillId="9" borderId="4" xfId="0" applyNumberFormat="1" applyFont="1" applyFill="1" applyBorder="1" applyAlignment="1">
      <alignment horizontal="left" vertical="center" wrapText="1"/>
    </xf>
    <xf numFmtId="4" fontId="0" fillId="7" borderId="7" xfId="0" applyNumberFormat="1" applyFill="1" applyBorder="1" applyAlignment="1">
      <alignment vertical="center" wrapText="1"/>
    </xf>
    <xf numFmtId="0" fontId="1" fillId="0" borderId="12" xfId="0" applyFont="1" applyBorder="1" applyAlignment="1">
      <alignment vertical="center" wrapText="1"/>
    </xf>
    <xf numFmtId="0" fontId="3" fillId="0" borderId="5" xfId="0" applyFont="1" applyBorder="1" applyAlignment="1">
      <alignment horizontal="left" vertical="center" wrapText="1"/>
    </xf>
    <xf numFmtId="0" fontId="1" fillId="0" borderId="11" xfId="0" applyFont="1" applyBorder="1" applyAlignment="1">
      <alignment vertical="center" wrapText="1"/>
    </xf>
    <xf numFmtId="4" fontId="0" fillId="7" borderId="19" xfId="0" applyNumberFormat="1" applyFill="1" applyBorder="1" applyAlignment="1">
      <alignment vertical="center" wrapText="1"/>
    </xf>
    <xf numFmtId="4" fontId="0" fillId="7" borderId="20" xfId="0" applyNumberFormat="1" applyFill="1" applyBorder="1" applyAlignment="1">
      <alignment vertical="center" wrapText="1"/>
    </xf>
    <xf numFmtId="0" fontId="3" fillId="9" borderId="5" xfId="0" applyFont="1" applyFill="1" applyBorder="1" applyAlignment="1">
      <alignment horizontal="left" vertical="center" wrapText="1"/>
    </xf>
    <xf numFmtId="49" fontId="1" fillId="9" borderId="4" xfId="0" applyNumberFormat="1" applyFont="1" applyFill="1" applyBorder="1" applyAlignment="1">
      <alignment vertical="center" wrapText="1"/>
    </xf>
    <xf numFmtId="0" fontId="1" fillId="0" borderId="4" xfId="2" applyBorder="1" applyAlignment="1">
      <alignment vertical="center" wrapText="1"/>
    </xf>
    <xf numFmtId="4" fontId="1" fillId="0" borderId="4" xfId="2" applyNumberFormat="1" applyBorder="1" applyAlignment="1">
      <alignment vertical="center" wrapText="1"/>
    </xf>
    <xf numFmtId="4" fontId="0" fillId="0" borderId="4" xfId="0" applyNumberFormat="1" applyBorder="1" applyAlignment="1">
      <alignment vertical="center"/>
    </xf>
    <xf numFmtId="4" fontId="2" fillId="0" borderId="0" xfId="0" applyNumberFormat="1" applyFont="1" applyAlignment="1">
      <alignment vertical="center" wrapText="1"/>
    </xf>
    <xf numFmtId="4" fontId="0" fillId="7" borderId="8" xfId="0" applyNumberFormat="1" applyFill="1" applyBorder="1" applyAlignment="1">
      <alignment vertical="center" wrapText="1"/>
    </xf>
    <xf numFmtId="4" fontId="0" fillId="6" borderId="22" xfId="0" applyNumberFormat="1" applyFill="1" applyBorder="1" applyAlignment="1">
      <alignment vertical="center" wrapText="1"/>
    </xf>
    <xf numFmtId="3" fontId="11" fillId="0" borderId="0" xfId="0" applyNumberFormat="1" applyFont="1"/>
    <xf numFmtId="3" fontId="2" fillId="0" borderId="0" xfId="0" applyNumberFormat="1" applyFont="1"/>
    <xf numFmtId="0" fontId="1" fillId="0" borderId="11" xfId="0" applyFont="1" applyBorder="1" applyAlignment="1">
      <alignment horizontal="left" vertical="center" wrapText="1"/>
    </xf>
    <xf numFmtId="2" fontId="2" fillId="0" borderId="6" xfId="1" applyNumberFormat="1" applyFont="1" applyBorder="1" applyAlignment="1">
      <alignment horizontal="right" vertical="center" wrapText="1"/>
    </xf>
    <xf numFmtId="3" fontId="3" fillId="10" borderId="8" xfId="1" applyNumberFormat="1" applyFont="1" applyFill="1" applyBorder="1" applyAlignment="1">
      <alignment horizontal="right" vertical="center" wrapText="1"/>
    </xf>
    <xf numFmtId="3" fontId="3" fillId="11" borderId="8" xfId="1" applyNumberFormat="1" applyFont="1" applyFill="1" applyBorder="1" applyAlignment="1">
      <alignment horizontal="right" vertical="center" wrapText="1"/>
    </xf>
    <xf numFmtId="3" fontId="6" fillId="6" borderId="8" xfId="1" applyNumberFormat="1" applyFont="1" applyFill="1" applyBorder="1" applyAlignment="1">
      <alignment horizontal="right" vertical="center" wrapText="1"/>
    </xf>
    <xf numFmtId="4" fontId="0" fillId="9" borderId="4" xfId="0" applyNumberFormat="1" applyFill="1" applyBorder="1" applyAlignment="1">
      <alignment vertical="center" wrapText="1"/>
    </xf>
    <xf numFmtId="4" fontId="2" fillId="9" borderId="5" xfId="0" applyNumberFormat="1" applyFont="1" applyFill="1" applyBorder="1" applyAlignment="1">
      <alignment horizontal="right" vertical="center" wrapText="1"/>
    </xf>
    <xf numFmtId="0" fontId="3" fillId="0" borderId="4" xfId="0" applyFont="1" applyBorder="1" applyAlignment="1">
      <alignment horizontal="right" vertical="center" wrapText="1"/>
    </xf>
    <xf numFmtId="0" fontId="3" fillId="0" borderId="3" xfId="0" applyFont="1" applyBorder="1" applyAlignment="1">
      <alignment horizontal="left" vertical="center" wrapText="1"/>
    </xf>
    <xf numFmtId="0" fontId="2" fillId="0" borderId="0" xfId="0" applyFont="1" applyAlignment="1">
      <alignment horizontal="left" wrapText="1"/>
    </xf>
    <xf numFmtId="0" fontId="2" fillId="0" borderId="21" xfId="0" applyFont="1" applyBorder="1" applyAlignment="1">
      <alignment horizontal="left" vertical="center" wrapText="1"/>
    </xf>
    <xf numFmtId="0" fontId="2" fillId="0" borderId="4" xfId="0" applyFont="1" applyBorder="1" applyAlignment="1">
      <alignment horizontal="left" vertical="center"/>
    </xf>
    <xf numFmtId="0" fontId="12" fillId="0" borderId="4" xfId="0" applyFont="1" applyBorder="1" applyAlignment="1">
      <alignment horizontal="right" vertical="center" wrapText="1"/>
    </xf>
    <xf numFmtId="0" fontId="11" fillId="0" borderId="4" xfId="0" applyFont="1" applyBorder="1" applyAlignment="1">
      <alignment horizontal="left" vertical="center" wrapText="1"/>
    </xf>
    <xf numFmtId="4" fontId="11" fillId="0" borderId="4" xfId="1" applyNumberFormat="1" applyFont="1" applyFill="1" applyBorder="1" applyAlignment="1">
      <alignment horizontal="right" vertical="center" wrapText="1"/>
    </xf>
    <xf numFmtId="4" fontId="11" fillId="0" borderId="6" xfId="1" applyNumberFormat="1" applyFont="1" applyFill="1" applyBorder="1" applyAlignment="1">
      <alignment horizontal="right" vertical="center" wrapText="1"/>
    </xf>
    <xf numFmtId="4" fontId="13" fillId="0" borderId="4" xfId="1" applyNumberFormat="1" applyFont="1" applyFill="1" applyBorder="1" applyAlignment="1">
      <alignment horizontal="right" vertical="center" wrapText="1"/>
    </xf>
    <xf numFmtId="49" fontId="3" fillId="0" borderId="4" xfId="0" applyNumberFormat="1" applyFont="1" applyBorder="1" applyAlignment="1">
      <alignment horizontal="right" vertical="center" wrapText="1"/>
    </xf>
    <xf numFmtId="49" fontId="3" fillId="0" borderId="26" xfId="0" applyNumberFormat="1" applyFont="1" applyBorder="1" applyAlignment="1">
      <alignment horizontal="right" vertical="center" wrapText="1"/>
    </xf>
    <xf numFmtId="0" fontId="2" fillId="0" borderId="0" xfId="0" applyFont="1" applyAlignment="1">
      <alignment horizontal="left" vertical="center" wrapText="1"/>
    </xf>
    <xf numFmtId="0" fontId="2" fillId="0" borderId="26" xfId="0" applyFont="1" applyBorder="1" applyAlignment="1">
      <alignment horizontal="left" vertical="center" wrapText="1"/>
    </xf>
    <xf numFmtId="4" fontId="2" fillId="0" borderId="5" xfId="0" applyNumberFormat="1" applyFont="1" applyBorder="1" applyAlignment="1">
      <alignment horizontal="right" vertical="center" wrapText="1"/>
    </xf>
    <xf numFmtId="4" fontId="4" fillId="0" borderId="5" xfId="1" applyNumberFormat="1" applyFont="1" applyFill="1" applyBorder="1" applyAlignment="1">
      <alignment horizontal="right" vertical="center" wrapText="1"/>
    </xf>
    <xf numFmtId="0" fontId="3" fillId="0" borderId="26" xfId="0" applyFont="1" applyBorder="1" applyAlignment="1">
      <alignment horizontal="right" vertical="center" wrapText="1"/>
    </xf>
    <xf numFmtId="0" fontId="3" fillId="0" borderId="26" xfId="0" applyFont="1" applyBorder="1" applyAlignment="1">
      <alignment horizontal="left" vertical="center"/>
    </xf>
    <xf numFmtId="0" fontId="2" fillId="0" borderId="26" xfId="0" applyFont="1" applyBorder="1" applyAlignment="1">
      <alignment horizontal="left" vertical="center"/>
    </xf>
    <xf numFmtId="0" fontId="2" fillId="0" borderId="26" xfId="0" applyFont="1" applyBorder="1" applyAlignment="1">
      <alignment horizontal="right" vertical="center"/>
    </xf>
    <xf numFmtId="0" fontId="2" fillId="0" borderId="0" xfId="0" applyFont="1" applyAlignment="1">
      <alignment horizontal="right" vertical="center"/>
    </xf>
    <xf numFmtId="0" fontId="4" fillId="0" borderId="26" xfId="0" applyFont="1" applyBorder="1" applyAlignment="1">
      <alignment horizontal="right" vertical="center"/>
    </xf>
    <xf numFmtId="2" fontId="11" fillId="0" borderId="26" xfId="0" applyNumberFormat="1" applyFont="1" applyBorder="1" applyAlignment="1">
      <alignment horizontal="right" vertical="center"/>
    </xf>
    <xf numFmtId="2" fontId="2" fillId="0" borderId="26" xfId="0" applyNumberFormat="1" applyFont="1" applyBorder="1" applyAlignment="1">
      <alignment horizontal="right" vertical="center"/>
    </xf>
    <xf numFmtId="0" fontId="3" fillId="0" borderId="26" xfId="0" applyFont="1" applyBorder="1" applyAlignment="1">
      <alignment horizontal="left" vertical="center" wrapText="1"/>
    </xf>
    <xf numFmtId="0" fontId="2" fillId="0" borderId="5" xfId="0" applyFont="1" applyBorder="1" applyAlignment="1">
      <alignment horizontal="left" vertical="center" wrapText="1"/>
    </xf>
    <xf numFmtId="0" fontId="2" fillId="0" borderId="26" xfId="0" applyFont="1" applyBorder="1" applyAlignment="1">
      <alignment horizontal="right" vertical="center" wrapText="1"/>
    </xf>
    <xf numFmtId="0" fontId="4" fillId="0" borderId="26" xfId="0" applyFont="1" applyBorder="1" applyAlignment="1">
      <alignment horizontal="right" vertical="center" wrapText="1"/>
    </xf>
    <xf numFmtId="4" fontId="2" fillId="0" borderId="28" xfId="1" applyNumberFormat="1" applyFont="1" applyFill="1" applyBorder="1" applyAlignment="1">
      <alignment horizontal="right" vertical="center" wrapText="1"/>
    </xf>
    <xf numFmtId="0" fontId="3" fillId="0" borderId="0" xfId="0" applyFont="1" applyAlignment="1">
      <alignment horizontal="left" vertical="center" wrapText="1"/>
    </xf>
    <xf numFmtId="0" fontId="2" fillId="0" borderId="33" xfId="0" applyFont="1" applyBorder="1" applyAlignment="1">
      <alignment horizontal="left" vertical="center" wrapText="1"/>
    </xf>
    <xf numFmtId="4" fontId="2" fillId="0" borderId="33" xfId="1" applyNumberFormat="1" applyFont="1" applyFill="1" applyBorder="1" applyAlignment="1">
      <alignment horizontal="right" vertical="center" wrapText="1"/>
    </xf>
    <xf numFmtId="4" fontId="4" fillId="0" borderId="32" xfId="1" applyNumberFormat="1" applyFont="1" applyFill="1" applyBorder="1" applyAlignment="1">
      <alignment horizontal="right" vertical="center" wrapText="1"/>
    </xf>
    <xf numFmtId="2" fontId="2" fillId="0" borderId="28" xfId="1" applyNumberFormat="1" applyFont="1" applyFill="1" applyBorder="1" applyAlignment="1">
      <alignment horizontal="right" vertical="center" wrapText="1"/>
    </xf>
    <xf numFmtId="4" fontId="4" fillId="0" borderId="26" xfId="1" applyNumberFormat="1" applyFont="1" applyFill="1" applyBorder="1" applyAlignment="1">
      <alignment horizontal="right" vertical="center" wrapText="1"/>
    </xf>
    <xf numFmtId="4" fontId="11" fillId="8" borderId="4" xfId="1" applyNumberFormat="1" applyFont="1" applyFill="1" applyBorder="1" applyAlignment="1">
      <alignment horizontal="right" vertical="center" wrapText="1"/>
    </xf>
    <xf numFmtId="0" fontId="2" fillId="8" borderId="26" xfId="0" applyFont="1" applyFill="1" applyBorder="1" applyAlignment="1">
      <alignment horizontal="right" vertical="center"/>
    </xf>
    <xf numFmtId="2" fontId="2" fillId="8" borderId="26" xfId="0" applyNumberFormat="1" applyFont="1" applyFill="1" applyBorder="1" applyAlignment="1">
      <alignment horizontal="right" vertical="center"/>
    </xf>
    <xf numFmtId="0" fontId="2" fillId="8" borderId="32" xfId="0" applyFont="1" applyFill="1" applyBorder="1" applyAlignment="1">
      <alignment horizontal="right" vertical="center"/>
    </xf>
    <xf numFmtId="2" fontId="2" fillId="8" borderId="32" xfId="0" applyNumberFormat="1" applyFont="1" applyFill="1" applyBorder="1" applyAlignment="1">
      <alignment horizontal="right" vertical="center"/>
    </xf>
    <xf numFmtId="0" fontId="2" fillId="8" borderId="26" xfId="0" applyFont="1" applyFill="1" applyBorder="1" applyAlignment="1">
      <alignment horizontal="right" vertical="center" wrapText="1"/>
    </xf>
    <xf numFmtId="0" fontId="2" fillId="8" borderId="33" xfId="0" applyFont="1" applyFill="1" applyBorder="1" applyAlignment="1">
      <alignment horizontal="right" vertical="center" wrapText="1"/>
    </xf>
    <xf numFmtId="2" fontId="2" fillId="8" borderId="26" xfId="0" applyNumberFormat="1" applyFont="1" applyFill="1" applyBorder="1" applyAlignment="1">
      <alignment horizontal="right" vertical="center" wrapText="1"/>
    </xf>
    <xf numFmtId="2" fontId="2" fillId="0" borderId="0" xfId="0" applyNumberFormat="1" applyFont="1" applyAlignment="1">
      <alignment horizontal="right" vertical="center"/>
    </xf>
    <xf numFmtId="0" fontId="14" fillId="0" borderId="0" xfId="0" applyFont="1"/>
    <xf numFmtId="0" fontId="14" fillId="0" borderId="0" xfId="0" applyFont="1" applyAlignment="1">
      <alignment horizontal="right"/>
    </xf>
    <xf numFmtId="0" fontId="12" fillId="0" borderId="26" xfId="0" applyFont="1" applyBorder="1" applyAlignment="1">
      <alignment horizontal="right" vertical="center"/>
    </xf>
    <xf numFmtId="0" fontId="2" fillId="0" borderId="0" xfId="0" applyFont="1" applyAlignment="1">
      <alignment horizontal="right" vertical="center" wrapText="1"/>
    </xf>
    <xf numFmtId="0" fontId="14" fillId="0" borderId="0" xfId="0" applyFont="1" applyAlignment="1">
      <alignment horizontal="right" vertical="center"/>
    </xf>
    <xf numFmtId="0" fontId="11" fillId="0" borderId="26" xfId="0" applyFont="1" applyBorder="1" applyAlignment="1">
      <alignment wrapText="1"/>
    </xf>
    <xf numFmtId="3" fontId="11" fillId="0" borderId="0" xfId="0" applyNumberFormat="1" applyFont="1" applyAlignment="1">
      <alignment horizontal="righ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16" fillId="0" borderId="0" xfId="0" applyFont="1" applyAlignment="1">
      <alignment horizontal="center" vertical="center" wrapText="1"/>
    </xf>
    <xf numFmtId="0" fontId="11" fillId="0" borderId="0" xfId="0" applyFont="1" applyAlignment="1">
      <alignment horizontal="center" vertical="center" wrapText="1"/>
    </xf>
    <xf numFmtId="43" fontId="11" fillId="0" borderId="0" xfId="1" applyFont="1" applyFill="1" applyBorder="1" applyAlignment="1">
      <alignment horizontal="center" vertical="center" wrapText="1"/>
    </xf>
    <xf numFmtId="0" fontId="17" fillId="0" borderId="0" xfId="0" applyFont="1" applyAlignment="1">
      <alignment horizontal="center" vertical="center" wrapText="1"/>
    </xf>
    <xf numFmtId="3" fontId="2" fillId="0" borderId="0" xfId="0" applyNumberFormat="1" applyFont="1" applyAlignment="1">
      <alignment horizontal="center" vertical="center" wrapText="1"/>
    </xf>
    <xf numFmtId="3" fontId="11" fillId="0" borderId="0" xfId="0" applyNumberFormat="1" applyFont="1" applyAlignment="1">
      <alignment horizontal="center" vertical="center" wrapText="1"/>
    </xf>
    <xf numFmtId="3" fontId="16" fillId="0" borderId="0" xfId="0" applyNumberFormat="1" applyFont="1" applyAlignment="1">
      <alignment wrapText="1"/>
    </xf>
    <xf numFmtId="0" fontId="3" fillId="0" borderId="0" xfId="0" applyFont="1" applyAlignment="1">
      <alignment horizontal="center" vertical="center" wrapText="1"/>
    </xf>
    <xf numFmtId="4" fontId="2" fillId="0" borderId="4" xfId="0" applyNumberFormat="1" applyFont="1" applyBorder="1" applyAlignment="1">
      <alignment horizontal="left" vertical="center" wrapText="1"/>
    </xf>
    <xf numFmtId="3" fontId="16" fillId="0" borderId="0" xfId="0" applyNumberFormat="1" applyFont="1" applyAlignment="1">
      <alignment horizontal="right" vertical="center" wrapText="1"/>
    </xf>
    <xf numFmtId="0" fontId="17" fillId="0" borderId="0" xfId="0" applyFont="1" applyAlignment="1">
      <alignment horizontal="left" vertical="center" wrapText="1"/>
    </xf>
    <xf numFmtId="0" fontId="2" fillId="9" borderId="34" xfId="0" applyFont="1" applyFill="1" applyBorder="1" applyAlignment="1">
      <alignment vertical="center" wrapText="1"/>
    </xf>
    <xf numFmtId="0" fontId="16" fillId="0" borderId="0" xfId="0" applyFont="1" applyAlignment="1">
      <alignment wrapText="1"/>
    </xf>
    <xf numFmtId="43" fontId="2" fillId="0" borderId="0" xfId="1" applyFont="1" applyAlignment="1">
      <alignment wrapText="1"/>
    </xf>
    <xf numFmtId="164" fontId="2" fillId="0" borderId="0" xfId="0" applyNumberFormat="1" applyFont="1" applyAlignment="1">
      <alignment wrapText="1"/>
    </xf>
    <xf numFmtId="4" fontId="11" fillId="0" borderId="4" xfId="0" applyNumberFormat="1" applyFont="1" applyBorder="1" applyAlignment="1">
      <alignment horizontal="left" vertical="center" wrapText="1"/>
    </xf>
    <xf numFmtId="4" fontId="2" fillId="0" borderId="24" xfId="0" applyNumberFormat="1" applyFont="1" applyBorder="1" applyAlignment="1">
      <alignment horizontal="left" vertical="center" wrapText="1"/>
    </xf>
    <xf numFmtId="0" fontId="2" fillId="0" borderId="23" xfId="0" applyFont="1" applyBorder="1" applyAlignment="1">
      <alignment horizontal="left" vertical="center" wrapText="1"/>
    </xf>
    <xf numFmtId="4" fontId="2" fillId="0" borderId="23" xfId="0" applyNumberFormat="1" applyFont="1" applyBorder="1" applyAlignment="1">
      <alignment horizontal="left" vertical="center" wrapText="1"/>
    </xf>
    <xf numFmtId="0" fontId="11" fillId="0" borderId="0" xfId="0" applyFont="1" applyAlignment="1">
      <alignment horizontal="left" vertical="center" wrapText="1"/>
    </xf>
    <xf numFmtId="4" fontId="2" fillId="0" borderId="0" xfId="0" applyNumberFormat="1" applyFont="1" applyAlignment="1">
      <alignment horizontal="left" vertical="center" wrapText="1"/>
    </xf>
    <xf numFmtId="4" fontId="2" fillId="7" borderId="7" xfId="0" applyNumberFormat="1" applyFont="1" applyFill="1" applyBorder="1" applyAlignment="1">
      <alignment horizontal="left" vertical="center" wrapText="1"/>
    </xf>
    <xf numFmtId="0" fontId="2" fillId="0" borderId="11" xfId="0" applyFont="1" applyBorder="1" applyAlignment="1">
      <alignment horizontal="left" vertical="center" wrapText="1"/>
    </xf>
    <xf numFmtId="0" fontId="2" fillId="0" borderId="27" xfId="0" applyFont="1" applyBorder="1" applyAlignment="1">
      <alignment horizontal="left" vertical="center" wrapText="1"/>
    </xf>
    <xf numFmtId="0" fontId="2" fillId="0" borderId="12" xfId="0" applyFont="1" applyBorder="1" applyAlignment="1">
      <alignment horizontal="left" vertical="center" wrapText="1"/>
    </xf>
    <xf numFmtId="4" fontId="2" fillId="7" borderId="19" xfId="0" applyNumberFormat="1" applyFont="1" applyFill="1" applyBorder="1" applyAlignment="1">
      <alignment horizontal="left" vertical="center" wrapText="1"/>
    </xf>
    <xf numFmtId="4" fontId="2" fillId="7" borderId="20" xfId="0" applyNumberFormat="1" applyFont="1" applyFill="1" applyBorder="1" applyAlignment="1">
      <alignment horizontal="left" vertical="center" wrapText="1"/>
    </xf>
    <xf numFmtId="49" fontId="2" fillId="0" borderId="4" xfId="0" applyNumberFormat="1" applyFont="1" applyBorder="1" applyAlignment="1">
      <alignment horizontal="left" vertical="center" wrapText="1"/>
    </xf>
    <xf numFmtId="0" fontId="2" fillId="0" borderId="4" xfId="2" applyFont="1" applyBorder="1" applyAlignment="1">
      <alignment horizontal="left" vertical="center" wrapText="1"/>
    </xf>
    <xf numFmtId="4" fontId="2" fillId="0" borderId="4" xfId="2" applyNumberFormat="1" applyFont="1" applyBorder="1" applyAlignment="1">
      <alignment horizontal="left" vertical="center" wrapText="1"/>
    </xf>
    <xf numFmtId="4" fontId="2" fillId="0" borderId="4" xfId="0" applyNumberFormat="1" applyFont="1" applyBorder="1" applyAlignment="1">
      <alignment horizontal="left" vertical="center"/>
    </xf>
    <xf numFmtId="4" fontId="2" fillId="0" borderId="31" xfId="2" applyNumberFormat="1" applyFont="1" applyBorder="1" applyAlignment="1">
      <alignment horizontal="left" vertical="center" wrapText="1"/>
    </xf>
    <xf numFmtId="4" fontId="2" fillId="0" borderId="0" xfId="0" applyNumberFormat="1" applyFont="1" applyAlignment="1">
      <alignment horizontal="left" vertical="center"/>
    </xf>
    <xf numFmtId="4" fontId="2" fillId="0" borderId="0" xfId="2" applyNumberFormat="1" applyFont="1" applyAlignment="1">
      <alignment horizontal="left" vertical="center" wrapText="1"/>
    </xf>
    <xf numFmtId="4" fontId="2" fillId="7" borderId="8" xfId="0" applyNumberFormat="1" applyFont="1" applyFill="1" applyBorder="1" applyAlignment="1">
      <alignment horizontal="left" vertical="center" wrapText="1"/>
    </xf>
    <xf numFmtId="4" fontId="2" fillId="6" borderId="22" xfId="0" applyNumberFormat="1" applyFont="1" applyFill="1" applyBorder="1" applyAlignment="1">
      <alignment horizontal="left" vertical="center" wrapText="1"/>
    </xf>
    <xf numFmtId="3" fontId="6" fillId="7" borderId="13" xfId="1" applyNumberFormat="1" applyFont="1" applyFill="1" applyBorder="1" applyAlignment="1">
      <alignment horizontal="right" vertical="center" wrapText="1"/>
    </xf>
    <xf numFmtId="2" fontId="2" fillId="0" borderId="26" xfId="0" applyNumberFormat="1" applyFont="1" applyBorder="1" applyAlignment="1">
      <alignment horizontal="right" vertical="center" wrapText="1"/>
    </xf>
    <xf numFmtId="4" fontId="2" fillId="8" borderId="4" xfId="1" applyNumberFormat="1" applyFont="1" applyFill="1" applyBorder="1" applyAlignment="1">
      <alignment horizontal="center" vertical="center" wrapText="1"/>
    </xf>
    <xf numFmtId="4" fontId="2" fillId="0" borderId="26" xfId="0" applyNumberFormat="1" applyFont="1" applyBorder="1" applyAlignment="1">
      <alignment horizontal="right" vertical="center" wrapText="1"/>
    </xf>
    <xf numFmtId="37" fontId="15" fillId="0" borderId="9" xfId="0" applyNumberFormat="1" applyFont="1" applyBorder="1" applyAlignment="1">
      <alignment horizontal="left" vertical="center" wrapText="1"/>
    </xf>
    <xf numFmtId="3" fontId="3" fillId="0" borderId="9" xfId="0" applyNumberFormat="1" applyFont="1" applyBorder="1" applyAlignment="1">
      <alignment horizontal="right" vertical="center" wrapText="1"/>
    </xf>
    <xf numFmtId="0" fontId="12" fillId="0" borderId="4" xfId="0" applyFont="1" applyBorder="1" applyAlignment="1">
      <alignment horizontal="left" vertical="center" wrapText="1"/>
    </xf>
    <xf numFmtId="49" fontId="12" fillId="0" borderId="4" xfId="0" applyNumberFormat="1" applyFont="1" applyBorder="1" applyAlignment="1">
      <alignment horizontal="left" vertical="center" wrapText="1"/>
    </xf>
    <xf numFmtId="49" fontId="12" fillId="0" borderId="26" xfId="0" applyNumberFormat="1" applyFont="1" applyBorder="1" applyAlignment="1">
      <alignment horizontal="left" vertical="center" wrapText="1"/>
    </xf>
    <xf numFmtId="0" fontId="12" fillId="0" borderId="26" xfId="0" applyFont="1" applyBorder="1" applyAlignment="1">
      <alignment horizontal="left" vertical="center"/>
    </xf>
    <xf numFmtId="0" fontId="12" fillId="0" borderId="26" xfId="0" applyFont="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3" fontId="3" fillId="7" borderId="20" xfId="1" applyNumberFormat="1" applyFont="1" applyFill="1" applyBorder="1" applyAlignment="1">
      <alignment horizontal="right" vertical="center" wrapText="1"/>
    </xf>
    <xf numFmtId="3" fontId="3" fillId="6" borderId="22" xfId="1" applyNumberFormat="1" applyFont="1" applyFill="1" applyBorder="1" applyAlignment="1">
      <alignment horizontal="right" vertical="center" wrapText="1"/>
    </xf>
    <xf numFmtId="0" fontId="11" fillId="0" borderId="26" xfId="0" applyFont="1" applyBorder="1" applyAlignment="1">
      <alignment horizontal="left" vertical="center"/>
    </xf>
    <xf numFmtId="3" fontId="3" fillId="7" borderId="37" xfId="1" applyNumberFormat="1" applyFont="1" applyFill="1" applyBorder="1" applyAlignment="1">
      <alignment horizontal="right" vertical="center" wrapText="1"/>
    </xf>
    <xf numFmtId="4" fontId="3" fillId="7" borderId="37" xfId="1" applyNumberFormat="1" applyFont="1" applyFill="1" applyBorder="1" applyAlignment="1">
      <alignment horizontal="right" vertical="center" wrapText="1"/>
    </xf>
    <xf numFmtId="3" fontId="3" fillId="7" borderId="38" xfId="1" applyNumberFormat="1" applyFont="1" applyFill="1" applyBorder="1" applyAlignment="1">
      <alignment horizontal="right" vertical="center" wrapText="1"/>
    </xf>
    <xf numFmtId="3" fontId="3" fillId="7" borderId="22" xfId="1" applyNumberFormat="1" applyFont="1" applyFill="1" applyBorder="1" applyAlignment="1">
      <alignment horizontal="right" vertical="center" wrapText="1"/>
    </xf>
    <xf numFmtId="4" fontId="3" fillId="7" borderId="9" xfId="1" applyNumberFormat="1" applyFont="1" applyFill="1" applyBorder="1" applyAlignment="1">
      <alignment horizontal="right" vertical="center" wrapText="1"/>
    </xf>
    <xf numFmtId="3" fontId="6" fillId="7" borderId="22" xfId="1" applyNumberFormat="1" applyFont="1" applyFill="1" applyBorder="1" applyAlignment="1">
      <alignment horizontal="right" vertical="center" wrapText="1"/>
    </xf>
    <xf numFmtId="3" fontId="6" fillId="7" borderId="38" xfId="1" applyNumberFormat="1" applyFont="1" applyFill="1" applyBorder="1" applyAlignment="1">
      <alignment horizontal="right" vertical="center" wrapText="1"/>
    </xf>
    <xf numFmtId="4" fontId="3" fillId="7" borderId="11" xfId="1" applyNumberFormat="1" applyFont="1" applyFill="1" applyBorder="1" applyAlignment="1">
      <alignment horizontal="right" vertical="center" wrapText="1"/>
    </xf>
    <xf numFmtId="4" fontId="3" fillId="7" borderId="38" xfId="1" applyNumberFormat="1" applyFont="1" applyFill="1" applyBorder="1" applyAlignment="1">
      <alignment horizontal="right" vertical="center" wrapText="1"/>
    </xf>
    <xf numFmtId="4" fontId="2" fillId="0" borderId="0" xfId="0" applyNumberFormat="1" applyFont="1" applyAlignment="1">
      <alignment horizontal="right" vertical="center" wrapText="1"/>
    </xf>
    <xf numFmtId="4" fontId="2" fillId="0" borderId="26" xfId="0" applyNumberFormat="1" applyFont="1" applyBorder="1" applyAlignment="1">
      <alignment horizontal="right" vertical="center"/>
    </xf>
    <xf numFmtId="4" fontId="2" fillId="0" borderId="28" xfId="0" applyNumberFormat="1" applyFont="1" applyBorder="1" applyAlignment="1">
      <alignment horizontal="left" vertical="center" wrapText="1"/>
    </xf>
    <xf numFmtId="0" fontId="11" fillId="0" borderId="26" xfId="0" applyFont="1" applyBorder="1" applyAlignment="1">
      <alignment horizontal="left" vertical="center" wrapText="1"/>
    </xf>
    <xf numFmtId="4" fontId="2" fillId="0" borderId="26" xfId="0" applyNumberFormat="1" applyFont="1" applyBorder="1" applyAlignment="1">
      <alignment horizontal="left" vertical="center" wrapText="1"/>
    </xf>
    <xf numFmtId="3" fontId="3" fillId="7" borderId="12" xfId="1" applyNumberFormat="1" applyFont="1" applyFill="1" applyBorder="1" applyAlignment="1">
      <alignment horizontal="right" vertical="center" wrapText="1"/>
    </xf>
    <xf numFmtId="4" fontId="3" fillId="7" borderId="12" xfId="1" applyNumberFormat="1" applyFont="1" applyFill="1" applyBorder="1" applyAlignment="1">
      <alignment horizontal="right" vertical="center" wrapText="1"/>
    </xf>
    <xf numFmtId="3" fontId="6" fillId="7" borderId="12" xfId="1" applyNumberFormat="1" applyFont="1" applyFill="1" applyBorder="1" applyAlignment="1">
      <alignment horizontal="right" vertical="center" wrapText="1"/>
    </xf>
    <xf numFmtId="4" fontId="3" fillId="7" borderId="42" xfId="1" applyNumberFormat="1" applyFont="1" applyFill="1" applyBorder="1" applyAlignment="1">
      <alignment horizontal="right" vertical="center" wrapText="1"/>
    </xf>
    <xf numFmtId="4" fontId="3" fillId="12" borderId="43" xfId="0" applyNumberFormat="1" applyFont="1" applyFill="1" applyBorder="1" applyAlignment="1">
      <alignment horizontal="right" vertical="center" wrapText="1"/>
    </xf>
    <xf numFmtId="3" fontId="3" fillId="7" borderId="18" xfId="1" applyNumberFormat="1" applyFont="1" applyFill="1" applyBorder="1" applyAlignment="1">
      <alignment horizontal="right" vertical="center" wrapText="1"/>
    </xf>
    <xf numFmtId="4" fontId="3" fillId="7" borderId="44" xfId="1" applyNumberFormat="1" applyFont="1" applyFill="1" applyBorder="1" applyAlignment="1">
      <alignment horizontal="right" vertical="center" wrapText="1"/>
    </xf>
    <xf numFmtId="0" fontId="2" fillId="0" borderId="32" xfId="0" applyFont="1" applyBorder="1" applyAlignment="1">
      <alignment horizontal="left" vertical="center" wrapText="1"/>
    </xf>
    <xf numFmtId="4" fontId="2" fillId="8" borderId="26" xfId="0" applyNumberFormat="1" applyFont="1" applyFill="1" applyBorder="1" applyAlignment="1">
      <alignment horizontal="right" vertical="center"/>
    </xf>
    <xf numFmtId="4" fontId="2" fillId="8" borderId="32" xfId="0" applyNumberFormat="1" applyFont="1" applyFill="1" applyBorder="1" applyAlignment="1">
      <alignment horizontal="right" vertical="center"/>
    </xf>
    <xf numFmtId="4" fontId="2" fillId="8" borderId="32" xfId="1" applyNumberFormat="1" applyFont="1" applyFill="1" applyBorder="1" applyAlignment="1">
      <alignment horizontal="right" vertical="center" wrapText="1"/>
    </xf>
    <xf numFmtId="4" fontId="2" fillId="8" borderId="26" xfId="0" applyNumberFormat="1" applyFont="1" applyFill="1" applyBorder="1" applyAlignment="1">
      <alignment horizontal="right" vertical="center" wrapText="1"/>
    </xf>
    <xf numFmtId="4" fontId="2" fillId="8" borderId="32" xfId="0" applyNumberFormat="1" applyFont="1" applyFill="1" applyBorder="1" applyAlignment="1">
      <alignment horizontal="right" vertical="center" wrapText="1"/>
    </xf>
    <xf numFmtId="165" fontId="2" fillId="8" borderId="32" xfId="0" applyNumberFormat="1" applyFont="1" applyFill="1" applyBorder="1" applyAlignment="1">
      <alignment horizontal="right" vertical="center" wrapText="1"/>
    </xf>
    <xf numFmtId="165" fontId="2" fillId="0" borderId="33" xfId="1" applyNumberFormat="1" applyFont="1" applyFill="1" applyBorder="1" applyAlignment="1">
      <alignment horizontal="right" vertical="center" wrapText="1"/>
    </xf>
    <xf numFmtId="0" fontId="2" fillId="0" borderId="32" xfId="0" applyFont="1" applyBorder="1" applyAlignment="1">
      <alignment horizontal="right" vertical="center" wrapText="1"/>
    </xf>
    <xf numFmtId="37" fontId="15" fillId="0" borderId="14" xfId="0" applyNumberFormat="1" applyFont="1" applyBorder="1" applyAlignment="1">
      <alignment horizontal="left" vertical="center" wrapText="1"/>
    </xf>
    <xf numFmtId="3" fontId="3" fillId="0" borderId="7" xfId="0" applyNumberFormat="1" applyFont="1" applyBorder="1" applyAlignment="1">
      <alignment horizontal="right" vertical="center" wrapText="1"/>
    </xf>
    <xf numFmtId="3" fontId="3" fillId="0" borderId="14" xfId="0" applyNumberFormat="1" applyFont="1" applyBorder="1" applyAlignment="1">
      <alignment horizontal="right" vertical="center" wrapText="1"/>
    </xf>
    <xf numFmtId="37" fontId="15" fillId="0" borderId="14" xfId="0" applyNumberFormat="1" applyFont="1" applyBorder="1" applyAlignment="1">
      <alignment horizontal="left" vertical="center" wrapText="1"/>
    </xf>
    <xf numFmtId="37" fontId="15" fillId="0" borderId="7" xfId="0" applyNumberFormat="1" applyFont="1" applyBorder="1" applyAlignment="1">
      <alignment horizontal="left" vertical="center" wrapText="1"/>
    </xf>
    <xf numFmtId="3" fontId="3" fillId="0" borderId="14" xfId="0" applyNumberFormat="1" applyFont="1" applyBorder="1" applyAlignment="1">
      <alignment horizontal="right" vertical="center" wrapText="1"/>
    </xf>
    <xf numFmtId="3" fontId="3" fillId="0" borderId="7" xfId="0" applyNumberFormat="1" applyFont="1" applyBorder="1" applyAlignment="1">
      <alignment horizontal="right" vertical="center" wrapText="1"/>
    </xf>
    <xf numFmtId="37" fontId="15" fillId="0" borderId="14" xfId="0" applyNumberFormat="1" applyFont="1" applyBorder="1" applyAlignment="1">
      <alignment horizontal="left" wrapText="1"/>
    </xf>
    <xf numFmtId="37" fontId="15" fillId="0" borderId="7" xfId="0" applyNumberFormat="1" applyFont="1" applyBorder="1" applyAlignment="1">
      <alignment horizontal="left" wrapText="1"/>
    </xf>
    <xf numFmtId="4" fontId="3" fillId="0" borderId="14" xfId="0" applyNumberFormat="1" applyFont="1" applyBorder="1" applyAlignment="1">
      <alignment horizontal="right" vertical="center" wrapText="1"/>
    </xf>
    <xf numFmtId="4" fontId="3" fillId="0" borderId="7" xfId="0" applyNumberFormat="1" applyFont="1" applyBorder="1" applyAlignment="1">
      <alignment horizontal="right" vertical="center" wrapText="1"/>
    </xf>
    <xf numFmtId="0" fontId="3" fillId="4" borderId="1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7" borderId="14" xfId="0" applyFont="1" applyFill="1" applyBorder="1" applyAlignment="1">
      <alignment horizontal="right" vertical="center" wrapText="1"/>
    </xf>
    <xf numFmtId="0" fontId="3" fillId="7" borderId="14"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5" borderId="14" xfId="0" applyFont="1" applyFill="1" applyBorder="1" applyAlignment="1">
      <alignment horizontal="center" wrapText="1"/>
    </xf>
    <xf numFmtId="0" fontId="3" fillId="5" borderId="9" xfId="0" applyFont="1" applyFill="1" applyBorder="1" applyAlignment="1">
      <alignment horizontal="center" wrapText="1"/>
    </xf>
    <xf numFmtId="0" fontId="3" fillId="5" borderId="7" xfId="0" applyFont="1" applyFill="1" applyBorder="1" applyAlignment="1">
      <alignment horizontal="center" wrapText="1"/>
    </xf>
    <xf numFmtId="37" fontId="15" fillId="0" borderId="14" xfId="0" applyNumberFormat="1" applyFont="1" applyBorder="1" applyAlignment="1">
      <alignment wrapText="1"/>
    </xf>
    <xf numFmtId="37" fontId="15" fillId="0" borderId="7" xfId="0" applyNumberFormat="1" applyFont="1" applyBorder="1" applyAlignment="1">
      <alignment wrapText="1"/>
    </xf>
    <xf numFmtId="0" fontId="3" fillId="3" borderId="39"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7" borderId="18" xfId="0" applyFont="1" applyFill="1" applyBorder="1" applyAlignment="1">
      <alignment horizontal="right" vertical="center" wrapText="1"/>
    </xf>
    <xf numFmtId="0" fontId="3" fillId="3" borderId="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2" fillId="6" borderId="7" xfId="0" applyFont="1" applyFill="1" applyBorder="1" applyAlignment="1">
      <alignment horizontal="center" vertical="center" wrapText="1"/>
    </xf>
    <xf numFmtId="3" fontId="2" fillId="0" borderId="7" xfId="0" applyNumberFormat="1" applyFont="1" applyBorder="1" applyAlignment="1">
      <alignment horizontal="right" vertical="center" wrapText="1"/>
    </xf>
    <xf numFmtId="37" fontId="7" fillId="0" borderId="14" xfId="0" applyNumberFormat="1" applyFont="1" applyBorder="1" applyAlignment="1">
      <alignment wrapText="1"/>
    </xf>
    <xf numFmtId="0" fontId="2" fillId="0" borderId="9" xfId="0" applyFont="1" applyBorder="1" applyAlignment="1">
      <alignment wrapText="1"/>
    </xf>
    <xf numFmtId="0" fontId="2" fillId="5" borderId="7" xfId="0" applyFont="1" applyFill="1" applyBorder="1" applyAlignment="1">
      <alignment wrapText="1"/>
    </xf>
    <xf numFmtId="37" fontId="7" fillId="0" borderId="14" xfId="0" applyNumberFormat="1" applyFont="1" applyBorder="1" applyAlignment="1">
      <alignment horizontal="left" wrapText="1"/>
    </xf>
    <xf numFmtId="37" fontId="7" fillId="0" borderId="9" xfId="0" applyNumberFormat="1" applyFont="1" applyBorder="1" applyAlignment="1">
      <alignment horizontal="left" wrapText="1"/>
    </xf>
    <xf numFmtId="4" fontId="3" fillId="0" borderId="18" xfId="0" applyNumberFormat="1" applyFont="1" applyBorder="1" applyAlignment="1">
      <alignment horizontal="right" vertical="center" wrapText="1"/>
    </xf>
    <xf numFmtId="4" fontId="2" fillId="0" borderId="19" xfId="0" applyNumberFormat="1" applyFont="1" applyBorder="1" applyAlignment="1">
      <alignment horizontal="right" vertical="center" wrapText="1"/>
    </xf>
    <xf numFmtId="0" fontId="3" fillId="2" borderId="0" xfId="0" applyFont="1" applyFill="1" applyAlignment="1">
      <alignment horizontal="center" vertical="center" wrapText="1"/>
    </xf>
    <xf numFmtId="0" fontId="3" fillId="4" borderId="1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3" borderId="0" xfId="0" applyFont="1" applyFill="1" applyAlignment="1">
      <alignment horizontal="center" vertical="center" wrapText="1"/>
    </xf>
    <xf numFmtId="0" fontId="2" fillId="0" borderId="9" xfId="0" applyFont="1" applyBorder="1" applyAlignment="1">
      <alignment horizontal="left" wrapText="1"/>
    </xf>
    <xf numFmtId="4" fontId="3" fillId="0" borderId="2" xfId="0" applyNumberFormat="1" applyFont="1" applyBorder="1" applyAlignment="1">
      <alignment horizontal="right" vertical="center" wrapText="1"/>
    </xf>
    <xf numFmtId="4" fontId="2" fillId="0" borderId="3" xfId="0" applyNumberFormat="1" applyFont="1" applyBorder="1" applyAlignment="1">
      <alignment horizontal="right" vertical="center" wrapText="1"/>
    </xf>
    <xf numFmtId="0" fontId="8" fillId="0" borderId="9" xfId="0" applyFont="1" applyBorder="1" applyAlignment="1">
      <alignment horizontal="left" wrapText="1"/>
    </xf>
    <xf numFmtId="37" fontId="7" fillId="0" borderId="14" xfId="0" applyNumberFormat="1" applyFont="1" applyBorder="1" applyAlignment="1">
      <alignment horizontal="left" vertical="center" wrapText="1"/>
    </xf>
    <xf numFmtId="0" fontId="2" fillId="0" borderId="9" xfId="0" applyFont="1" applyBorder="1" applyAlignment="1">
      <alignment horizontal="left" vertical="center" wrapText="1"/>
    </xf>
    <xf numFmtId="3" fontId="3" fillId="0" borderId="16" xfId="0" applyNumberFormat="1" applyFont="1" applyBorder="1" applyAlignment="1">
      <alignment horizontal="right" vertical="center" wrapText="1"/>
    </xf>
    <xf numFmtId="3" fontId="2" fillId="0" borderId="20" xfId="0" applyNumberFormat="1" applyFont="1" applyBorder="1" applyAlignment="1">
      <alignment horizontal="right" vertical="center" wrapText="1"/>
    </xf>
    <xf numFmtId="3" fontId="3" fillId="13" borderId="14" xfId="0" applyNumberFormat="1" applyFont="1" applyFill="1" applyBorder="1" applyAlignment="1">
      <alignment horizontal="right" vertical="center" wrapText="1"/>
    </xf>
    <xf numFmtId="3" fontId="3" fillId="13" borderId="7" xfId="0" applyNumberFormat="1" applyFont="1" applyFill="1" applyBorder="1" applyAlignment="1">
      <alignment horizontal="right" vertical="center" wrapText="1"/>
    </xf>
  </cellXfs>
  <cellStyles count="3">
    <cellStyle name="Comma" xfId="1" builtinId="3"/>
    <cellStyle name="Normal" xfId="0" builtinId="0"/>
    <cellStyle name="Normal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7B6CC"/>
      <color rgb="FFBE99C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Gordon, Anna - FNS" id="{72356FF7-3613-45E3-B182-FF715FAE548E}" userId="S::anna.gordon@usda.gov::5779f16c-c016-4d4c-bbb3-5f60919a4e59" providerId="AD"/>
  <person displayName="Adedze, Pascasie - FNS" id="{9F2E609A-09C1-4783-8C2A-C04D97936EE3}" userId="S::pascasie.adedze@usda.gov::a4e99aae-d7b7-4712-9deb-2213c67b4d2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U3" dT="2022-10-05T13:51:56.93" personId="{72356FF7-3613-45E3-B182-FF715FAE548E}" id="{E469BE6D-3DE8-4C26-9A26-4A1D71B368FE}">
    <text xml:space="preserve">Used numbers provided by SAs who indicated they do accept WIC CVB at farmers markets.  For those, that did not provide a number, we used the number of authorized farmers/markets in the FMNP.  For those that don't administer FMNP, we came up with an average number of 173 farmers/markets per SA. </text>
  </threadedComment>
  <threadedComment ref="L78" dT="2022-10-03T14:41:06.48" personId="{9F2E609A-09C1-4783-8C2A-C04D97936EE3}" id="{0B7A882E-D7D4-4919-90DE-CE1FA8F22E9B}">
    <text xml:space="preserve">first nut ed contact is done during certification. Was this counted for  in certification section? How about  in section 246.4 (state plan section) where Nut Ed may be reported in State plans.   For the second Nut Ed contact, it may have decreased due to online options.  I am just thinking that 1st Nut Ed contact may have been reported in State Plan or Certification sections.  Just to check for any duplication as Nut Ed is a regulatory requirement, I am not sure how this was missed previously. I think in this section we can estimate the 2nd Nut Ed  session because the first one is embedded in Certification section. Please let me know for any further discussions. Thanks
</text>
  </threadedComment>
</ThreadedComments>
</file>

<file path=xl/threadedComments/threadedComment2.xml><?xml version="1.0" encoding="utf-8"?>
<ThreadedComments xmlns="http://schemas.microsoft.com/office/spreadsheetml/2018/threadedcomments" xmlns:x="http://schemas.openxmlformats.org/spreadsheetml/2006/main">
  <threadedComment ref="T3" dT="2022-10-05T13:51:56.93" personId="{72356FF7-3613-45E3-B182-FF715FAE548E}" id="{10EB286F-C105-4D91-8566-B6044961D4B8}">
    <text xml:space="preserve">Used numbers provided by SAs who indicated they do accept WIC CVB at farmers markets.  For those, that did not provide a number, we used the number of authorized farmers/markets in the FMNP.  For those that don't administer FMNP, we came up with an average number of 173 farmers/markets per SA. </text>
  </threadedComment>
  <threadedComment ref="K14" dT="2022-08-31T19:30:36.66" personId="{72356FF7-3613-45E3-B182-FF715FAE548E}" id="{954E69EB-61FD-47F7-AD6C-E3B4A55B7900}">
    <text xml:space="preserve">Note to include mention of drug and substance abuse screening in the burden narrative under certification. 246.7(n), initial nutrition education, and referrals. </text>
  </threadedComment>
  <threadedComment ref="B55" dT="2022-11-30T16:38:14.05" personId="{72356FF7-3613-45E3-B182-FF715FAE548E}" id="{4E838C85-A621-403D-BBDE-A893B60CAC58}">
    <text>Reaching out to other PIMB folks for this information</text>
  </threadedComment>
  <threadedComment ref="K79" dT="2022-10-03T14:41:06.48" personId="{9F2E609A-09C1-4783-8C2A-C04D97936EE3}" id="{C6E657BC-A666-4305-A93D-7B30E91873C0}">
    <text xml:space="preserve">first nut ed contact is done during certification. Was this counted for  in certification section? How about  in section 246.4 (state plan section) where Nut Ed may be reported in State plans.   For the second Nut Ed contact, it may have decreased due to online options.  I am just thinking that 1st Nut Ed contact may have been reported in State Plan or Certification sections.  Just to check for any duplication as Nut Ed is a regulatory requirement, I am not sure how this was missed previously. I think in this section we can estimate the 2nd Nut Ed  session because the first one is embedded in Certification section. Please let me know for any further discussions. Thanks
</text>
  </threadedComment>
  <threadedComment ref="B97" dT="2022-11-30T16:41:22.75" personId="{72356FF7-3613-45E3-B182-FF715FAE548E}" id="{4D0F926E-9D4F-41A8-ACEC-26EA8641FC09}">
    <text>Melanie may have this info- PIMB does not</text>
  </threadedComment>
</ThreadedComments>
</file>

<file path=xl/threadedComments/threadedComment3.xml><?xml version="1.0" encoding="utf-8"?>
<ThreadedComments xmlns="http://schemas.microsoft.com/office/spreadsheetml/2018/threadedcomments" xmlns:x="http://schemas.openxmlformats.org/spreadsheetml/2006/main">
  <threadedComment ref="T3" dT="2022-10-05T13:51:56.93" personId="{72356FF7-3613-45E3-B182-FF715FAE548E}" id="{EAB4E216-C085-414A-AA09-6D9192754CDD}">
    <text xml:space="preserve">Used numbers provided by SAs who indicated they do accept WIC CVB at farmers markets.  For those, that did not provide a number, we used the number of authorized farmers/markets in the FMNP.  For those that don't administer FMNP, we came up with an average number of 173 farmers/markets per SA. </text>
  </threadedComment>
  <threadedComment ref="B9" dT="2022-11-30T16:32:03.73" personId="{72356FF7-3613-45E3-B182-FF715FAE548E}" id="{9A8023AB-ACE0-42FC-97E2-CA10AF2BBA19}">
    <text xml:space="preserve">V&amp;T may have this info </text>
  </threadedComment>
  <threadedComment ref="K14" dT="2022-08-31T19:30:36.66" personId="{72356FF7-3613-45E3-B182-FF715FAE548E}" id="{A9A62B19-3A02-47CA-BD57-EDE0DC448F61}">
    <text xml:space="preserve">Note to include mention of drug and substance abuse screening in the burden narrative under certification. 246.7(n), initial nutrition education, and referrals. </text>
  </threadedComment>
  <threadedComment ref="B55" dT="2022-11-30T16:38:14.05" personId="{72356FF7-3613-45E3-B182-FF715FAE548E}" id="{C1DE83B4-C4A1-42FB-8EF9-F3C6F05FD020}">
    <text>Reaching out to other PIMB folks for this information</text>
  </threadedComment>
  <threadedComment ref="K79" dT="2022-10-03T14:41:06.48" personId="{9F2E609A-09C1-4783-8C2A-C04D97936EE3}" id="{86658071-540F-4A31-8058-118BE172CFFC}">
    <text xml:space="preserve">first nut ed contact is done during certification. Was this counted for  in certification section? How about  in section 246.4 (state plan section) where Nut Ed may be reported in State plans.   For the second Nut Ed contact, it may have decreased due to online options.  I am just thinking that 1st Nut Ed contact may have been reported in State Plan or Certification sections.  Just to check for any duplication as Nut Ed is a regulatory requirement, I am not sure how this was missed previously. I think in this section we can estimate the 2nd Nut Ed  session because the first one is embedded in Certification section. Please let me know for any further discussions. Thanks
</text>
  </threadedComment>
  <threadedComment ref="B93" dT="2022-11-30T16:41:22.75" personId="{72356FF7-3613-45E3-B182-FF715FAE548E}" id="{A38985B1-6D04-4483-AFBF-41A0D4582F0C}">
    <text>Melanie may have this info- PIMB does not</text>
  </threadedComment>
  <threadedComment ref="B122" dT="2022-07-14T18:57:24.89" personId="{72356FF7-3613-45E3-B182-FF715FAE548E}" id="{0DFD45B5-73D1-4E3F-96F3-962835D44EA8}">
    <text>putting here for now, but will need to create a new section for vendor recordkeeping</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73DA5-29A0-4007-ACAC-504AED28F110}">
  <dimension ref="A1:V173"/>
  <sheetViews>
    <sheetView tabSelected="1" topLeftCell="A58" workbookViewId="0">
      <selection activeCell="C147" sqref="C147:D147"/>
    </sheetView>
  </sheetViews>
  <sheetFormatPr defaultColWidth="9.1796875" defaultRowHeight="14" x14ac:dyDescent="0.3"/>
  <cols>
    <col min="1" max="1" width="18.7265625" style="10" bestFit="1" customWidth="1"/>
    <col min="2" max="2" width="33.54296875" style="100" bestFit="1" customWidth="1"/>
    <col min="3" max="3" width="15.1796875" style="10" bestFit="1" customWidth="1"/>
    <col min="4" max="4" width="14.1796875" style="10" customWidth="1"/>
    <col min="5" max="5" width="17.7265625" style="10" customWidth="1"/>
    <col min="6" max="6" width="13.1796875" style="10" bestFit="1" customWidth="1"/>
    <col min="7" max="7" width="16.26953125" style="10" customWidth="1"/>
    <col min="8" max="8" width="15.54296875" style="10" bestFit="1" customWidth="1"/>
    <col min="9" max="9" width="15.7265625" style="35" customWidth="1"/>
    <col min="10" max="10" width="14" style="10" bestFit="1" customWidth="1"/>
    <col min="11" max="11" width="14" style="10" customWidth="1"/>
    <col min="12" max="12" width="57.453125" style="100" customWidth="1"/>
    <col min="13" max="13" width="42.453125" style="10" customWidth="1"/>
    <col min="14" max="14" width="28.1796875" style="10" customWidth="1"/>
    <col min="15" max="15" width="16.81640625" style="10" customWidth="1"/>
    <col min="16" max="16" width="17.81640625" style="10" customWidth="1"/>
    <col min="17" max="17" width="23.1796875" style="10" customWidth="1"/>
    <col min="18" max="18" width="17.7265625" style="10" customWidth="1"/>
    <col min="19" max="19" width="17.26953125" style="10" customWidth="1"/>
    <col min="20" max="20" width="16.453125" style="10" customWidth="1"/>
    <col min="21" max="21" width="13.453125" style="10" customWidth="1"/>
    <col min="22" max="22" width="14.1796875" style="10" customWidth="1"/>
    <col min="23" max="16384" width="9.1796875" style="10"/>
  </cols>
  <sheetData>
    <row r="1" spans="1:22" s="149" customFormat="1" ht="15" customHeight="1" x14ac:dyDescent="0.3">
      <c r="A1" s="263" t="s">
        <v>0</v>
      </c>
      <c r="B1" s="263"/>
      <c r="C1" s="263"/>
      <c r="D1" s="263"/>
      <c r="E1" s="263"/>
      <c r="F1" s="263"/>
      <c r="G1" s="263"/>
      <c r="H1" s="263"/>
      <c r="I1" s="263"/>
      <c r="J1" s="263"/>
      <c r="K1" s="263"/>
      <c r="L1" s="263"/>
      <c r="N1" s="142" t="s">
        <v>1</v>
      </c>
      <c r="O1" s="150"/>
    </row>
    <row r="2" spans="1:22" s="149" customFormat="1" ht="93.75" customHeight="1" x14ac:dyDescent="0.25">
      <c r="A2" s="1" t="s">
        <v>2</v>
      </c>
      <c r="B2" s="99" t="s">
        <v>3</v>
      </c>
      <c r="C2" s="3" t="s">
        <v>4</v>
      </c>
      <c r="D2" s="4" t="s">
        <v>5</v>
      </c>
      <c r="E2" s="20" t="s">
        <v>6</v>
      </c>
      <c r="F2" s="5" t="s">
        <v>7</v>
      </c>
      <c r="G2" s="21" t="s">
        <v>8</v>
      </c>
      <c r="H2" s="6" t="s">
        <v>9</v>
      </c>
      <c r="I2" s="32" t="s">
        <v>10</v>
      </c>
      <c r="J2" s="7" t="s">
        <v>11</v>
      </c>
      <c r="K2" s="7" t="s">
        <v>12</v>
      </c>
      <c r="L2" s="101" t="s">
        <v>13</v>
      </c>
      <c r="M2" s="151"/>
      <c r="N2" s="152" t="s">
        <v>14</v>
      </c>
      <c r="O2" s="153" t="s">
        <v>15</v>
      </c>
      <c r="P2" s="152" t="s">
        <v>16</v>
      </c>
      <c r="Q2" s="152" t="s">
        <v>17</v>
      </c>
      <c r="R2" s="152" t="s">
        <v>18</v>
      </c>
      <c r="S2" s="152" t="s">
        <v>19</v>
      </c>
      <c r="T2" s="152" t="s">
        <v>20</v>
      </c>
      <c r="U2" s="152" t="s">
        <v>21</v>
      </c>
      <c r="V2" s="154"/>
    </row>
    <row r="3" spans="1:22" s="149" customFormat="1" ht="15" customHeight="1" x14ac:dyDescent="0.3">
      <c r="A3" s="244" t="s">
        <v>22</v>
      </c>
      <c r="B3" s="244"/>
      <c r="C3" s="244"/>
      <c r="D3" s="244"/>
      <c r="E3" s="244"/>
      <c r="F3" s="244"/>
      <c r="G3" s="244"/>
      <c r="H3" s="244"/>
      <c r="I3" s="244"/>
      <c r="J3" s="244"/>
      <c r="K3" s="244"/>
      <c r="L3" s="244"/>
      <c r="N3" s="149">
        <v>89</v>
      </c>
      <c r="O3" s="155">
        <v>1810</v>
      </c>
      <c r="P3" s="149">
        <v>6243960</v>
      </c>
      <c r="Q3" s="149">
        <v>1379126</v>
      </c>
      <c r="R3" s="149">
        <v>1464744</v>
      </c>
      <c r="S3" s="142">
        <v>3400090</v>
      </c>
      <c r="T3" s="156">
        <v>37417</v>
      </c>
      <c r="U3" s="156">
        <v>3289</v>
      </c>
      <c r="V3" s="157"/>
    </row>
    <row r="4" spans="1:22" s="149" customFormat="1" ht="15" customHeight="1" x14ac:dyDescent="0.3">
      <c r="A4" s="264" t="s">
        <v>23</v>
      </c>
      <c r="B4" s="264"/>
      <c r="C4" s="264"/>
      <c r="D4" s="264"/>
      <c r="E4" s="264"/>
      <c r="F4" s="264"/>
      <c r="G4" s="264"/>
      <c r="H4" s="264"/>
      <c r="I4" s="264"/>
      <c r="J4" s="264"/>
      <c r="K4" s="264"/>
      <c r="L4" s="264"/>
      <c r="M4" s="158"/>
      <c r="N4" s="149" t="s">
        <v>24</v>
      </c>
      <c r="O4" s="149" t="s">
        <v>25</v>
      </c>
      <c r="P4" s="149" t="s">
        <v>26</v>
      </c>
      <c r="Q4" s="149" t="s">
        <v>26</v>
      </c>
      <c r="R4" s="149" t="s">
        <v>26</v>
      </c>
      <c r="S4" s="143" t="s">
        <v>26</v>
      </c>
      <c r="T4" s="148" t="s">
        <v>26</v>
      </c>
      <c r="U4" s="156" t="s">
        <v>27</v>
      </c>
      <c r="V4" s="157"/>
    </row>
    <row r="5" spans="1:22" ht="14.5" x14ac:dyDescent="0.3">
      <c r="A5" s="193">
        <v>246.4</v>
      </c>
      <c r="B5" s="64" t="s">
        <v>28</v>
      </c>
      <c r="C5" s="23">
        <v>89</v>
      </c>
      <c r="D5" s="23">
        <v>1</v>
      </c>
      <c r="E5" s="41">
        <f>C5*D5</f>
        <v>89</v>
      </c>
      <c r="F5" s="19">
        <v>134.62</v>
      </c>
      <c r="G5" s="41">
        <f>E5*F5</f>
        <v>11981.18</v>
      </c>
      <c r="H5" s="25">
        <f>'2020'!G5</f>
        <v>11981.18</v>
      </c>
      <c r="I5" s="24">
        <f>G5-H5</f>
        <v>0</v>
      </c>
      <c r="J5" s="24">
        <f>G5-H5</f>
        <v>0</v>
      </c>
      <c r="K5" s="24">
        <f>G5-H5</f>
        <v>0</v>
      </c>
      <c r="L5" s="159" t="s">
        <v>27</v>
      </c>
      <c r="O5" s="35"/>
      <c r="T5" s="160"/>
      <c r="U5" s="157"/>
      <c r="V5" s="157"/>
    </row>
    <row r="6" spans="1:22" ht="28" x14ac:dyDescent="0.3">
      <c r="A6" s="193" t="s">
        <v>29</v>
      </c>
      <c r="B6" s="64" t="s">
        <v>30</v>
      </c>
      <c r="C6" s="23">
        <f>1810*0.5*0.7</f>
        <v>633.5</v>
      </c>
      <c r="D6" s="23">
        <v>1</v>
      </c>
      <c r="E6" s="41">
        <f t="shared" ref="E6:E67" si="0">C6*D6</f>
        <v>633.5</v>
      </c>
      <c r="F6" s="19">
        <v>2</v>
      </c>
      <c r="G6" s="41">
        <f t="shared" ref="G6:G67" si="1">E6*F6</f>
        <v>1267</v>
      </c>
      <c r="H6" s="25">
        <f>'2020'!G6</f>
        <v>1808</v>
      </c>
      <c r="I6" s="24">
        <f>G6-H6</f>
        <v>-541</v>
      </c>
      <c r="J6" s="24">
        <v>0</v>
      </c>
      <c r="K6" s="24">
        <f t="shared" ref="K6:K68" si="2">G6-H6</f>
        <v>-541</v>
      </c>
      <c r="L6" s="159" t="s">
        <v>31</v>
      </c>
      <c r="O6" s="35"/>
      <c r="S6" s="161"/>
      <c r="T6" s="160"/>
      <c r="U6" s="157"/>
      <c r="V6" s="157"/>
    </row>
    <row r="7" spans="1:22" ht="14.5" x14ac:dyDescent="0.3">
      <c r="A7" s="193" t="s">
        <v>32</v>
      </c>
      <c r="B7" s="64" t="s">
        <v>33</v>
      </c>
      <c r="C7" s="23">
        <v>4</v>
      </c>
      <c r="D7" s="23">
        <v>1</v>
      </c>
      <c r="E7" s="41">
        <f t="shared" si="0"/>
        <v>4</v>
      </c>
      <c r="F7" s="19">
        <v>0.16700000000000001</v>
      </c>
      <c r="G7" s="41">
        <f t="shared" si="1"/>
        <v>0.66800000000000004</v>
      </c>
      <c r="H7" s="25">
        <v>0</v>
      </c>
      <c r="I7" s="24">
        <f t="shared" ref="I7:I67" si="3">G7-H7</f>
        <v>0.66800000000000004</v>
      </c>
      <c r="J7" s="24">
        <v>0</v>
      </c>
      <c r="K7" s="24">
        <f t="shared" si="2"/>
        <v>0.66800000000000004</v>
      </c>
      <c r="L7" s="162" t="s">
        <v>34</v>
      </c>
      <c r="O7" s="35"/>
      <c r="S7" s="161"/>
      <c r="T7" s="160"/>
      <c r="U7" s="157"/>
      <c r="V7" s="157"/>
    </row>
    <row r="8" spans="1:22" ht="17.25" customHeight="1" x14ac:dyDescent="0.3">
      <c r="A8" s="193" t="s">
        <v>35</v>
      </c>
      <c r="B8" s="102" t="s">
        <v>36</v>
      </c>
      <c r="C8" s="23">
        <v>4</v>
      </c>
      <c r="D8" s="23">
        <f>(1810/89)*0.02</f>
        <v>0.40674157303370784</v>
      </c>
      <c r="E8" s="41">
        <f t="shared" si="0"/>
        <v>1.6269662921348313</v>
      </c>
      <c r="F8" s="19">
        <v>0.5</v>
      </c>
      <c r="G8" s="41">
        <f t="shared" si="1"/>
        <v>0.81348314606741567</v>
      </c>
      <c r="H8" s="25">
        <v>0</v>
      </c>
      <c r="I8" s="24">
        <f t="shared" si="3"/>
        <v>0.81348314606741567</v>
      </c>
      <c r="J8" s="24">
        <v>0</v>
      </c>
      <c r="K8" s="24">
        <f t="shared" si="2"/>
        <v>0.81348314606741567</v>
      </c>
      <c r="L8" s="162" t="s">
        <v>34</v>
      </c>
      <c r="O8" s="35"/>
      <c r="S8" s="161"/>
      <c r="T8" s="160"/>
      <c r="U8" s="157"/>
      <c r="V8" s="157"/>
    </row>
    <row r="9" spans="1:22" ht="28" x14ac:dyDescent="0.3">
      <c r="A9" s="193">
        <v>246.6</v>
      </c>
      <c r="B9" s="64" t="s">
        <v>37</v>
      </c>
      <c r="C9" s="23">
        <f>1810*0.5*0.7</f>
        <v>633.5</v>
      </c>
      <c r="D9" s="23">
        <v>1</v>
      </c>
      <c r="E9" s="41">
        <f t="shared" si="0"/>
        <v>633.5</v>
      </c>
      <c r="F9" s="19">
        <v>1.5</v>
      </c>
      <c r="G9" s="41">
        <f t="shared" si="1"/>
        <v>950.25</v>
      </c>
      <c r="H9" s="25">
        <f>'2020'!G7</f>
        <v>1356</v>
      </c>
      <c r="I9" s="24">
        <f>G9-H9</f>
        <v>-405.75</v>
      </c>
      <c r="J9" s="24">
        <v>0</v>
      </c>
      <c r="K9" s="24">
        <f t="shared" si="2"/>
        <v>-405.75</v>
      </c>
      <c r="L9" s="159" t="s">
        <v>31</v>
      </c>
      <c r="O9" s="35"/>
      <c r="S9" s="161"/>
      <c r="T9" s="160"/>
      <c r="U9" s="157"/>
      <c r="V9" s="157"/>
    </row>
    <row r="10" spans="1:22" ht="28" x14ac:dyDescent="0.3">
      <c r="A10" s="193" t="s">
        <v>38</v>
      </c>
      <c r="B10" s="64" t="s">
        <v>39</v>
      </c>
      <c r="C10" s="23">
        <v>89</v>
      </c>
      <c r="D10" s="23">
        <f>(1810/89)</f>
        <v>20.337078651685392</v>
      </c>
      <c r="E10" s="41">
        <f t="shared" si="0"/>
        <v>1809.9999999999998</v>
      </c>
      <c r="F10" s="19">
        <v>0.25</v>
      </c>
      <c r="G10" s="41">
        <f t="shared" si="1"/>
        <v>452.49999999999994</v>
      </c>
      <c r="H10" s="25">
        <v>0</v>
      </c>
      <c r="I10" s="24">
        <f>G10-H10</f>
        <v>452.49999999999994</v>
      </c>
      <c r="J10" s="24">
        <v>0</v>
      </c>
      <c r="K10" s="24">
        <f t="shared" si="2"/>
        <v>452.49999999999994</v>
      </c>
      <c r="L10" s="162" t="s">
        <v>34</v>
      </c>
      <c r="O10" s="35"/>
      <c r="S10" s="161"/>
      <c r="T10" s="160"/>
      <c r="U10" s="157"/>
      <c r="V10" s="157"/>
    </row>
    <row r="11" spans="1:22" ht="14.25" customHeight="1" x14ac:dyDescent="0.3">
      <c r="A11" s="193" t="s">
        <v>40</v>
      </c>
      <c r="B11" s="64" t="s">
        <v>41</v>
      </c>
      <c r="C11" s="23">
        <f>(1810/6)*0.7</f>
        <v>211.16666666666666</v>
      </c>
      <c r="D11" s="23">
        <v>1</v>
      </c>
      <c r="E11" s="41">
        <f t="shared" si="0"/>
        <v>211.16666666666666</v>
      </c>
      <c r="F11" s="19">
        <v>0.25</v>
      </c>
      <c r="G11" s="41">
        <f t="shared" si="1"/>
        <v>52.791666666666664</v>
      </c>
      <c r="H11" s="25">
        <f>'2020'!G8</f>
        <v>75.325000000000003</v>
      </c>
      <c r="I11" s="24">
        <f>G11-H11</f>
        <v>-22.533333333333339</v>
      </c>
      <c r="J11" s="24">
        <v>0</v>
      </c>
      <c r="K11" s="24">
        <f t="shared" si="2"/>
        <v>-22.533333333333339</v>
      </c>
      <c r="L11" s="159" t="s">
        <v>42</v>
      </c>
      <c r="O11" s="35"/>
      <c r="S11" s="161"/>
      <c r="T11" s="160"/>
      <c r="U11" s="157"/>
      <c r="V11" s="157"/>
    </row>
    <row r="12" spans="1:22" ht="11.25" hidden="1" customHeight="1" x14ac:dyDescent="0.3">
      <c r="A12" s="193" t="s">
        <v>43</v>
      </c>
      <c r="B12" s="64" t="s">
        <v>44</v>
      </c>
      <c r="C12" s="23"/>
      <c r="D12" s="23"/>
      <c r="E12" s="41">
        <f t="shared" si="0"/>
        <v>0</v>
      </c>
      <c r="F12" s="19"/>
      <c r="G12" s="41">
        <f t="shared" si="1"/>
        <v>0</v>
      </c>
      <c r="H12" s="25">
        <f>'2020'!G9</f>
        <v>1428439</v>
      </c>
      <c r="I12" s="24">
        <f t="shared" si="3"/>
        <v>-1428439</v>
      </c>
      <c r="J12" s="24">
        <f t="shared" ref="J12:J63" si="4">G12-H12</f>
        <v>-1428439</v>
      </c>
      <c r="K12" s="24">
        <f t="shared" si="2"/>
        <v>-1428439</v>
      </c>
      <c r="L12" s="159" t="s">
        <v>27</v>
      </c>
      <c r="O12" s="35"/>
      <c r="P12" s="35"/>
      <c r="Q12" s="35"/>
      <c r="S12" s="161"/>
      <c r="T12" s="160"/>
      <c r="U12" s="163"/>
      <c r="V12" s="157"/>
    </row>
    <row r="13" spans="1:22" ht="40.5" customHeight="1" x14ac:dyDescent="0.3">
      <c r="A13" s="193" t="s">
        <v>45</v>
      </c>
      <c r="B13" s="64" t="s">
        <v>46</v>
      </c>
      <c r="C13" s="23">
        <f>1810*0.7</f>
        <v>1267</v>
      </c>
      <c r="D13" s="23">
        <f>(1379126*0.7)/1267</f>
        <v>761.9480662983425</v>
      </c>
      <c r="E13" s="41">
        <f t="shared" si="0"/>
        <v>965388.2</v>
      </c>
      <c r="F13" s="19">
        <v>0.41749999999999998</v>
      </c>
      <c r="G13" s="41">
        <f t="shared" si="1"/>
        <v>403049.57349999994</v>
      </c>
      <c r="H13" s="25">
        <f>'2020'!G10</f>
        <v>545711</v>
      </c>
      <c r="I13" s="24">
        <f>G13-H13</f>
        <v>-142661.42650000006</v>
      </c>
      <c r="J13" s="24">
        <v>0</v>
      </c>
      <c r="K13" s="24">
        <f t="shared" si="2"/>
        <v>-142661.42650000006</v>
      </c>
      <c r="L13" s="64" t="s">
        <v>47</v>
      </c>
      <c r="O13" s="35"/>
      <c r="Q13" s="27"/>
      <c r="S13" s="161"/>
      <c r="T13" s="163"/>
      <c r="U13" s="157"/>
      <c r="V13" s="157"/>
    </row>
    <row r="14" spans="1:22" ht="99.75" customHeight="1" x14ac:dyDescent="0.3">
      <c r="A14" s="193" t="s">
        <v>43</v>
      </c>
      <c r="B14" s="64" t="s">
        <v>48</v>
      </c>
      <c r="C14" s="23">
        <f>1810*0.7</f>
        <v>1267</v>
      </c>
      <c r="D14" s="23">
        <f>(3400090*0.7)/1267</f>
        <v>1878.5027624309391</v>
      </c>
      <c r="E14" s="41">
        <f t="shared" si="0"/>
        <v>2380063</v>
      </c>
      <c r="F14" s="19">
        <v>0.41749999999999998</v>
      </c>
      <c r="G14" s="41">
        <f t="shared" si="1"/>
        <v>993676.30249999999</v>
      </c>
      <c r="H14" s="25">
        <f>'2020'!G11</f>
        <v>882728</v>
      </c>
      <c r="I14" s="24">
        <f>G14-H14</f>
        <v>110948.30249999999</v>
      </c>
      <c r="J14" s="24">
        <v>0</v>
      </c>
      <c r="K14" s="24">
        <f t="shared" si="2"/>
        <v>110948.30249999999</v>
      </c>
      <c r="L14" s="64" t="s">
        <v>49</v>
      </c>
      <c r="O14" s="35"/>
      <c r="Q14" s="164"/>
      <c r="S14" s="161"/>
      <c r="T14" s="157"/>
      <c r="U14" s="157"/>
      <c r="V14" s="157"/>
    </row>
    <row r="15" spans="1:22" ht="36" customHeight="1" x14ac:dyDescent="0.3">
      <c r="A15" s="193" t="s">
        <v>43</v>
      </c>
      <c r="B15" s="64" t="s">
        <v>50</v>
      </c>
      <c r="C15" s="23">
        <f>1810*0.7</f>
        <v>1267</v>
      </c>
      <c r="D15" s="23">
        <f>1*(1464744*0.7/1267)</f>
        <v>809.25082872928169</v>
      </c>
      <c r="E15" s="41">
        <f t="shared" si="0"/>
        <v>1025320.7999999999</v>
      </c>
      <c r="F15" s="19">
        <v>0.41749999999999998</v>
      </c>
      <c r="G15" s="41">
        <f t="shared" si="1"/>
        <v>428071.43399999995</v>
      </c>
      <c r="H15" s="25">
        <f>'2020'!G12</f>
        <v>285970.967</v>
      </c>
      <c r="I15" s="24">
        <f>G15-H15</f>
        <v>142100.46699999995</v>
      </c>
      <c r="J15" s="24">
        <v>0</v>
      </c>
      <c r="K15" s="24">
        <f t="shared" si="2"/>
        <v>142100.46699999995</v>
      </c>
      <c r="L15" s="64" t="s">
        <v>51</v>
      </c>
      <c r="O15" s="35"/>
      <c r="Q15" s="165"/>
      <c r="S15" s="161"/>
      <c r="T15" s="160"/>
      <c r="U15" s="157"/>
      <c r="V15" s="157"/>
    </row>
    <row r="16" spans="1:22" ht="14.5" x14ac:dyDescent="0.3">
      <c r="A16" s="193" t="s">
        <v>52</v>
      </c>
      <c r="B16" s="64" t="s">
        <v>53</v>
      </c>
      <c r="C16" s="23">
        <v>4</v>
      </c>
      <c r="D16" s="23">
        <v>1</v>
      </c>
      <c r="E16" s="41">
        <f t="shared" si="0"/>
        <v>4</v>
      </c>
      <c r="F16" s="19">
        <v>8.3500000000000005E-2</v>
      </c>
      <c r="G16" s="41">
        <f t="shared" si="1"/>
        <v>0.33400000000000002</v>
      </c>
      <c r="H16" s="25">
        <f>'2020'!G13</f>
        <v>0.33400000000000002</v>
      </c>
      <c r="I16" s="24">
        <f t="shared" si="3"/>
        <v>0</v>
      </c>
      <c r="J16" s="24">
        <f t="shared" si="4"/>
        <v>0</v>
      </c>
      <c r="K16" s="24">
        <f t="shared" si="2"/>
        <v>0</v>
      </c>
      <c r="L16" s="159" t="s">
        <v>27</v>
      </c>
      <c r="O16" s="35"/>
      <c r="S16" s="161"/>
      <c r="T16" s="160"/>
      <c r="U16" s="157"/>
      <c r="V16" s="157"/>
    </row>
    <row r="17" spans="1:15" ht="14.5" x14ac:dyDescent="0.3">
      <c r="A17" s="193" t="s">
        <v>54</v>
      </c>
      <c r="B17" s="64" t="s">
        <v>55</v>
      </c>
      <c r="C17" s="23">
        <f>1810*0.7</f>
        <v>1267</v>
      </c>
      <c r="D17" s="23">
        <f>((0.03*6243960*0.7)/1267)</f>
        <v>103.49104972375689</v>
      </c>
      <c r="E17" s="41">
        <f t="shared" si="0"/>
        <v>131123.15999999997</v>
      </c>
      <c r="F17" s="19">
        <v>8.3500000000000005E-2</v>
      </c>
      <c r="G17" s="41">
        <f t="shared" si="1"/>
        <v>10948.783859999998</v>
      </c>
      <c r="H17" s="25">
        <f>'2020'!G14</f>
        <v>17210</v>
      </c>
      <c r="I17" s="24">
        <f>G17-H17</f>
        <v>-6261.2161400000023</v>
      </c>
      <c r="J17" s="24">
        <v>0</v>
      </c>
      <c r="K17" s="24">
        <f t="shared" si="2"/>
        <v>-6261.2161400000023</v>
      </c>
      <c r="L17" s="159" t="s">
        <v>56</v>
      </c>
      <c r="O17" s="35"/>
    </row>
    <row r="18" spans="1:15" ht="14.5" x14ac:dyDescent="0.3">
      <c r="A18" s="193">
        <v>246.8</v>
      </c>
      <c r="B18" s="104" t="s">
        <v>57</v>
      </c>
      <c r="C18" s="105">
        <v>79</v>
      </c>
      <c r="D18" s="105">
        <v>1</v>
      </c>
      <c r="E18" s="41">
        <f t="shared" si="0"/>
        <v>79</v>
      </c>
      <c r="F18" s="106">
        <v>3</v>
      </c>
      <c r="G18" s="133">
        <f t="shared" si="1"/>
        <v>237</v>
      </c>
      <c r="H18" s="107">
        <v>0</v>
      </c>
      <c r="I18" s="24">
        <f t="shared" si="3"/>
        <v>237</v>
      </c>
      <c r="J18" s="24">
        <v>0</v>
      </c>
      <c r="K18" s="24">
        <f t="shared" si="2"/>
        <v>237</v>
      </c>
      <c r="L18" s="166" t="s">
        <v>34</v>
      </c>
      <c r="O18" s="35"/>
    </row>
    <row r="19" spans="1:15" ht="42" x14ac:dyDescent="0.3">
      <c r="A19" s="193" t="s">
        <v>58</v>
      </c>
      <c r="B19" s="64" t="s">
        <v>59</v>
      </c>
      <c r="C19" s="23">
        <v>89</v>
      </c>
      <c r="D19" s="23">
        <f>(6243960*0.02)/89</f>
        <v>1403.1370786516854</v>
      </c>
      <c r="E19" s="41">
        <f t="shared" si="0"/>
        <v>124879.20000000001</v>
      </c>
      <c r="F19" s="19">
        <v>8.3500000000000005E-2</v>
      </c>
      <c r="G19" s="41">
        <f t="shared" si="1"/>
        <v>10427.413200000001</v>
      </c>
      <c r="H19" s="25">
        <v>0</v>
      </c>
      <c r="I19" s="24">
        <f t="shared" si="3"/>
        <v>10427.413200000001</v>
      </c>
      <c r="J19" s="24">
        <v>0</v>
      </c>
      <c r="K19" s="24">
        <f t="shared" si="2"/>
        <v>10427.413200000001</v>
      </c>
      <c r="L19" s="159" t="s">
        <v>34</v>
      </c>
      <c r="O19" s="35"/>
    </row>
    <row r="20" spans="1:15" ht="28" x14ac:dyDescent="0.3">
      <c r="A20" s="193" t="s">
        <v>60</v>
      </c>
      <c r="B20" s="64" t="s">
        <v>61</v>
      </c>
      <c r="C20" s="23">
        <v>89</v>
      </c>
      <c r="D20" s="23">
        <f>(6243960*0.02*0.02)/89</f>
        <v>28.062741573033705</v>
      </c>
      <c r="E20" s="41">
        <f t="shared" si="0"/>
        <v>2497.5839999999998</v>
      </c>
      <c r="F20" s="19">
        <v>3</v>
      </c>
      <c r="G20" s="41">
        <f t="shared" si="1"/>
        <v>7492.7519999999995</v>
      </c>
      <c r="H20" s="25">
        <v>0</v>
      </c>
      <c r="I20" s="24">
        <f t="shared" si="3"/>
        <v>7492.7519999999995</v>
      </c>
      <c r="J20" s="24">
        <v>0</v>
      </c>
      <c r="K20" s="24">
        <f t="shared" si="2"/>
        <v>7492.7519999999995</v>
      </c>
      <c r="L20" s="159" t="s">
        <v>34</v>
      </c>
      <c r="O20" s="35"/>
    </row>
    <row r="21" spans="1:15" ht="14.5" x14ac:dyDescent="0.3">
      <c r="A21" s="193" t="s">
        <v>62</v>
      </c>
      <c r="B21" s="64" t="s">
        <v>63</v>
      </c>
      <c r="C21" s="23">
        <v>89</v>
      </c>
      <c r="D21" s="23">
        <v>1</v>
      </c>
      <c r="E21" s="41">
        <f t="shared" si="0"/>
        <v>89</v>
      </c>
      <c r="F21" s="19">
        <v>40</v>
      </c>
      <c r="G21" s="41">
        <f t="shared" si="1"/>
        <v>3560</v>
      </c>
      <c r="H21" s="25">
        <f>'2020'!G15</f>
        <v>3560</v>
      </c>
      <c r="I21" s="24">
        <f t="shared" si="3"/>
        <v>0</v>
      </c>
      <c r="J21" s="24">
        <f t="shared" si="4"/>
        <v>0</v>
      </c>
      <c r="K21" s="24">
        <f t="shared" si="2"/>
        <v>0</v>
      </c>
      <c r="L21" s="159" t="s">
        <v>27</v>
      </c>
      <c r="O21" s="35"/>
    </row>
    <row r="22" spans="1:15" ht="14.5" x14ac:dyDescent="0.3">
      <c r="A22" s="193" t="s">
        <v>64</v>
      </c>
      <c r="B22" s="64" t="s">
        <v>65</v>
      </c>
      <c r="C22" s="23">
        <v>54</v>
      </c>
      <c r="D22" s="23">
        <v>4</v>
      </c>
      <c r="E22" s="41">
        <f t="shared" si="0"/>
        <v>216</v>
      </c>
      <c r="F22" s="19">
        <v>8.3000000000000001E-3</v>
      </c>
      <c r="G22" s="41">
        <f t="shared" si="1"/>
        <v>1.7927999999999999</v>
      </c>
      <c r="H22" s="25">
        <f>'2020'!G16</f>
        <v>1.7927999999999999</v>
      </c>
      <c r="I22" s="24">
        <f t="shared" si="3"/>
        <v>0</v>
      </c>
      <c r="J22" s="24">
        <f t="shared" si="4"/>
        <v>0</v>
      </c>
      <c r="K22" s="24">
        <f t="shared" si="2"/>
        <v>0</v>
      </c>
      <c r="L22" s="167" t="s">
        <v>27</v>
      </c>
      <c r="O22" s="35"/>
    </row>
    <row r="23" spans="1:15" ht="28" x14ac:dyDescent="0.3">
      <c r="A23" s="193" t="s">
        <v>66</v>
      </c>
      <c r="B23" s="64" t="s">
        <v>67</v>
      </c>
      <c r="C23" s="23">
        <f>1810*0.7</f>
        <v>1267</v>
      </c>
      <c r="D23" s="23">
        <f>(1464744*0.7*0.01)/1267</f>
        <v>8.0925082872928158</v>
      </c>
      <c r="E23" s="41">
        <f t="shared" si="0"/>
        <v>10253.207999999997</v>
      </c>
      <c r="F23" s="19">
        <v>3.3399999999999999E-2</v>
      </c>
      <c r="G23" s="41">
        <f t="shared" si="1"/>
        <v>342.45714719999989</v>
      </c>
      <c r="H23" s="25">
        <f>'2020'!G17</f>
        <v>572</v>
      </c>
      <c r="I23" s="24">
        <f>G23-H23</f>
        <v>-229.54285280000011</v>
      </c>
      <c r="J23" s="24">
        <v>0</v>
      </c>
      <c r="K23" s="24">
        <f t="shared" si="2"/>
        <v>-229.54285280000011</v>
      </c>
      <c r="L23" s="64" t="s">
        <v>68</v>
      </c>
      <c r="O23" s="35"/>
    </row>
    <row r="24" spans="1:15" ht="14.5" x14ac:dyDescent="0.3">
      <c r="A24" s="193" t="s">
        <v>69</v>
      </c>
      <c r="B24" s="64" t="s">
        <v>70</v>
      </c>
      <c r="C24" s="23">
        <f>(1/5)</f>
        <v>0.2</v>
      </c>
      <c r="D24" s="23">
        <v>1</v>
      </c>
      <c r="E24" s="41">
        <f t="shared" si="0"/>
        <v>0.2</v>
      </c>
      <c r="F24" s="19">
        <v>2</v>
      </c>
      <c r="G24" s="41">
        <f t="shared" si="1"/>
        <v>0.4</v>
      </c>
      <c r="H24" s="25"/>
      <c r="I24" s="24">
        <f t="shared" si="3"/>
        <v>0.4</v>
      </c>
      <c r="J24" s="24">
        <v>0</v>
      </c>
      <c r="K24" s="24">
        <f t="shared" si="2"/>
        <v>0.4</v>
      </c>
      <c r="L24" s="64" t="s">
        <v>34</v>
      </c>
      <c r="O24" s="35"/>
    </row>
    <row r="25" spans="1:15" ht="28" x14ac:dyDescent="0.3">
      <c r="A25" s="193" t="s">
        <v>71</v>
      </c>
      <c r="B25" s="64" t="s">
        <v>72</v>
      </c>
      <c r="C25" s="23">
        <f>1810*0.7</f>
        <v>1267</v>
      </c>
      <c r="D25" s="23">
        <f>((6243960*0.7)/1267)</f>
        <v>3449.7016574585637</v>
      </c>
      <c r="E25" s="41">
        <f t="shared" si="0"/>
        <v>4370772</v>
      </c>
      <c r="F25" s="19">
        <v>0.25</v>
      </c>
      <c r="G25" s="41">
        <f t="shared" si="1"/>
        <v>1092693</v>
      </c>
      <c r="H25" s="25">
        <v>0</v>
      </c>
      <c r="I25" s="24">
        <f t="shared" si="3"/>
        <v>1092693</v>
      </c>
      <c r="J25" s="24">
        <v>0</v>
      </c>
      <c r="K25" s="24">
        <f t="shared" si="2"/>
        <v>1092693</v>
      </c>
      <c r="L25" s="64" t="s">
        <v>34</v>
      </c>
      <c r="O25" s="35"/>
    </row>
    <row r="26" spans="1:15" ht="28" x14ac:dyDescent="0.3">
      <c r="A26" s="193" t="s">
        <v>73</v>
      </c>
      <c r="B26" s="64" t="s">
        <v>74</v>
      </c>
      <c r="C26" s="23">
        <f>0.7*1810</f>
        <v>1267</v>
      </c>
      <c r="D26" s="23">
        <v>1</v>
      </c>
      <c r="E26" s="41">
        <f t="shared" si="0"/>
        <v>1267</v>
      </c>
      <c r="F26" s="19">
        <v>40</v>
      </c>
      <c r="G26" s="41">
        <f t="shared" si="1"/>
        <v>50680</v>
      </c>
      <c r="H26" s="25">
        <f>'2020'!G18</f>
        <v>72320</v>
      </c>
      <c r="I26" s="24">
        <f>G26-H26</f>
        <v>-21640</v>
      </c>
      <c r="J26" s="24">
        <v>0</v>
      </c>
      <c r="K26" s="24">
        <f t="shared" si="2"/>
        <v>-21640</v>
      </c>
      <c r="L26" s="159" t="s">
        <v>31</v>
      </c>
      <c r="O26" s="35"/>
    </row>
    <row r="27" spans="1:15" ht="14.5" x14ac:dyDescent="0.3">
      <c r="A27" s="193" t="s">
        <v>75</v>
      </c>
      <c r="B27" s="64" t="s">
        <v>76</v>
      </c>
      <c r="C27" s="23">
        <v>89</v>
      </c>
      <c r="D27" s="23">
        <v>1</v>
      </c>
      <c r="E27" s="41">
        <f t="shared" si="0"/>
        <v>89</v>
      </c>
      <c r="F27" s="19">
        <v>3</v>
      </c>
      <c r="G27" s="41">
        <f t="shared" si="1"/>
        <v>267</v>
      </c>
      <c r="H27" s="25">
        <v>0</v>
      </c>
      <c r="I27" s="24">
        <f t="shared" si="3"/>
        <v>267</v>
      </c>
      <c r="J27" s="24">
        <v>0</v>
      </c>
      <c r="K27" s="24">
        <f t="shared" si="2"/>
        <v>267</v>
      </c>
      <c r="L27" s="159" t="s">
        <v>34</v>
      </c>
      <c r="O27" s="35"/>
    </row>
    <row r="28" spans="1:15" ht="14.5" x14ac:dyDescent="0.3">
      <c r="A28" s="193" t="s">
        <v>77</v>
      </c>
      <c r="B28" s="64" t="s">
        <v>78</v>
      </c>
      <c r="C28" s="23">
        <v>89</v>
      </c>
      <c r="D28" s="23">
        <v>1</v>
      </c>
      <c r="E28" s="41">
        <f t="shared" si="0"/>
        <v>89</v>
      </c>
      <c r="F28" s="19">
        <v>3</v>
      </c>
      <c r="G28" s="41">
        <f t="shared" si="1"/>
        <v>267</v>
      </c>
      <c r="H28" s="25">
        <v>0</v>
      </c>
      <c r="I28" s="24">
        <f t="shared" si="3"/>
        <v>267</v>
      </c>
      <c r="J28" s="24">
        <v>0</v>
      </c>
      <c r="K28" s="24">
        <f t="shared" si="2"/>
        <v>267</v>
      </c>
      <c r="L28" s="159" t="s">
        <v>34</v>
      </c>
      <c r="O28" s="35"/>
    </row>
    <row r="29" spans="1:15" ht="14.5" x14ac:dyDescent="0.3">
      <c r="A29" s="193" t="s">
        <v>79</v>
      </c>
      <c r="B29" s="64" t="s">
        <v>80</v>
      </c>
      <c r="C29" s="23">
        <v>89</v>
      </c>
      <c r="D29" s="23">
        <f>(840)/89</f>
        <v>9.4382022471910112</v>
      </c>
      <c r="E29" s="41">
        <f t="shared" si="0"/>
        <v>840</v>
      </c>
      <c r="F29" s="19">
        <v>4</v>
      </c>
      <c r="G29" s="41">
        <f t="shared" si="1"/>
        <v>3360</v>
      </c>
      <c r="H29" s="25">
        <f>'2020'!G19</f>
        <v>14764</v>
      </c>
      <c r="I29" s="24">
        <v>0</v>
      </c>
      <c r="J29" s="24">
        <f t="shared" si="4"/>
        <v>-11404</v>
      </c>
      <c r="K29" s="24">
        <f t="shared" si="2"/>
        <v>-11404</v>
      </c>
      <c r="L29" s="104" t="s">
        <v>81</v>
      </c>
      <c r="O29" s="35"/>
    </row>
    <row r="30" spans="1:15" ht="14.5" x14ac:dyDescent="0.3">
      <c r="A30" s="193" t="s">
        <v>82</v>
      </c>
      <c r="B30" s="64" t="s">
        <v>83</v>
      </c>
      <c r="C30" s="23">
        <v>79</v>
      </c>
      <c r="D30" s="23">
        <f>2*(37417/79)</f>
        <v>947.2658227848101</v>
      </c>
      <c r="E30" s="41">
        <f t="shared" si="0"/>
        <v>74834</v>
      </c>
      <c r="F30" s="19">
        <v>2</v>
      </c>
      <c r="G30" s="41">
        <f t="shared" si="1"/>
        <v>149668</v>
      </c>
      <c r="H30" s="25">
        <f>'2020'!G20</f>
        <v>164656</v>
      </c>
      <c r="I30" s="24">
        <v>0</v>
      </c>
      <c r="J30" s="24">
        <f t="shared" si="4"/>
        <v>-14988</v>
      </c>
      <c r="K30" s="24">
        <f t="shared" si="2"/>
        <v>-14988</v>
      </c>
      <c r="L30" s="159" t="s">
        <v>84</v>
      </c>
      <c r="O30" s="35"/>
    </row>
    <row r="31" spans="1:15" ht="14.5" x14ac:dyDescent="0.3">
      <c r="A31" s="193" t="s">
        <v>82</v>
      </c>
      <c r="B31" s="64" t="s">
        <v>85</v>
      </c>
      <c r="C31" s="23">
        <v>5</v>
      </c>
      <c r="D31" s="23">
        <v>1</v>
      </c>
      <c r="E31" s="41">
        <f t="shared" si="0"/>
        <v>5</v>
      </c>
      <c r="F31" s="19">
        <v>8</v>
      </c>
      <c r="G31" s="41">
        <f t="shared" si="1"/>
        <v>40</v>
      </c>
      <c r="H31" s="25">
        <f>'2020'!G21</f>
        <v>40</v>
      </c>
      <c r="I31" s="24">
        <f t="shared" si="3"/>
        <v>0</v>
      </c>
      <c r="J31" s="24">
        <f t="shared" si="4"/>
        <v>0</v>
      </c>
      <c r="K31" s="24">
        <f t="shared" si="2"/>
        <v>0</v>
      </c>
      <c r="L31" s="159" t="s">
        <v>27</v>
      </c>
      <c r="O31" s="35"/>
    </row>
    <row r="32" spans="1:15" ht="14.5" x14ac:dyDescent="0.3">
      <c r="A32" s="193" t="s">
        <v>86</v>
      </c>
      <c r="B32" s="64" t="s">
        <v>87</v>
      </c>
      <c r="C32" s="23">
        <v>89</v>
      </c>
      <c r="D32" s="23">
        <v>1</v>
      </c>
      <c r="E32" s="41">
        <f t="shared" si="0"/>
        <v>89</v>
      </c>
      <c r="F32" s="19">
        <v>3</v>
      </c>
      <c r="G32" s="41">
        <f t="shared" si="1"/>
        <v>267</v>
      </c>
      <c r="H32" s="25">
        <v>0</v>
      </c>
      <c r="I32" s="24">
        <f t="shared" si="3"/>
        <v>267</v>
      </c>
      <c r="J32" s="24">
        <v>0</v>
      </c>
      <c r="K32" s="24">
        <f t="shared" si="2"/>
        <v>267</v>
      </c>
      <c r="L32" s="159" t="s">
        <v>34</v>
      </c>
      <c r="O32" s="35"/>
    </row>
    <row r="33" spans="1:15" ht="14.5" x14ac:dyDescent="0.3">
      <c r="A33" s="193" t="s">
        <v>88</v>
      </c>
      <c r="B33" s="64" t="s">
        <v>89</v>
      </c>
      <c r="C33" s="23">
        <v>89</v>
      </c>
      <c r="D33" s="23">
        <v>17</v>
      </c>
      <c r="E33" s="41">
        <f t="shared" si="0"/>
        <v>1513</v>
      </c>
      <c r="F33" s="19">
        <v>1</v>
      </c>
      <c r="G33" s="41">
        <f t="shared" si="1"/>
        <v>1513</v>
      </c>
      <c r="H33" s="25">
        <v>0</v>
      </c>
      <c r="I33" s="24">
        <f t="shared" si="3"/>
        <v>1513</v>
      </c>
      <c r="J33" s="24">
        <v>0</v>
      </c>
      <c r="K33" s="24">
        <f t="shared" si="2"/>
        <v>1513</v>
      </c>
      <c r="L33" s="166" t="s">
        <v>34</v>
      </c>
      <c r="O33" s="35"/>
    </row>
    <row r="34" spans="1:15" ht="14.5" x14ac:dyDescent="0.3">
      <c r="A34" s="193" t="s">
        <v>90</v>
      </c>
      <c r="B34" s="64" t="s">
        <v>91</v>
      </c>
      <c r="C34" s="23">
        <v>89</v>
      </c>
      <c r="D34" s="23">
        <v>1</v>
      </c>
      <c r="E34" s="41">
        <f t="shared" si="0"/>
        <v>89</v>
      </c>
      <c r="F34" s="19">
        <v>3</v>
      </c>
      <c r="G34" s="41">
        <f t="shared" si="1"/>
        <v>267</v>
      </c>
      <c r="H34" s="25">
        <v>0</v>
      </c>
      <c r="I34" s="24">
        <f t="shared" si="3"/>
        <v>267</v>
      </c>
      <c r="J34" s="24">
        <v>0</v>
      </c>
      <c r="K34" s="24">
        <f t="shared" si="2"/>
        <v>267</v>
      </c>
      <c r="L34" s="159" t="s">
        <v>34</v>
      </c>
      <c r="O34" s="35"/>
    </row>
    <row r="35" spans="1:15" ht="28" x14ac:dyDescent="0.3">
      <c r="A35" s="193" t="s">
        <v>92</v>
      </c>
      <c r="B35" s="64" t="s">
        <v>93</v>
      </c>
      <c r="C35" s="23">
        <v>89</v>
      </c>
      <c r="D35" s="23">
        <f>(0.33*37417)/89</f>
        <v>138.73719101123595</v>
      </c>
      <c r="E35" s="41">
        <f t="shared" si="0"/>
        <v>12347.609999999999</v>
      </c>
      <c r="F35" s="19">
        <v>0.66800000000000004</v>
      </c>
      <c r="G35" s="41">
        <f t="shared" si="1"/>
        <v>8248.2034800000001</v>
      </c>
      <c r="H35" s="25">
        <v>0</v>
      </c>
      <c r="I35" s="24">
        <f t="shared" si="3"/>
        <v>8248.2034800000001</v>
      </c>
      <c r="J35" s="24">
        <v>0</v>
      </c>
      <c r="K35" s="24">
        <f t="shared" si="2"/>
        <v>8248.2034800000001</v>
      </c>
      <c r="L35" s="159" t="s">
        <v>34</v>
      </c>
      <c r="O35" s="35"/>
    </row>
    <row r="36" spans="1:15" ht="14.5" x14ac:dyDescent="0.3">
      <c r="A36" s="193" t="s">
        <v>94</v>
      </c>
      <c r="B36" s="64" t="s">
        <v>95</v>
      </c>
      <c r="C36" s="23">
        <v>89</v>
      </c>
      <c r="D36" s="23">
        <v>1</v>
      </c>
      <c r="E36" s="41">
        <f t="shared" si="0"/>
        <v>89</v>
      </c>
      <c r="F36" s="19">
        <v>8</v>
      </c>
      <c r="G36" s="41">
        <f t="shared" si="1"/>
        <v>712</v>
      </c>
      <c r="H36" s="25">
        <f>'2020'!G22</f>
        <v>712</v>
      </c>
      <c r="I36" s="24">
        <f t="shared" si="3"/>
        <v>0</v>
      </c>
      <c r="J36" s="24">
        <f t="shared" si="4"/>
        <v>0</v>
      </c>
      <c r="K36" s="24">
        <f t="shared" si="2"/>
        <v>0</v>
      </c>
      <c r="L36" s="159" t="s">
        <v>27</v>
      </c>
      <c r="O36" s="35"/>
    </row>
    <row r="37" spans="1:15" ht="14.5" x14ac:dyDescent="0.3">
      <c r="A37" s="193" t="s">
        <v>94</v>
      </c>
      <c r="B37" s="64" t="s">
        <v>96</v>
      </c>
      <c r="C37" s="24">
        <v>89</v>
      </c>
      <c r="D37" s="23">
        <f>(37417/89)</f>
        <v>420.41573033707863</v>
      </c>
      <c r="E37" s="41">
        <f t="shared" si="0"/>
        <v>37417</v>
      </c>
      <c r="F37" s="19">
        <v>2</v>
      </c>
      <c r="G37" s="41">
        <f t="shared" si="1"/>
        <v>74834</v>
      </c>
      <c r="H37" s="25">
        <f>'2020'!G23</f>
        <v>82328</v>
      </c>
      <c r="I37" s="24">
        <v>0</v>
      </c>
      <c r="J37" s="24">
        <f t="shared" si="4"/>
        <v>-7494</v>
      </c>
      <c r="K37" s="24">
        <f t="shared" si="2"/>
        <v>-7494</v>
      </c>
      <c r="L37" s="159" t="s">
        <v>84</v>
      </c>
      <c r="O37" s="35"/>
    </row>
    <row r="38" spans="1:15" ht="102" customHeight="1" x14ac:dyDescent="0.3">
      <c r="A38" s="193" t="s">
        <v>97</v>
      </c>
      <c r="B38" s="64" t="s">
        <v>98</v>
      </c>
      <c r="C38" s="24">
        <v>89</v>
      </c>
      <c r="D38" s="23">
        <f>(0.05*37417)/89</f>
        <v>21.020786516853935</v>
      </c>
      <c r="E38" s="41">
        <f t="shared" si="0"/>
        <v>1870.8500000000001</v>
      </c>
      <c r="F38" s="19">
        <v>1.3340000000000001</v>
      </c>
      <c r="G38" s="41">
        <f t="shared" si="1"/>
        <v>2495.7139000000002</v>
      </c>
      <c r="H38" s="25">
        <v>0</v>
      </c>
      <c r="I38" s="24">
        <f t="shared" si="3"/>
        <v>2495.7139000000002</v>
      </c>
      <c r="J38" s="24">
        <v>0</v>
      </c>
      <c r="K38" s="24">
        <f t="shared" si="2"/>
        <v>2495.7139000000002</v>
      </c>
      <c r="L38" s="159" t="s">
        <v>34</v>
      </c>
      <c r="O38" s="35"/>
    </row>
    <row r="39" spans="1:15" ht="28" x14ac:dyDescent="0.3">
      <c r="A39" s="193" t="s">
        <v>99</v>
      </c>
      <c r="B39" s="64" t="s">
        <v>100</v>
      </c>
      <c r="C39" s="24">
        <v>89</v>
      </c>
      <c r="D39" s="23">
        <f>(37417*0.05)/89</f>
        <v>21.020786516853935</v>
      </c>
      <c r="E39" s="41">
        <f t="shared" si="0"/>
        <v>1870.8500000000001</v>
      </c>
      <c r="F39" s="19">
        <v>2.3340000000000001</v>
      </c>
      <c r="G39" s="41">
        <f t="shared" si="1"/>
        <v>4366.5639000000001</v>
      </c>
      <c r="H39" s="25">
        <f>'2020'!G24</f>
        <v>4116.4000000000005</v>
      </c>
      <c r="I39" s="24">
        <f>G39-H39</f>
        <v>250.16389999999956</v>
      </c>
      <c r="J39" s="24">
        <v>0</v>
      </c>
      <c r="K39" s="24">
        <f t="shared" si="2"/>
        <v>250.16389999999956</v>
      </c>
      <c r="L39" s="166" t="s">
        <v>101</v>
      </c>
      <c r="O39" s="35"/>
    </row>
    <row r="40" spans="1:15" ht="28" x14ac:dyDescent="0.3">
      <c r="A40" s="193" t="s">
        <v>102</v>
      </c>
      <c r="B40" s="64" t="s">
        <v>103</v>
      </c>
      <c r="C40" s="24">
        <v>2</v>
      </c>
      <c r="D40" s="23">
        <v>1</v>
      </c>
      <c r="E40" s="41">
        <f t="shared" si="0"/>
        <v>2</v>
      </c>
      <c r="F40" s="19">
        <v>3</v>
      </c>
      <c r="G40" s="41">
        <f t="shared" si="1"/>
        <v>6</v>
      </c>
      <c r="H40" s="25">
        <v>0</v>
      </c>
      <c r="I40" s="24">
        <f t="shared" si="3"/>
        <v>6</v>
      </c>
      <c r="J40" s="24">
        <v>0</v>
      </c>
      <c r="K40" s="24">
        <f t="shared" si="2"/>
        <v>6</v>
      </c>
      <c r="L40" s="159" t="s">
        <v>34</v>
      </c>
      <c r="O40" s="35"/>
    </row>
    <row r="41" spans="1:15" ht="14.5" x14ac:dyDescent="0.3">
      <c r="A41" s="193" t="s">
        <v>104</v>
      </c>
      <c r="B41" s="64" t="s">
        <v>105</v>
      </c>
      <c r="C41" s="24">
        <v>89</v>
      </c>
      <c r="D41" s="23">
        <f>1048/89</f>
        <v>11.775280898876405</v>
      </c>
      <c r="E41" s="41">
        <f t="shared" si="0"/>
        <v>1048</v>
      </c>
      <c r="F41" s="19">
        <v>8.3500000000000005E-2</v>
      </c>
      <c r="G41" s="41">
        <f t="shared" si="1"/>
        <v>87.50800000000001</v>
      </c>
      <c r="H41" s="25">
        <v>0</v>
      </c>
      <c r="I41" s="24">
        <f t="shared" si="3"/>
        <v>87.50800000000001</v>
      </c>
      <c r="J41" s="24">
        <v>0</v>
      </c>
      <c r="K41" s="24">
        <f t="shared" si="2"/>
        <v>87.50800000000001</v>
      </c>
      <c r="L41" s="159" t="s">
        <v>34</v>
      </c>
      <c r="O41" s="35"/>
    </row>
    <row r="42" spans="1:15" ht="14.5" x14ac:dyDescent="0.3">
      <c r="A42" s="193" t="s">
        <v>106</v>
      </c>
      <c r="B42" s="64" t="s">
        <v>107</v>
      </c>
      <c r="C42" s="24">
        <v>1</v>
      </c>
      <c r="D42" s="23">
        <v>12</v>
      </c>
      <c r="E42" s="41">
        <f>C42*D42</f>
        <v>12</v>
      </c>
      <c r="F42" s="19">
        <v>40</v>
      </c>
      <c r="G42" s="41">
        <f>E42*F42</f>
        <v>480</v>
      </c>
      <c r="H42" s="25">
        <v>0</v>
      </c>
      <c r="I42" s="24">
        <f t="shared" si="3"/>
        <v>480</v>
      </c>
      <c r="J42" s="24">
        <v>0</v>
      </c>
      <c r="K42" s="24">
        <f t="shared" si="2"/>
        <v>480</v>
      </c>
      <c r="L42" s="159" t="s">
        <v>34</v>
      </c>
      <c r="O42" s="35"/>
    </row>
    <row r="43" spans="1:15" ht="14.5" x14ac:dyDescent="0.3">
      <c r="A43" s="193" t="s">
        <v>108</v>
      </c>
      <c r="B43" s="64" t="s">
        <v>109</v>
      </c>
      <c r="C43" s="23">
        <v>89</v>
      </c>
      <c r="D43" s="23">
        <f>10000/89</f>
        <v>112.35955056179775</v>
      </c>
      <c r="E43" s="41">
        <f t="shared" si="0"/>
        <v>10000</v>
      </c>
      <c r="F43" s="19">
        <v>1</v>
      </c>
      <c r="G43" s="41">
        <f t="shared" si="1"/>
        <v>10000</v>
      </c>
      <c r="H43" s="25">
        <f>'2020'!G25</f>
        <v>10000</v>
      </c>
      <c r="I43" s="24">
        <f t="shared" si="3"/>
        <v>0</v>
      </c>
      <c r="J43" s="24">
        <f t="shared" si="4"/>
        <v>0</v>
      </c>
      <c r="K43" s="24">
        <f t="shared" si="2"/>
        <v>0</v>
      </c>
      <c r="L43" s="159" t="s">
        <v>27</v>
      </c>
      <c r="O43" s="35"/>
    </row>
    <row r="44" spans="1:15" ht="28" x14ac:dyDescent="0.3">
      <c r="A44" s="193" t="s">
        <v>110</v>
      </c>
      <c r="B44" s="64" t="s">
        <v>111</v>
      </c>
      <c r="C44" s="23">
        <v>89</v>
      </c>
      <c r="D44" s="23">
        <v>1</v>
      </c>
      <c r="E44" s="41">
        <f t="shared" si="0"/>
        <v>89</v>
      </c>
      <c r="F44" s="19">
        <v>2</v>
      </c>
      <c r="G44" s="41">
        <f t="shared" si="1"/>
        <v>178</v>
      </c>
      <c r="H44" s="25">
        <v>0</v>
      </c>
      <c r="I44" s="24">
        <f t="shared" si="3"/>
        <v>178</v>
      </c>
      <c r="J44" s="24">
        <v>0</v>
      </c>
      <c r="K44" s="24">
        <f t="shared" si="2"/>
        <v>178</v>
      </c>
      <c r="L44" s="159" t="s">
        <v>34</v>
      </c>
      <c r="O44" s="35"/>
    </row>
    <row r="45" spans="1:15" ht="14.5" x14ac:dyDescent="0.3">
      <c r="A45" s="193" t="s">
        <v>112</v>
      </c>
      <c r="B45" s="64" t="s">
        <v>113</v>
      </c>
      <c r="C45" s="23">
        <v>89</v>
      </c>
      <c r="D45" s="23">
        <v>1</v>
      </c>
      <c r="E45" s="41">
        <f t="shared" si="0"/>
        <v>89</v>
      </c>
      <c r="F45" s="19">
        <v>40</v>
      </c>
      <c r="G45" s="41">
        <f t="shared" si="1"/>
        <v>3560</v>
      </c>
      <c r="H45" s="25">
        <f>'2020'!G26</f>
        <v>3560</v>
      </c>
      <c r="I45" s="24">
        <f t="shared" si="3"/>
        <v>0</v>
      </c>
      <c r="J45" s="24">
        <f t="shared" si="4"/>
        <v>0</v>
      </c>
      <c r="K45" s="24">
        <f t="shared" si="2"/>
        <v>0</v>
      </c>
      <c r="L45" s="159" t="s">
        <v>27</v>
      </c>
      <c r="O45" s="35"/>
    </row>
    <row r="46" spans="1:15" ht="14.5" x14ac:dyDescent="0.3">
      <c r="A46" s="193" t="s">
        <v>114</v>
      </c>
      <c r="B46" s="64" t="s">
        <v>115</v>
      </c>
      <c r="C46" s="23">
        <v>89</v>
      </c>
      <c r="D46" s="23">
        <f>(6243960*0.02)/89</f>
        <v>1403.1370786516854</v>
      </c>
      <c r="E46" s="41">
        <f t="shared" si="0"/>
        <v>124879.20000000001</v>
      </c>
      <c r="F46" s="19">
        <v>8.3500000000000005E-2</v>
      </c>
      <c r="G46" s="41">
        <f t="shared" si="1"/>
        <v>10427.413200000001</v>
      </c>
      <c r="H46" s="25">
        <v>0</v>
      </c>
      <c r="I46" s="24">
        <f t="shared" si="3"/>
        <v>10427.413200000001</v>
      </c>
      <c r="J46" s="24">
        <v>0</v>
      </c>
      <c r="K46" s="24">
        <f t="shared" si="2"/>
        <v>10427.413200000001</v>
      </c>
      <c r="L46" s="159" t="s">
        <v>34</v>
      </c>
      <c r="O46" s="35"/>
    </row>
    <row r="47" spans="1:15" ht="28" x14ac:dyDescent="0.3">
      <c r="A47" s="193" t="s">
        <v>116</v>
      </c>
      <c r="B47" s="64" t="s">
        <v>117</v>
      </c>
      <c r="C47" s="23">
        <v>89</v>
      </c>
      <c r="D47" s="23">
        <f>(0.33*3289)/89</f>
        <v>12.195168539325843</v>
      </c>
      <c r="E47" s="41">
        <f t="shared" si="0"/>
        <v>1085.3700000000001</v>
      </c>
      <c r="F47" s="19">
        <v>0.66800000000000004</v>
      </c>
      <c r="G47" s="41">
        <f t="shared" si="1"/>
        <v>725.02716000000009</v>
      </c>
      <c r="H47" s="25">
        <v>0</v>
      </c>
      <c r="I47" s="24">
        <f t="shared" si="3"/>
        <v>725.02716000000009</v>
      </c>
      <c r="J47" s="24">
        <v>0</v>
      </c>
      <c r="K47" s="24">
        <f t="shared" si="2"/>
        <v>725.02716000000009</v>
      </c>
      <c r="L47" s="159" t="s">
        <v>34</v>
      </c>
      <c r="O47" s="35"/>
    </row>
    <row r="48" spans="1:15" ht="14.5" x14ac:dyDescent="0.3">
      <c r="A48" s="193" t="s">
        <v>118</v>
      </c>
      <c r="B48" s="64" t="s">
        <v>119</v>
      </c>
      <c r="C48" s="23">
        <v>89</v>
      </c>
      <c r="D48" s="23">
        <f>(3289*0.02)/89</f>
        <v>0.73910112359550562</v>
      </c>
      <c r="E48" s="41">
        <f>C48*D48</f>
        <v>65.78</v>
      </c>
      <c r="F48" s="19">
        <v>8.3500000000000005E-2</v>
      </c>
      <c r="G48" s="41">
        <f>E48*F48</f>
        <v>5.4926300000000001</v>
      </c>
      <c r="H48" s="25">
        <v>0</v>
      </c>
      <c r="I48" s="24">
        <f t="shared" si="3"/>
        <v>5.4926300000000001</v>
      </c>
      <c r="J48" s="24">
        <v>0</v>
      </c>
      <c r="K48" s="24">
        <f t="shared" si="2"/>
        <v>5.4926300000000001</v>
      </c>
      <c r="L48" s="159" t="s">
        <v>34</v>
      </c>
      <c r="O48" s="35"/>
    </row>
    <row r="49" spans="1:15" ht="28" x14ac:dyDescent="0.3">
      <c r="A49" s="193" t="s">
        <v>120</v>
      </c>
      <c r="B49" s="64" t="s">
        <v>121</v>
      </c>
      <c r="C49" s="23">
        <v>89</v>
      </c>
      <c r="D49" s="23">
        <v>1</v>
      </c>
      <c r="E49" s="41">
        <f>C49*D49</f>
        <v>89</v>
      </c>
      <c r="F49" s="19">
        <v>3</v>
      </c>
      <c r="G49" s="41">
        <f>E49*F49</f>
        <v>267</v>
      </c>
      <c r="H49" s="25">
        <v>0</v>
      </c>
      <c r="I49" s="24">
        <f t="shared" si="3"/>
        <v>267</v>
      </c>
      <c r="J49" s="24">
        <v>0</v>
      </c>
      <c r="K49" s="24">
        <f t="shared" si="2"/>
        <v>267</v>
      </c>
      <c r="L49" s="159" t="s">
        <v>34</v>
      </c>
      <c r="O49" s="35"/>
    </row>
    <row r="50" spans="1:15" ht="87" customHeight="1" x14ac:dyDescent="0.3">
      <c r="A50" s="193" t="s">
        <v>122</v>
      </c>
      <c r="B50" s="64" t="s">
        <v>123</v>
      </c>
      <c r="C50" s="23">
        <v>20</v>
      </c>
      <c r="D50" s="23">
        <v>1</v>
      </c>
      <c r="E50" s="41">
        <f t="shared" si="0"/>
        <v>20</v>
      </c>
      <c r="F50" s="19">
        <v>160</v>
      </c>
      <c r="G50" s="41">
        <f t="shared" si="1"/>
        <v>3200</v>
      </c>
      <c r="H50" s="25">
        <f>'2020'!G27</f>
        <v>3200</v>
      </c>
      <c r="I50" s="24">
        <f t="shared" si="3"/>
        <v>0</v>
      </c>
      <c r="J50" s="24">
        <f t="shared" si="4"/>
        <v>0</v>
      </c>
      <c r="K50" s="24">
        <f t="shared" si="2"/>
        <v>0</v>
      </c>
      <c r="L50" s="168" t="s">
        <v>27</v>
      </c>
      <c r="O50" s="35"/>
    </row>
    <row r="51" spans="1:15" ht="28" x14ac:dyDescent="0.3">
      <c r="A51" s="193" t="s">
        <v>124</v>
      </c>
      <c r="B51" s="64" t="s">
        <v>125</v>
      </c>
      <c r="C51" s="23">
        <v>27</v>
      </c>
      <c r="D51" s="23">
        <v>1</v>
      </c>
      <c r="E51" s="41">
        <f t="shared" si="0"/>
        <v>27</v>
      </c>
      <c r="F51" s="19">
        <v>2</v>
      </c>
      <c r="G51" s="41">
        <f t="shared" si="1"/>
        <v>54</v>
      </c>
      <c r="H51" s="25">
        <v>0</v>
      </c>
      <c r="I51" s="24">
        <f t="shared" si="3"/>
        <v>54</v>
      </c>
      <c r="J51" s="24">
        <v>0</v>
      </c>
      <c r="K51" s="24">
        <f t="shared" si="2"/>
        <v>54</v>
      </c>
      <c r="L51" s="168" t="s">
        <v>34</v>
      </c>
      <c r="O51" s="35"/>
    </row>
    <row r="52" spans="1:15" ht="14.5" x14ac:dyDescent="0.3">
      <c r="A52" s="193" t="s">
        <v>126</v>
      </c>
      <c r="B52" s="64" t="s">
        <v>127</v>
      </c>
      <c r="C52" s="23">
        <v>89</v>
      </c>
      <c r="D52" s="23">
        <f>(1810*4)/89</f>
        <v>81.348314606741567</v>
      </c>
      <c r="E52" s="41">
        <f t="shared" si="0"/>
        <v>7239.9999999999991</v>
      </c>
      <c r="F52" s="19">
        <v>2</v>
      </c>
      <c r="G52" s="41">
        <f t="shared" si="1"/>
        <v>14479.999999999998</v>
      </c>
      <c r="H52" s="25">
        <f>'2020'!G28</f>
        <v>14464</v>
      </c>
      <c r="I52" s="24">
        <v>0</v>
      </c>
      <c r="J52" s="24">
        <f t="shared" si="4"/>
        <v>15.999999999998181</v>
      </c>
      <c r="K52" s="24">
        <f t="shared" si="2"/>
        <v>15.999999999998181</v>
      </c>
      <c r="L52" s="169" t="s">
        <v>128</v>
      </c>
      <c r="O52" s="35"/>
    </row>
    <row r="53" spans="1:15" ht="42" x14ac:dyDescent="0.3">
      <c r="A53" s="193" t="s">
        <v>129</v>
      </c>
      <c r="B53" s="64" t="s">
        <v>130</v>
      </c>
      <c r="C53" s="23">
        <v>30</v>
      </c>
      <c r="D53" s="23">
        <v>1</v>
      </c>
      <c r="E53" s="41">
        <f t="shared" si="0"/>
        <v>30</v>
      </c>
      <c r="F53" s="19">
        <v>1.5</v>
      </c>
      <c r="G53" s="41">
        <f t="shared" si="1"/>
        <v>45</v>
      </c>
      <c r="H53" s="25">
        <v>0</v>
      </c>
      <c r="I53" s="24">
        <f t="shared" si="3"/>
        <v>45</v>
      </c>
      <c r="J53" s="24">
        <v>0</v>
      </c>
      <c r="K53" s="24">
        <f t="shared" si="2"/>
        <v>45</v>
      </c>
      <c r="L53" s="168" t="s">
        <v>34</v>
      </c>
      <c r="O53" s="35"/>
    </row>
    <row r="54" spans="1:15" ht="28" x14ac:dyDescent="0.3">
      <c r="A54" s="193" t="s">
        <v>131</v>
      </c>
      <c r="B54" s="64" t="s">
        <v>132</v>
      </c>
      <c r="C54" s="23">
        <f>79/5</f>
        <v>15.8</v>
      </c>
      <c r="D54" s="23">
        <v>1</v>
      </c>
      <c r="E54" s="41">
        <f t="shared" si="0"/>
        <v>15.8</v>
      </c>
      <c r="F54" s="19">
        <v>1968</v>
      </c>
      <c r="G54" s="41">
        <f t="shared" si="1"/>
        <v>31094.400000000001</v>
      </c>
      <c r="H54" s="25">
        <v>0</v>
      </c>
      <c r="I54" s="24">
        <f t="shared" si="3"/>
        <v>31094.400000000001</v>
      </c>
      <c r="J54" s="24">
        <v>0</v>
      </c>
      <c r="K54" s="24">
        <f t="shared" si="2"/>
        <v>31094.400000000001</v>
      </c>
      <c r="L54" s="168" t="s">
        <v>34</v>
      </c>
      <c r="O54" s="35"/>
    </row>
    <row r="55" spans="1:15" ht="14.5" x14ac:dyDescent="0.3">
      <c r="A55" s="193" t="s">
        <v>133</v>
      </c>
      <c r="B55" s="64" t="s">
        <v>134</v>
      </c>
      <c r="C55" s="23">
        <v>2</v>
      </c>
      <c r="D55" s="23">
        <v>1</v>
      </c>
      <c r="E55" s="41">
        <f t="shared" si="0"/>
        <v>2</v>
      </c>
      <c r="F55" s="19">
        <v>8</v>
      </c>
      <c r="G55" s="41">
        <f t="shared" si="1"/>
        <v>16</v>
      </c>
      <c r="H55" s="25">
        <v>0</v>
      </c>
      <c r="I55" s="24">
        <f t="shared" si="3"/>
        <v>16</v>
      </c>
      <c r="J55" s="24">
        <v>0</v>
      </c>
      <c r="K55" s="24">
        <f t="shared" si="2"/>
        <v>16</v>
      </c>
      <c r="L55" s="168" t="s">
        <v>34</v>
      </c>
      <c r="O55" s="35"/>
    </row>
    <row r="56" spans="1:15" ht="28" x14ac:dyDescent="0.3">
      <c r="A56" s="193" t="s">
        <v>135</v>
      </c>
      <c r="B56" s="64" t="s">
        <v>136</v>
      </c>
      <c r="C56" s="23">
        <v>2</v>
      </c>
      <c r="D56" s="23">
        <v>1</v>
      </c>
      <c r="E56" s="41">
        <f t="shared" si="0"/>
        <v>2</v>
      </c>
      <c r="F56" s="19">
        <v>480</v>
      </c>
      <c r="G56" s="41">
        <f t="shared" si="1"/>
        <v>960</v>
      </c>
      <c r="H56" s="25">
        <v>0</v>
      </c>
      <c r="I56" s="24">
        <f t="shared" si="3"/>
        <v>960</v>
      </c>
      <c r="J56" s="24">
        <v>0</v>
      </c>
      <c r="K56" s="24">
        <f t="shared" si="2"/>
        <v>960</v>
      </c>
      <c r="L56" s="214" t="s">
        <v>34</v>
      </c>
      <c r="O56" s="35"/>
    </row>
    <row r="57" spans="1:15" ht="14.5" x14ac:dyDescent="0.3">
      <c r="A57" s="193" t="s">
        <v>137</v>
      </c>
      <c r="B57" s="64" t="s">
        <v>138</v>
      </c>
      <c r="C57" s="23">
        <v>89</v>
      </c>
      <c r="D57" s="23">
        <f>(10/89)</f>
        <v>0.11235955056179775</v>
      </c>
      <c r="E57" s="41">
        <f t="shared" si="0"/>
        <v>10</v>
      </c>
      <c r="F57" s="19">
        <v>8</v>
      </c>
      <c r="G57" s="41">
        <f t="shared" si="1"/>
        <v>80</v>
      </c>
      <c r="H57" s="25">
        <f>'2020'!G29</f>
        <v>80</v>
      </c>
      <c r="I57" s="24">
        <f t="shared" si="3"/>
        <v>0</v>
      </c>
      <c r="J57" s="24">
        <f t="shared" si="4"/>
        <v>0</v>
      </c>
      <c r="K57" s="24">
        <f t="shared" si="2"/>
        <v>0</v>
      </c>
      <c r="L57" s="214" t="s">
        <v>27</v>
      </c>
      <c r="O57" s="35"/>
    </row>
    <row r="58" spans="1:15" ht="28" x14ac:dyDescent="0.3">
      <c r="A58" s="193">
        <v>246.18</v>
      </c>
      <c r="B58" s="64" t="s">
        <v>139</v>
      </c>
      <c r="C58" s="23">
        <v>89</v>
      </c>
      <c r="D58" s="23">
        <f>((1048+65.78)*0.02)/89</f>
        <v>0.25028764044943819</v>
      </c>
      <c r="E58" s="41">
        <f t="shared" si="0"/>
        <v>22.275599999999997</v>
      </c>
      <c r="F58" s="19">
        <v>2</v>
      </c>
      <c r="G58" s="41">
        <f t="shared" si="1"/>
        <v>44.551199999999994</v>
      </c>
      <c r="H58" s="25">
        <v>0</v>
      </c>
      <c r="I58" s="24">
        <f t="shared" si="3"/>
        <v>44.551199999999994</v>
      </c>
      <c r="J58" s="24">
        <v>0</v>
      </c>
      <c r="K58" s="24">
        <f t="shared" si="2"/>
        <v>44.551199999999994</v>
      </c>
      <c r="L58" s="111" t="s">
        <v>34</v>
      </c>
      <c r="O58" s="35"/>
    </row>
    <row r="59" spans="1:15" ht="14.5" x14ac:dyDescent="0.3">
      <c r="A59" s="193" t="s">
        <v>140</v>
      </c>
      <c r="B59" s="64" t="s">
        <v>141</v>
      </c>
      <c r="C59" s="23">
        <f>89*0.33</f>
        <v>29.37</v>
      </c>
      <c r="D59" s="23">
        <v>1</v>
      </c>
      <c r="E59" s="41">
        <f t="shared" si="0"/>
        <v>29.37</v>
      </c>
      <c r="F59" s="19">
        <v>30</v>
      </c>
      <c r="G59" s="41">
        <f t="shared" si="1"/>
        <v>881.1</v>
      </c>
      <c r="H59" s="25">
        <f>'2020'!G30</f>
        <v>881.1</v>
      </c>
      <c r="I59" s="24">
        <f t="shared" si="3"/>
        <v>0</v>
      </c>
      <c r="J59" s="24">
        <f t="shared" si="4"/>
        <v>0</v>
      </c>
      <c r="K59" s="24">
        <f t="shared" si="2"/>
        <v>0</v>
      </c>
      <c r="L59" s="214" t="s">
        <v>27</v>
      </c>
      <c r="O59" s="35"/>
    </row>
    <row r="60" spans="1:15" ht="14.5" x14ac:dyDescent="0.3">
      <c r="A60" s="193" t="s">
        <v>140</v>
      </c>
      <c r="B60" s="64" t="s">
        <v>142</v>
      </c>
      <c r="C60" s="23">
        <v>17</v>
      </c>
      <c r="D60" s="23">
        <v>1</v>
      </c>
      <c r="E60" s="41">
        <f t="shared" ref="E60" si="5">C60*D60</f>
        <v>17</v>
      </c>
      <c r="F60" s="19">
        <v>3</v>
      </c>
      <c r="G60" s="41">
        <f t="shared" ref="G60" si="6">E60*F60</f>
        <v>51</v>
      </c>
      <c r="H60" s="25">
        <v>0</v>
      </c>
      <c r="I60" s="24">
        <f t="shared" ref="I60" si="7">G60-H60</f>
        <v>51</v>
      </c>
      <c r="J60" s="24">
        <v>0</v>
      </c>
      <c r="K60" s="24">
        <f t="shared" ref="K60" si="8">G60-H60</f>
        <v>51</v>
      </c>
      <c r="L60" s="214" t="s">
        <v>34</v>
      </c>
      <c r="O60" s="35"/>
    </row>
    <row r="61" spans="1:15" ht="14.5" x14ac:dyDescent="0.3">
      <c r="A61" s="193" t="s">
        <v>143</v>
      </c>
      <c r="B61" s="64" t="s">
        <v>144</v>
      </c>
      <c r="C61" s="23">
        <v>89</v>
      </c>
      <c r="D61" s="23">
        <f>(1810/2)/89</f>
        <v>10.168539325842696</v>
      </c>
      <c r="E61" s="41">
        <f t="shared" si="0"/>
        <v>904.99999999999989</v>
      </c>
      <c r="F61" s="19">
        <v>2</v>
      </c>
      <c r="G61" s="41">
        <f t="shared" si="1"/>
        <v>1809.9999999999998</v>
      </c>
      <c r="H61" s="25">
        <v>0</v>
      </c>
      <c r="I61" s="24">
        <f t="shared" si="3"/>
        <v>1809.9999999999998</v>
      </c>
      <c r="J61" s="24">
        <v>0</v>
      </c>
      <c r="K61" s="24">
        <f t="shared" si="2"/>
        <v>1809.9999999999998</v>
      </c>
      <c r="L61" s="214" t="s">
        <v>34</v>
      </c>
      <c r="O61" s="35"/>
    </row>
    <row r="62" spans="1:15" ht="14.5" x14ac:dyDescent="0.3">
      <c r="A62" s="193" t="s">
        <v>145</v>
      </c>
      <c r="B62" s="64" t="s">
        <v>146</v>
      </c>
      <c r="C62" s="23">
        <v>89</v>
      </c>
      <c r="D62" s="23">
        <f>(1810/89)*0.5*0.25</f>
        <v>2.542134831460674</v>
      </c>
      <c r="E62" s="41">
        <f t="shared" si="0"/>
        <v>226.24999999999997</v>
      </c>
      <c r="F62" s="19">
        <v>2</v>
      </c>
      <c r="G62" s="41">
        <f t="shared" si="1"/>
        <v>452.49999999999994</v>
      </c>
      <c r="H62" s="25">
        <f>'2020'!G31</f>
        <v>452</v>
      </c>
      <c r="I62" s="24">
        <v>0</v>
      </c>
      <c r="J62" s="24">
        <f t="shared" si="4"/>
        <v>0.49999999999994316</v>
      </c>
      <c r="K62" s="24">
        <f t="shared" si="2"/>
        <v>0.49999999999994316</v>
      </c>
      <c r="L62" s="214" t="s">
        <v>128</v>
      </c>
      <c r="O62" s="35"/>
    </row>
    <row r="63" spans="1:15" ht="14.5" x14ac:dyDescent="0.3">
      <c r="A63" s="194" t="s">
        <v>147</v>
      </c>
      <c r="B63" s="64" t="s">
        <v>148</v>
      </c>
      <c r="C63" s="23">
        <v>1</v>
      </c>
      <c r="D63" s="23">
        <v>1</v>
      </c>
      <c r="E63" s="41">
        <f t="shared" si="0"/>
        <v>1</v>
      </c>
      <c r="F63" s="19">
        <v>40</v>
      </c>
      <c r="G63" s="41">
        <f t="shared" si="1"/>
        <v>40</v>
      </c>
      <c r="H63" s="25">
        <f>'2020'!G32</f>
        <v>40</v>
      </c>
      <c r="I63" s="24">
        <f t="shared" si="3"/>
        <v>0</v>
      </c>
      <c r="J63" s="24">
        <f t="shared" si="4"/>
        <v>0</v>
      </c>
      <c r="K63" s="24">
        <f t="shared" si="2"/>
        <v>0</v>
      </c>
      <c r="L63" s="214" t="s">
        <v>27</v>
      </c>
    </row>
    <row r="64" spans="1:15" ht="14.5" x14ac:dyDescent="0.3">
      <c r="A64" s="195" t="s">
        <v>149</v>
      </c>
      <c r="B64" s="110" t="s">
        <v>150</v>
      </c>
      <c r="C64" s="23">
        <v>89</v>
      </c>
      <c r="D64" s="23">
        <v>1</v>
      </c>
      <c r="E64" s="41">
        <f t="shared" si="0"/>
        <v>89</v>
      </c>
      <c r="F64" s="19">
        <v>8</v>
      </c>
      <c r="G64" s="41">
        <f t="shared" si="1"/>
        <v>712</v>
      </c>
      <c r="H64" s="25">
        <v>0</v>
      </c>
      <c r="I64" s="24">
        <f t="shared" si="3"/>
        <v>712</v>
      </c>
      <c r="J64" s="24">
        <v>0</v>
      </c>
      <c r="K64" s="24">
        <f t="shared" si="2"/>
        <v>712</v>
      </c>
      <c r="L64" s="215" t="s">
        <v>34</v>
      </c>
    </row>
    <row r="65" spans="1:15" ht="14.5" x14ac:dyDescent="0.3">
      <c r="A65" s="193" t="s">
        <v>151</v>
      </c>
      <c r="B65" s="64" t="s">
        <v>152</v>
      </c>
      <c r="C65" s="23">
        <v>1</v>
      </c>
      <c r="D65" s="23">
        <v>1</v>
      </c>
      <c r="E65" s="41">
        <f t="shared" si="0"/>
        <v>1</v>
      </c>
      <c r="F65" s="19">
        <v>2</v>
      </c>
      <c r="G65" s="41">
        <f t="shared" si="1"/>
        <v>2</v>
      </c>
      <c r="H65" s="25">
        <v>0</v>
      </c>
      <c r="I65" s="24">
        <f t="shared" si="3"/>
        <v>2</v>
      </c>
      <c r="J65" s="24">
        <v>0</v>
      </c>
      <c r="K65" s="24">
        <f t="shared" si="2"/>
        <v>2</v>
      </c>
      <c r="L65" s="111" t="s">
        <v>34</v>
      </c>
    </row>
    <row r="66" spans="1:15" ht="14.5" x14ac:dyDescent="0.3">
      <c r="A66" s="193" t="s">
        <v>153</v>
      </c>
      <c r="B66" s="64" t="s">
        <v>154</v>
      </c>
      <c r="C66" s="23">
        <v>1</v>
      </c>
      <c r="D66" s="23">
        <v>1</v>
      </c>
      <c r="E66" s="41">
        <f t="shared" si="0"/>
        <v>1</v>
      </c>
      <c r="F66" s="19">
        <v>2</v>
      </c>
      <c r="G66" s="41">
        <f t="shared" si="1"/>
        <v>2</v>
      </c>
      <c r="H66" s="25">
        <v>0</v>
      </c>
      <c r="I66" s="24">
        <f t="shared" si="3"/>
        <v>2</v>
      </c>
      <c r="J66" s="24">
        <v>0</v>
      </c>
      <c r="K66" s="24">
        <f t="shared" si="2"/>
        <v>2</v>
      </c>
      <c r="L66" s="111" t="s">
        <v>34</v>
      </c>
    </row>
    <row r="67" spans="1:15" ht="33" customHeight="1" x14ac:dyDescent="0.3">
      <c r="A67" s="196" t="s">
        <v>155</v>
      </c>
      <c r="B67" s="111" t="s">
        <v>156</v>
      </c>
      <c r="C67" s="23">
        <f>(89*0.25)</f>
        <v>22.25</v>
      </c>
      <c r="D67" s="23">
        <v>1</v>
      </c>
      <c r="E67" s="41">
        <f t="shared" si="0"/>
        <v>22.25</v>
      </c>
      <c r="F67" s="19">
        <v>0.25</v>
      </c>
      <c r="G67" s="41">
        <f t="shared" si="1"/>
        <v>5.5625</v>
      </c>
      <c r="H67" s="25">
        <v>0</v>
      </c>
      <c r="I67" s="24">
        <f t="shared" si="3"/>
        <v>5.5625</v>
      </c>
      <c r="J67" s="24">
        <v>0</v>
      </c>
      <c r="K67" s="24">
        <f t="shared" si="2"/>
        <v>5.5625</v>
      </c>
      <c r="L67" s="216" t="s">
        <v>34</v>
      </c>
    </row>
    <row r="68" spans="1:15" ht="23.5" customHeight="1" x14ac:dyDescent="0.3">
      <c r="A68" s="265" t="s">
        <v>157</v>
      </c>
      <c r="B68" s="265"/>
      <c r="C68" s="217">
        <f>C5+1267</f>
        <v>1356</v>
      </c>
      <c r="D68" s="217">
        <f>E68/C68</f>
        <v>6852.8751852750411</v>
      </c>
      <c r="E68" s="217">
        <f>SUM(E5:E67)</f>
        <v>9292498.7512329556</v>
      </c>
      <c r="F68" s="218">
        <f>G68/E68</f>
        <v>0.359629693970484</v>
      </c>
      <c r="G68" s="217">
        <f>SUM(G5:G67)</f>
        <v>3341858.4821270127</v>
      </c>
      <c r="H68" s="219">
        <f>SUM(H5:H11)+SUM(H13:H67)</f>
        <v>2122588.0987999998</v>
      </c>
      <c r="I68" s="218">
        <f>SUM(I5:I11) + SUM(I13:I67)</f>
        <v>1253139.8833270126</v>
      </c>
      <c r="J68" s="220">
        <f>SUM(J5:J11)+SUM(J13:J67)</f>
        <v>-33869.5</v>
      </c>
      <c r="K68" s="221">
        <f t="shared" si="2"/>
        <v>1219270.3833270129</v>
      </c>
      <c r="L68" s="176"/>
    </row>
    <row r="69" spans="1:15" ht="42" customHeight="1" x14ac:dyDescent="0.3">
      <c r="A69" s="256" t="s">
        <v>158</v>
      </c>
      <c r="B69" s="257"/>
      <c r="C69" s="257"/>
      <c r="D69" s="257"/>
      <c r="E69" s="257"/>
      <c r="F69" s="257"/>
      <c r="G69" s="257"/>
      <c r="H69" s="257"/>
      <c r="I69" s="257"/>
      <c r="J69" s="257"/>
      <c r="K69" s="257"/>
      <c r="L69" s="258"/>
      <c r="M69" s="35"/>
      <c r="N69" s="35"/>
    </row>
    <row r="70" spans="1:15" ht="87" customHeight="1" x14ac:dyDescent="0.3">
      <c r="A70" s="193" t="s">
        <v>43</v>
      </c>
      <c r="B70" s="64" t="s">
        <v>46</v>
      </c>
      <c r="C70" s="145">
        <v>1379126</v>
      </c>
      <c r="D70" s="23">
        <v>1</v>
      </c>
      <c r="E70" s="41">
        <f>C70*D70</f>
        <v>1379126</v>
      </c>
      <c r="F70" s="23">
        <v>0.41749999999999998</v>
      </c>
      <c r="G70" s="41">
        <f>E70*F70</f>
        <v>575785.10499999998</v>
      </c>
      <c r="H70" s="25">
        <f>'2020'!G35</f>
        <v>545710.576</v>
      </c>
      <c r="I70" s="112">
        <v>115157.03</v>
      </c>
      <c r="J70" s="24">
        <v>-85082.5</v>
      </c>
      <c r="K70" s="24">
        <f>G70-H70</f>
        <v>30074.52899999998</v>
      </c>
      <c r="L70" s="64" t="s">
        <v>159</v>
      </c>
      <c r="M70" s="35"/>
      <c r="N70" s="35"/>
      <c r="O70" s="35"/>
    </row>
    <row r="71" spans="1:15" ht="28" x14ac:dyDescent="0.3">
      <c r="A71" s="193" t="s">
        <v>43</v>
      </c>
      <c r="B71" s="64" t="s">
        <v>160</v>
      </c>
      <c r="C71" s="146">
        <v>3400090</v>
      </c>
      <c r="D71" s="23">
        <v>1</v>
      </c>
      <c r="E71" s="41">
        <f t="shared" ref="E71:E80" si="9">C71*D71</f>
        <v>3400090</v>
      </c>
      <c r="F71" s="23">
        <v>0.41749999999999998</v>
      </c>
      <c r="G71" s="41">
        <f t="shared" ref="G71:G80" si="10">E71*F71</f>
        <v>1419537.575</v>
      </c>
      <c r="H71" s="25">
        <f>'2020'!G36</f>
        <v>882727.68150000006</v>
      </c>
      <c r="I71" s="112">
        <v>851722.54</v>
      </c>
      <c r="J71" s="24">
        <v>-314912.65000000002</v>
      </c>
      <c r="K71" s="24">
        <f t="shared" ref="K71:K80" si="11">G71-H71</f>
        <v>536809.89349999989</v>
      </c>
      <c r="L71" s="64" t="s">
        <v>161</v>
      </c>
      <c r="M71" s="35"/>
      <c r="N71" s="35"/>
    </row>
    <row r="72" spans="1:15" ht="28" x14ac:dyDescent="0.3">
      <c r="A72" s="193" t="s">
        <v>43</v>
      </c>
      <c r="B72" s="64" t="s">
        <v>50</v>
      </c>
      <c r="C72" s="145">
        <v>1464744</v>
      </c>
      <c r="D72" s="23">
        <v>1</v>
      </c>
      <c r="E72" s="41">
        <f t="shared" si="9"/>
        <v>1464744</v>
      </c>
      <c r="F72" s="23">
        <v>0.41749999999999998</v>
      </c>
      <c r="G72" s="41">
        <f t="shared" si="10"/>
        <v>611530.62</v>
      </c>
      <c r="H72" s="25">
        <f>'2020'!G37</f>
        <v>285970.967</v>
      </c>
      <c r="I72" s="112">
        <v>366918.37199999997</v>
      </c>
      <c r="J72" s="24">
        <v>-41358.720000000001</v>
      </c>
      <c r="K72" s="24">
        <f t="shared" si="11"/>
        <v>325559.65299999999</v>
      </c>
      <c r="L72" s="64" t="s">
        <v>162</v>
      </c>
      <c r="M72" s="35"/>
      <c r="N72" s="35"/>
    </row>
    <row r="73" spans="1:15" ht="28" x14ac:dyDescent="0.3">
      <c r="A73" s="193">
        <v>246.7</v>
      </c>
      <c r="B73" s="64" t="s">
        <v>163</v>
      </c>
      <c r="C73" s="27">
        <v>6243960</v>
      </c>
      <c r="D73" s="23">
        <v>1</v>
      </c>
      <c r="E73" s="41">
        <f t="shared" si="9"/>
        <v>6243960</v>
      </c>
      <c r="F73" s="23">
        <v>0.33400000000000002</v>
      </c>
      <c r="G73" s="41">
        <f t="shared" si="10"/>
        <v>2085482.6400000001</v>
      </c>
      <c r="H73" s="25">
        <v>0</v>
      </c>
      <c r="I73" s="112">
        <f t="shared" ref="I73:I80" si="12">G73-H73</f>
        <v>2085482.6400000001</v>
      </c>
      <c r="J73" s="24">
        <v>0</v>
      </c>
      <c r="K73" s="24">
        <f t="shared" si="11"/>
        <v>2085482.6400000001</v>
      </c>
      <c r="L73" s="159" t="s">
        <v>34</v>
      </c>
      <c r="M73" s="35"/>
      <c r="N73" s="35"/>
    </row>
    <row r="74" spans="1:15" ht="14.5" x14ac:dyDescent="0.3">
      <c r="A74" s="193" t="s">
        <v>164</v>
      </c>
      <c r="B74" s="64" t="s">
        <v>165</v>
      </c>
      <c r="C74" s="27">
        <v>6243960</v>
      </c>
      <c r="D74" s="23">
        <v>1</v>
      </c>
      <c r="E74" s="41">
        <f t="shared" si="9"/>
        <v>6243960</v>
      </c>
      <c r="F74" s="23">
        <v>0.33400000000000002</v>
      </c>
      <c r="G74" s="41">
        <f t="shared" si="10"/>
        <v>2085482.6400000001</v>
      </c>
      <c r="H74" s="25">
        <v>0</v>
      </c>
      <c r="I74" s="112">
        <f t="shared" si="12"/>
        <v>2085482.6400000001</v>
      </c>
      <c r="J74" s="24">
        <v>0</v>
      </c>
      <c r="K74" s="24">
        <f t="shared" si="11"/>
        <v>2085482.6400000001</v>
      </c>
      <c r="L74" s="159" t="s">
        <v>34</v>
      </c>
      <c r="M74" s="35"/>
      <c r="N74" s="35"/>
    </row>
    <row r="75" spans="1:15" ht="14.5" x14ac:dyDescent="0.3">
      <c r="A75" s="193">
        <v>246.9</v>
      </c>
      <c r="B75" s="64" t="s">
        <v>166</v>
      </c>
      <c r="C75" s="27">
        <f>(6243960*0.02*0.02)</f>
        <v>2497.5839999999998</v>
      </c>
      <c r="D75" s="23">
        <v>1</v>
      </c>
      <c r="E75" s="41">
        <f t="shared" si="9"/>
        <v>2497.5839999999998</v>
      </c>
      <c r="F75" s="23">
        <v>2</v>
      </c>
      <c r="G75" s="41">
        <f t="shared" si="10"/>
        <v>4995.1679999999997</v>
      </c>
      <c r="H75" s="25">
        <v>0</v>
      </c>
      <c r="I75" s="112">
        <f t="shared" si="12"/>
        <v>4995.1679999999997</v>
      </c>
      <c r="J75" s="24">
        <v>0</v>
      </c>
      <c r="K75" s="24">
        <f t="shared" si="11"/>
        <v>4995.1679999999997</v>
      </c>
      <c r="L75" s="159" t="s">
        <v>34</v>
      </c>
    </row>
    <row r="76" spans="1:15" ht="40.5" customHeight="1" x14ac:dyDescent="0.3">
      <c r="A76" s="193" t="s">
        <v>66</v>
      </c>
      <c r="B76" s="64" t="s">
        <v>67</v>
      </c>
      <c r="C76" s="27">
        <f>1464744*0.01</f>
        <v>14647.44</v>
      </c>
      <c r="D76" s="23">
        <v>1</v>
      </c>
      <c r="E76" s="41">
        <f t="shared" si="9"/>
        <v>14647.44</v>
      </c>
      <c r="F76" s="23">
        <v>3.3399999999999999E-2</v>
      </c>
      <c r="G76" s="41">
        <f t="shared" si="10"/>
        <v>489.22449599999999</v>
      </c>
      <c r="H76" s="25">
        <f>'2020'!G38</f>
        <v>572</v>
      </c>
      <c r="I76" s="112">
        <v>0</v>
      </c>
      <c r="J76" s="24">
        <f t="shared" ref="J76:J77" si="13">G76-H76</f>
        <v>-82.775504000000012</v>
      </c>
      <c r="K76" s="24">
        <f t="shared" si="11"/>
        <v>-82.775504000000012</v>
      </c>
      <c r="L76" s="64" t="s">
        <v>167</v>
      </c>
    </row>
    <row r="77" spans="1:15" ht="40.5" customHeight="1" x14ac:dyDescent="0.3">
      <c r="A77" s="193" t="s">
        <v>66</v>
      </c>
      <c r="B77" s="64" t="s">
        <v>168</v>
      </c>
      <c r="C77" s="27">
        <f>(3400090*0.01)+(6243960 *0.01)+(1379126*0.01)</f>
        <v>110231.76</v>
      </c>
      <c r="D77" s="23">
        <v>2</v>
      </c>
      <c r="E77" s="41">
        <f t="shared" si="9"/>
        <v>220463.52</v>
      </c>
      <c r="F77" s="23">
        <v>5.0099999999999999E-2</v>
      </c>
      <c r="G77" s="41">
        <f t="shared" si="10"/>
        <v>11045.222351999999</v>
      </c>
      <c r="H77" s="113">
        <f>'2020'!G39</f>
        <v>12051.910709999998</v>
      </c>
      <c r="I77" s="112">
        <v>0</v>
      </c>
      <c r="J77" s="24">
        <f t="shared" si="13"/>
        <v>-1006.6883579999994</v>
      </c>
      <c r="K77" s="24">
        <f t="shared" si="11"/>
        <v>-1006.6883579999994</v>
      </c>
      <c r="L77" s="64" t="s">
        <v>169</v>
      </c>
    </row>
    <row r="78" spans="1:15" ht="51.75" customHeight="1" x14ac:dyDescent="0.3">
      <c r="A78" s="197" t="s">
        <v>170</v>
      </c>
      <c r="B78" s="111" t="s">
        <v>171</v>
      </c>
      <c r="C78" s="27">
        <v>6243960</v>
      </c>
      <c r="D78" s="23">
        <v>1</v>
      </c>
      <c r="E78" s="41">
        <f t="shared" si="9"/>
        <v>6243960</v>
      </c>
      <c r="F78" s="23">
        <v>0.25</v>
      </c>
      <c r="G78" s="41">
        <f t="shared" si="10"/>
        <v>1560990</v>
      </c>
      <c r="H78" s="113">
        <v>0</v>
      </c>
      <c r="I78" s="112">
        <f t="shared" si="12"/>
        <v>1560990</v>
      </c>
      <c r="J78" s="24">
        <v>0</v>
      </c>
      <c r="K78" s="24">
        <f t="shared" si="11"/>
        <v>1560990</v>
      </c>
      <c r="L78" s="64" t="s">
        <v>34</v>
      </c>
    </row>
    <row r="79" spans="1:15" ht="52.5" customHeight="1" x14ac:dyDescent="0.3">
      <c r="A79" s="197" t="s">
        <v>172</v>
      </c>
      <c r="B79" s="147" t="s">
        <v>173</v>
      </c>
      <c r="C79" s="27">
        <f>((6243960/89)/2)*17</f>
        <v>596333.25842696626</v>
      </c>
      <c r="D79" s="23">
        <v>3</v>
      </c>
      <c r="E79" s="41">
        <f t="shared" si="9"/>
        <v>1788999.7752808989</v>
      </c>
      <c r="F79" s="23">
        <v>0.5</v>
      </c>
      <c r="G79" s="41">
        <f t="shared" si="10"/>
        <v>894499.88764044945</v>
      </c>
      <c r="H79" s="113">
        <v>0</v>
      </c>
      <c r="I79" s="112">
        <f t="shared" si="12"/>
        <v>894499.88764044945</v>
      </c>
      <c r="J79" s="24">
        <v>0</v>
      </c>
      <c r="K79" s="24">
        <f t="shared" si="11"/>
        <v>894499.88764044945</v>
      </c>
      <c r="L79" s="64" t="s">
        <v>34</v>
      </c>
    </row>
    <row r="80" spans="1:15" ht="50.25" customHeight="1" x14ac:dyDescent="0.3">
      <c r="A80" s="197" t="s">
        <v>172</v>
      </c>
      <c r="B80" s="147" t="s">
        <v>174</v>
      </c>
      <c r="C80" s="27">
        <f>((6243960/89)/2)*72</f>
        <v>2525646.7415730339</v>
      </c>
      <c r="D80" s="23">
        <v>1</v>
      </c>
      <c r="E80" s="41">
        <f t="shared" si="9"/>
        <v>2525646.7415730339</v>
      </c>
      <c r="F80" s="23">
        <v>0.5</v>
      </c>
      <c r="G80" s="41">
        <f t="shared" si="10"/>
        <v>1262823.3707865169</v>
      </c>
      <c r="H80" s="113">
        <v>0</v>
      </c>
      <c r="I80" s="112">
        <f t="shared" si="12"/>
        <v>1262823.3707865169</v>
      </c>
      <c r="J80" s="24">
        <v>0</v>
      </c>
      <c r="K80" s="24">
        <f t="shared" si="11"/>
        <v>1262823.3707865169</v>
      </c>
      <c r="L80" s="173" t="s">
        <v>34</v>
      </c>
    </row>
    <row r="81" spans="1:12" ht="15.75" customHeight="1" x14ac:dyDescent="0.3">
      <c r="A81" s="262" t="s">
        <v>175</v>
      </c>
      <c r="B81" s="262"/>
      <c r="C81" s="222">
        <f>C70+C71+C72</f>
        <v>6243960</v>
      </c>
      <c r="D81" s="218">
        <f>E81/C81</f>
        <v>4.7290653785184302</v>
      </c>
      <c r="E81" s="217">
        <f>SUM(E70:E80)</f>
        <v>29528095.060853936</v>
      </c>
      <c r="F81" s="218">
        <f>G81/E81</f>
        <v>0.35602233844105435</v>
      </c>
      <c r="G81" s="217">
        <f>SUM(G70:G80)</f>
        <v>10512661.453274965</v>
      </c>
      <c r="H81" s="217">
        <f>SUM(H70:H80)</f>
        <v>1727033.13521</v>
      </c>
      <c r="I81" s="218">
        <f>SUM(I70:I80)</f>
        <v>9228071.6484269667</v>
      </c>
      <c r="J81" s="218">
        <f>SUM(J70:J80)</f>
        <v>-442443.33386200003</v>
      </c>
      <c r="K81" s="223">
        <f>SUM(K70:K80)</f>
        <v>8785628.3180649653</v>
      </c>
      <c r="L81" s="176"/>
    </row>
    <row r="82" spans="1:12" x14ac:dyDescent="0.3">
      <c r="A82" s="256" t="s">
        <v>176</v>
      </c>
      <c r="B82" s="257"/>
      <c r="C82" s="257"/>
      <c r="D82" s="257"/>
      <c r="E82" s="257"/>
      <c r="F82" s="257"/>
      <c r="G82" s="257"/>
      <c r="H82" s="257"/>
      <c r="I82" s="257"/>
      <c r="J82" s="257"/>
      <c r="K82" s="257"/>
      <c r="L82" s="258"/>
    </row>
    <row r="83" spans="1:12" ht="14.5" x14ac:dyDescent="0.3">
      <c r="A83" s="196" t="s">
        <v>29</v>
      </c>
      <c r="B83" s="202" t="s">
        <v>177</v>
      </c>
      <c r="C83" s="117">
        <f>543*0.5</f>
        <v>271.5</v>
      </c>
      <c r="D83" s="117">
        <v>1</v>
      </c>
      <c r="E83" s="134">
        <f>C83*D83</f>
        <v>271.5</v>
      </c>
      <c r="F83" s="118">
        <v>2</v>
      </c>
      <c r="G83" s="136">
        <f>E83*F83</f>
        <v>543</v>
      </c>
      <c r="H83" s="119">
        <v>0</v>
      </c>
      <c r="I83" s="117">
        <f>G83-H83</f>
        <v>543</v>
      </c>
      <c r="J83" s="213">
        <v>0</v>
      </c>
      <c r="K83" s="117">
        <f>G83-H83</f>
        <v>543</v>
      </c>
      <c r="L83" s="111" t="s">
        <v>34</v>
      </c>
    </row>
    <row r="84" spans="1:12" ht="14.5" x14ac:dyDescent="0.3">
      <c r="A84" s="196">
        <v>246.6</v>
      </c>
      <c r="B84" s="202" t="s">
        <v>178</v>
      </c>
      <c r="C84" s="117">
        <f>1810*0.5*0.3</f>
        <v>271.5</v>
      </c>
      <c r="D84" s="117">
        <v>1</v>
      </c>
      <c r="E84" s="134">
        <f>C84*D84</f>
        <v>271.5</v>
      </c>
      <c r="F84" s="118">
        <v>1.5</v>
      </c>
      <c r="G84" s="136">
        <f>E84*F84</f>
        <v>407.25</v>
      </c>
      <c r="H84" s="119">
        <v>0</v>
      </c>
      <c r="I84" s="213">
        <f>G84-H84</f>
        <v>407.25</v>
      </c>
      <c r="J84" s="213">
        <v>0</v>
      </c>
      <c r="K84" s="213">
        <f t="shared" ref="K84:K104" si="14">G84-H84</f>
        <v>407.25</v>
      </c>
      <c r="L84" s="224" t="s">
        <v>34</v>
      </c>
    </row>
    <row r="85" spans="1:12" ht="14.5" x14ac:dyDescent="0.3">
      <c r="A85" s="193" t="s">
        <v>40</v>
      </c>
      <c r="B85" s="104" t="s">
        <v>41</v>
      </c>
      <c r="C85" s="117">
        <f>(1810*0.3)/6</f>
        <v>90.5</v>
      </c>
      <c r="D85" s="117">
        <v>1</v>
      </c>
      <c r="E85" s="134">
        <f>C85*D85</f>
        <v>90.5</v>
      </c>
      <c r="F85" s="118">
        <v>0.25</v>
      </c>
      <c r="G85" s="226">
        <f>E85*F85</f>
        <v>22.625</v>
      </c>
      <c r="H85" s="119">
        <v>0</v>
      </c>
      <c r="I85" s="213">
        <f>G85-H85</f>
        <v>22.625</v>
      </c>
      <c r="J85" s="213">
        <v>0</v>
      </c>
      <c r="K85" s="213">
        <f t="shared" si="14"/>
        <v>22.625</v>
      </c>
      <c r="L85" s="224" t="s">
        <v>34</v>
      </c>
    </row>
    <row r="86" spans="1:12" ht="14.5" x14ac:dyDescent="0.3">
      <c r="A86" s="193" t="s">
        <v>43</v>
      </c>
      <c r="B86" s="104" t="s">
        <v>46</v>
      </c>
      <c r="C86" s="117">
        <f>1810*0.3</f>
        <v>543</v>
      </c>
      <c r="D86" s="120">
        <f>(0.3*1379126)/543</f>
        <v>761.9480662983425</v>
      </c>
      <c r="E86" s="225">
        <f t="shared" ref="E86:E104" si="15">C86*D86</f>
        <v>413737.8</v>
      </c>
      <c r="F86" s="141">
        <v>0.41749999999999998</v>
      </c>
      <c r="G86" s="226">
        <f t="shared" ref="G86:G104" si="16">E86*F86</f>
        <v>172735.53149999998</v>
      </c>
      <c r="H86" s="119">
        <v>0</v>
      </c>
      <c r="I86" s="213">
        <f t="shared" ref="I86:I104" si="17">G86-H86</f>
        <v>172735.53149999998</v>
      </c>
      <c r="J86" s="213">
        <v>0</v>
      </c>
      <c r="K86" s="213">
        <f t="shared" si="14"/>
        <v>172735.53149999998</v>
      </c>
      <c r="L86" s="224" t="s">
        <v>34</v>
      </c>
    </row>
    <row r="87" spans="1:12" ht="14.5" x14ac:dyDescent="0.3">
      <c r="A87" s="193" t="s">
        <v>43</v>
      </c>
      <c r="B87" s="104" t="s">
        <v>160</v>
      </c>
      <c r="C87" s="117">
        <f>1810*0.3</f>
        <v>543</v>
      </c>
      <c r="D87" s="121">
        <f>(0.3*3400090)/543</f>
        <v>1878.5027624309391</v>
      </c>
      <c r="E87" s="225">
        <f t="shared" si="15"/>
        <v>1020027</v>
      </c>
      <c r="F87" s="141">
        <v>0.41749999999999998</v>
      </c>
      <c r="G87" s="226">
        <f t="shared" si="16"/>
        <v>425861.27249999996</v>
      </c>
      <c r="H87" s="119">
        <v>0</v>
      </c>
      <c r="I87" s="213">
        <f t="shared" si="17"/>
        <v>425861.27249999996</v>
      </c>
      <c r="J87" s="213">
        <v>0</v>
      </c>
      <c r="K87" s="213">
        <f t="shared" si="14"/>
        <v>425861.27249999996</v>
      </c>
      <c r="L87" s="224" t="s">
        <v>34</v>
      </c>
    </row>
    <row r="88" spans="1:12" ht="14.5" x14ac:dyDescent="0.3">
      <c r="A88" s="193" t="s">
        <v>43</v>
      </c>
      <c r="B88" s="104" t="s">
        <v>50</v>
      </c>
      <c r="C88" s="117">
        <f>1810*0.3</f>
        <v>543</v>
      </c>
      <c r="D88" s="121">
        <f>(1*0.3*1464744)/543</f>
        <v>809.25082872928181</v>
      </c>
      <c r="E88" s="225">
        <f t="shared" si="15"/>
        <v>439423.2</v>
      </c>
      <c r="F88" s="141">
        <v>0.41749999999999998</v>
      </c>
      <c r="G88" s="226">
        <f t="shared" si="16"/>
        <v>183459.18599999999</v>
      </c>
      <c r="H88" s="119">
        <v>0</v>
      </c>
      <c r="I88" s="213">
        <f t="shared" si="17"/>
        <v>183459.18599999999</v>
      </c>
      <c r="J88" s="213">
        <v>0</v>
      </c>
      <c r="K88" s="213">
        <f t="shared" si="14"/>
        <v>183459.18599999999</v>
      </c>
      <c r="L88" s="224" t="s">
        <v>34</v>
      </c>
    </row>
    <row r="89" spans="1:12" ht="14.5" x14ac:dyDescent="0.3">
      <c r="A89" s="193" t="s">
        <v>54</v>
      </c>
      <c r="B89" s="104" t="s">
        <v>55</v>
      </c>
      <c r="C89" s="23">
        <f>0.3*1810</f>
        <v>543</v>
      </c>
      <c r="D89" s="23">
        <f>(0.03*6243960/543)*0.3</f>
        <v>103.49104972375689</v>
      </c>
      <c r="E89" s="41">
        <f t="shared" si="15"/>
        <v>56195.639999999992</v>
      </c>
      <c r="F89" s="19">
        <v>8.3500000000000005E-2</v>
      </c>
      <c r="G89" s="227">
        <f t="shared" si="16"/>
        <v>4692.3359399999999</v>
      </c>
      <c r="H89" s="113">
        <f>'2020'!G84</f>
        <v>0</v>
      </c>
      <c r="I89" s="24">
        <f>G89-H89</f>
        <v>4692.3359399999999</v>
      </c>
      <c r="J89" s="24">
        <v>0</v>
      </c>
      <c r="K89" s="24">
        <f t="shared" si="14"/>
        <v>4692.3359399999999</v>
      </c>
      <c r="L89" s="224" t="s">
        <v>34</v>
      </c>
    </row>
    <row r="90" spans="1:12" ht="28" x14ac:dyDescent="0.3">
      <c r="A90" s="193" t="s">
        <v>66</v>
      </c>
      <c r="B90" s="104" t="s">
        <v>67</v>
      </c>
      <c r="C90" s="23">
        <f>0.3*1810</f>
        <v>543</v>
      </c>
      <c r="D90" s="23">
        <f>(1464744*0.3*0.01)/543</f>
        <v>8.0925082872928176</v>
      </c>
      <c r="E90" s="41">
        <f t="shared" si="15"/>
        <v>4394.232</v>
      </c>
      <c r="F90" s="19">
        <v>3.3399999999999999E-2</v>
      </c>
      <c r="G90" s="226">
        <f t="shared" si="16"/>
        <v>146.76734880000001</v>
      </c>
      <c r="H90" s="113">
        <f>'2020'!G82</f>
        <v>0</v>
      </c>
      <c r="I90" s="24">
        <f>G90-H90</f>
        <v>146.76734880000001</v>
      </c>
      <c r="J90" s="24">
        <v>0</v>
      </c>
      <c r="K90" s="24">
        <f t="shared" si="14"/>
        <v>146.76734880000001</v>
      </c>
      <c r="L90" s="224" t="s">
        <v>34</v>
      </c>
    </row>
    <row r="91" spans="1:12" ht="28" x14ac:dyDescent="0.3">
      <c r="A91" s="193" t="s">
        <v>71</v>
      </c>
      <c r="B91" s="104" t="s">
        <v>72</v>
      </c>
      <c r="C91" s="23">
        <f>0.3*1810</f>
        <v>543</v>
      </c>
      <c r="D91" s="23">
        <f>(6243960*0.3)/543</f>
        <v>3449.7016574585637</v>
      </c>
      <c r="E91" s="41">
        <f t="shared" si="15"/>
        <v>1873188</v>
      </c>
      <c r="F91" s="19">
        <v>0.25</v>
      </c>
      <c r="G91" s="227">
        <f t="shared" si="16"/>
        <v>468297</v>
      </c>
      <c r="H91" s="113">
        <v>0</v>
      </c>
      <c r="I91" s="24">
        <f t="shared" ref="I91" si="18">G91-H91</f>
        <v>468297</v>
      </c>
      <c r="J91" s="24">
        <v>0</v>
      </c>
      <c r="K91" s="213">
        <f t="shared" si="14"/>
        <v>468297</v>
      </c>
      <c r="L91" s="224" t="s">
        <v>34</v>
      </c>
    </row>
    <row r="92" spans="1:12" ht="14.5" x14ac:dyDescent="0.3">
      <c r="A92" s="193" t="s">
        <v>73</v>
      </c>
      <c r="B92" s="104" t="s">
        <v>74</v>
      </c>
      <c r="C92" s="23">
        <f>0.3*1810</f>
        <v>543</v>
      </c>
      <c r="D92" s="23">
        <v>1</v>
      </c>
      <c r="E92" s="41">
        <f t="shared" si="15"/>
        <v>543</v>
      </c>
      <c r="F92" s="19">
        <v>40</v>
      </c>
      <c r="G92" s="41">
        <f t="shared" si="16"/>
        <v>21720</v>
      </c>
      <c r="H92" s="25">
        <f>'2020'!G82</f>
        <v>0</v>
      </c>
      <c r="I92" s="24">
        <f>G92-H92</f>
        <v>21720</v>
      </c>
      <c r="J92" s="24">
        <v>0</v>
      </c>
      <c r="K92" s="213">
        <f t="shared" si="14"/>
        <v>21720</v>
      </c>
      <c r="L92" s="224" t="s">
        <v>34</v>
      </c>
    </row>
    <row r="93" spans="1:12" ht="41.25" customHeight="1" x14ac:dyDescent="0.3">
      <c r="A93" s="193" t="s">
        <v>79</v>
      </c>
      <c r="B93" s="64" t="s">
        <v>179</v>
      </c>
      <c r="C93" s="23">
        <v>840</v>
      </c>
      <c r="D93" s="23">
        <v>1</v>
      </c>
      <c r="E93" s="41">
        <f t="shared" si="15"/>
        <v>840</v>
      </c>
      <c r="F93" s="19">
        <v>2</v>
      </c>
      <c r="G93" s="41">
        <f t="shared" si="16"/>
        <v>1680</v>
      </c>
      <c r="H93" s="25">
        <f>'2020'!G42</f>
        <v>7382</v>
      </c>
      <c r="I93" s="117">
        <v>0</v>
      </c>
      <c r="J93" s="213">
        <f t="shared" ref="J93:J98" si="19">G93-H93</f>
        <v>-5702</v>
      </c>
      <c r="K93" s="213">
        <f t="shared" si="14"/>
        <v>-5702</v>
      </c>
      <c r="L93" s="224" t="s">
        <v>81</v>
      </c>
    </row>
    <row r="94" spans="1:12" ht="41.25" customHeight="1" x14ac:dyDescent="0.3">
      <c r="A94" s="193" t="s">
        <v>82</v>
      </c>
      <c r="B94" s="64" t="s">
        <v>83</v>
      </c>
      <c r="C94" s="23">
        <f>(79/89)*37417</f>
        <v>33212.84269662921</v>
      </c>
      <c r="D94" s="23">
        <v>2</v>
      </c>
      <c r="E94" s="41">
        <f t="shared" si="15"/>
        <v>66425.68539325842</v>
      </c>
      <c r="F94" s="19">
        <v>2</v>
      </c>
      <c r="G94" s="41">
        <f t="shared" si="16"/>
        <v>132851.37078651684</v>
      </c>
      <c r="H94" s="25">
        <f>'2020'!G43</f>
        <v>146155.32584269662</v>
      </c>
      <c r="I94" s="117">
        <v>0</v>
      </c>
      <c r="J94" s="213">
        <f t="shared" si="19"/>
        <v>-13303.955056179781</v>
      </c>
      <c r="K94" s="213">
        <f t="shared" si="14"/>
        <v>-13303.955056179781</v>
      </c>
      <c r="L94" s="159" t="s">
        <v>180</v>
      </c>
    </row>
    <row r="95" spans="1:12" ht="41.25" customHeight="1" x14ac:dyDescent="0.3">
      <c r="A95" s="193" t="s">
        <v>88</v>
      </c>
      <c r="B95" s="64" t="s">
        <v>89</v>
      </c>
      <c r="C95" s="23">
        <f>89*17</f>
        <v>1513</v>
      </c>
      <c r="D95" s="23">
        <v>1</v>
      </c>
      <c r="E95" s="41">
        <f t="shared" si="15"/>
        <v>1513</v>
      </c>
      <c r="F95" s="19">
        <v>0.66800000000000004</v>
      </c>
      <c r="G95" s="41">
        <f t="shared" si="16"/>
        <v>1010.6840000000001</v>
      </c>
      <c r="H95" s="25">
        <v>0</v>
      </c>
      <c r="I95" s="24">
        <f t="shared" si="17"/>
        <v>1010.6840000000001</v>
      </c>
      <c r="J95" s="213">
        <v>0</v>
      </c>
      <c r="K95" s="213">
        <f t="shared" si="14"/>
        <v>1010.6840000000001</v>
      </c>
      <c r="L95" s="159" t="s">
        <v>34</v>
      </c>
    </row>
    <row r="96" spans="1:12" ht="41.25" customHeight="1" x14ac:dyDescent="0.3">
      <c r="A96" s="193" t="s">
        <v>92</v>
      </c>
      <c r="B96" s="64" t="s">
        <v>181</v>
      </c>
      <c r="C96" s="23">
        <f>0.33*37417</f>
        <v>12347.61</v>
      </c>
      <c r="D96" s="23">
        <v>1</v>
      </c>
      <c r="E96" s="41">
        <f t="shared" si="15"/>
        <v>12347.61</v>
      </c>
      <c r="F96" s="19">
        <v>1</v>
      </c>
      <c r="G96" s="41">
        <f t="shared" si="16"/>
        <v>12347.61</v>
      </c>
      <c r="H96" s="25">
        <f>'2020'!G44</f>
        <v>13584.12</v>
      </c>
      <c r="I96" s="117">
        <v>0</v>
      </c>
      <c r="J96" s="213">
        <f t="shared" si="19"/>
        <v>-1236.5100000000002</v>
      </c>
      <c r="K96" s="213">
        <f t="shared" si="14"/>
        <v>-1236.5100000000002</v>
      </c>
      <c r="L96" s="159" t="s">
        <v>182</v>
      </c>
    </row>
    <row r="97" spans="1:15" ht="41.25" customHeight="1" x14ac:dyDescent="0.3">
      <c r="A97" s="198" t="s">
        <v>183</v>
      </c>
      <c r="B97" s="64" t="s">
        <v>184</v>
      </c>
      <c r="C97" s="142">
        <v>37417</v>
      </c>
      <c r="D97" s="23">
        <v>1</v>
      </c>
      <c r="E97" s="41">
        <f t="shared" si="15"/>
        <v>37417</v>
      </c>
      <c r="F97" s="19">
        <v>1</v>
      </c>
      <c r="G97" s="41">
        <f t="shared" si="16"/>
        <v>37417</v>
      </c>
      <c r="H97" s="25">
        <v>0</v>
      </c>
      <c r="I97" s="213">
        <f>G97-H97</f>
        <v>37417</v>
      </c>
      <c r="J97" s="213">
        <v>0</v>
      </c>
      <c r="K97" s="213">
        <f t="shared" si="14"/>
        <v>37417</v>
      </c>
      <c r="L97" s="224" t="s">
        <v>34</v>
      </c>
    </row>
    <row r="98" spans="1:15" ht="41.25" customHeight="1" x14ac:dyDescent="0.3">
      <c r="A98" s="198" t="s">
        <v>185</v>
      </c>
      <c r="B98" s="64" t="s">
        <v>186</v>
      </c>
      <c r="C98" s="23">
        <f>(4/10)*850</f>
        <v>340</v>
      </c>
      <c r="D98" s="23">
        <v>1</v>
      </c>
      <c r="E98" s="41">
        <f t="shared" si="15"/>
        <v>340</v>
      </c>
      <c r="F98" s="19">
        <v>1</v>
      </c>
      <c r="G98" s="41">
        <f t="shared" si="16"/>
        <v>340</v>
      </c>
      <c r="H98" s="25">
        <f>'2020'!G45</f>
        <v>389.20000000000005</v>
      </c>
      <c r="I98" s="117">
        <v>0</v>
      </c>
      <c r="J98" s="213">
        <f t="shared" si="19"/>
        <v>-49.200000000000045</v>
      </c>
      <c r="K98" s="117">
        <f t="shared" si="14"/>
        <v>-49.200000000000045</v>
      </c>
      <c r="L98" s="224" t="s">
        <v>81</v>
      </c>
    </row>
    <row r="99" spans="1:15" ht="34.5" customHeight="1" x14ac:dyDescent="0.3">
      <c r="A99" s="197" t="s">
        <v>187</v>
      </c>
      <c r="B99" s="123" t="s">
        <v>188</v>
      </c>
      <c r="C99" s="148">
        <v>37417</v>
      </c>
      <c r="D99" s="23">
        <v>1</v>
      </c>
      <c r="E99" s="41">
        <f>C99*D99</f>
        <v>37417</v>
      </c>
      <c r="F99" s="19">
        <v>2</v>
      </c>
      <c r="G99" s="41">
        <f t="shared" si="16"/>
        <v>74834</v>
      </c>
      <c r="H99" s="25">
        <v>0</v>
      </c>
      <c r="I99" s="213">
        <f>G99-H99</f>
        <v>74834</v>
      </c>
      <c r="J99" s="213">
        <v>0</v>
      </c>
      <c r="K99" s="213">
        <f t="shared" si="14"/>
        <v>74834</v>
      </c>
      <c r="L99" s="224" t="s">
        <v>34</v>
      </c>
      <c r="O99" s="35"/>
    </row>
    <row r="100" spans="1:15" ht="21" customHeight="1" x14ac:dyDescent="0.3">
      <c r="A100" s="197" t="s">
        <v>116</v>
      </c>
      <c r="B100" s="123" t="s">
        <v>189</v>
      </c>
      <c r="C100" s="23">
        <f>3289*0.33</f>
        <v>1085.3700000000001</v>
      </c>
      <c r="D100" s="23">
        <v>1</v>
      </c>
      <c r="E100" s="41">
        <f t="shared" si="15"/>
        <v>1085.3700000000001</v>
      </c>
      <c r="F100" s="19">
        <v>1</v>
      </c>
      <c r="G100" s="41">
        <f t="shared" si="16"/>
        <v>1085.3700000000001</v>
      </c>
      <c r="H100" s="25">
        <v>0</v>
      </c>
      <c r="I100" s="213">
        <f t="shared" si="17"/>
        <v>1085.3700000000001</v>
      </c>
      <c r="J100" s="213">
        <v>0</v>
      </c>
      <c r="K100" s="213">
        <f t="shared" si="14"/>
        <v>1085.3700000000001</v>
      </c>
      <c r="L100" s="111" t="s">
        <v>34</v>
      </c>
    </row>
    <row r="101" spans="1:15" ht="15.75" customHeight="1" x14ac:dyDescent="0.3">
      <c r="A101" s="197" t="s">
        <v>190</v>
      </c>
      <c r="B101" s="123" t="s">
        <v>191</v>
      </c>
      <c r="C101" s="23">
        <v>3289</v>
      </c>
      <c r="D101" s="23">
        <v>1</v>
      </c>
      <c r="E101" s="41">
        <f t="shared" si="15"/>
        <v>3289</v>
      </c>
      <c r="F101" s="19">
        <v>2</v>
      </c>
      <c r="G101" s="41">
        <f t="shared" si="16"/>
        <v>6578</v>
      </c>
      <c r="H101" s="25">
        <v>0</v>
      </c>
      <c r="I101" s="213">
        <f t="shared" si="17"/>
        <v>6578</v>
      </c>
      <c r="J101" s="213">
        <v>0</v>
      </c>
      <c r="K101" s="213">
        <f t="shared" si="14"/>
        <v>6578</v>
      </c>
      <c r="L101" s="111" t="s">
        <v>34</v>
      </c>
    </row>
    <row r="102" spans="1:15" ht="15.75" customHeight="1" x14ac:dyDescent="0.3">
      <c r="A102" s="197" t="s">
        <v>131</v>
      </c>
      <c r="B102" s="123" t="s">
        <v>192</v>
      </c>
      <c r="C102" s="23">
        <v>3</v>
      </c>
      <c r="D102" s="23">
        <v>12</v>
      </c>
      <c r="E102" s="134">
        <f t="shared" si="15"/>
        <v>36</v>
      </c>
      <c r="F102" s="19">
        <v>4</v>
      </c>
      <c r="G102" s="136">
        <f t="shared" si="16"/>
        <v>144</v>
      </c>
      <c r="H102" s="25">
        <v>0</v>
      </c>
      <c r="I102" s="117">
        <f t="shared" si="17"/>
        <v>144</v>
      </c>
      <c r="J102" s="213">
        <v>0</v>
      </c>
      <c r="K102" s="117">
        <f t="shared" si="14"/>
        <v>144</v>
      </c>
      <c r="L102" s="111" t="s">
        <v>34</v>
      </c>
    </row>
    <row r="103" spans="1:15" ht="15" customHeight="1" x14ac:dyDescent="0.3">
      <c r="A103" s="197" t="s">
        <v>193</v>
      </c>
      <c r="B103" s="123" t="s">
        <v>194</v>
      </c>
      <c r="C103" s="23">
        <f>(1048*0.02)</f>
        <v>20.96</v>
      </c>
      <c r="D103" s="23">
        <v>1</v>
      </c>
      <c r="E103" s="134">
        <f t="shared" si="15"/>
        <v>20.96</v>
      </c>
      <c r="F103" s="19">
        <v>2</v>
      </c>
      <c r="G103" s="136">
        <f t="shared" si="16"/>
        <v>41.92</v>
      </c>
      <c r="H103" s="25">
        <v>0</v>
      </c>
      <c r="I103" s="117">
        <f t="shared" si="17"/>
        <v>41.92</v>
      </c>
      <c r="J103" s="213">
        <v>0</v>
      </c>
      <c r="K103" s="117">
        <f t="shared" si="14"/>
        <v>41.92</v>
      </c>
      <c r="L103" s="111" t="s">
        <v>34</v>
      </c>
    </row>
    <row r="104" spans="1:15" ht="15" customHeight="1" x14ac:dyDescent="0.3">
      <c r="A104" s="197" t="s">
        <v>195</v>
      </c>
      <c r="B104" s="123" t="s">
        <v>196</v>
      </c>
      <c r="C104" s="23">
        <f>3289*0.02*0.02</f>
        <v>1.3156000000000001</v>
      </c>
      <c r="D104" s="23">
        <v>1</v>
      </c>
      <c r="E104" s="134">
        <f t="shared" si="15"/>
        <v>1.3156000000000001</v>
      </c>
      <c r="F104" s="19">
        <v>2</v>
      </c>
      <c r="G104" s="136">
        <f t="shared" si="16"/>
        <v>2.6312000000000002</v>
      </c>
      <c r="H104" s="25">
        <v>0</v>
      </c>
      <c r="I104" s="121">
        <f t="shared" si="17"/>
        <v>2.6312000000000002</v>
      </c>
      <c r="J104" s="213">
        <v>0</v>
      </c>
      <c r="K104" s="121">
        <f t="shared" si="14"/>
        <v>2.6312000000000002</v>
      </c>
      <c r="L104" s="111" t="s">
        <v>34</v>
      </c>
    </row>
    <row r="105" spans="1:15" x14ac:dyDescent="0.3">
      <c r="A105" s="249" t="s">
        <v>197</v>
      </c>
      <c r="B105" s="249"/>
      <c r="C105" s="203">
        <f>37417+543</f>
        <v>37960</v>
      </c>
      <c r="D105" s="211">
        <f>+E105/C105</f>
        <v>104.55414417790459</v>
      </c>
      <c r="E105" s="205">
        <f>SUM(E83:E104)</f>
        <v>3968875.3129932582</v>
      </c>
      <c r="F105" s="207">
        <f>+G105/E105</f>
        <v>0.38958582276780723</v>
      </c>
      <c r="G105" s="203">
        <f>SUM(G83:G104)</f>
        <v>1546217.5542753169</v>
      </c>
      <c r="H105" s="209">
        <f>SUM(H83:H104)</f>
        <v>167510.64584269663</v>
      </c>
      <c r="I105" s="207">
        <f>SUM(I83:I104)</f>
        <v>1398998.5734887999</v>
      </c>
      <c r="J105" s="204">
        <f>SUM(J83:J104)</f>
        <v>-20291.665056179783</v>
      </c>
      <c r="K105" s="205">
        <f>SUM(K83:K104)</f>
        <v>1378706.9084326201</v>
      </c>
      <c r="L105" s="176"/>
    </row>
    <row r="106" spans="1:15" x14ac:dyDescent="0.3">
      <c r="A106" s="249" t="s">
        <v>198</v>
      </c>
      <c r="B106" s="249"/>
      <c r="C106" s="206">
        <f>SUM(C68,C81,C105)</f>
        <v>6283276</v>
      </c>
      <c r="D106" s="210">
        <f>E106/C106</f>
        <v>6.8100572257338614</v>
      </c>
      <c r="E106" s="206">
        <f>SUM(E68,E81,E105)</f>
        <v>42789469.125080153</v>
      </c>
      <c r="F106" s="34">
        <f>+G106/E106</f>
        <v>0.35991887267071687</v>
      </c>
      <c r="G106" s="206">
        <f>SUM(G68+G81+G105)</f>
        <v>15400737.489677295</v>
      </c>
      <c r="H106" s="208">
        <f>SUM(H105+H81+H68)</f>
        <v>4017131.8798526963</v>
      </c>
      <c r="I106" s="13">
        <f>SUM(I68,I81,I105)</f>
        <v>11880210.105242779</v>
      </c>
      <c r="J106" s="206">
        <f>J105+J81+J68</f>
        <v>-496604.49891817983</v>
      </c>
      <c r="K106" s="200">
        <f>K105+K81+K68</f>
        <v>11383605.609824598</v>
      </c>
      <c r="L106" s="177"/>
    </row>
    <row r="107" spans="1:15" ht="33" customHeight="1" x14ac:dyDescent="0.3">
      <c r="A107" s="244" t="s">
        <v>199</v>
      </c>
      <c r="B107" s="244"/>
      <c r="C107" s="244"/>
      <c r="D107" s="244"/>
      <c r="E107" s="244"/>
      <c r="F107" s="244"/>
      <c r="G107" s="244"/>
      <c r="H107" s="244"/>
      <c r="I107" s="244"/>
      <c r="J107" s="244"/>
      <c r="K107" s="244"/>
      <c r="L107" s="245"/>
    </row>
    <row r="108" spans="1:15" ht="33" customHeight="1" x14ac:dyDescent="0.3">
      <c r="A108" s="246" t="s">
        <v>23</v>
      </c>
      <c r="B108" s="246"/>
      <c r="C108" s="246"/>
      <c r="D108" s="246"/>
      <c r="E108" s="246"/>
      <c r="F108" s="246"/>
      <c r="G108" s="246"/>
      <c r="H108" s="246"/>
      <c r="I108" s="246"/>
      <c r="J108" s="246"/>
      <c r="K108" s="246"/>
      <c r="L108" s="247"/>
    </row>
    <row r="109" spans="1:15" ht="14.5" x14ac:dyDescent="0.3">
      <c r="A109" s="197" t="s">
        <v>200</v>
      </c>
      <c r="B109" s="111" t="s">
        <v>201</v>
      </c>
      <c r="C109" s="124">
        <v>89</v>
      </c>
      <c r="D109" s="124">
        <v>1</v>
      </c>
      <c r="E109" s="138">
        <f>C109*D109</f>
        <v>89</v>
      </c>
      <c r="F109" s="124">
        <v>0.16700000000000001</v>
      </c>
      <c r="G109" s="138">
        <f>E109*F109</f>
        <v>14.863000000000001</v>
      </c>
      <c r="H109" s="125">
        <v>0</v>
      </c>
      <c r="I109" s="124">
        <f>G109-H109</f>
        <v>14.863000000000001</v>
      </c>
      <c r="J109" s="124">
        <v>0</v>
      </c>
      <c r="K109" s="124">
        <f>G109-H109</f>
        <v>14.863000000000001</v>
      </c>
      <c r="L109" s="111" t="s">
        <v>34</v>
      </c>
    </row>
    <row r="110" spans="1:15" ht="28" x14ac:dyDescent="0.3">
      <c r="A110" s="198" t="s">
        <v>66</v>
      </c>
      <c r="B110" s="64" t="s">
        <v>168</v>
      </c>
      <c r="C110" s="23">
        <f>1810*0.7</f>
        <v>1267</v>
      </c>
      <c r="D110" s="23">
        <f>(10000/1267)*2*0.7</f>
        <v>11.049723756906078</v>
      </c>
      <c r="E110" s="228">
        <f t="shared" ref="E110:E125" si="20">C110*D110</f>
        <v>14000</v>
      </c>
      <c r="F110" s="126">
        <v>1.67E-2</v>
      </c>
      <c r="G110" s="228">
        <f t="shared" ref="G110:G125" si="21">E110*F110</f>
        <v>233.79999999999998</v>
      </c>
      <c r="H110" s="25">
        <f>'2020'!G50</f>
        <v>334</v>
      </c>
      <c r="I110" s="190">
        <f>G110-H110</f>
        <v>-100.20000000000002</v>
      </c>
      <c r="J110" s="124">
        <v>0</v>
      </c>
      <c r="K110" s="124">
        <f t="shared" ref="K110:K125" si="22">G110-H110</f>
        <v>-100.20000000000002</v>
      </c>
      <c r="L110" s="159" t="s">
        <v>31</v>
      </c>
    </row>
    <row r="111" spans="1:15" ht="14.5" x14ac:dyDescent="0.3">
      <c r="A111" s="198" t="s">
        <v>202</v>
      </c>
      <c r="B111" s="64" t="s">
        <v>203</v>
      </c>
      <c r="C111" s="23">
        <v>89</v>
      </c>
      <c r="D111" s="23">
        <v>1</v>
      </c>
      <c r="E111" s="228">
        <f t="shared" si="20"/>
        <v>89</v>
      </c>
      <c r="F111" s="126">
        <v>50</v>
      </c>
      <c r="G111" s="228">
        <f t="shared" si="21"/>
        <v>4450</v>
      </c>
      <c r="H111" s="25">
        <f>'2020'!G51</f>
        <v>4450</v>
      </c>
      <c r="I111" s="124">
        <f t="shared" ref="I111:I125" si="23">G111-H111</f>
        <v>0</v>
      </c>
      <c r="J111" s="124">
        <f t="shared" ref="J111:J121" si="24">G111-H111</f>
        <v>0</v>
      </c>
      <c r="K111" s="124">
        <f t="shared" si="22"/>
        <v>0</v>
      </c>
      <c r="L111" s="159" t="s">
        <v>27</v>
      </c>
    </row>
    <row r="112" spans="1:15" ht="14.5" x14ac:dyDescent="0.3">
      <c r="A112" s="198" t="s">
        <v>204</v>
      </c>
      <c r="B112" s="64" t="s">
        <v>205</v>
      </c>
      <c r="C112" s="23">
        <v>89</v>
      </c>
      <c r="D112" s="23">
        <f>((37417*0.33)/89)</f>
        <v>138.73719101123595</v>
      </c>
      <c r="E112" s="228">
        <f t="shared" si="20"/>
        <v>12347.609999999999</v>
      </c>
      <c r="F112" s="126">
        <v>1</v>
      </c>
      <c r="G112" s="228">
        <f t="shared" si="21"/>
        <v>12347.609999999999</v>
      </c>
      <c r="H112" s="25">
        <f>'2020'!G52</f>
        <v>13584.12</v>
      </c>
      <c r="I112" s="124">
        <v>0</v>
      </c>
      <c r="J112" s="124">
        <f t="shared" si="24"/>
        <v>-1236.510000000002</v>
      </c>
      <c r="K112" s="124">
        <f t="shared" si="22"/>
        <v>-1236.510000000002</v>
      </c>
      <c r="L112" s="178" t="s">
        <v>182</v>
      </c>
    </row>
    <row r="113" spans="1:15" ht="14.5" x14ac:dyDescent="0.3">
      <c r="A113" s="198" t="s">
        <v>185</v>
      </c>
      <c r="B113" s="64" t="s">
        <v>186</v>
      </c>
      <c r="C113" s="23">
        <f>(4/10)*973</f>
        <v>389.20000000000005</v>
      </c>
      <c r="D113" s="23">
        <v>1</v>
      </c>
      <c r="E113" s="228">
        <f t="shared" si="20"/>
        <v>389.20000000000005</v>
      </c>
      <c r="F113" s="126">
        <v>1</v>
      </c>
      <c r="G113" s="228">
        <f t="shared" si="21"/>
        <v>389.20000000000005</v>
      </c>
      <c r="H113" s="25">
        <f>'2020'!G53</f>
        <v>389.20000000000005</v>
      </c>
      <c r="I113" s="124">
        <f t="shared" si="23"/>
        <v>0</v>
      </c>
      <c r="J113" s="124">
        <f t="shared" si="24"/>
        <v>0</v>
      </c>
      <c r="K113" s="124">
        <f t="shared" si="22"/>
        <v>0</v>
      </c>
      <c r="L113" s="179" t="s">
        <v>27</v>
      </c>
    </row>
    <row r="114" spans="1:15" ht="14.5" x14ac:dyDescent="0.3">
      <c r="A114" s="193" t="s">
        <v>206</v>
      </c>
      <c r="B114" s="64" t="s">
        <v>207</v>
      </c>
      <c r="C114" s="23">
        <v>89</v>
      </c>
      <c r="D114" s="23">
        <v>1</v>
      </c>
      <c r="E114" s="228">
        <f t="shared" si="20"/>
        <v>89</v>
      </c>
      <c r="F114" s="126">
        <v>2</v>
      </c>
      <c r="G114" s="228">
        <f t="shared" si="21"/>
        <v>178</v>
      </c>
      <c r="H114" s="25">
        <f>'2020'!G54</f>
        <v>178</v>
      </c>
      <c r="I114" s="124">
        <f t="shared" si="23"/>
        <v>0</v>
      </c>
      <c r="J114" s="124">
        <f t="shared" si="24"/>
        <v>0</v>
      </c>
      <c r="K114" s="124">
        <f t="shared" si="22"/>
        <v>0</v>
      </c>
      <c r="L114" s="159" t="s">
        <v>27</v>
      </c>
    </row>
    <row r="115" spans="1:15" ht="14.5" x14ac:dyDescent="0.3">
      <c r="A115" s="193" t="s">
        <v>208</v>
      </c>
      <c r="B115" s="64" t="s">
        <v>98</v>
      </c>
      <c r="C115" s="23">
        <v>89</v>
      </c>
      <c r="D115" s="23">
        <f>(37417/89)*0.05</f>
        <v>21.020786516853931</v>
      </c>
      <c r="E115" s="228">
        <f t="shared" si="20"/>
        <v>1870.85</v>
      </c>
      <c r="F115" s="126">
        <v>0.5</v>
      </c>
      <c r="G115" s="228">
        <f t="shared" si="21"/>
        <v>935.42499999999995</v>
      </c>
      <c r="H115" s="25">
        <f>'2020'!G55</f>
        <v>1029.1000000000001</v>
      </c>
      <c r="I115" s="124">
        <v>0</v>
      </c>
      <c r="J115" s="188">
        <f t="shared" si="24"/>
        <v>-93.675000000000182</v>
      </c>
      <c r="K115" s="188">
        <f t="shared" si="22"/>
        <v>-93.675000000000182</v>
      </c>
      <c r="L115" s="180" t="s">
        <v>209</v>
      </c>
    </row>
    <row r="116" spans="1:15" ht="14.5" x14ac:dyDescent="0.3">
      <c r="A116" s="193" t="s">
        <v>210</v>
      </c>
      <c r="B116" s="64" t="s">
        <v>211</v>
      </c>
      <c r="C116" s="23">
        <v>89</v>
      </c>
      <c r="D116" s="23">
        <f>(37417/89)*0.05</f>
        <v>21.020786516853931</v>
      </c>
      <c r="E116" s="228">
        <f t="shared" si="20"/>
        <v>1870.85</v>
      </c>
      <c r="F116" s="126">
        <v>2</v>
      </c>
      <c r="G116" s="228">
        <f t="shared" si="21"/>
        <v>3741.7</v>
      </c>
      <c r="H116" s="25">
        <f>'2020'!G56</f>
        <v>4116.4000000000005</v>
      </c>
      <c r="I116" s="124">
        <v>0</v>
      </c>
      <c r="J116" s="124">
        <f t="shared" si="24"/>
        <v>-374.70000000000073</v>
      </c>
      <c r="K116" s="124">
        <f t="shared" si="22"/>
        <v>-374.70000000000073</v>
      </c>
      <c r="L116" s="180" t="s">
        <v>182</v>
      </c>
    </row>
    <row r="117" spans="1:15" ht="14.5" x14ac:dyDescent="0.3">
      <c r="A117" s="193" t="s">
        <v>104</v>
      </c>
      <c r="B117" s="64" t="s">
        <v>212</v>
      </c>
      <c r="C117" s="23">
        <v>89</v>
      </c>
      <c r="D117" s="23">
        <f>1048/89</f>
        <v>11.775280898876405</v>
      </c>
      <c r="E117" s="228">
        <f t="shared" si="20"/>
        <v>1048</v>
      </c>
      <c r="F117" s="126">
        <v>1</v>
      </c>
      <c r="G117" s="228">
        <f t="shared" si="21"/>
        <v>1048</v>
      </c>
      <c r="H117" s="25">
        <f>'2020'!G57</f>
        <v>514</v>
      </c>
      <c r="I117" s="124">
        <v>0</v>
      </c>
      <c r="J117" s="124">
        <f t="shared" si="24"/>
        <v>534</v>
      </c>
      <c r="K117" s="124">
        <f t="shared" si="22"/>
        <v>534</v>
      </c>
      <c r="L117" s="180" t="s">
        <v>213</v>
      </c>
    </row>
    <row r="118" spans="1:15" ht="81" customHeight="1" x14ac:dyDescent="0.3">
      <c r="A118" s="199" t="s">
        <v>214</v>
      </c>
      <c r="B118" s="128" t="s">
        <v>107</v>
      </c>
      <c r="C118" s="129">
        <v>1</v>
      </c>
      <c r="D118" s="129">
        <v>1</v>
      </c>
      <c r="E118" s="229">
        <f t="shared" si="20"/>
        <v>1</v>
      </c>
      <c r="F118" s="231">
        <v>0.20039999999999999</v>
      </c>
      <c r="G118" s="230">
        <f t="shared" si="21"/>
        <v>0.20039999999999999</v>
      </c>
      <c r="H118" s="130">
        <v>0</v>
      </c>
      <c r="I118" s="124">
        <f t="shared" si="23"/>
        <v>0.20039999999999999</v>
      </c>
      <c r="J118" s="124">
        <v>0</v>
      </c>
      <c r="K118" s="124">
        <f t="shared" si="22"/>
        <v>0.20039999999999999</v>
      </c>
      <c r="L118" s="180" t="s">
        <v>34</v>
      </c>
      <c r="O118" s="35"/>
    </row>
    <row r="119" spans="1:15" ht="32.25" customHeight="1" x14ac:dyDescent="0.3">
      <c r="A119" s="193" t="s">
        <v>215</v>
      </c>
      <c r="B119" s="64" t="s">
        <v>144</v>
      </c>
      <c r="C119" s="23">
        <v>89</v>
      </c>
      <c r="D119" s="23">
        <f>(1810/89)</f>
        <v>20.337078651685392</v>
      </c>
      <c r="E119" s="228">
        <f t="shared" si="20"/>
        <v>1809.9999999999998</v>
      </c>
      <c r="F119" s="126">
        <v>0.5</v>
      </c>
      <c r="G119" s="228">
        <f t="shared" si="21"/>
        <v>904.99999999999989</v>
      </c>
      <c r="H119" s="25">
        <v>0</v>
      </c>
      <c r="I119" s="124">
        <f t="shared" si="23"/>
        <v>904.99999999999989</v>
      </c>
      <c r="J119" s="124">
        <v>0</v>
      </c>
      <c r="K119" s="124">
        <f t="shared" si="22"/>
        <v>904.99999999999989</v>
      </c>
      <c r="L119" s="180" t="s">
        <v>34</v>
      </c>
    </row>
    <row r="120" spans="1:15" ht="32.25" customHeight="1" x14ac:dyDescent="0.3">
      <c r="A120" s="193" t="s">
        <v>149</v>
      </c>
      <c r="B120" s="64" t="s">
        <v>216</v>
      </c>
      <c r="C120" s="23">
        <v>89</v>
      </c>
      <c r="D120" s="23">
        <v>1</v>
      </c>
      <c r="E120" s="228">
        <f t="shared" si="20"/>
        <v>89</v>
      </c>
      <c r="F120" s="126">
        <v>0.16700000000000001</v>
      </c>
      <c r="G120" s="228">
        <f t="shared" si="21"/>
        <v>14.863000000000001</v>
      </c>
      <c r="H120" s="25">
        <v>0</v>
      </c>
      <c r="I120" s="124">
        <f t="shared" si="23"/>
        <v>14.863000000000001</v>
      </c>
      <c r="J120" s="124">
        <v>0</v>
      </c>
      <c r="K120" s="124">
        <f t="shared" si="22"/>
        <v>14.863000000000001</v>
      </c>
      <c r="L120" s="180" t="s">
        <v>34</v>
      </c>
      <c r="M120" s="10" t="s">
        <v>217</v>
      </c>
    </row>
    <row r="121" spans="1:15" ht="30.75" customHeight="1" x14ac:dyDescent="0.3">
      <c r="A121" s="193" t="s">
        <v>218</v>
      </c>
      <c r="B121" s="64" t="s">
        <v>219</v>
      </c>
      <c r="C121" s="23">
        <v>89</v>
      </c>
      <c r="D121" s="23">
        <v>1</v>
      </c>
      <c r="E121" s="228">
        <f t="shared" si="20"/>
        <v>89</v>
      </c>
      <c r="F121" s="126">
        <v>5</v>
      </c>
      <c r="G121" s="228">
        <f t="shared" si="21"/>
        <v>445</v>
      </c>
      <c r="H121" s="25">
        <f>'2020'!G58</f>
        <v>445</v>
      </c>
      <c r="I121" s="124">
        <f t="shared" si="23"/>
        <v>0</v>
      </c>
      <c r="J121" s="124">
        <f t="shared" si="24"/>
        <v>0</v>
      </c>
      <c r="K121" s="124">
        <f t="shared" si="22"/>
        <v>0</v>
      </c>
      <c r="L121" s="180" t="s">
        <v>27</v>
      </c>
    </row>
    <row r="122" spans="1:15" ht="38.25" customHeight="1" x14ac:dyDescent="0.3">
      <c r="A122" s="193" t="s">
        <v>220</v>
      </c>
      <c r="B122" s="64" t="s">
        <v>221</v>
      </c>
      <c r="C122" s="23">
        <f>89+1267</f>
        <v>1356</v>
      </c>
      <c r="D122" s="23">
        <v>12</v>
      </c>
      <c r="E122" s="228">
        <f t="shared" si="20"/>
        <v>16272</v>
      </c>
      <c r="F122" s="126">
        <v>2</v>
      </c>
      <c r="G122" s="228">
        <f t="shared" si="21"/>
        <v>32544</v>
      </c>
      <c r="H122" s="25">
        <f>'2020'!G59</f>
        <v>45528</v>
      </c>
      <c r="I122" s="190">
        <f>G122-H122</f>
        <v>-12984</v>
      </c>
      <c r="J122" s="124">
        <v>0</v>
      </c>
      <c r="K122" s="190">
        <f t="shared" si="22"/>
        <v>-12984</v>
      </c>
      <c r="L122" s="180" t="s">
        <v>31</v>
      </c>
    </row>
    <row r="123" spans="1:15" ht="28" x14ac:dyDescent="0.3">
      <c r="A123" s="193" t="s">
        <v>220</v>
      </c>
      <c r="B123" s="64" t="s">
        <v>222</v>
      </c>
      <c r="C123" s="23">
        <f>1810*0.7</f>
        <v>1267</v>
      </c>
      <c r="D123" s="23">
        <f>((6243960)/1267)*2*0.7</f>
        <v>6899.4033149171264</v>
      </c>
      <c r="E123" s="228">
        <f t="shared" si="20"/>
        <v>8741544</v>
      </c>
      <c r="F123" s="131">
        <v>1.67E-2</v>
      </c>
      <c r="G123" s="228">
        <f t="shared" si="21"/>
        <v>145983.78479999999</v>
      </c>
      <c r="H123" s="25">
        <f>'2020'!G60+114388.39</f>
        <v>458924.55359999998</v>
      </c>
      <c r="I123" s="190">
        <f>G123-H123</f>
        <v>-312940.76879999996</v>
      </c>
      <c r="J123" s="188">
        <v>0</v>
      </c>
      <c r="K123" s="190">
        <f t="shared" si="22"/>
        <v>-312940.76879999996</v>
      </c>
      <c r="L123" s="180" t="s">
        <v>223</v>
      </c>
    </row>
    <row r="124" spans="1:15" ht="28" x14ac:dyDescent="0.3">
      <c r="A124" s="193" t="s">
        <v>220</v>
      </c>
      <c r="B124" s="64" t="s">
        <v>224</v>
      </c>
      <c r="C124" s="23">
        <f>89+1267</f>
        <v>1356</v>
      </c>
      <c r="D124" s="23">
        <v>1</v>
      </c>
      <c r="E124" s="228">
        <f t="shared" si="20"/>
        <v>1356</v>
      </c>
      <c r="F124" s="126">
        <v>0.25</v>
      </c>
      <c r="G124" s="138">
        <f t="shared" si="21"/>
        <v>339</v>
      </c>
      <c r="H124" s="25">
        <f>'2020'!G62</f>
        <v>474.25</v>
      </c>
      <c r="I124" s="190">
        <f>G124-H124</f>
        <v>-135.25</v>
      </c>
      <c r="J124" s="124">
        <v>0</v>
      </c>
      <c r="K124" s="190">
        <f t="shared" si="22"/>
        <v>-135.25</v>
      </c>
      <c r="L124" s="180" t="s">
        <v>31</v>
      </c>
    </row>
    <row r="125" spans="1:15" ht="28" x14ac:dyDescent="0.3">
      <c r="A125" s="197" t="s">
        <v>155</v>
      </c>
      <c r="B125" s="111" t="s">
        <v>156</v>
      </c>
      <c r="C125" s="27">
        <v>76</v>
      </c>
      <c r="D125" s="23">
        <v>1</v>
      </c>
      <c r="E125" s="138">
        <f t="shared" si="20"/>
        <v>76</v>
      </c>
      <c r="F125" s="126">
        <v>0.16700000000000001</v>
      </c>
      <c r="G125" s="138">
        <f t="shared" si="21"/>
        <v>12.692</v>
      </c>
      <c r="H125" s="132">
        <v>0</v>
      </c>
      <c r="I125" s="124">
        <f t="shared" si="23"/>
        <v>12.692</v>
      </c>
      <c r="J125" s="124">
        <v>0</v>
      </c>
      <c r="K125" s="124">
        <f t="shared" si="22"/>
        <v>12.692</v>
      </c>
      <c r="L125" s="180" t="s">
        <v>34</v>
      </c>
    </row>
    <row r="126" spans="1:15" ht="16.5" customHeight="1" x14ac:dyDescent="0.3">
      <c r="A126" s="248" t="s">
        <v>225</v>
      </c>
      <c r="B126" s="248"/>
      <c r="C126" s="13">
        <v>1356</v>
      </c>
      <c r="D126" s="33">
        <f>+E126/C126</f>
        <v>6484.5357743362829</v>
      </c>
      <c r="E126" s="13">
        <f>SUM(E109:E125)</f>
        <v>8793030.5099999998</v>
      </c>
      <c r="F126" s="33">
        <f>+G126/E126</f>
        <v>2.3152784238434313E-2</v>
      </c>
      <c r="G126" s="13">
        <f>SUM(G109:G125)</f>
        <v>203583.13820000002</v>
      </c>
      <c r="H126" s="14">
        <f>SUM(H109:H125)</f>
        <v>529966.62360000005</v>
      </c>
      <c r="I126" s="34">
        <f>SUM(I109:I125)</f>
        <v>-325212.6004</v>
      </c>
      <c r="J126" s="13">
        <f>SUM(J109:J125)</f>
        <v>-1170.8850000000029</v>
      </c>
      <c r="K126" s="13">
        <f>SUM(K109:K125)</f>
        <v>-326383.48540000001</v>
      </c>
      <c r="L126" s="185"/>
    </row>
    <row r="127" spans="1:15" ht="14.25" customHeight="1" x14ac:dyDescent="0.3">
      <c r="A127" s="259" t="s">
        <v>176</v>
      </c>
      <c r="B127" s="259"/>
      <c r="C127" s="259"/>
      <c r="D127" s="259"/>
      <c r="E127" s="259"/>
      <c r="F127" s="259"/>
      <c r="G127" s="259"/>
      <c r="H127" s="259"/>
      <c r="I127" s="259"/>
      <c r="J127" s="259"/>
      <c r="K127" s="259"/>
      <c r="L127" s="259"/>
    </row>
    <row r="128" spans="1:15" ht="14.25" customHeight="1" x14ac:dyDescent="0.3">
      <c r="A128" s="198" t="s">
        <v>66</v>
      </c>
      <c r="B128" s="64" t="s">
        <v>168</v>
      </c>
      <c r="C128" s="23">
        <f>0.3*1810</f>
        <v>543</v>
      </c>
      <c r="D128" s="23">
        <f>(10000/543)*2*0.3</f>
        <v>11.049723756906078</v>
      </c>
      <c r="E128" s="138">
        <f t="shared" ref="E128:E132" si="25">C128*D128</f>
        <v>6000</v>
      </c>
      <c r="F128" s="126">
        <v>1.67E-2</v>
      </c>
      <c r="G128" s="138">
        <f t="shared" ref="G128:G132" si="26">E128*F128</f>
        <v>100.2</v>
      </c>
      <c r="H128" s="25">
        <f>'2020'!G68</f>
        <v>0</v>
      </c>
      <c r="I128" s="145">
        <f t="shared" ref="I128:I129" si="27">G128-H128</f>
        <v>100.2</v>
      </c>
      <c r="J128" s="232">
        <v>0</v>
      </c>
      <c r="K128" s="212">
        <f>G128-H128</f>
        <v>100.2</v>
      </c>
      <c r="L128" s="178" t="s">
        <v>34</v>
      </c>
    </row>
    <row r="129" spans="1:12" ht="14.25" customHeight="1" x14ac:dyDescent="0.3">
      <c r="A129" s="198" t="s">
        <v>226</v>
      </c>
      <c r="B129" s="64" t="s">
        <v>227</v>
      </c>
      <c r="C129" s="23">
        <v>37417</v>
      </c>
      <c r="D129" s="23">
        <v>1</v>
      </c>
      <c r="E129" s="228">
        <f t="shared" si="25"/>
        <v>37417</v>
      </c>
      <c r="F129" s="126">
        <v>0.16700000000000001</v>
      </c>
      <c r="G129" s="228">
        <f t="shared" si="26"/>
        <v>6248.6390000000001</v>
      </c>
      <c r="H129" s="25">
        <v>0</v>
      </c>
      <c r="I129" s="212">
        <f t="shared" si="27"/>
        <v>6248.6390000000001</v>
      </c>
      <c r="J129" s="232">
        <v>0</v>
      </c>
      <c r="K129" s="212">
        <f t="shared" ref="K129:K132" si="28">G129-H129</f>
        <v>6248.6390000000001</v>
      </c>
      <c r="L129" s="178" t="s">
        <v>34</v>
      </c>
    </row>
    <row r="130" spans="1:12" ht="16.5" customHeight="1" x14ac:dyDescent="0.3">
      <c r="A130" s="193" t="s">
        <v>220</v>
      </c>
      <c r="B130" s="64" t="s">
        <v>221</v>
      </c>
      <c r="C130" s="23">
        <f>1810*0.3</f>
        <v>543</v>
      </c>
      <c r="D130" s="23">
        <v>12</v>
      </c>
      <c r="E130" s="228">
        <f t="shared" si="25"/>
        <v>6516</v>
      </c>
      <c r="F130" s="126">
        <v>2</v>
      </c>
      <c r="G130" s="228">
        <f t="shared" si="26"/>
        <v>13032</v>
      </c>
      <c r="H130" s="25">
        <f>'2020'!G67</f>
        <v>0</v>
      </c>
      <c r="I130" s="212">
        <f>G130-H130</f>
        <v>13032</v>
      </c>
      <c r="J130" s="232">
        <v>0</v>
      </c>
      <c r="K130" s="212">
        <f t="shared" si="28"/>
        <v>13032</v>
      </c>
      <c r="L130" s="178" t="s">
        <v>34</v>
      </c>
    </row>
    <row r="131" spans="1:12" ht="24" customHeight="1" x14ac:dyDescent="0.3">
      <c r="A131" s="193" t="s">
        <v>220</v>
      </c>
      <c r="B131" s="64" t="s">
        <v>222</v>
      </c>
      <c r="C131" s="23">
        <f>1810*0.3</f>
        <v>543</v>
      </c>
      <c r="D131" s="23">
        <f>((6243960)/543)*2*0.3</f>
        <v>6899.4033149171273</v>
      </c>
      <c r="E131" s="228">
        <f t="shared" si="25"/>
        <v>3746376</v>
      </c>
      <c r="F131" s="131">
        <v>1.67E-2</v>
      </c>
      <c r="G131" s="228">
        <f t="shared" si="26"/>
        <v>62564.479200000002</v>
      </c>
      <c r="H131" s="25">
        <f>'2020'!G68</f>
        <v>0</v>
      </c>
      <c r="I131" s="212">
        <f>G131-H131</f>
        <v>62564.479200000002</v>
      </c>
      <c r="J131" s="232">
        <v>0</v>
      </c>
      <c r="K131" s="212">
        <f t="shared" si="28"/>
        <v>62564.479200000002</v>
      </c>
      <c r="L131" s="178" t="s">
        <v>34</v>
      </c>
    </row>
    <row r="132" spans="1:12" ht="14.25" customHeight="1" x14ac:dyDescent="0.3">
      <c r="A132" s="193" t="s">
        <v>220</v>
      </c>
      <c r="B132" s="64" t="s">
        <v>224</v>
      </c>
      <c r="C132" s="23">
        <f>1810*0.3</f>
        <v>543</v>
      </c>
      <c r="D132" s="23">
        <v>1</v>
      </c>
      <c r="E132" s="138">
        <f t="shared" si="25"/>
        <v>543</v>
      </c>
      <c r="F132" s="126">
        <v>0.25</v>
      </c>
      <c r="G132" s="138">
        <f t="shared" si="26"/>
        <v>135.75</v>
      </c>
      <c r="H132" s="25">
        <f>'2020'!G70</f>
        <v>0</v>
      </c>
      <c r="I132" s="212">
        <f>G132-H132</f>
        <v>135.75</v>
      </c>
      <c r="J132" s="232">
        <v>0</v>
      </c>
      <c r="K132" s="212">
        <f t="shared" si="28"/>
        <v>135.75</v>
      </c>
      <c r="L132" s="178" t="s">
        <v>34</v>
      </c>
    </row>
    <row r="133" spans="1:12" x14ac:dyDescent="0.3">
      <c r="A133" s="248" t="s">
        <v>228</v>
      </c>
      <c r="B133" s="248"/>
      <c r="C133" s="13">
        <f>C129+543</f>
        <v>37960</v>
      </c>
      <c r="D133" s="33">
        <f>E133/C133</f>
        <v>100.02244467860906</v>
      </c>
      <c r="E133" s="13">
        <f>SUM(E128:E132)</f>
        <v>3796852</v>
      </c>
      <c r="F133" s="33">
        <f>G133/E133</f>
        <v>2.161819006903614E-2</v>
      </c>
      <c r="G133" s="13">
        <f>SUM(G128:G132)</f>
        <v>82081.068200000009</v>
      </c>
      <c r="H133" s="14">
        <f>SUM(H128:H132)</f>
        <v>0</v>
      </c>
      <c r="I133" s="34">
        <f>SUM(I128:I132)</f>
        <v>82081.068200000009</v>
      </c>
      <c r="J133" s="13">
        <f>SUM(J128:J132)</f>
        <v>0</v>
      </c>
      <c r="K133" s="13">
        <f>SUM(K128:K132)</f>
        <v>82081.068200000009</v>
      </c>
      <c r="L133" s="185"/>
    </row>
    <row r="134" spans="1:12" ht="15" customHeight="1" x14ac:dyDescent="0.3">
      <c r="A134" s="249" t="s">
        <v>229</v>
      </c>
      <c r="B134" s="250"/>
      <c r="C134" s="13">
        <f>C133+C126</f>
        <v>39316</v>
      </c>
      <c r="D134" s="33">
        <f>+E134/C134</f>
        <v>320.22287389358024</v>
      </c>
      <c r="E134" s="13">
        <f>E133+E126</f>
        <v>12589882.51</v>
      </c>
      <c r="F134" s="33">
        <f>G134/E134</f>
        <v>2.26899819099265E-2</v>
      </c>
      <c r="G134" s="13">
        <f>G133+G126</f>
        <v>285664.20640000002</v>
      </c>
      <c r="H134" s="14">
        <f>H133+H126</f>
        <v>529966.62360000005</v>
      </c>
      <c r="I134" s="34">
        <f>I133+I126</f>
        <v>-243131.53219999999</v>
      </c>
      <c r="J134" s="13">
        <f>J133+J126</f>
        <v>-1170.8850000000029</v>
      </c>
      <c r="K134" s="13">
        <f>K133+K126</f>
        <v>-244302.4172</v>
      </c>
      <c r="L134" s="185"/>
    </row>
    <row r="135" spans="1:12" ht="16.5" customHeight="1" x14ac:dyDescent="0.3">
      <c r="A135" s="244" t="s">
        <v>230</v>
      </c>
      <c r="B135" s="244"/>
      <c r="C135" s="244"/>
      <c r="D135" s="244"/>
      <c r="E135" s="244"/>
      <c r="F135" s="244"/>
      <c r="G135" s="244"/>
      <c r="H135" s="244"/>
      <c r="I135" s="244"/>
      <c r="J135" s="244"/>
      <c r="K135" s="244"/>
      <c r="L135" s="245"/>
    </row>
    <row r="136" spans="1:12" ht="14.25" customHeight="1" x14ac:dyDescent="0.3">
      <c r="A136" s="246" t="s">
        <v>23</v>
      </c>
      <c r="B136" s="246"/>
      <c r="C136" s="246"/>
      <c r="D136" s="246"/>
      <c r="E136" s="246"/>
      <c r="F136" s="246"/>
      <c r="G136" s="246"/>
      <c r="H136" s="246"/>
      <c r="I136" s="246"/>
      <c r="J136" s="246"/>
      <c r="K136" s="246"/>
      <c r="L136" s="247"/>
    </row>
    <row r="137" spans="1:12" ht="14.25" customHeight="1" x14ac:dyDescent="0.3">
      <c r="A137" s="193" t="s">
        <v>231</v>
      </c>
      <c r="B137" s="64" t="s">
        <v>232</v>
      </c>
      <c r="C137" s="23">
        <f>(89*0.33)</f>
        <v>29.37</v>
      </c>
      <c r="D137" s="23">
        <v>1</v>
      </c>
      <c r="E137" s="41">
        <f t="shared" ref="E137" si="29">C137*D137</f>
        <v>29.37</v>
      </c>
      <c r="F137" s="19">
        <v>0.5</v>
      </c>
      <c r="G137" s="41">
        <f t="shared" ref="G137" si="30">E137*F137</f>
        <v>14.685</v>
      </c>
      <c r="H137" s="25">
        <v>0</v>
      </c>
      <c r="I137" s="24">
        <f t="shared" ref="I137" si="31">G137-H137</f>
        <v>14.685</v>
      </c>
      <c r="J137" s="24">
        <v>0</v>
      </c>
      <c r="K137" s="24">
        <f>G137-H137</f>
        <v>14.685</v>
      </c>
      <c r="L137" s="162" t="s">
        <v>34</v>
      </c>
    </row>
    <row r="138" spans="1:12" ht="29.25" customHeight="1" x14ac:dyDescent="0.3">
      <c r="A138" s="248" t="s">
        <v>233</v>
      </c>
      <c r="B138" s="248"/>
      <c r="C138" s="13">
        <f t="shared" ref="C138:K139" si="32">C137</f>
        <v>29.37</v>
      </c>
      <c r="D138" s="33">
        <f t="shared" si="32"/>
        <v>1</v>
      </c>
      <c r="E138" s="13">
        <f t="shared" si="32"/>
        <v>29.37</v>
      </c>
      <c r="F138" s="33">
        <f t="shared" si="32"/>
        <v>0.5</v>
      </c>
      <c r="G138" s="13">
        <f t="shared" si="32"/>
        <v>14.685</v>
      </c>
      <c r="H138" s="14">
        <f t="shared" si="32"/>
        <v>0</v>
      </c>
      <c r="I138" s="34">
        <f t="shared" si="32"/>
        <v>14.685</v>
      </c>
      <c r="J138" s="13">
        <f t="shared" si="32"/>
        <v>0</v>
      </c>
      <c r="K138" s="13">
        <f t="shared" si="32"/>
        <v>14.685</v>
      </c>
      <c r="L138" s="185"/>
    </row>
    <row r="139" spans="1:12" ht="16.5" customHeight="1" x14ac:dyDescent="0.3">
      <c r="A139" s="249" t="s">
        <v>234</v>
      </c>
      <c r="B139" s="250"/>
      <c r="C139" s="13">
        <f t="shared" si="32"/>
        <v>29.37</v>
      </c>
      <c r="D139" s="33">
        <f t="shared" si="32"/>
        <v>1</v>
      </c>
      <c r="E139" s="13">
        <f t="shared" si="32"/>
        <v>29.37</v>
      </c>
      <c r="F139" s="33">
        <f t="shared" si="32"/>
        <v>0.5</v>
      </c>
      <c r="G139" s="13">
        <f t="shared" si="32"/>
        <v>14.685</v>
      </c>
      <c r="H139" s="14">
        <f t="shared" si="32"/>
        <v>0</v>
      </c>
      <c r="I139" s="34">
        <f t="shared" si="32"/>
        <v>14.685</v>
      </c>
      <c r="J139" s="13">
        <f t="shared" si="32"/>
        <v>0</v>
      </c>
      <c r="K139" s="13">
        <f t="shared" si="32"/>
        <v>14.685</v>
      </c>
      <c r="L139" s="185"/>
    </row>
    <row r="140" spans="1:12" ht="35.25" customHeight="1" x14ac:dyDescent="0.3">
      <c r="A140" s="260" t="s">
        <v>235</v>
      </c>
      <c r="B140" s="261"/>
      <c r="C140" s="16">
        <f>C106</f>
        <v>6283276</v>
      </c>
      <c r="D140" s="28">
        <f>E140/C140</f>
        <v>8.8137750124425782</v>
      </c>
      <c r="E140" s="16">
        <f>E134+E106+E139</f>
        <v>55379381.005080149</v>
      </c>
      <c r="F140" s="28">
        <f>G140/E140</f>
        <v>0.28325373264172676</v>
      </c>
      <c r="G140" s="16">
        <f>G134+G106+G139</f>
        <v>15686416.381077295</v>
      </c>
      <c r="H140" s="95">
        <f>H134+H106</f>
        <v>4547098.5034526959</v>
      </c>
      <c r="I140" s="16">
        <f>I134+I106+I139</f>
        <v>11637093.258042781</v>
      </c>
      <c r="J140" s="16">
        <f>J134+J106+J139</f>
        <v>-497775.38391817984</v>
      </c>
      <c r="K140" s="201">
        <f>K139+K134+K106</f>
        <v>11139317.877624597</v>
      </c>
      <c r="L140" s="186"/>
    </row>
    <row r="141" spans="1:12" ht="14.25" customHeight="1" x14ac:dyDescent="0.3"/>
    <row r="142" spans="1:12" x14ac:dyDescent="0.3">
      <c r="A142" s="251" t="s">
        <v>236</v>
      </c>
      <c r="B142" s="252"/>
      <c r="C142" s="252"/>
      <c r="D142" s="253"/>
    </row>
    <row r="143" spans="1:12" ht="15" customHeight="1" x14ac:dyDescent="0.3">
      <c r="A143" s="240" t="s">
        <v>237</v>
      </c>
      <c r="B143" s="241"/>
      <c r="C143" s="238">
        <f>+C106</f>
        <v>6283276</v>
      </c>
      <c r="D143" s="239"/>
      <c r="E143" s="31"/>
      <c r="F143" s="62"/>
    </row>
    <row r="144" spans="1:12" ht="17.25" customHeight="1" x14ac:dyDescent="0.3">
      <c r="A144" s="254" t="s">
        <v>238</v>
      </c>
      <c r="B144" s="255"/>
      <c r="C144" s="242">
        <f>+C145/C143</f>
        <v>6.8100572257338614</v>
      </c>
      <c r="D144" s="243"/>
    </row>
    <row r="145" spans="1:6" ht="17.25" customHeight="1" x14ac:dyDescent="0.3">
      <c r="A145" s="240" t="s">
        <v>239</v>
      </c>
      <c r="B145" s="241"/>
      <c r="C145" s="299">
        <f>+E106</f>
        <v>42789469.125080153</v>
      </c>
      <c r="D145" s="300"/>
      <c r="F145" s="89"/>
    </row>
    <row r="146" spans="1:6" ht="14.25" customHeight="1" x14ac:dyDescent="0.3">
      <c r="A146" s="240" t="s">
        <v>240</v>
      </c>
      <c r="B146" s="241"/>
      <c r="C146" s="242">
        <f>+C147/C145</f>
        <v>0.35991887267071687</v>
      </c>
      <c r="D146" s="243"/>
      <c r="F146" s="89"/>
    </row>
    <row r="147" spans="1:6" ht="14.25" customHeight="1" x14ac:dyDescent="0.3">
      <c r="A147" s="240" t="s">
        <v>241</v>
      </c>
      <c r="B147" s="241"/>
      <c r="C147" s="299">
        <f>+G106</f>
        <v>15400737.489677295</v>
      </c>
      <c r="D147" s="300"/>
      <c r="F147" s="90"/>
    </row>
    <row r="148" spans="1:6" x14ac:dyDescent="0.3">
      <c r="A148" s="240" t="s">
        <v>242</v>
      </c>
      <c r="B148" s="241"/>
      <c r="C148" s="238">
        <f>H106</f>
        <v>4017131.8798526963</v>
      </c>
      <c r="D148" s="239"/>
    </row>
    <row r="149" spans="1:6" x14ac:dyDescent="0.3">
      <c r="A149" s="236" t="s">
        <v>243</v>
      </c>
      <c r="B149" s="237"/>
      <c r="C149" s="238">
        <f>C147-C148</f>
        <v>11383605.609824598</v>
      </c>
      <c r="D149" s="239"/>
    </row>
    <row r="151" spans="1:6" x14ac:dyDescent="0.3">
      <c r="A151" s="251" t="s">
        <v>244</v>
      </c>
      <c r="B151" s="252"/>
      <c r="C151" s="252"/>
      <c r="D151" s="253"/>
    </row>
    <row r="152" spans="1:6" x14ac:dyDescent="0.3">
      <c r="A152" s="240" t="s">
        <v>245</v>
      </c>
      <c r="B152" s="241"/>
      <c r="C152" s="238">
        <f>+C134</f>
        <v>39316</v>
      </c>
      <c r="D152" s="239"/>
    </row>
    <row r="153" spans="1:6" x14ac:dyDescent="0.3">
      <c r="A153" s="254" t="s">
        <v>238</v>
      </c>
      <c r="B153" s="255"/>
      <c r="C153" s="242">
        <f>+C154/C152</f>
        <v>320.22287389358024</v>
      </c>
      <c r="D153" s="243"/>
    </row>
    <row r="154" spans="1:6" x14ac:dyDescent="0.3">
      <c r="A154" s="240" t="s">
        <v>239</v>
      </c>
      <c r="B154" s="241"/>
      <c r="C154" s="238">
        <f>+E134</f>
        <v>12589882.51</v>
      </c>
      <c r="D154" s="239"/>
    </row>
    <row r="155" spans="1:6" x14ac:dyDescent="0.3">
      <c r="A155" s="240" t="s">
        <v>240</v>
      </c>
      <c r="B155" s="241"/>
      <c r="C155" s="242">
        <f>+C156/C154</f>
        <v>2.26899819099265E-2</v>
      </c>
      <c r="D155" s="243"/>
    </row>
    <row r="156" spans="1:6" x14ac:dyDescent="0.3">
      <c r="A156" s="240" t="s">
        <v>241</v>
      </c>
      <c r="B156" s="241"/>
      <c r="C156" s="238">
        <f>+G134</f>
        <v>285664.20640000002</v>
      </c>
      <c r="D156" s="239"/>
    </row>
    <row r="157" spans="1:6" x14ac:dyDescent="0.3">
      <c r="A157" s="240" t="s">
        <v>242</v>
      </c>
      <c r="B157" s="241"/>
      <c r="C157" s="238">
        <f>+H134</f>
        <v>529966.62360000005</v>
      </c>
      <c r="D157" s="239"/>
    </row>
    <row r="158" spans="1:6" x14ac:dyDescent="0.3">
      <c r="A158" s="236" t="s">
        <v>243</v>
      </c>
      <c r="B158" s="237"/>
      <c r="C158" s="238">
        <f>C156-C157</f>
        <v>-244302.41720000003</v>
      </c>
      <c r="D158" s="239"/>
    </row>
    <row r="160" spans="1:6" ht="15" customHeight="1" x14ac:dyDescent="0.3">
      <c r="A160" s="251" t="s">
        <v>246</v>
      </c>
      <c r="B160" s="252"/>
      <c r="C160" s="252"/>
      <c r="D160" s="253"/>
    </row>
    <row r="161" spans="1:4" ht="15" customHeight="1" x14ac:dyDescent="0.3">
      <c r="A161" s="240" t="s">
        <v>245</v>
      </c>
      <c r="B161" s="241"/>
      <c r="C161" s="238">
        <f>C139</f>
        <v>29.37</v>
      </c>
      <c r="D161" s="239"/>
    </row>
    <row r="162" spans="1:4" ht="15" customHeight="1" x14ac:dyDescent="0.3">
      <c r="A162" s="254" t="s">
        <v>238</v>
      </c>
      <c r="B162" s="255"/>
      <c r="C162" s="242">
        <f>D139</f>
        <v>1</v>
      </c>
      <c r="D162" s="243"/>
    </row>
    <row r="163" spans="1:4" ht="15" customHeight="1" x14ac:dyDescent="0.3">
      <c r="A163" s="240" t="s">
        <v>239</v>
      </c>
      <c r="B163" s="241"/>
      <c r="C163" s="238">
        <f>E139</f>
        <v>29.37</v>
      </c>
      <c r="D163" s="239"/>
    </row>
    <row r="164" spans="1:4" ht="15" customHeight="1" x14ac:dyDescent="0.3">
      <c r="A164" s="240" t="s">
        <v>240</v>
      </c>
      <c r="B164" s="241"/>
      <c r="C164" s="242">
        <f>F139</f>
        <v>0.5</v>
      </c>
      <c r="D164" s="243"/>
    </row>
    <row r="165" spans="1:4" ht="15" customHeight="1" x14ac:dyDescent="0.3">
      <c r="A165" s="240" t="s">
        <v>241</v>
      </c>
      <c r="B165" s="241"/>
      <c r="C165" s="238">
        <f>G139</f>
        <v>14.685</v>
      </c>
      <c r="D165" s="239"/>
    </row>
    <row r="166" spans="1:4" x14ac:dyDescent="0.3">
      <c r="A166" s="240" t="s">
        <v>242</v>
      </c>
      <c r="B166" s="241"/>
      <c r="C166" s="238">
        <f>H139</f>
        <v>0</v>
      </c>
      <c r="D166" s="239"/>
    </row>
    <row r="167" spans="1:4" x14ac:dyDescent="0.3">
      <c r="A167" s="236" t="s">
        <v>243</v>
      </c>
      <c r="B167" s="237"/>
      <c r="C167" s="238">
        <f>C165-C166</f>
        <v>14.685</v>
      </c>
      <c r="D167" s="239"/>
    </row>
    <row r="168" spans="1:4" x14ac:dyDescent="0.3">
      <c r="A168" s="233"/>
      <c r="B168" s="191"/>
      <c r="C168" s="192"/>
      <c r="D168" s="234"/>
    </row>
    <row r="169" spans="1:4" x14ac:dyDescent="0.3">
      <c r="A169" s="251" t="s">
        <v>247</v>
      </c>
      <c r="B169" s="252"/>
      <c r="C169" s="252"/>
      <c r="D169" s="253"/>
    </row>
    <row r="170" spans="1:4" x14ac:dyDescent="0.3">
      <c r="A170" s="240" t="s">
        <v>248</v>
      </c>
      <c r="B170" s="241"/>
      <c r="C170" s="238">
        <f>E140</f>
        <v>55379381.005080149</v>
      </c>
      <c r="D170" s="239"/>
    </row>
    <row r="171" spans="1:4" x14ac:dyDescent="0.3">
      <c r="A171" s="240" t="s">
        <v>249</v>
      </c>
      <c r="B171" s="241"/>
      <c r="C171" s="235"/>
      <c r="D171" s="234">
        <f>G140</f>
        <v>15686416.381077295</v>
      </c>
    </row>
    <row r="172" spans="1:4" x14ac:dyDescent="0.3">
      <c r="A172" s="240" t="s">
        <v>242</v>
      </c>
      <c r="B172" s="241"/>
      <c r="C172" s="238">
        <f>H140</f>
        <v>4547098.5034526959</v>
      </c>
      <c r="D172" s="239"/>
    </row>
    <row r="173" spans="1:4" x14ac:dyDescent="0.3">
      <c r="A173" s="236" t="s">
        <v>243</v>
      </c>
      <c r="B173" s="237"/>
      <c r="C173" s="238">
        <f>D171-C172</f>
        <v>11139317.877624599</v>
      </c>
      <c r="D173" s="239"/>
    </row>
  </sheetData>
  <mergeCells count="73">
    <mergeCell ref="A81:B81"/>
    <mergeCell ref="A1:L1"/>
    <mergeCell ref="A3:L3"/>
    <mergeCell ref="A4:L4"/>
    <mergeCell ref="A68:B68"/>
    <mergeCell ref="A69:L69"/>
    <mergeCell ref="A143:B143"/>
    <mergeCell ref="C143:D143"/>
    <mergeCell ref="A82:L82"/>
    <mergeCell ref="A105:B105"/>
    <mergeCell ref="A106:B106"/>
    <mergeCell ref="A107:L107"/>
    <mergeCell ref="A108:L108"/>
    <mergeCell ref="A126:B126"/>
    <mergeCell ref="A127:L127"/>
    <mergeCell ref="A133:B133"/>
    <mergeCell ref="A134:B134"/>
    <mergeCell ref="A140:B140"/>
    <mergeCell ref="A142:D142"/>
    <mergeCell ref="A144:B144"/>
    <mergeCell ref="C144:D144"/>
    <mergeCell ref="A145:B145"/>
    <mergeCell ref="C145:D145"/>
    <mergeCell ref="A146:B146"/>
    <mergeCell ref="C146:D146"/>
    <mergeCell ref="A154:B154"/>
    <mergeCell ref="C154:D154"/>
    <mergeCell ref="A147:B147"/>
    <mergeCell ref="C147:D147"/>
    <mergeCell ref="A148:B148"/>
    <mergeCell ref="C148:D148"/>
    <mergeCell ref="A149:B149"/>
    <mergeCell ref="C149:D149"/>
    <mergeCell ref="A151:D151"/>
    <mergeCell ref="A152:B152"/>
    <mergeCell ref="C152:D152"/>
    <mergeCell ref="A153:B153"/>
    <mergeCell ref="C153:D153"/>
    <mergeCell ref="C161:D161"/>
    <mergeCell ref="A162:B162"/>
    <mergeCell ref="C162:D162"/>
    <mergeCell ref="A163:B163"/>
    <mergeCell ref="A155:B155"/>
    <mergeCell ref="C155:D155"/>
    <mergeCell ref="A156:B156"/>
    <mergeCell ref="C156:D156"/>
    <mergeCell ref="A157:B157"/>
    <mergeCell ref="C157:D157"/>
    <mergeCell ref="A172:B172"/>
    <mergeCell ref="C172:D172"/>
    <mergeCell ref="A173:B173"/>
    <mergeCell ref="C173:D173"/>
    <mergeCell ref="A135:L135"/>
    <mergeCell ref="A136:L136"/>
    <mergeCell ref="A138:B138"/>
    <mergeCell ref="A139:B139"/>
    <mergeCell ref="A160:D160"/>
    <mergeCell ref="A161:B161"/>
    <mergeCell ref="A158:B158"/>
    <mergeCell ref="C158:D158"/>
    <mergeCell ref="A169:D169"/>
    <mergeCell ref="A170:B170"/>
    <mergeCell ref="C170:D170"/>
    <mergeCell ref="A171:B171"/>
    <mergeCell ref="A167:B167"/>
    <mergeCell ref="C167:D167"/>
    <mergeCell ref="C163:D163"/>
    <mergeCell ref="A164:B164"/>
    <mergeCell ref="C164:D164"/>
    <mergeCell ref="A165:B165"/>
    <mergeCell ref="C165:D165"/>
    <mergeCell ref="A166:B166"/>
    <mergeCell ref="C166:D166"/>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A26DC-67BA-41D4-84F8-A25DE54C4DBE}">
  <dimension ref="A1:U157"/>
  <sheetViews>
    <sheetView topLeftCell="A116" workbookViewId="0">
      <selection activeCell="H139" sqref="H139"/>
    </sheetView>
  </sheetViews>
  <sheetFormatPr defaultColWidth="9.1796875" defaultRowHeight="14" x14ac:dyDescent="0.3"/>
  <cols>
    <col min="1" max="1" width="18.7265625" style="10" bestFit="1" customWidth="1"/>
    <col min="2" max="2" width="33.54296875" style="100" bestFit="1" customWidth="1"/>
    <col min="3" max="3" width="15.1796875" style="10" bestFit="1" customWidth="1"/>
    <col min="4" max="4" width="14.1796875" style="10" customWidth="1"/>
    <col min="5" max="5" width="17.7265625" style="10" customWidth="1"/>
    <col min="6" max="6" width="13.1796875" style="10" bestFit="1" customWidth="1"/>
    <col min="7" max="7" width="16.26953125" style="10" customWidth="1"/>
    <col min="8" max="8" width="15.54296875" style="10" bestFit="1" customWidth="1"/>
    <col min="9" max="9" width="15.7265625" style="35" customWidth="1"/>
    <col min="10" max="10" width="14" style="10" bestFit="1" customWidth="1"/>
    <col min="11" max="11" width="57.453125" style="100" customWidth="1"/>
    <col min="12" max="12" width="42.453125" style="10" customWidth="1"/>
    <col min="13" max="13" width="28.1796875" style="10" customWidth="1"/>
    <col min="14" max="14" width="16.81640625" style="10" customWidth="1"/>
    <col min="15" max="15" width="17.81640625" style="10" customWidth="1"/>
    <col min="16" max="16" width="23.1796875" style="10" customWidth="1"/>
    <col min="17" max="17" width="17.7265625" style="10" customWidth="1"/>
    <col min="18" max="18" width="17.26953125" style="10" customWidth="1"/>
    <col min="19" max="19" width="16.453125" style="10" customWidth="1"/>
    <col min="20" max="20" width="13.453125" style="10" customWidth="1"/>
    <col min="21" max="21" width="14.1796875" style="10" customWidth="1"/>
    <col min="22" max="16384" width="9.1796875" style="10"/>
  </cols>
  <sheetData>
    <row r="1" spans="1:21" s="149" customFormat="1" ht="15" customHeight="1" thickBot="1" x14ac:dyDescent="0.35">
      <c r="A1" s="263" t="s">
        <v>250</v>
      </c>
      <c r="B1" s="263"/>
      <c r="C1" s="263"/>
      <c r="D1" s="263"/>
      <c r="E1" s="263"/>
      <c r="F1" s="263"/>
      <c r="G1" s="263"/>
      <c r="H1" s="263"/>
      <c r="I1" s="263"/>
      <c r="J1" s="263"/>
      <c r="K1" s="263"/>
      <c r="M1" s="142" t="s">
        <v>1</v>
      </c>
      <c r="N1" s="150"/>
    </row>
    <row r="2" spans="1:21" s="149" customFormat="1" ht="93.75" customHeight="1" thickBot="1" x14ac:dyDescent="0.3">
      <c r="A2" s="1" t="s">
        <v>2</v>
      </c>
      <c r="B2" s="99" t="s">
        <v>3</v>
      </c>
      <c r="C2" s="3" t="s">
        <v>4</v>
      </c>
      <c r="D2" s="4" t="s">
        <v>5</v>
      </c>
      <c r="E2" s="20" t="s">
        <v>6</v>
      </c>
      <c r="F2" s="5" t="s">
        <v>7</v>
      </c>
      <c r="G2" s="21" t="s">
        <v>8</v>
      </c>
      <c r="H2" s="6" t="s">
        <v>9</v>
      </c>
      <c r="I2" s="32" t="s">
        <v>10</v>
      </c>
      <c r="J2" s="7" t="s">
        <v>11</v>
      </c>
      <c r="K2" s="101" t="s">
        <v>13</v>
      </c>
      <c r="L2" s="151"/>
      <c r="M2" s="152" t="s">
        <v>14</v>
      </c>
      <c r="N2" s="153" t="s">
        <v>15</v>
      </c>
      <c r="O2" s="152" t="s">
        <v>16</v>
      </c>
      <c r="P2" s="152" t="s">
        <v>17</v>
      </c>
      <c r="Q2" s="152" t="s">
        <v>18</v>
      </c>
      <c r="R2" s="152" t="s">
        <v>19</v>
      </c>
      <c r="S2" s="152" t="s">
        <v>20</v>
      </c>
      <c r="T2" s="152" t="s">
        <v>21</v>
      </c>
      <c r="U2" s="154"/>
    </row>
    <row r="3" spans="1:21" s="149" customFormat="1" ht="15" customHeight="1" x14ac:dyDescent="0.3">
      <c r="A3" s="244" t="s">
        <v>22</v>
      </c>
      <c r="B3" s="244"/>
      <c r="C3" s="244"/>
      <c r="D3" s="244"/>
      <c r="E3" s="244"/>
      <c r="F3" s="244"/>
      <c r="G3" s="244"/>
      <c r="H3" s="244"/>
      <c r="I3" s="244"/>
      <c r="J3" s="244"/>
      <c r="K3" s="244"/>
      <c r="M3" s="149">
        <v>89</v>
      </c>
      <c r="N3" s="155">
        <v>1810</v>
      </c>
      <c r="O3" s="149">
        <v>6243960</v>
      </c>
      <c r="P3" s="149">
        <v>1379126</v>
      </c>
      <c r="Q3" s="149">
        <v>1464744</v>
      </c>
      <c r="R3" s="142">
        <v>3400090</v>
      </c>
      <c r="S3" s="156">
        <v>37417</v>
      </c>
      <c r="T3" s="156">
        <v>3289</v>
      </c>
      <c r="U3" s="157"/>
    </row>
    <row r="4" spans="1:21" s="149" customFormat="1" ht="15" customHeight="1" thickBot="1" x14ac:dyDescent="0.35">
      <c r="A4" s="264" t="s">
        <v>23</v>
      </c>
      <c r="B4" s="264"/>
      <c r="C4" s="264"/>
      <c r="D4" s="264"/>
      <c r="E4" s="264"/>
      <c r="F4" s="264"/>
      <c r="G4" s="264"/>
      <c r="H4" s="264"/>
      <c r="I4" s="264"/>
      <c r="J4" s="264"/>
      <c r="K4" s="264"/>
      <c r="L4" s="158"/>
      <c r="M4" s="149" t="s">
        <v>24</v>
      </c>
      <c r="N4" s="149" t="s">
        <v>25</v>
      </c>
      <c r="O4" s="149" t="s">
        <v>26</v>
      </c>
      <c r="P4" s="149" t="s">
        <v>26</v>
      </c>
      <c r="Q4" s="149" t="s">
        <v>26</v>
      </c>
      <c r="R4" s="143" t="s">
        <v>26</v>
      </c>
      <c r="S4" s="148" t="s">
        <v>26</v>
      </c>
      <c r="T4" s="156" t="s">
        <v>27</v>
      </c>
      <c r="U4" s="157"/>
    </row>
    <row r="5" spans="1:21" ht="14.5" x14ac:dyDescent="0.3">
      <c r="A5" s="98">
        <v>246.4</v>
      </c>
      <c r="B5" s="64" t="s">
        <v>28</v>
      </c>
      <c r="C5" s="23">
        <v>89</v>
      </c>
      <c r="D5" s="23">
        <v>1</v>
      </c>
      <c r="E5" s="41">
        <f>C5*D5</f>
        <v>89</v>
      </c>
      <c r="F5" s="19">
        <v>134.62</v>
      </c>
      <c r="G5" s="41">
        <f>E5*F5</f>
        <v>11981.18</v>
      </c>
      <c r="H5" s="25">
        <f>'2020'!G5</f>
        <v>11981.18</v>
      </c>
      <c r="I5" s="24">
        <f>G5-H5</f>
        <v>0</v>
      </c>
      <c r="J5" s="24">
        <f>G5-H5</f>
        <v>0</v>
      </c>
      <c r="K5" s="159" t="s">
        <v>27</v>
      </c>
      <c r="N5" s="35"/>
      <c r="S5" s="160"/>
      <c r="T5" s="157"/>
      <c r="U5" s="157"/>
    </row>
    <row r="6" spans="1:21" ht="14.5" x14ac:dyDescent="0.3">
      <c r="A6" s="98" t="s">
        <v>29</v>
      </c>
      <c r="B6" s="64" t="s">
        <v>30</v>
      </c>
      <c r="C6" s="23">
        <f>1810*0.5</f>
        <v>905</v>
      </c>
      <c r="D6" s="23">
        <v>1</v>
      </c>
      <c r="E6" s="41">
        <f t="shared" ref="E6:E68" si="0">C6*D6</f>
        <v>905</v>
      </c>
      <c r="F6" s="19">
        <v>2</v>
      </c>
      <c r="G6" s="41">
        <f t="shared" ref="G6:G68" si="1">E6*F6</f>
        <v>1810</v>
      </c>
      <c r="H6" s="25">
        <f>'2020'!G6</f>
        <v>1808</v>
      </c>
      <c r="I6" s="24">
        <v>0</v>
      </c>
      <c r="J6" s="24">
        <f t="shared" ref="J6:J64" si="2">G6-H6</f>
        <v>2</v>
      </c>
      <c r="K6" s="159" t="s">
        <v>42</v>
      </c>
      <c r="N6" s="35"/>
      <c r="R6" s="161"/>
      <c r="S6" s="160"/>
      <c r="T6" s="157"/>
      <c r="U6" s="157"/>
    </row>
    <row r="7" spans="1:21" ht="14.5" x14ac:dyDescent="0.3">
      <c r="A7" s="98" t="s">
        <v>32</v>
      </c>
      <c r="B7" s="64" t="s">
        <v>33</v>
      </c>
      <c r="C7" s="23">
        <v>4</v>
      </c>
      <c r="D7" s="23">
        <v>1</v>
      </c>
      <c r="E7" s="41">
        <f t="shared" si="0"/>
        <v>4</v>
      </c>
      <c r="F7" s="19">
        <v>0.16700000000000001</v>
      </c>
      <c r="G7" s="41">
        <f t="shared" si="1"/>
        <v>0.66800000000000004</v>
      </c>
      <c r="H7" s="25">
        <v>0</v>
      </c>
      <c r="I7" s="24">
        <f t="shared" ref="I7:I68" si="3">G7-H7</f>
        <v>0.66800000000000004</v>
      </c>
      <c r="J7" s="24">
        <v>0</v>
      </c>
      <c r="K7" s="162" t="s">
        <v>34</v>
      </c>
      <c r="N7" s="35"/>
      <c r="R7" s="161"/>
      <c r="S7" s="160"/>
      <c r="T7" s="157"/>
      <c r="U7" s="157"/>
    </row>
    <row r="8" spans="1:21" ht="14.5" x14ac:dyDescent="0.3">
      <c r="A8" s="98" t="s">
        <v>231</v>
      </c>
      <c r="B8" s="64" t="s">
        <v>232</v>
      </c>
      <c r="C8" s="23">
        <f>(89*0.33)</f>
        <v>29.37</v>
      </c>
      <c r="D8" s="23">
        <v>1</v>
      </c>
      <c r="E8" s="41">
        <f t="shared" si="0"/>
        <v>29.37</v>
      </c>
      <c r="F8" s="19">
        <v>0.5</v>
      </c>
      <c r="G8" s="41">
        <f t="shared" si="1"/>
        <v>14.685</v>
      </c>
      <c r="H8" s="25">
        <v>0</v>
      </c>
      <c r="I8" s="24">
        <f t="shared" si="3"/>
        <v>14.685</v>
      </c>
      <c r="J8" s="24">
        <v>0</v>
      </c>
      <c r="K8" s="162" t="s">
        <v>34</v>
      </c>
      <c r="N8" s="35"/>
      <c r="R8" s="161"/>
      <c r="S8" s="160"/>
      <c r="T8" s="157"/>
      <c r="U8" s="157"/>
    </row>
    <row r="9" spans="1:21" ht="17.25" customHeight="1" x14ac:dyDescent="0.3">
      <c r="A9" s="98" t="s">
        <v>35</v>
      </c>
      <c r="B9" s="102" t="s">
        <v>36</v>
      </c>
      <c r="C9" s="23">
        <v>4</v>
      </c>
      <c r="D9" s="23">
        <f>(1810/89)*0.02</f>
        <v>0.40674157303370784</v>
      </c>
      <c r="E9" s="41">
        <f t="shared" si="0"/>
        <v>1.6269662921348313</v>
      </c>
      <c r="F9" s="19">
        <v>0.5</v>
      </c>
      <c r="G9" s="41">
        <f t="shared" si="1"/>
        <v>0.81348314606741567</v>
      </c>
      <c r="H9" s="25">
        <v>0</v>
      </c>
      <c r="I9" s="24">
        <f t="shared" si="3"/>
        <v>0.81348314606741567</v>
      </c>
      <c r="J9" s="24">
        <v>0</v>
      </c>
      <c r="K9" s="162" t="s">
        <v>34</v>
      </c>
      <c r="N9" s="35"/>
      <c r="R9" s="161"/>
      <c r="S9" s="160"/>
      <c r="T9" s="157"/>
      <c r="U9" s="157"/>
    </row>
    <row r="10" spans="1:21" ht="14.5" x14ac:dyDescent="0.3">
      <c r="A10" s="98">
        <v>246.6</v>
      </c>
      <c r="B10" s="64" t="s">
        <v>37</v>
      </c>
      <c r="C10" s="23">
        <f>1810*0.5</f>
        <v>905</v>
      </c>
      <c r="D10" s="23">
        <v>1</v>
      </c>
      <c r="E10" s="41">
        <f t="shared" si="0"/>
        <v>905</v>
      </c>
      <c r="F10" s="19">
        <v>1.5</v>
      </c>
      <c r="G10" s="41">
        <f t="shared" si="1"/>
        <v>1357.5</v>
      </c>
      <c r="H10" s="25">
        <f>'2020'!G7</f>
        <v>1356</v>
      </c>
      <c r="I10" s="24">
        <v>0</v>
      </c>
      <c r="J10" s="24">
        <f t="shared" si="2"/>
        <v>1.5</v>
      </c>
      <c r="K10" s="159" t="s">
        <v>42</v>
      </c>
      <c r="N10" s="35"/>
      <c r="R10" s="161"/>
      <c r="S10" s="160"/>
      <c r="T10" s="157"/>
      <c r="U10" s="157"/>
    </row>
    <row r="11" spans="1:21" ht="28" x14ac:dyDescent="0.3">
      <c r="A11" s="98" t="s">
        <v>38</v>
      </c>
      <c r="B11" s="64" t="s">
        <v>39</v>
      </c>
      <c r="C11" s="23">
        <v>89</v>
      </c>
      <c r="D11" s="23">
        <f>(1810/89)</f>
        <v>20.337078651685392</v>
      </c>
      <c r="E11" s="41">
        <f t="shared" si="0"/>
        <v>1809.9999999999998</v>
      </c>
      <c r="F11" s="19">
        <v>0.25</v>
      </c>
      <c r="G11" s="41">
        <f t="shared" si="1"/>
        <v>452.49999999999994</v>
      </c>
      <c r="H11" s="25">
        <v>0</v>
      </c>
      <c r="I11" s="24">
        <f>G11-H11</f>
        <v>452.49999999999994</v>
      </c>
      <c r="J11" s="24">
        <v>0</v>
      </c>
      <c r="K11" s="162" t="s">
        <v>34</v>
      </c>
      <c r="N11" s="35"/>
      <c r="R11" s="161"/>
      <c r="S11" s="160"/>
      <c r="T11" s="157"/>
      <c r="U11" s="157"/>
    </row>
    <row r="12" spans="1:21" ht="14.25" customHeight="1" x14ac:dyDescent="0.3">
      <c r="A12" s="98" t="s">
        <v>40</v>
      </c>
      <c r="B12" s="64" t="s">
        <v>41</v>
      </c>
      <c r="C12" s="23">
        <f>1810/6</f>
        <v>301.66666666666669</v>
      </c>
      <c r="D12" s="23">
        <v>1</v>
      </c>
      <c r="E12" s="41">
        <f t="shared" si="0"/>
        <v>301.66666666666669</v>
      </c>
      <c r="F12" s="19">
        <v>0.25</v>
      </c>
      <c r="G12" s="41">
        <f t="shared" si="1"/>
        <v>75.416666666666671</v>
      </c>
      <c r="H12" s="25">
        <f>'2020'!G8</f>
        <v>75.325000000000003</v>
      </c>
      <c r="I12" s="24">
        <v>0</v>
      </c>
      <c r="J12" s="24">
        <f t="shared" si="2"/>
        <v>9.1666666666668561E-2</v>
      </c>
      <c r="K12" s="159" t="s">
        <v>42</v>
      </c>
      <c r="N12" s="35"/>
      <c r="R12" s="161"/>
      <c r="S12" s="160"/>
      <c r="T12" s="157"/>
      <c r="U12" s="157"/>
    </row>
    <row r="13" spans="1:21" ht="11.25" hidden="1" customHeight="1" x14ac:dyDescent="0.3">
      <c r="A13" s="98" t="s">
        <v>43</v>
      </c>
      <c r="B13" s="64" t="s">
        <v>44</v>
      </c>
      <c r="C13" s="23"/>
      <c r="D13" s="23"/>
      <c r="E13" s="41">
        <f t="shared" si="0"/>
        <v>0</v>
      </c>
      <c r="F13" s="19"/>
      <c r="G13" s="41">
        <f t="shared" si="1"/>
        <v>0</v>
      </c>
      <c r="H13" s="25">
        <f>'2020'!G9</f>
        <v>1428439</v>
      </c>
      <c r="I13" s="24">
        <f t="shared" si="3"/>
        <v>-1428439</v>
      </c>
      <c r="J13" s="24">
        <f t="shared" si="2"/>
        <v>-1428439</v>
      </c>
      <c r="K13" s="159" t="s">
        <v>27</v>
      </c>
      <c r="N13" s="35"/>
      <c r="O13" s="35"/>
      <c r="P13" s="35"/>
      <c r="R13" s="161"/>
      <c r="S13" s="160"/>
      <c r="T13" s="163"/>
      <c r="U13" s="157"/>
    </row>
    <row r="14" spans="1:21" ht="40.5" customHeight="1" x14ac:dyDescent="0.3">
      <c r="A14" s="98" t="s">
        <v>45</v>
      </c>
      <c r="B14" s="64" t="s">
        <v>46</v>
      </c>
      <c r="C14" s="23">
        <f>1810*0.7</f>
        <v>1267</v>
      </c>
      <c r="D14" s="23">
        <f>(1379126*0.7)/1267</f>
        <v>761.9480662983425</v>
      </c>
      <c r="E14" s="41">
        <f t="shared" si="0"/>
        <v>965388.2</v>
      </c>
      <c r="F14" s="19">
        <v>0.41749999999999998</v>
      </c>
      <c r="G14" s="41">
        <f t="shared" si="1"/>
        <v>403049.57349999994</v>
      </c>
      <c r="H14" s="25">
        <f>'2020'!G10</f>
        <v>545711</v>
      </c>
      <c r="I14" s="24">
        <v>0</v>
      </c>
      <c r="J14" s="24">
        <f t="shared" si="2"/>
        <v>-142661.42650000006</v>
      </c>
      <c r="K14" s="64" t="s">
        <v>47</v>
      </c>
      <c r="N14" s="35"/>
      <c r="P14" s="27"/>
      <c r="R14" s="161"/>
      <c r="S14" s="163"/>
      <c r="T14" s="157"/>
      <c r="U14" s="157"/>
    </row>
    <row r="15" spans="1:21" ht="99.75" customHeight="1" x14ac:dyDescent="0.3">
      <c r="A15" s="98" t="s">
        <v>43</v>
      </c>
      <c r="B15" s="64" t="s">
        <v>48</v>
      </c>
      <c r="C15" s="23">
        <f>1810*0.7</f>
        <v>1267</v>
      </c>
      <c r="D15" s="23">
        <f>(3400090*0.7)/1267</f>
        <v>1878.5027624309391</v>
      </c>
      <c r="E15" s="41">
        <f t="shared" si="0"/>
        <v>2380063</v>
      </c>
      <c r="F15" s="19">
        <v>0.41749999999999998</v>
      </c>
      <c r="G15" s="41">
        <f t="shared" si="1"/>
        <v>993676.30249999999</v>
      </c>
      <c r="H15" s="25">
        <f>'2020'!G11</f>
        <v>882728</v>
      </c>
      <c r="I15" s="24">
        <v>0</v>
      </c>
      <c r="J15" s="24">
        <f t="shared" si="2"/>
        <v>110948.30249999999</v>
      </c>
      <c r="K15" s="64" t="s">
        <v>49</v>
      </c>
      <c r="N15" s="35"/>
      <c r="P15" s="164"/>
      <c r="R15" s="161"/>
      <c r="S15" s="157"/>
      <c r="T15" s="157"/>
      <c r="U15" s="157"/>
    </row>
    <row r="16" spans="1:21" ht="36" customHeight="1" x14ac:dyDescent="0.3">
      <c r="A16" s="98" t="s">
        <v>43</v>
      </c>
      <c r="B16" s="64" t="s">
        <v>50</v>
      </c>
      <c r="C16" s="23">
        <f>1810*0.7</f>
        <v>1267</v>
      </c>
      <c r="D16" s="23">
        <f>1*(1464744*0.7/1267)</f>
        <v>809.25082872928169</v>
      </c>
      <c r="E16" s="41">
        <f t="shared" si="0"/>
        <v>1025320.7999999999</v>
      </c>
      <c r="F16" s="19">
        <v>0.41749999999999998</v>
      </c>
      <c r="G16" s="41">
        <f t="shared" si="1"/>
        <v>428071.43399999995</v>
      </c>
      <c r="H16" s="25">
        <f>'2020'!G12</f>
        <v>285970.967</v>
      </c>
      <c r="I16" s="24">
        <v>0</v>
      </c>
      <c r="J16" s="24">
        <f t="shared" si="2"/>
        <v>142100.46699999995</v>
      </c>
      <c r="K16" s="64" t="s">
        <v>51</v>
      </c>
      <c r="N16" s="35"/>
      <c r="P16" s="165"/>
      <c r="R16" s="161"/>
      <c r="S16" s="160"/>
      <c r="T16" s="157"/>
      <c r="U16" s="157"/>
    </row>
    <row r="17" spans="1:21" ht="14.5" x14ac:dyDescent="0.3">
      <c r="A17" s="98" t="s">
        <v>52</v>
      </c>
      <c r="B17" s="64" t="s">
        <v>53</v>
      </c>
      <c r="C17" s="23">
        <v>4</v>
      </c>
      <c r="D17" s="23">
        <v>1</v>
      </c>
      <c r="E17" s="41">
        <f t="shared" si="0"/>
        <v>4</v>
      </c>
      <c r="F17" s="19">
        <v>8.3500000000000005E-2</v>
      </c>
      <c r="G17" s="41">
        <f t="shared" si="1"/>
        <v>0.33400000000000002</v>
      </c>
      <c r="H17" s="25">
        <f>'2020'!G13</f>
        <v>0.33400000000000002</v>
      </c>
      <c r="I17" s="24">
        <f t="shared" si="3"/>
        <v>0</v>
      </c>
      <c r="J17" s="24">
        <f t="shared" si="2"/>
        <v>0</v>
      </c>
      <c r="K17" s="159" t="s">
        <v>27</v>
      </c>
      <c r="N17" s="35"/>
      <c r="R17" s="161"/>
      <c r="S17" s="160"/>
      <c r="T17" s="157"/>
      <c r="U17" s="157"/>
    </row>
    <row r="18" spans="1:21" ht="14.5" x14ac:dyDescent="0.3">
      <c r="A18" s="98" t="s">
        <v>54</v>
      </c>
      <c r="B18" s="64" t="s">
        <v>55</v>
      </c>
      <c r="C18" s="23">
        <f>1810*0.7</f>
        <v>1267</v>
      </c>
      <c r="D18" s="23">
        <f>((0.03*6243960*0.7)/1267)</f>
        <v>103.49104972375689</v>
      </c>
      <c r="E18" s="41">
        <f t="shared" si="0"/>
        <v>131123.15999999997</v>
      </c>
      <c r="F18" s="19">
        <v>8.3500000000000005E-2</v>
      </c>
      <c r="G18" s="41">
        <f t="shared" si="1"/>
        <v>10948.783859999998</v>
      </c>
      <c r="H18" s="25">
        <f>'2020'!G14</f>
        <v>17210</v>
      </c>
      <c r="I18" s="24">
        <v>0</v>
      </c>
      <c r="J18" s="24">
        <f t="shared" si="2"/>
        <v>-6261.2161400000023</v>
      </c>
      <c r="K18" s="159" t="s">
        <v>56</v>
      </c>
      <c r="N18" s="35"/>
    </row>
    <row r="19" spans="1:21" ht="14.5" x14ac:dyDescent="0.3">
      <c r="A19" s="103">
        <v>246.8</v>
      </c>
      <c r="B19" s="104" t="s">
        <v>57</v>
      </c>
      <c r="C19" s="105">
        <v>79</v>
      </c>
      <c r="D19" s="105">
        <v>1</v>
      </c>
      <c r="E19" s="41">
        <f t="shared" si="0"/>
        <v>79</v>
      </c>
      <c r="F19" s="106">
        <v>3</v>
      </c>
      <c r="G19" s="133">
        <f t="shared" si="1"/>
        <v>237</v>
      </c>
      <c r="H19" s="107">
        <v>0</v>
      </c>
      <c r="I19" s="24">
        <f t="shared" si="3"/>
        <v>237</v>
      </c>
      <c r="J19" s="24">
        <v>0</v>
      </c>
      <c r="K19" s="166" t="s">
        <v>34</v>
      </c>
      <c r="N19" s="35"/>
    </row>
    <row r="20" spans="1:21" ht="42" x14ac:dyDescent="0.3">
      <c r="A20" s="98" t="s">
        <v>58</v>
      </c>
      <c r="B20" s="64" t="s">
        <v>59</v>
      </c>
      <c r="C20" s="23">
        <v>89</v>
      </c>
      <c r="D20" s="23">
        <f>(6243959*0.02)/89</f>
        <v>1403.1368539325842</v>
      </c>
      <c r="E20" s="41">
        <f t="shared" si="0"/>
        <v>124879.18</v>
      </c>
      <c r="F20" s="19">
        <v>8.3500000000000005E-2</v>
      </c>
      <c r="G20" s="41">
        <f t="shared" si="1"/>
        <v>10427.411529999999</v>
      </c>
      <c r="H20" s="25">
        <v>0</v>
      </c>
      <c r="I20" s="24">
        <f t="shared" si="3"/>
        <v>10427.411529999999</v>
      </c>
      <c r="J20" s="24">
        <v>0</v>
      </c>
      <c r="K20" s="159" t="s">
        <v>34</v>
      </c>
      <c r="N20" s="35"/>
    </row>
    <row r="21" spans="1:21" ht="28" x14ac:dyDescent="0.3">
      <c r="A21" s="98" t="s">
        <v>60</v>
      </c>
      <c r="B21" s="64" t="s">
        <v>61</v>
      </c>
      <c r="C21" s="23">
        <v>89</v>
      </c>
      <c r="D21" s="23">
        <f>(6243959*0.02*0.02)/89</f>
        <v>28.06273707865169</v>
      </c>
      <c r="E21" s="41">
        <f t="shared" si="0"/>
        <v>2497.5836000000004</v>
      </c>
      <c r="F21" s="19">
        <v>3</v>
      </c>
      <c r="G21" s="41">
        <f t="shared" si="1"/>
        <v>7492.7508000000016</v>
      </c>
      <c r="H21" s="25">
        <v>0</v>
      </c>
      <c r="I21" s="24">
        <f t="shared" si="3"/>
        <v>7492.7508000000016</v>
      </c>
      <c r="J21" s="24">
        <v>0</v>
      </c>
      <c r="K21" s="159" t="s">
        <v>34</v>
      </c>
      <c r="N21" s="35"/>
    </row>
    <row r="22" spans="1:21" ht="14.5" x14ac:dyDescent="0.3">
      <c r="A22" s="98" t="s">
        <v>62</v>
      </c>
      <c r="B22" s="64" t="s">
        <v>63</v>
      </c>
      <c r="C22" s="23">
        <v>89</v>
      </c>
      <c r="D22" s="23">
        <v>1</v>
      </c>
      <c r="E22" s="41">
        <f t="shared" si="0"/>
        <v>89</v>
      </c>
      <c r="F22" s="19">
        <v>40</v>
      </c>
      <c r="G22" s="41">
        <f t="shared" si="1"/>
        <v>3560</v>
      </c>
      <c r="H22" s="25">
        <f>'2020'!G15</f>
        <v>3560</v>
      </c>
      <c r="I22" s="24">
        <f t="shared" si="3"/>
        <v>0</v>
      </c>
      <c r="J22" s="24">
        <f t="shared" si="2"/>
        <v>0</v>
      </c>
      <c r="K22" s="159" t="s">
        <v>27</v>
      </c>
      <c r="N22" s="35"/>
    </row>
    <row r="23" spans="1:21" ht="14.5" x14ac:dyDescent="0.3">
      <c r="A23" s="98" t="s">
        <v>64</v>
      </c>
      <c r="B23" s="64" t="s">
        <v>65</v>
      </c>
      <c r="C23" s="23">
        <v>54</v>
      </c>
      <c r="D23" s="23">
        <v>4</v>
      </c>
      <c r="E23" s="41">
        <f t="shared" si="0"/>
        <v>216</v>
      </c>
      <c r="F23" s="19">
        <v>8.3000000000000001E-3</v>
      </c>
      <c r="G23" s="41">
        <f t="shared" si="1"/>
        <v>1.7927999999999999</v>
      </c>
      <c r="H23" s="25">
        <f>'2020'!G16</f>
        <v>1.7927999999999999</v>
      </c>
      <c r="I23" s="24">
        <f t="shared" si="3"/>
        <v>0</v>
      </c>
      <c r="J23" s="24">
        <f t="shared" si="2"/>
        <v>0</v>
      </c>
      <c r="K23" s="167" t="s">
        <v>27</v>
      </c>
      <c r="N23" s="35"/>
    </row>
    <row r="24" spans="1:21" ht="28" x14ac:dyDescent="0.3">
      <c r="A24" s="98" t="s">
        <v>66</v>
      </c>
      <c r="B24" s="64" t="s">
        <v>67</v>
      </c>
      <c r="C24" s="23">
        <f>1810*0.7</f>
        <v>1267</v>
      </c>
      <c r="D24" s="23">
        <f>(1464744*0.7*0.01)/1267</f>
        <v>8.0925082872928158</v>
      </c>
      <c r="E24" s="41">
        <f t="shared" si="0"/>
        <v>10253.207999999997</v>
      </c>
      <c r="F24" s="19">
        <v>3.3399999999999999E-2</v>
      </c>
      <c r="G24" s="41">
        <f t="shared" si="1"/>
        <v>342.45714719999989</v>
      </c>
      <c r="H24" s="25">
        <f>'2020'!G17</f>
        <v>572</v>
      </c>
      <c r="I24" s="24">
        <v>0</v>
      </c>
      <c r="J24" s="24">
        <f t="shared" si="2"/>
        <v>-229.54285280000011</v>
      </c>
      <c r="K24" s="64" t="s">
        <v>68</v>
      </c>
      <c r="N24" s="35"/>
    </row>
    <row r="25" spans="1:21" ht="14.5" x14ac:dyDescent="0.3">
      <c r="A25" s="98" t="s">
        <v>69</v>
      </c>
      <c r="B25" s="64" t="s">
        <v>70</v>
      </c>
      <c r="C25" s="23">
        <f>(1/5)</f>
        <v>0.2</v>
      </c>
      <c r="D25" s="23">
        <v>1</v>
      </c>
      <c r="E25" s="41">
        <f t="shared" si="0"/>
        <v>0.2</v>
      </c>
      <c r="F25" s="19">
        <v>2</v>
      </c>
      <c r="G25" s="41">
        <f t="shared" si="1"/>
        <v>0.4</v>
      </c>
      <c r="H25" s="25"/>
      <c r="I25" s="24">
        <f t="shared" si="3"/>
        <v>0.4</v>
      </c>
      <c r="J25" s="24">
        <f t="shared" si="2"/>
        <v>0.4</v>
      </c>
      <c r="K25" s="64" t="s">
        <v>34</v>
      </c>
      <c r="N25" s="35"/>
    </row>
    <row r="26" spans="1:21" ht="28" x14ac:dyDescent="0.3">
      <c r="A26" s="98" t="s">
        <v>71</v>
      </c>
      <c r="B26" s="64" t="s">
        <v>72</v>
      </c>
      <c r="C26" s="23">
        <f>1810*0.7</f>
        <v>1267</v>
      </c>
      <c r="D26" s="23">
        <f>((6243960*0.7)/1267)</f>
        <v>3449.7016574585637</v>
      </c>
      <c r="E26" s="41">
        <f t="shared" si="0"/>
        <v>4370772</v>
      </c>
      <c r="F26" s="19">
        <v>0.25</v>
      </c>
      <c r="G26" s="41">
        <f t="shared" si="1"/>
        <v>1092693</v>
      </c>
      <c r="H26" s="25">
        <v>0</v>
      </c>
      <c r="I26" s="24">
        <f t="shared" si="3"/>
        <v>1092693</v>
      </c>
      <c r="J26" s="24">
        <v>0</v>
      </c>
      <c r="K26" s="64" t="s">
        <v>34</v>
      </c>
      <c r="N26" s="35"/>
    </row>
    <row r="27" spans="1:21" ht="28" x14ac:dyDescent="0.3">
      <c r="A27" s="98" t="s">
        <v>73</v>
      </c>
      <c r="B27" s="64" t="s">
        <v>74</v>
      </c>
      <c r="C27" s="23">
        <f>0.7*1810</f>
        <v>1267</v>
      </c>
      <c r="D27" s="23">
        <v>1</v>
      </c>
      <c r="E27" s="41">
        <f t="shared" si="0"/>
        <v>1267</v>
      </c>
      <c r="F27" s="19">
        <v>40</v>
      </c>
      <c r="G27" s="41">
        <f t="shared" si="1"/>
        <v>50680</v>
      </c>
      <c r="H27" s="25">
        <f>'2020'!G18</f>
        <v>72320</v>
      </c>
      <c r="I27" s="24">
        <v>0</v>
      </c>
      <c r="J27" s="24">
        <f t="shared" si="2"/>
        <v>-21640</v>
      </c>
      <c r="K27" s="159" t="s">
        <v>31</v>
      </c>
      <c r="N27" s="35"/>
    </row>
    <row r="28" spans="1:21" ht="14.5" x14ac:dyDescent="0.3">
      <c r="A28" s="98" t="s">
        <v>75</v>
      </c>
      <c r="B28" s="64" t="s">
        <v>76</v>
      </c>
      <c r="C28" s="23">
        <v>89</v>
      </c>
      <c r="D28" s="23">
        <v>1</v>
      </c>
      <c r="E28" s="41">
        <f t="shared" si="0"/>
        <v>89</v>
      </c>
      <c r="F28" s="19">
        <v>3</v>
      </c>
      <c r="G28" s="41">
        <f t="shared" si="1"/>
        <v>267</v>
      </c>
      <c r="H28" s="25">
        <v>0</v>
      </c>
      <c r="I28" s="24">
        <f t="shared" si="3"/>
        <v>267</v>
      </c>
      <c r="J28" s="24">
        <v>0</v>
      </c>
      <c r="K28" s="159" t="s">
        <v>34</v>
      </c>
      <c r="N28" s="35"/>
    </row>
    <row r="29" spans="1:21" ht="14.5" x14ac:dyDescent="0.3">
      <c r="A29" s="98" t="s">
        <v>77</v>
      </c>
      <c r="B29" s="64" t="s">
        <v>78</v>
      </c>
      <c r="C29" s="23">
        <v>89</v>
      </c>
      <c r="D29" s="23">
        <v>1</v>
      </c>
      <c r="E29" s="41">
        <f t="shared" si="0"/>
        <v>89</v>
      </c>
      <c r="F29" s="19">
        <v>3</v>
      </c>
      <c r="G29" s="41">
        <f t="shared" si="1"/>
        <v>267</v>
      </c>
      <c r="H29" s="25">
        <v>0</v>
      </c>
      <c r="I29" s="24">
        <f t="shared" si="3"/>
        <v>267</v>
      </c>
      <c r="J29" s="24">
        <v>0</v>
      </c>
      <c r="K29" s="159" t="s">
        <v>34</v>
      </c>
      <c r="N29" s="35"/>
    </row>
    <row r="30" spans="1:21" ht="14.5" x14ac:dyDescent="0.3">
      <c r="A30" s="98" t="s">
        <v>79</v>
      </c>
      <c r="B30" s="64" t="s">
        <v>80</v>
      </c>
      <c r="C30" s="23">
        <v>89</v>
      </c>
      <c r="D30" s="23">
        <f>(840)/89</f>
        <v>9.4382022471910112</v>
      </c>
      <c r="E30" s="41">
        <f t="shared" si="0"/>
        <v>840</v>
      </c>
      <c r="F30" s="19">
        <v>4</v>
      </c>
      <c r="G30" s="41">
        <f t="shared" si="1"/>
        <v>3360</v>
      </c>
      <c r="H30" s="25">
        <f>'2020'!G19</f>
        <v>14764</v>
      </c>
      <c r="I30" s="24">
        <f t="shared" si="3"/>
        <v>-11404</v>
      </c>
      <c r="J30" s="24">
        <f t="shared" si="2"/>
        <v>-11404</v>
      </c>
      <c r="K30" s="104" t="s">
        <v>81</v>
      </c>
      <c r="N30" s="35"/>
    </row>
    <row r="31" spans="1:21" ht="14.5" x14ac:dyDescent="0.3">
      <c r="A31" s="98" t="s">
        <v>82</v>
      </c>
      <c r="B31" s="64" t="s">
        <v>83</v>
      </c>
      <c r="C31" s="23">
        <v>79</v>
      </c>
      <c r="D31" s="23">
        <f>2*(37417/79)</f>
        <v>947.2658227848101</v>
      </c>
      <c r="E31" s="41">
        <f t="shared" si="0"/>
        <v>74834</v>
      </c>
      <c r="F31" s="19">
        <v>2</v>
      </c>
      <c r="G31" s="41">
        <f t="shared" si="1"/>
        <v>149668</v>
      </c>
      <c r="H31" s="25">
        <f>'2020'!G20</f>
        <v>164656</v>
      </c>
      <c r="I31" s="24">
        <v>0</v>
      </c>
      <c r="J31" s="24">
        <f t="shared" si="2"/>
        <v>-14988</v>
      </c>
      <c r="K31" s="159" t="s">
        <v>84</v>
      </c>
      <c r="N31" s="35"/>
    </row>
    <row r="32" spans="1:21" ht="14.5" x14ac:dyDescent="0.3">
      <c r="A32" s="98" t="s">
        <v>82</v>
      </c>
      <c r="B32" s="64" t="s">
        <v>85</v>
      </c>
      <c r="C32" s="23">
        <v>5</v>
      </c>
      <c r="D32" s="23">
        <v>1</v>
      </c>
      <c r="E32" s="41">
        <f t="shared" si="0"/>
        <v>5</v>
      </c>
      <c r="F32" s="19">
        <v>8</v>
      </c>
      <c r="G32" s="41">
        <f t="shared" si="1"/>
        <v>40</v>
      </c>
      <c r="H32" s="25">
        <f>'2020'!G21</f>
        <v>40</v>
      </c>
      <c r="I32" s="24">
        <f t="shared" si="3"/>
        <v>0</v>
      </c>
      <c r="J32" s="24">
        <f t="shared" si="2"/>
        <v>0</v>
      </c>
      <c r="K32" s="159" t="s">
        <v>27</v>
      </c>
      <c r="N32" s="35"/>
    </row>
    <row r="33" spans="1:14" ht="14.5" x14ac:dyDescent="0.3">
      <c r="A33" s="98" t="s">
        <v>86</v>
      </c>
      <c r="B33" s="64" t="s">
        <v>87</v>
      </c>
      <c r="C33" s="23">
        <v>89</v>
      </c>
      <c r="D33" s="23">
        <v>1</v>
      </c>
      <c r="E33" s="41">
        <f t="shared" si="0"/>
        <v>89</v>
      </c>
      <c r="F33" s="19">
        <v>3</v>
      </c>
      <c r="G33" s="41">
        <f t="shared" si="1"/>
        <v>267</v>
      </c>
      <c r="H33" s="25">
        <v>0</v>
      </c>
      <c r="I33" s="24">
        <f t="shared" si="3"/>
        <v>267</v>
      </c>
      <c r="J33" s="24">
        <v>0</v>
      </c>
      <c r="K33" s="159" t="s">
        <v>34</v>
      </c>
      <c r="N33" s="35"/>
    </row>
    <row r="34" spans="1:14" ht="14.5" x14ac:dyDescent="0.3">
      <c r="A34" s="98" t="s">
        <v>88</v>
      </c>
      <c r="B34" s="64" t="s">
        <v>89</v>
      </c>
      <c r="C34" s="23">
        <v>89</v>
      </c>
      <c r="D34" s="23">
        <v>17</v>
      </c>
      <c r="E34" s="41">
        <f t="shared" si="0"/>
        <v>1513</v>
      </c>
      <c r="F34" s="19">
        <v>1</v>
      </c>
      <c r="G34" s="41">
        <f t="shared" si="1"/>
        <v>1513</v>
      </c>
      <c r="H34" s="25">
        <v>0</v>
      </c>
      <c r="I34" s="24">
        <f t="shared" si="3"/>
        <v>1513</v>
      </c>
      <c r="J34" s="24">
        <v>0</v>
      </c>
      <c r="K34" s="166" t="s">
        <v>34</v>
      </c>
      <c r="N34" s="35"/>
    </row>
    <row r="35" spans="1:14" ht="14.5" x14ac:dyDescent="0.3">
      <c r="A35" s="98" t="s">
        <v>90</v>
      </c>
      <c r="B35" s="64" t="s">
        <v>91</v>
      </c>
      <c r="C35" s="23">
        <v>89</v>
      </c>
      <c r="D35" s="23">
        <v>1</v>
      </c>
      <c r="E35" s="41">
        <f t="shared" si="0"/>
        <v>89</v>
      </c>
      <c r="F35" s="19">
        <v>3</v>
      </c>
      <c r="G35" s="41">
        <f t="shared" si="1"/>
        <v>267</v>
      </c>
      <c r="H35" s="25">
        <v>0</v>
      </c>
      <c r="I35" s="24">
        <f t="shared" si="3"/>
        <v>267</v>
      </c>
      <c r="J35" s="24">
        <v>0</v>
      </c>
      <c r="K35" s="159" t="s">
        <v>34</v>
      </c>
      <c r="N35" s="35"/>
    </row>
    <row r="36" spans="1:14" ht="28" x14ac:dyDescent="0.3">
      <c r="A36" s="98" t="s">
        <v>92</v>
      </c>
      <c r="B36" s="64" t="s">
        <v>93</v>
      </c>
      <c r="C36" s="23">
        <v>89</v>
      </c>
      <c r="D36" s="23">
        <f>(0.33*37417)/89</f>
        <v>138.73719101123595</v>
      </c>
      <c r="E36" s="41">
        <f t="shared" si="0"/>
        <v>12347.609999999999</v>
      </c>
      <c r="F36" s="19">
        <v>0.67800000000000005</v>
      </c>
      <c r="G36" s="41">
        <f t="shared" si="1"/>
        <v>8371.67958</v>
      </c>
      <c r="H36" s="25">
        <v>0</v>
      </c>
      <c r="I36" s="24">
        <f t="shared" si="3"/>
        <v>8371.67958</v>
      </c>
      <c r="J36" s="24">
        <v>0</v>
      </c>
      <c r="K36" s="159" t="s">
        <v>34</v>
      </c>
      <c r="N36" s="35"/>
    </row>
    <row r="37" spans="1:14" ht="14.5" x14ac:dyDescent="0.3">
      <c r="A37" s="98" t="s">
        <v>94</v>
      </c>
      <c r="B37" s="64" t="s">
        <v>95</v>
      </c>
      <c r="C37" s="23">
        <v>89</v>
      </c>
      <c r="D37" s="23">
        <v>1</v>
      </c>
      <c r="E37" s="41">
        <f t="shared" si="0"/>
        <v>89</v>
      </c>
      <c r="F37" s="19">
        <v>8</v>
      </c>
      <c r="G37" s="41">
        <f t="shared" si="1"/>
        <v>712</v>
      </c>
      <c r="H37" s="25">
        <f>'2020'!G22</f>
        <v>712</v>
      </c>
      <c r="I37" s="24">
        <f t="shared" si="3"/>
        <v>0</v>
      </c>
      <c r="J37" s="24">
        <f t="shared" si="2"/>
        <v>0</v>
      </c>
      <c r="K37" s="159" t="s">
        <v>27</v>
      </c>
      <c r="N37" s="35"/>
    </row>
    <row r="38" spans="1:14" ht="14.5" x14ac:dyDescent="0.3">
      <c r="A38" s="98" t="s">
        <v>94</v>
      </c>
      <c r="B38" s="64" t="s">
        <v>96</v>
      </c>
      <c r="C38" s="24">
        <v>89</v>
      </c>
      <c r="D38" s="23">
        <f>(S3/89)</f>
        <v>420.41573033707863</v>
      </c>
      <c r="E38" s="41">
        <f t="shared" si="0"/>
        <v>37417</v>
      </c>
      <c r="F38" s="19">
        <v>2</v>
      </c>
      <c r="G38" s="41">
        <f t="shared" si="1"/>
        <v>74834</v>
      </c>
      <c r="H38" s="25">
        <f>'2020'!G23</f>
        <v>82328</v>
      </c>
      <c r="I38" s="24">
        <v>0</v>
      </c>
      <c r="J38" s="24">
        <f t="shared" si="2"/>
        <v>-7494</v>
      </c>
      <c r="K38" s="159" t="s">
        <v>84</v>
      </c>
      <c r="N38" s="35"/>
    </row>
    <row r="39" spans="1:14" ht="102" customHeight="1" x14ac:dyDescent="0.3">
      <c r="A39" s="98" t="s">
        <v>97</v>
      </c>
      <c r="B39" s="64" t="s">
        <v>98</v>
      </c>
      <c r="C39" s="24">
        <v>89</v>
      </c>
      <c r="D39" s="23">
        <f>(0.05*37417)/89</f>
        <v>21.020786516853935</v>
      </c>
      <c r="E39" s="41">
        <f t="shared" si="0"/>
        <v>1870.8500000000001</v>
      </c>
      <c r="F39" s="19">
        <v>1.3340000000000001</v>
      </c>
      <c r="G39" s="41">
        <f t="shared" si="1"/>
        <v>2495.7139000000002</v>
      </c>
      <c r="H39" s="25">
        <v>0</v>
      </c>
      <c r="I39" s="24">
        <f t="shared" si="3"/>
        <v>2495.7139000000002</v>
      </c>
      <c r="J39" s="24">
        <v>0</v>
      </c>
      <c r="K39" s="159" t="s">
        <v>34</v>
      </c>
      <c r="N39" s="35"/>
    </row>
    <row r="40" spans="1:14" ht="14.5" x14ac:dyDescent="0.3">
      <c r="A40" s="98" t="s">
        <v>99</v>
      </c>
      <c r="B40" s="64" t="s">
        <v>100</v>
      </c>
      <c r="C40" s="24">
        <v>89</v>
      </c>
      <c r="D40" s="23">
        <f>(37417*0.05)/89</f>
        <v>21.020786516853935</v>
      </c>
      <c r="E40" s="41">
        <f t="shared" si="0"/>
        <v>1870.8500000000001</v>
      </c>
      <c r="F40" s="19">
        <v>2.3340000000000001</v>
      </c>
      <c r="G40" s="41">
        <f t="shared" si="1"/>
        <v>4366.5639000000001</v>
      </c>
      <c r="H40" s="25">
        <f>'2020'!G24</f>
        <v>4116.4000000000005</v>
      </c>
      <c r="I40" s="24">
        <v>0</v>
      </c>
      <c r="J40" s="24">
        <f t="shared" si="2"/>
        <v>250.16389999999956</v>
      </c>
      <c r="K40" s="166" t="s">
        <v>84</v>
      </c>
      <c r="N40" s="35"/>
    </row>
    <row r="41" spans="1:14" ht="28" x14ac:dyDescent="0.3">
      <c r="A41" s="98" t="s">
        <v>102</v>
      </c>
      <c r="B41" s="64" t="s">
        <v>103</v>
      </c>
      <c r="C41" s="24">
        <v>2</v>
      </c>
      <c r="D41" s="23">
        <v>1</v>
      </c>
      <c r="E41" s="41">
        <f t="shared" si="0"/>
        <v>2</v>
      </c>
      <c r="F41" s="19">
        <v>3</v>
      </c>
      <c r="G41" s="41">
        <f t="shared" si="1"/>
        <v>6</v>
      </c>
      <c r="H41" s="25">
        <v>0</v>
      </c>
      <c r="I41" s="24">
        <f t="shared" si="3"/>
        <v>6</v>
      </c>
      <c r="J41" s="24">
        <v>0</v>
      </c>
      <c r="K41" s="159" t="s">
        <v>34</v>
      </c>
      <c r="N41" s="35"/>
    </row>
    <row r="42" spans="1:14" ht="14.5" x14ac:dyDescent="0.3">
      <c r="A42" s="98" t="s">
        <v>104</v>
      </c>
      <c r="B42" s="64" t="s">
        <v>105</v>
      </c>
      <c r="C42" s="24">
        <v>89</v>
      </c>
      <c r="D42" s="23">
        <f>(37417*0.02)/89</f>
        <v>8.4083146067415733</v>
      </c>
      <c r="E42" s="41">
        <f t="shared" si="0"/>
        <v>748.34</v>
      </c>
      <c r="F42" s="19">
        <v>0.05</v>
      </c>
      <c r="G42" s="41">
        <f t="shared" si="1"/>
        <v>37.417000000000002</v>
      </c>
      <c r="H42" s="25">
        <v>0</v>
      </c>
      <c r="I42" s="24">
        <f t="shared" si="3"/>
        <v>37.417000000000002</v>
      </c>
      <c r="J42" s="24">
        <v>0</v>
      </c>
      <c r="K42" s="159" t="s">
        <v>34</v>
      </c>
      <c r="N42" s="35"/>
    </row>
    <row r="43" spans="1:14" ht="14.5" x14ac:dyDescent="0.3">
      <c r="A43" s="98" t="s">
        <v>106</v>
      </c>
      <c r="B43" s="64" t="s">
        <v>107</v>
      </c>
      <c r="C43" s="24">
        <v>1</v>
      </c>
      <c r="D43" s="23">
        <v>12</v>
      </c>
      <c r="E43" s="41">
        <f>C43*D43</f>
        <v>12</v>
      </c>
      <c r="F43" s="19">
        <v>40</v>
      </c>
      <c r="G43" s="41">
        <f>E43*F43</f>
        <v>480</v>
      </c>
      <c r="H43" s="25">
        <v>0</v>
      </c>
      <c r="I43" s="24">
        <f t="shared" si="3"/>
        <v>480</v>
      </c>
      <c r="J43" s="24">
        <v>0</v>
      </c>
      <c r="K43" s="159" t="s">
        <v>34</v>
      </c>
      <c r="N43" s="35"/>
    </row>
    <row r="44" spans="1:14" ht="14.5" x14ac:dyDescent="0.3">
      <c r="A44" s="98" t="s">
        <v>108</v>
      </c>
      <c r="B44" s="64" t="s">
        <v>109</v>
      </c>
      <c r="C44" s="23">
        <v>89</v>
      </c>
      <c r="D44" s="23">
        <f>10000/89</f>
        <v>112.35955056179775</v>
      </c>
      <c r="E44" s="41">
        <f t="shared" si="0"/>
        <v>10000</v>
      </c>
      <c r="F44" s="19">
        <v>1</v>
      </c>
      <c r="G44" s="41">
        <f t="shared" si="1"/>
        <v>10000</v>
      </c>
      <c r="H44" s="25">
        <f>'2020'!G25</f>
        <v>10000</v>
      </c>
      <c r="I44" s="24">
        <f t="shared" si="3"/>
        <v>0</v>
      </c>
      <c r="J44" s="24">
        <f t="shared" si="2"/>
        <v>0</v>
      </c>
      <c r="K44" s="159" t="s">
        <v>27</v>
      </c>
      <c r="N44" s="35"/>
    </row>
    <row r="45" spans="1:14" ht="28" x14ac:dyDescent="0.3">
      <c r="A45" s="98" t="s">
        <v>110</v>
      </c>
      <c r="B45" s="64" t="s">
        <v>111</v>
      </c>
      <c r="C45" s="23">
        <v>89</v>
      </c>
      <c r="D45" s="23">
        <v>1</v>
      </c>
      <c r="E45" s="41">
        <f t="shared" si="0"/>
        <v>89</v>
      </c>
      <c r="F45" s="19">
        <v>2</v>
      </c>
      <c r="G45" s="41">
        <f t="shared" si="1"/>
        <v>178</v>
      </c>
      <c r="H45" s="25">
        <v>0</v>
      </c>
      <c r="I45" s="24">
        <f t="shared" si="3"/>
        <v>178</v>
      </c>
      <c r="J45" s="24">
        <v>0</v>
      </c>
      <c r="K45" s="159" t="s">
        <v>34</v>
      </c>
      <c r="N45" s="35"/>
    </row>
    <row r="46" spans="1:14" ht="14.5" x14ac:dyDescent="0.3">
      <c r="A46" s="98" t="s">
        <v>112</v>
      </c>
      <c r="B46" s="64" t="s">
        <v>113</v>
      </c>
      <c r="C46" s="23">
        <v>89</v>
      </c>
      <c r="D46" s="23">
        <v>1</v>
      </c>
      <c r="E46" s="41">
        <f t="shared" si="0"/>
        <v>89</v>
      </c>
      <c r="F46" s="19">
        <v>40</v>
      </c>
      <c r="G46" s="41">
        <f t="shared" si="1"/>
        <v>3560</v>
      </c>
      <c r="H46" s="25">
        <f>'2020'!G26</f>
        <v>3560</v>
      </c>
      <c r="I46" s="24">
        <f t="shared" si="3"/>
        <v>0</v>
      </c>
      <c r="J46" s="24">
        <f t="shared" si="2"/>
        <v>0</v>
      </c>
      <c r="K46" s="159" t="s">
        <v>27</v>
      </c>
      <c r="N46" s="35"/>
    </row>
    <row r="47" spans="1:14" ht="14.5" x14ac:dyDescent="0.3">
      <c r="A47" s="98" t="s">
        <v>114</v>
      </c>
      <c r="B47" s="64" t="s">
        <v>115</v>
      </c>
      <c r="C47" s="23">
        <v>89</v>
      </c>
      <c r="D47" s="23">
        <f>(6243959*0.02)/89</f>
        <v>1403.1368539325842</v>
      </c>
      <c r="E47" s="41">
        <f t="shared" si="0"/>
        <v>124879.18</v>
      </c>
      <c r="F47" s="19">
        <v>8.3500000000000005E-2</v>
      </c>
      <c r="G47" s="41">
        <f t="shared" si="1"/>
        <v>10427.411529999999</v>
      </c>
      <c r="H47" s="25">
        <v>0</v>
      </c>
      <c r="I47" s="24">
        <f t="shared" si="3"/>
        <v>10427.411529999999</v>
      </c>
      <c r="J47" s="24">
        <v>0</v>
      </c>
      <c r="K47" s="159" t="s">
        <v>34</v>
      </c>
      <c r="N47" s="35"/>
    </row>
    <row r="48" spans="1:14" ht="28" x14ac:dyDescent="0.3">
      <c r="A48" s="98" t="s">
        <v>116</v>
      </c>
      <c r="B48" s="64" t="s">
        <v>117</v>
      </c>
      <c r="C48" s="23">
        <v>89</v>
      </c>
      <c r="D48" s="23">
        <f>(0.3*3289)/89</f>
        <v>11.086516853932583</v>
      </c>
      <c r="E48" s="41">
        <f t="shared" si="0"/>
        <v>986.69999999999993</v>
      </c>
      <c r="F48" s="19">
        <v>0.67800000000000005</v>
      </c>
      <c r="G48" s="41">
        <f t="shared" si="1"/>
        <v>668.98260000000005</v>
      </c>
      <c r="H48" s="25">
        <v>0</v>
      </c>
      <c r="I48" s="24">
        <f t="shared" si="3"/>
        <v>668.98260000000005</v>
      </c>
      <c r="J48" s="24">
        <v>0</v>
      </c>
      <c r="K48" s="159" t="s">
        <v>34</v>
      </c>
      <c r="N48" s="35"/>
    </row>
    <row r="49" spans="1:14" ht="14.5" x14ac:dyDescent="0.3">
      <c r="A49" s="98" t="s">
        <v>118</v>
      </c>
      <c r="B49" s="64" t="s">
        <v>119</v>
      </c>
      <c r="C49" s="23">
        <v>89</v>
      </c>
      <c r="D49" s="23">
        <f>(3289*0.02)/89</f>
        <v>0.73910112359550562</v>
      </c>
      <c r="E49" s="41">
        <f>C49*D49</f>
        <v>65.78</v>
      </c>
      <c r="F49" s="19">
        <v>8.3500000000000005E-2</v>
      </c>
      <c r="G49" s="41">
        <f>E49*F49</f>
        <v>5.4926300000000001</v>
      </c>
      <c r="H49" s="25">
        <v>0</v>
      </c>
      <c r="I49" s="24">
        <f t="shared" si="3"/>
        <v>5.4926300000000001</v>
      </c>
      <c r="J49" s="24">
        <v>0</v>
      </c>
      <c r="K49" s="159" t="s">
        <v>34</v>
      </c>
      <c r="N49" s="35"/>
    </row>
    <row r="50" spans="1:14" ht="28" x14ac:dyDescent="0.3">
      <c r="A50" s="98" t="s">
        <v>120</v>
      </c>
      <c r="B50" s="64" t="s">
        <v>121</v>
      </c>
      <c r="C50" s="23">
        <v>89</v>
      </c>
      <c r="D50" s="23">
        <v>1</v>
      </c>
      <c r="E50" s="41">
        <f>C50*D50</f>
        <v>89</v>
      </c>
      <c r="F50" s="19">
        <v>3</v>
      </c>
      <c r="G50" s="41">
        <f>E50*F50</f>
        <v>267</v>
      </c>
      <c r="H50" s="25">
        <v>0</v>
      </c>
      <c r="I50" s="24">
        <f t="shared" si="3"/>
        <v>267</v>
      </c>
      <c r="J50" s="24">
        <v>0</v>
      </c>
      <c r="K50" s="159" t="s">
        <v>34</v>
      </c>
      <c r="N50" s="35"/>
    </row>
    <row r="51" spans="1:14" ht="87" customHeight="1" x14ac:dyDescent="0.3">
      <c r="A51" s="98" t="s">
        <v>122</v>
      </c>
      <c r="B51" s="64" t="s">
        <v>123</v>
      </c>
      <c r="C51" s="23">
        <v>20</v>
      </c>
      <c r="D51" s="23">
        <v>1</v>
      </c>
      <c r="E51" s="41">
        <f t="shared" si="0"/>
        <v>20</v>
      </c>
      <c r="F51" s="19">
        <v>160</v>
      </c>
      <c r="G51" s="41">
        <f t="shared" si="1"/>
        <v>3200</v>
      </c>
      <c r="H51" s="25">
        <f>'2020'!G27</f>
        <v>3200</v>
      </c>
      <c r="I51" s="24">
        <f t="shared" si="3"/>
        <v>0</v>
      </c>
      <c r="J51" s="24">
        <f t="shared" si="2"/>
        <v>0</v>
      </c>
      <c r="K51" s="168" t="s">
        <v>27</v>
      </c>
      <c r="N51" s="35"/>
    </row>
    <row r="52" spans="1:14" ht="28" x14ac:dyDescent="0.3">
      <c r="A52" s="98" t="s">
        <v>124</v>
      </c>
      <c r="B52" s="64" t="s">
        <v>125</v>
      </c>
      <c r="C52" s="23">
        <v>27</v>
      </c>
      <c r="D52" s="23">
        <v>1</v>
      </c>
      <c r="E52" s="41">
        <f t="shared" si="0"/>
        <v>27</v>
      </c>
      <c r="F52" s="19">
        <v>2</v>
      </c>
      <c r="G52" s="41">
        <f t="shared" si="1"/>
        <v>54</v>
      </c>
      <c r="H52" s="25">
        <v>0</v>
      </c>
      <c r="I52" s="24">
        <f t="shared" si="3"/>
        <v>54</v>
      </c>
      <c r="J52" s="24">
        <v>0</v>
      </c>
      <c r="K52" s="168" t="s">
        <v>34</v>
      </c>
      <c r="N52" s="35"/>
    </row>
    <row r="53" spans="1:14" ht="14.5" x14ac:dyDescent="0.3">
      <c r="A53" s="98" t="s">
        <v>126</v>
      </c>
      <c r="B53" s="64" t="s">
        <v>127</v>
      </c>
      <c r="C53" s="23">
        <v>89</v>
      </c>
      <c r="D53" s="23">
        <f>(1810*4)/89</f>
        <v>81.348314606741567</v>
      </c>
      <c r="E53" s="41">
        <f t="shared" si="0"/>
        <v>7239.9999999999991</v>
      </c>
      <c r="F53" s="19">
        <v>2</v>
      </c>
      <c r="G53" s="41">
        <f t="shared" si="1"/>
        <v>14479.999999999998</v>
      </c>
      <c r="H53" s="25">
        <f>'2020'!G28</f>
        <v>14464</v>
      </c>
      <c r="I53" s="24">
        <v>0</v>
      </c>
      <c r="J53" s="24">
        <f t="shared" si="2"/>
        <v>15.999999999998181</v>
      </c>
      <c r="K53" s="169" t="s">
        <v>128</v>
      </c>
      <c r="N53" s="35"/>
    </row>
    <row r="54" spans="1:14" ht="42" x14ac:dyDescent="0.3">
      <c r="A54" s="98" t="s">
        <v>129</v>
      </c>
      <c r="B54" s="64" t="s">
        <v>130</v>
      </c>
      <c r="C54" s="23">
        <v>30</v>
      </c>
      <c r="D54" s="23">
        <v>1</v>
      </c>
      <c r="E54" s="41">
        <f t="shared" si="0"/>
        <v>30</v>
      </c>
      <c r="F54" s="19">
        <v>1.5</v>
      </c>
      <c r="G54" s="41">
        <f t="shared" si="1"/>
        <v>45</v>
      </c>
      <c r="H54" s="25">
        <v>0</v>
      </c>
      <c r="I54" s="24">
        <f t="shared" si="3"/>
        <v>45</v>
      </c>
      <c r="J54" s="24">
        <v>0</v>
      </c>
      <c r="K54" s="168" t="s">
        <v>34</v>
      </c>
      <c r="N54" s="35"/>
    </row>
    <row r="55" spans="1:14" ht="28" x14ac:dyDescent="0.3">
      <c r="A55" s="98" t="s">
        <v>131</v>
      </c>
      <c r="B55" s="64" t="s">
        <v>132</v>
      </c>
      <c r="C55" s="23">
        <f>79/5</f>
        <v>15.8</v>
      </c>
      <c r="D55" s="23">
        <v>1</v>
      </c>
      <c r="E55" s="41">
        <f t="shared" si="0"/>
        <v>15.8</v>
      </c>
      <c r="F55" s="19">
        <v>1968</v>
      </c>
      <c r="G55" s="41">
        <f t="shared" si="1"/>
        <v>31094.400000000001</v>
      </c>
      <c r="H55" s="25">
        <v>0</v>
      </c>
      <c r="I55" s="24">
        <f t="shared" si="3"/>
        <v>31094.400000000001</v>
      </c>
      <c r="J55" s="24">
        <v>0</v>
      </c>
      <c r="K55" s="168" t="s">
        <v>34</v>
      </c>
      <c r="N55" s="35"/>
    </row>
    <row r="56" spans="1:14" ht="14.5" x14ac:dyDescent="0.3">
      <c r="A56" s="98" t="s">
        <v>133</v>
      </c>
      <c r="B56" s="64" t="s">
        <v>134</v>
      </c>
      <c r="C56" s="23">
        <v>2</v>
      </c>
      <c r="D56" s="23">
        <v>1</v>
      </c>
      <c r="E56" s="41">
        <f t="shared" si="0"/>
        <v>2</v>
      </c>
      <c r="F56" s="19">
        <v>8</v>
      </c>
      <c r="G56" s="41">
        <f t="shared" si="1"/>
        <v>16</v>
      </c>
      <c r="H56" s="25">
        <v>0</v>
      </c>
      <c r="I56" s="24">
        <f t="shared" si="3"/>
        <v>16</v>
      </c>
      <c r="J56" s="24">
        <v>0</v>
      </c>
      <c r="K56" s="168" t="s">
        <v>34</v>
      </c>
      <c r="N56" s="35"/>
    </row>
    <row r="57" spans="1:14" ht="28" x14ac:dyDescent="0.3">
      <c r="A57" s="98" t="s">
        <v>135</v>
      </c>
      <c r="B57" s="64" t="s">
        <v>136</v>
      </c>
      <c r="C57" s="23">
        <v>2</v>
      </c>
      <c r="D57" s="23">
        <v>1</v>
      </c>
      <c r="E57" s="41">
        <f t="shared" si="0"/>
        <v>2</v>
      </c>
      <c r="F57" s="19">
        <v>480</v>
      </c>
      <c r="G57" s="41">
        <f t="shared" si="1"/>
        <v>960</v>
      </c>
      <c r="H57" s="25">
        <v>0</v>
      </c>
      <c r="I57" s="24">
        <f t="shared" si="3"/>
        <v>960</v>
      </c>
      <c r="J57" s="24">
        <v>0</v>
      </c>
      <c r="K57" s="159" t="s">
        <v>34</v>
      </c>
      <c r="N57" s="35"/>
    </row>
    <row r="58" spans="1:14" ht="14.5" x14ac:dyDescent="0.3">
      <c r="A58" s="98" t="s">
        <v>137</v>
      </c>
      <c r="B58" s="64" t="s">
        <v>138</v>
      </c>
      <c r="C58" s="23">
        <v>89</v>
      </c>
      <c r="D58" s="23">
        <f>(10/89)</f>
        <v>0.11235955056179775</v>
      </c>
      <c r="E58" s="41">
        <f t="shared" si="0"/>
        <v>10</v>
      </c>
      <c r="F58" s="19">
        <v>8</v>
      </c>
      <c r="G58" s="41">
        <f t="shared" si="1"/>
        <v>80</v>
      </c>
      <c r="H58" s="25">
        <f>'2020'!G29</f>
        <v>80</v>
      </c>
      <c r="I58" s="24">
        <f t="shared" si="3"/>
        <v>0</v>
      </c>
      <c r="J58" s="24">
        <f t="shared" si="2"/>
        <v>0</v>
      </c>
      <c r="K58" s="159" t="s">
        <v>27</v>
      </c>
      <c r="N58" s="35"/>
    </row>
    <row r="59" spans="1:14" ht="28" x14ac:dyDescent="0.3">
      <c r="A59" s="98">
        <v>246.18</v>
      </c>
      <c r="B59" s="64" t="s">
        <v>139</v>
      </c>
      <c r="C59" s="23">
        <v>89</v>
      </c>
      <c r="D59" s="23">
        <f>((37417+3289)*0.02)/89</f>
        <v>9.1474157303370784</v>
      </c>
      <c r="E59" s="41">
        <f t="shared" si="0"/>
        <v>814.12</v>
      </c>
      <c r="F59" s="19">
        <v>2</v>
      </c>
      <c r="G59" s="41">
        <f t="shared" si="1"/>
        <v>1628.24</v>
      </c>
      <c r="H59" s="25">
        <v>0</v>
      </c>
      <c r="I59" s="24">
        <f t="shared" si="3"/>
        <v>1628.24</v>
      </c>
      <c r="J59" s="24">
        <v>0</v>
      </c>
      <c r="K59" s="110" t="s">
        <v>34</v>
      </c>
      <c r="N59" s="35"/>
    </row>
    <row r="60" spans="1:14" ht="14.5" x14ac:dyDescent="0.3">
      <c r="A60" s="98">
        <v>246.19</v>
      </c>
      <c r="B60" s="64" t="s">
        <v>142</v>
      </c>
      <c r="C60" s="23">
        <v>17</v>
      </c>
      <c r="D60" s="23">
        <v>1</v>
      </c>
      <c r="E60" s="41">
        <f t="shared" si="0"/>
        <v>17</v>
      </c>
      <c r="F60" s="19">
        <v>3</v>
      </c>
      <c r="G60" s="41">
        <f t="shared" si="1"/>
        <v>51</v>
      </c>
      <c r="H60" s="25">
        <v>0</v>
      </c>
      <c r="I60" s="24">
        <f t="shared" si="3"/>
        <v>51</v>
      </c>
      <c r="J60" s="24">
        <v>0</v>
      </c>
      <c r="K60" s="159" t="s">
        <v>34</v>
      </c>
      <c r="N60" s="35"/>
    </row>
    <row r="61" spans="1:14" ht="14.5" x14ac:dyDescent="0.3">
      <c r="A61" s="98" t="s">
        <v>140</v>
      </c>
      <c r="B61" s="64" t="s">
        <v>141</v>
      </c>
      <c r="C61" s="23">
        <f>89*0.33</f>
        <v>29.37</v>
      </c>
      <c r="D61" s="23">
        <v>1</v>
      </c>
      <c r="E61" s="41">
        <f t="shared" si="0"/>
        <v>29.37</v>
      </c>
      <c r="F61" s="19">
        <v>30</v>
      </c>
      <c r="G61" s="41">
        <f t="shared" si="1"/>
        <v>881.1</v>
      </c>
      <c r="H61" s="25">
        <f>'2020'!G30</f>
        <v>881.1</v>
      </c>
      <c r="I61" s="24">
        <f t="shared" si="3"/>
        <v>0</v>
      </c>
      <c r="J61" s="24">
        <f t="shared" si="2"/>
        <v>0</v>
      </c>
      <c r="K61" s="159" t="s">
        <v>27</v>
      </c>
      <c r="N61" s="35"/>
    </row>
    <row r="62" spans="1:14" ht="14.5" x14ac:dyDescent="0.3">
      <c r="A62" s="98" t="s">
        <v>143</v>
      </c>
      <c r="B62" s="64" t="s">
        <v>144</v>
      </c>
      <c r="C62" s="23">
        <v>89</v>
      </c>
      <c r="D62" s="23">
        <f>(1810/2)/89</f>
        <v>10.168539325842696</v>
      </c>
      <c r="E62" s="41">
        <f t="shared" si="0"/>
        <v>904.99999999999989</v>
      </c>
      <c r="F62" s="19">
        <v>2</v>
      </c>
      <c r="G62" s="41">
        <f t="shared" si="1"/>
        <v>1809.9999999999998</v>
      </c>
      <c r="H62" s="25">
        <v>0</v>
      </c>
      <c r="I62" s="24">
        <f t="shared" si="3"/>
        <v>1809.9999999999998</v>
      </c>
      <c r="J62" s="24">
        <v>0</v>
      </c>
      <c r="K62" s="159" t="s">
        <v>34</v>
      </c>
      <c r="N62" s="35"/>
    </row>
    <row r="63" spans="1:14" ht="14.5" x14ac:dyDescent="0.3">
      <c r="A63" s="98" t="s">
        <v>145</v>
      </c>
      <c r="B63" s="64" t="s">
        <v>146</v>
      </c>
      <c r="C63" s="23">
        <v>89</v>
      </c>
      <c r="D63" s="23">
        <f>(1810/89)*0.5*0.25</f>
        <v>2.542134831460674</v>
      </c>
      <c r="E63" s="41">
        <f t="shared" si="0"/>
        <v>226.24999999999997</v>
      </c>
      <c r="F63" s="19">
        <v>2</v>
      </c>
      <c r="G63" s="41">
        <f t="shared" si="1"/>
        <v>452.49999999999994</v>
      </c>
      <c r="H63" s="25">
        <f>'2020'!G31</f>
        <v>452</v>
      </c>
      <c r="I63" s="24">
        <v>0</v>
      </c>
      <c r="J63" s="24">
        <f t="shared" si="2"/>
        <v>0.49999999999994316</v>
      </c>
      <c r="K63" s="159" t="s">
        <v>128</v>
      </c>
      <c r="N63" s="35"/>
    </row>
    <row r="64" spans="1:14" ht="14.5" x14ac:dyDescent="0.3">
      <c r="A64" s="108" t="s">
        <v>147</v>
      </c>
      <c r="B64" s="64" t="s">
        <v>148</v>
      </c>
      <c r="C64" s="23">
        <v>1</v>
      </c>
      <c r="D64" s="23">
        <v>1</v>
      </c>
      <c r="E64" s="41">
        <f t="shared" si="0"/>
        <v>1</v>
      </c>
      <c r="F64" s="19">
        <v>40</v>
      </c>
      <c r="G64" s="41">
        <f t="shared" si="1"/>
        <v>40</v>
      </c>
      <c r="H64" s="25">
        <f>'2020'!G32</f>
        <v>40</v>
      </c>
      <c r="I64" s="24">
        <f t="shared" si="3"/>
        <v>0</v>
      </c>
      <c r="J64" s="24">
        <f t="shared" si="2"/>
        <v>0</v>
      </c>
      <c r="K64" s="159" t="s">
        <v>27</v>
      </c>
    </row>
    <row r="65" spans="1:14" ht="14.5" x14ac:dyDescent="0.3">
      <c r="A65" s="109" t="s">
        <v>149</v>
      </c>
      <c r="B65" s="110" t="s">
        <v>150</v>
      </c>
      <c r="C65" s="23">
        <v>89</v>
      </c>
      <c r="D65" s="23">
        <v>1</v>
      </c>
      <c r="E65" s="41">
        <f t="shared" si="0"/>
        <v>89</v>
      </c>
      <c r="F65" s="19">
        <v>8</v>
      </c>
      <c r="G65" s="41">
        <f t="shared" si="1"/>
        <v>712</v>
      </c>
      <c r="H65" s="25">
        <v>0</v>
      </c>
      <c r="I65" s="24">
        <f t="shared" si="3"/>
        <v>712</v>
      </c>
      <c r="J65" s="24">
        <v>0</v>
      </c>
      <c r="K65" s="170" t="s">
        <v>34</v>
      </c>
    </row>
    <row r="66" spans="1:14" ht="14.5" x14ac:dyDescent="0.3">
      <c r="A66" s="98" t="s">
        <v>151</v>
      </c>
      <c r="B66" s="64" t="s">
        <v>152</v>
      </c>
      <c r="C66" s="23">
        <v>1</v>
      </c>
      <c r="D66" s="23">
        <v>1</v>
      </c>
      <c r="E66" s="41">
        <f t="shared" si="0"/>
        <v>1</v>
      </c>
      <c r="F66" s="19">
        <v>2</v>
      </c>
      <c r="G66" s="41">
        <f t="shared" si="1"/>
        <v>2</v>
      </c>
      <c r="H66" s="25">
        <v>0</v>
      </c>
      <c r="I66" s="24">
        <f t="shared" si="3"/>
        <v>2</v>
      </c>
      <c r="J66" s="24">
        <v>0</v>
      </c>
      <c r="K66" s="110" t="s">
        <v>34</v>
      </c>
    </row>
    <row r="67" spans="1:14" ht="14.5" x14ac:dyDescent="0.3">
      <c r="A67" s="98" t="s">
        <v>153</v>
      </c>
      <c r="B67" s="64" t="s">
        <v>154</v>
      </c>
      <c r="C67" s="23">
        <v>1</v>
      </c>
      <c r="D67" s="23">
        <v>1</v>
      </c>
      <c r="E67" s="41">
        <f t="shared" si="0"/>
        <v>1</v>
      </c>
      <c r="F67" s="19">
        <v>2</v>
      </c>
      <c r="G67" s="41">
        <f t="shared" si="1"/>
        <v>2</v>
      </c>
      <c r="H67" s="25">
        <v>0</v>
      </c>
      <c r="I67" s="24">
        <f t="shared" si="3"/>
        <v>2</v>
      </c>
      <c r="J67" s="24">
        <v>0</v>
      </c>
      <c r="K67" s="110" t="s">
        <v>34</v>
      </c>
    </row>
    <row r="68" spans="1:14" ht="33" customHeight="1" x14ac:dyDescent="0.3">
      <c r="A68" s="144" t="s">
        <v>155</v>
      </c>
      <c r="B68" s="111" t="s">
        <v>156</v>
      </c>
      <c r="C68" s="23">
        <f>(89*0.25)</f>
        <v>22.25</v>
      </c>
      <c r="D68" s="23">
        <v>1</v>
      </c>
      <c r="E68" s="41">
        <f t="shared" si="0"/>
        <v>22.25</v>
      </c>
      <c r="F68" s="19">
        <v>0.25</v>
      </c>
      <c r="G68" s="41">
        <f t="shared" si="1"/>
        <v>5.5625</v>
      </c>
      <c r="H68" s="25">
        <v>0</v>
      </c>
      <c r="I68" s="24">
        <f t="shared" si="3"/>
        <v>5.5625</v>
      </c>
      <c r="J68" s="24">
        <v>0</v>
      </c>
      <c r="K68" s="171" t="s">
        <v>34</v>
      </c>
    </row>
    <row r="69" spans="1:14" ht="23.5" customHeight="1" x14ac:dyDescent="0.3">
      <c r="A69" s="248" t="s">
        <v>157</v>
      </c>
      <c r="B69" s="248"/>
      <c r="C69" s="11">
        <f>C5+1267</f>
        <v>1356</v>
      </c>
      <c r="D69" s="11">
        <f>E69/C69</f>
        <v>6853.6542000243026</v>
      </c>
      <c r="E69" s="11">
        <f>SUM(E5:E68)</f>
        <v>9293555.0952329542</v>
      </c>
      <c r="F69" s="33">
        <f>G69/E69</f>
        <v>0.35986735244540785</v>
      </c>
      <c r="G69" s="11">
        <f>SUM(G5:G68)</f>
        <v>3344447.0669270135</v>
      </c>
      <c r="H69" s="187">
        <v>2122588</v>
      </c>
      <c r="I69" s="33">
        <f>SUM(I5:I68)</f>
        <v>-266624.87144685403</v>
      </c>
      <c r="J69" s="11">
        <f>SUM(J5:J68)</f>
        <v>-1379797.7604261336</v>
      </c>
      <c r="K69" s="172"/>
    </row>
    <row r="70" spans="1:14" ht="42" customHeight="1" x14ac:dyDescent="0.3">
      <c r="A70" s="259" t="s">
        <v>158</v>
      </c>
      <c r="B70" s="259"/>
      <c r="C70" s="259"/>
      <c r="D70" s="259"/>
      <c r="E70" s="259"/>
      <c r="F70" s="259"/>
      <c r="G70" s="259"/>
      <c r="H70" s="259"/>
      <c r="I70" s="259"/>
      <c r="J70" s="259"/>
      <c r="K70" s="259"/>
      <c r="L70" s="35"/>
      <c r="M70" s="35"/>
    </row>
    <row r="71" spans="1:14" ht="87" customHeight="1" x14ac:dyDescent="0.3">
      <c r="A71" s="98" t="s">
        <v>43</v>
      </c>
      <c r="B71" s="64" t="s">
        <v>46</v>
      </c>
      <c r="C71" s="145">
        <v>1379126</v>
      </c>
      <c r="D71" s="23">
        <v>1</v>
      </c>
      <c r="E71" s="41">
        <f>C71*D71</f>
        <v>1379126</v>
      </c>
      <c r="F71" s="23">
        <v>0.41749999999999998</v>
      </c>
      <c r="G71" s="41">
        <f>E71*F71</f>
        <v>575785.10499999998</v>
      </c>
      <c r="H71" s="25">
        <f>'2020'!G35</f>
        <v>545710.576</v>
      </c>
      <c r="I71" s="112">
        <v>0</v>
      </c>
      <c r="J71" s="24">
        <f>G71-H71</f>
        <v>30074.52899999998</v>
      </c>
      <c r="K71" s="64" t="s">
        <v>159</v>
      </c>
      <c r="L71" s="35"/>
      <c r="M71" s="35"/>
      <c r="N71" s="35"/>
    </row>
    <row r="72" spans="1:14" ht="28" x14ac:dyDescent="0.3">
      <c r="A72" s="98" t="s">
        <v>43</v>
      </c>
      <c r="B72" s="64" t="s">
        <v>160</v>
      </c>
      <c r="C72" s="146">
        <v>3400090</v>
      </c>
      <c r="D72" s="23">
        <v>1</v>
      </c>
      <c r="E72" s="41">
        <f t="shared" ref="E72:E81" si="4">C72*D72</f>
        <v>3400090</v>
      </c>
      <c r="F72" s="23">
        <v>0.41749999999999998</v>
      </c>
      <c r="G72" s="41">
        <f t="shared" ref="G72:G81" si="5">E72*F72</f>
        <v>1419537.575</v>
      </c>
      <c r="H72" s="25">
        <f>'2020'!G36</f>
        <v>882727.68150000006</v>
      </c>
      <c r="I72" s="112">
        <v>0</v>
      </c>
      <c r="J72" s="24">
        <f t="shared" ref="J72:J78" si="6">G72-H72</f>
        <v>536809.89349999989</v>
      </c>
      <c r="K72" s="64" t="s">
        <v>161</v>
      </c>
      <c r="L72" s="35"/>
      <c r="M72" s="35"/>
    </row>
    <row r="73" spans="1:14" ht="28" x14ac:dyDescent="0.3">
      <c r="A73" s="98" t="s">
        <v>43</v>
      </c>
      <c r="B73" s="64" t="s">
        <v>50</v>
      </c>
      <c r="C73" s="145">
        <v>1464744</v>
      </c>
      <c r="D73" s="23">
        <v>1</v>
      </c>
      <c r="E73" s="41">
        <f t="shared" si="4"/>
        <v>1464744</v>
      </c>
      <c r="F73" s="23">
        <v>0.41749999999999998</v>
      </c>
      <c r="G73" s="41">
        <f t="shared" si="5"/>
        <v>611530.62</v>
      </c>
      <c r="H73" s="25">
        <f>'2020'!G37</f>
        <v>285970.967</v>
      </c>
      <c r="I73" s="112">
        <v>0</v>
      </c>
      <c r="J73" s="24">
        <f t="shared" si="6"/>
        <v>325559.65299999999</v>
      </c>
      <c r="K73" s="64" t="s">
        <v>162</v>
      </c>
      <c r="L73" s="35"/>
      <c r="M73" s="35"/>
    </row>
    <row r="74" spans="1:14" ht="28" x14ac:dyDescent="0.3">
      <c r="A74" s="98">
        <v>246.7</v>
      </c>
      <c r="B74" s="64" t="s">
        <v>163</v>
      </c>
      <c r="C74" s="27">
        <v>6243960</v>
      </c>
      <c r="D74" s="23">
        <v>1</v>
      </c>
      <c r="E74" s="41">
        <f t="shared" si="4"/>
        <v>6243960</v>
      </c>
      <c r="F74" s="23">
        <v>0.33400000000000002</v>
      </c>
      <c r="G74" s="41">
        <f t="shared" si="5"/>
        <v>2085482.6400000001</v>
      </c>
      <c r="H74" s="25">
        <v>0</v>
      </c>
      <c r="I74" s="112">
        <f t="shared" ref="I74:I81" si="7">G74-H74</f>
        <v>2085482.6400000001</v>
      </c>
      <c r="J74" s="24">
        <v>0</v>
      </c>
      <c r="K74" s="159" t="s">
        <v>34</v>
      </c>
      <c r="L74" s="35"/>
      <c r="M74" s="35"/>
    </row>
    <row r="75" spans="1:14" ht="14.5" x14ac:dyDescent="0.3">
      <c r="A75" s="98" t="s">
        <v>164</v>
      </c>
      <c r="B75" s="64" t="s">
        <v>165</v>
      </c>
      <c r="C75" s="27">
        <v>6243960</v>
      </c>
      <c r="D75" s="23">
        <v>1</v>
      </c>
      <c r="E75" s="41">
        <f t="shared" si="4"/>
        <v>6243960</v>
      </c>
      <c r="F75" s="23">
        <v>0.33400000000000002</v>
      </c>
      <c r="G75" s="41">
        <f t="shared" si="5"/>
        <v>2085482.6400000001</v>
      </c>
      <c r="H75" s="25">
        <v>0</v>
      </c>
      <c r="I75" s="112">
        <f t="shared" si="7"/>
        <v>2085482.6400000001</v>
      </c>
      <c r="J75" s="24">
        <v>0</v>
      </c>
      <c r="K75" s="159" t="s">
        <v>34</v>
      </c>
      <c r="L75" s="35"/>
      <c r="M75" s="35"/>
    </row>
    <row r="76" spans="1:14" ht="14.5" x14ac:dyDescent="0.3">
      <c r="A76" s="98">
        <v>246.9</v>
      </c>
      <c r="B76" s="64" t="s">
        <v>166</v>
      </c>
      <c r="C76" s="27">
        <f>(6243959*0.02*0.02)</f>
        <v>2497.5836000000004</v>
      </c>
      <c r="D76" s="23">
        <v>1</v>
      </c>
      <c r="E76" s="41">
        <f t="shared" si="4"/>
        <v>2497.5836000000004</v>
      </c>
      <c r="F76" s="23">
        <v>2</v>
      </c>
      <c r="G76" s="41">
        <f t="shared" si="5"/>
        <v>4995.1672000000008</v>
      </c>
      <c r="H76" s="25">
        <v>0</v>
      </c>
      <c r="I76" s="112">
        <f t="shared" si="7"/>
        <v>4995.1672000000008</v>
      </c>
      <c r="J76" s="24">
        <v>0</v>
      </c>
      <c r="K76" s="159" t="s">
        <v>34</v>
      </c>
    </row>
    <row r="77" spans="1:14" ht="40.5" customHeight="1" x14ac:dyDescent="0.3">
      <c r="A77" s="98" t="s">
        <v>66</v>
      </c>
      <c r="B77" s="64" t="s">
        <v>67</v>
      </c>
      <c r="C77" s="27">
        <f>1464744*0.01</f>
        <v>14647.44</v>
      </c>
      <c r="D77" s="23">
        <v>1</v>
      </c>
      <c r="E77" s="41">
        <f t="shared" si="4"/>
        <v>14647.44</v>
      </c>
      <c r="F77" s="23">
        <v>3.3399999999999999E-2</v>
      </c>
      <c r="G77" s="41">
        <f t="shared" si="5"/>
        <v>489.22449599999999</v>
      </c>
      <c r="H77" s="25">
        <f>'2020'!G38</f>
        <v>572</v>
      </c>
      <c r="I77" s="112">
        <v>0</v>
      </c>
      <c r="J77" s="24">
        <f t="shared" si="6"/>
        <v>-82.775504000000012</v>
      </c>
      <c r="K77" s="64" t="s">
        <v>167</v>
      </c>
    </row>
    <row r="78" spans="1:14" ht="40.5" customHeight="1" x14ac:dyDescent="0.3">
      <c r="A78" s="98" t="s">
        <v>66</v>
      </c>
      <c r="B78" s="64" t="s">
        <v>168</v>
      </c>
      <c r="C78" s="27">
        <f>(3400090*0.01)+(1464744*0.01)+(1379126*0.01)</f>
        <v>62439.600000000006</v>
      </c>
      <c r="D78" s="23">
        <v>2</v>
      </c>
      <c r="E78" s="41">
        <f t="shared" si="4"/>
        <v>124879.20000000001</v>
      </c>
      <c r="F78" s="23">
        <v>5.0099999999999999E-2</v>
      </c>
      <c r="G78" s="41">
        <f t="shared" si="5"/>
        <v>6256.4479200000005</v>
      </c>
      <c r="H78" s="113">
        <f>'2020'!G39</f>
        <v>12051.910709999998</v>
      </c>
      <c r="I78" s="112">
        <v>0</v>
      </c>
      <c r="J78" s="24">
        <f t="shared" si="6"/>
        <v>-5795.4627899999978</v>
      </c>
      <c r="K78" s="64" t="s">
        <v>169</v>
      </c>
    </row>
    <row r="79" spans="1:14" ht="51.75" customHeight="1" x14ac:dyDescent="0.3">
      <c r="A79" s="114" t="s">
        <v>170</v>
      </c>
      <c r="B79" s="111" t="s">
        <v>171</v>
      </c>
      <c r="C79" s="27">
        <v>6243960</v>
      </c>
      <c r="D79" s="23">
        <v>1</v>
      </c>
      <c r="E79" s="41">
        <f t="shared" si="4"/>
        <v>6243960</v>
      </c>
      <c r="F79" s="23">
        <v>0.25</v>
      </c>
      <c r="G79" s="41">
        <f t="shared" si="5"/>
        <v>1560990</v>
      </c>
      <c r="H79" s="113">
        <v>0</v>
      </c>
      <c r="I79" s="112">
        <f t="shared" si="7"/>
        <v>1560990</v>
      </c>
      <c r="J79" s="24">
        <v>0</v>
      </c>
      <c r="K79" s="64" t="s">
        <v>34</v>
      </c>
    </row>
    <row r="80" spans="1:14" ht="52.5" customHeight="1" x14ac:dyDescent="0.3">
      <c r="A80" s="114" t="s">
        <v>172</v>
      </c>
      <c r="B80" s="147" t="s">
        <v>173</v>
      </c>
      <c r="C80" s="27">
        <f>((6243959/89)/2)*17</f>
        <v>596333.16292134835</v>
      </c>
      <c r="D80" s="23">
        <v>3</v>
      </c>
      <c r="E80" s="41">
        <f t="shared" si="4"/>
        <v>1788999.4887640451</v>
      </c>
      <c r="F80" s="23">
        <v>0.5</v>
      </c>
      <c r="G80" s="41">
        <f t="shared" si="5"/>
        <v>894499.74438202253</v>
      </c>
      <c r="H80" s="113">
        <v>0</v>
      </c>
      <c r="I80" s="112">
        <f t="shared" si="7"/>
        <v>894499.74438202253</v>
      </c>
      <c r="J80" s="24">
        <v>0</v>
      </c>
      <c r="K80" s="64" t="s">
        <v>34</v>
      </c>
    </row>
    <row r="81" spans="1:11" ht="50.25" customHeight="1" thickBot="1" x14ac:dyDescent="0.35">
      <c r="A81" s="114" t="s">
        <v>172</v>
      </c>
      <c r="B81" s="147" t="s">
        <v>174</v>
      </c>
      <c r="C81" s="27">
        <f>((6243960/89)/2)*72</f>
        <v>2525646.7415730339</v>
      </c>
      <c r="D81" s="23">
        <v>1</v>
      </c>
      <c r="E81" s="41">
        <f t="shared" si="4"/>
        <v>2525646.7415730339</v>
      </c>
      <c r="F81" s="23">
        <v>0.5</v>
      </c>
      <c r="G81" s="41">
        <f t="shared" si="5"/>
        <v>1262823.3707865169</v>
      </c>
      <c r="H81" s="113">
        <v>0</v>
      </c>
      <c r="I81" s="112">
        <f t="shared" si="7"/>
        <v>1262823.3707865169</v>
      </c>
      <c r="J81" s="24">
        <v>0</v>
      </c>
      <c r="K81" s="173" t="s">
        <v>34</v>
      </c>
    </row>
    <row r="82" spans="1:11" ht="15.75" customHeight="1" thickBot="1" x14ac:dyDescent="0.35">
      <c r="A82" s="249" t="s">
        <v>175</v>
      </c>
      <c r="B82" s="249"/>
      <c r="C82" s="15">
        <f>C71+C72+C73</f>
        <v>6243960</v>
      </c>
      <c r="D82" s="33">
        <f>E82/C82</f>
        <v>4.7137570474405788</v>
      </c>
      <c r="E82" s="11">
        <f>SUM(E71:E81)</f>
        <v>29432510.453937076</v>
      </c>
      <c r="F82" s="33">
        <f>G82/E82</f>
        <v>0.35701584311775697</v>
      </c>
      <c r="G82" s="11">
        <f>SUM(G71:G81)</f>
        <v>10507872.534784541</v>
      </c>
      <c r="H82" s="11">
        <f>SUM(H71:H81)</f>
        <v>1727033.13521</v>
      </c>
      <c r="I82" s="33">
        <f>SUM(I71:I81)</f>
        <v>7894273.5623685401</v>
      </c>
      <c r="J82" s="11">
        <f>SUM(J71:J81)</f>
        <v>886565.83720599976</v>
      </c>
      <c r="K82" s="172"/>
    </row>
    <row r="83" spans="1:11" ht="14.5" thickBot="1" x14ac:dyDescent="0.35">
      <c r="A83" s="259" t="s">
        <v>176</v>
      </c>
      <c r="B83" s="259"/>
      <c r="C83" s="259"/>
      <c r="D83" s="259"/>
      <c r="E83" s="259"/>
      <c r="F83" s="259"/>
      <c r="G83" s="259"/>
      <c r="H83" s="259"/>
      <c r="I83" s="259"/>
      <c r="J83" s="259"/>
      <c r="K83" s="259"/>
    </row>
    <row r="84" spans="1:11" ht="14.5" x14ac:dyDescent="0.3">
      <c r="A84" s="115" t="s">
        <v>29</v>
      </c>
      <c r="B84" s="116" t="s">
        <v>177</v>
      </c>
      <c r="C84" s="117">
        <f>543*0.5</f>
        <v>271.5</v>
      </c>
      <c r="D84" s="117">
        <v>1</v>
      </c>
      <c r="E84" s="134">
        <f>C84*D84</f>
        <v>271.5</v>
      </c>
      <c r="F84" s="118">
        <v>2</v>
      </c>
      <c r="G84" s="136">
        <f>E84*F84</f>
        <v>543</v>
      </c>
      <c r="H84" s="119">
        <v>0</v>
      </c>
      <c r="I84" s="117">
        <f>G84-H84</f>
        <v>543</v>
      </c>
      <c r="J84" s="117">
        <v>0</v>
      </c>
      <c r="K84" s="174" t="s">
        <v>34</v>
      </c>
    </row>
    <row r="85" spans="1:11" ht="14.5" x14ac:dyDescent="0.3">
      <c r="A85" s="73" t="s">
        <v>43</v>
      </c>
      <c r="B85" s="64" t="s">
        <v>46</v>
      </c>
      <c r="C85" s="117">
        <f>1810*0.3</f>
        <v>543</v>
      </c>
      <c r="D85" s="120">
        <f>(0.3*1379126)/543</f>
        <v>761.9480662983425</v>
      </c>
      <c r="E85" s="134">
        <f t="shared" ref="E85:E102" si="8">C85*D85</f>
        <v>413737.8</v>
      </c>
      <c r="F85" s="141">
        <v>0.41749999999999998</v>
      </c>
      <c r="G85" s="136">
        <f t="shared" ref="G85:G102" si="9">E85*F85</f>
        <v>172735.53149999998</v>
      </c>
      <c r="H85" s="119">
        <v>0</v>
      </c>
      <c r="I85" s="117">
        <f t="shared" ref="I85:I102" si="10">G85-H85</f>
        <v>172735.53149999998</v>
      </c>
      <c r="J85" s="117">
        <v>0</v>
      </c>
      <c r="K85" s="111" t="s">
        <v>34</v>
      </c>
    </row>
    <row r="86" spans="1:11" ht="14.5" x14ac:dyDescent="0.3">
      <c r="A86" s="73" t="s">
        <v>43</v>
      </c>
      <c r="B86" s="64" t="s">
        <v>160</v>
      </c>
      <c r="C86" s="117">
        <f>1810*0.3</f>
        <v>543</v>
      </c>
      <c r="D86" s="121">
        <f>(0.3*3400090)/543</f>
        <v>1878.5027624309391</v>
      </c>
      <c r="E86" s="134">
        <f t="shared" si="8"/>
        <v>1020027</v>
      </c>
      <c r="F86" s="141">
        <v>0.41749999999999998</v>
      </c>
      <c r="G86" s="136">
        <f t="shared" si="9"/>
        <v>425861.27249999996</v>
      </c>
      <c r="H86" s="119">
        <v>0</v>
      </c>
      <c r="I86" s="117">
        <f t="shared" si="10"/>
        <v>425861.27249999996</v>
      </c>
      <c r="J86" s="117">
        <v>0</v>
      </c>
      <c r="K86" s="111" t="s">
        <v>34</v>
      </c>
    </row>
    <row r="87" spans="1:11" ht="14.5" x14ac:dyDescent="0.3">
      <c r="A87" s="73" t="s">
        <v>43</v>
      </c>
      <c r="B87" s="64" t="s">
        <v>50</v>
      </c>
      <c r="C87" s="117">
        <f>1810*0.3</f>
        <v>543</v>
      </c>
      <c r="D87" s="121">
        <f>(1*0.3*1464744)/543</f>
        <v>809.25082872928181</v>
      </c>
      <c r="E87" s="134">
        <f t="shared" si="8"/>
        <v>439423.2</v>
      </c>
      <c r="F87" s="141">
        <v>0.41749999999999998</v>
      </c>
      <c r="G87" s="136">
        <f t="shared" si="9"/>
        <v>183459.18599999999</v>
      </c>
      <c r="H87" s="119">
        <v>0</v>
      </c>
      <c r="I87" s="117">
        <f t="shared" si="10"/>
        <v>183459.18599999999</v>
      </c>
      <c r="J87" s="117">
        <v>0</v>
      </c>
      <c r="K87" s="111" t="s">
        <v>34</v>
      </c>
    </row>
    <row r="88" spans="1:11" ht="14.5" x14ac:dyDescent="0.3">
      <c r="A88" s="73" t="s">
        <v>54</v>
      </c>
      <c r="B88" s="64" t="s">
        <v>55</v>
      </c>
      <c r="C88" s="23">
        <f>0.3*1810</f>
        <v>543</v>
      </c>
      <c r="D88" s="23">
        <f>(0.03*6243960/543)*0.3</f>
        <v>103.49104972375689</v>
      </c>
      <c r="E88" s="41">
        <f t="shared" si="8"/>
        <v>56195.639999999992</v>
      </c>
      <c r="F88" s="19">
        <v>8.3500000000000005E-2</v>
      </c>
      <c r="G88" s="41">
        <f t="shared" si="9"/>
        <v>4692.3359399999999</v>
      </c>
      <c r="H88" s="25">
        <f>'2020'!G84</f>
        <v>0</v>
      </c>
      <c r="I88" s="24">
        <v>0</v>
      </c>
      <c r="J88" s="24">
        <f t="shared" ref="J88:J89" si="11">G88-H88</f>
        <v>4692.3359399999999</v>
      </c>
      <c r="K88" s="159" t="s">
        <v>56</v>
      </c>
    </row>
    <row r="89" spans="1:11" ht="28" x14ac:dyDescent="0.3">
      <c r="A89" s="73" t="s">
        <v>66</v>
      </c>
      <c r="B89" s="64" t="s">
        <v>67</v>
      </c>
      <c r="C89" s="23">
        <f>0.3*1810</f>
        <v>543</v>
      </c>
      <c r="D89" s="23">
        <f>(1464744*0.3*0.01)/543</f>
        <v>8.0925082872928176</v>
      </c>
      <c r="E89" s="41">
        <f t="shared" si="8"/>
        <v>4394.232</v>
      </c>
      <c r="F89" s="19">
        <v>3.3399999999999999E-2</v>
      </c>
      <c r="G89" s="41">
        <f t="shared" si="9"/>
        <v>146.76734880000001</v>
      </c>
      <c r="H89" s="25">
        <f>'2020'!G82</f>
        <v>0</v>
      </c>
      <c r="I89" s="24">
        <v>0</v>
      </c>
      <c r="J89" s="24">
        <f t="shared" si="11"/>
        <v>146.76734880000001</v>
      </c>
      <c r="K89" s="64" t="s">
        <v>251</v>
      </c>
    </row>
    <row r="90" spans="1:11" ht="28" x14ac:dyDescent="0.3">
      <c r="A90" s="73" t="s">
        <v>71</v>
      </c>
      <c r="B90" s="64" t="s">
        <v>72</v>
      </c>
      <c r="C90" s="23">
        <f>0.3*1810</f>
        <v>543</v>
      </c>
      <c r="D90" s="23">
        <f>(6243960*0.3)/543</f>
        <v>3449.7016574585637</v>
      </c>
      <c r="E90" s="41">
        <f t="shared" si="8"/>
        <v>1873188</v>
      </c>
      <c r="F90" s="19">
        <v>0.25</v>
      </c>
      <c r="G90" s="41">
        <f t="shared" si="9"/>
        <v>468297</v>
      </c>
      <c r="H90" s="25">
        <v>0</v>
      </c>
      <c r="I90" s="24">
        <f t="shared" ref="I90" si="12">G90-H90</f>
        <v>468297</v>
      </c>
      <c r="J90" s="24">
        <v>0</v>
      </c>
      <c r="K90" s="64" t="s">
        <v>34</v>
      </c>
    </row>
    <row r="91" spans="1:11" ht="15" thickBot="1" x14ac:dyDescent="0.35">
      <c r="A91" s="73" t="s">
        <v>73</v>
      </c>
      <c r="B91" s="64" t="s">
        <v>74</v>
      </c>
      <c r="C91" s="23">
        <f>0.3*1810</f>
        <v>543</v>
      </c>
      <c r="D91" s="23">
        <v>1</v>
      </c>
      <c r="E91" s="41">
        <f t="shared" si="8"/>
        <v>543</v>
      </c>
      <c r="F91" s="19">
        <v>40</v>
      </c>
      <c r="G91" s="41">
        <f t="shared" si="9"/>
        <v>21720</v>
      </c>
      <c r="H91" s="25">
        <f>'2020'!G82</f>
        <v>0</v>
      </c>
      <c r="I91" s="24">
        <v>0</v>
      </c>
      <c r="J91" s="24">
        <f t="shared" ref="J91" si="13">G91-H91</f>
        <v>21720</v>
      </c>
      <c r="K91" s="159" t="s">
        <v>42</v>
      </c>
    </row>
    <row r="92" spans="1:11" ht="41.25" customHeight="1" x14ac:dyDescent="0.3">
      <c r="A92" s="73" t="s">
        <v>79</v>
      </c>
      <c r="B92" s="64" t="s">
        <v>179</v>
      </c>
      <c r="C92" s="23">
        <v>840</v>
      </c>
      <c r="D92" s="23">
        <v>1</v>
      </c>
      <c r="E92" s="134">
        <f t="shared" si="8"/>
        <v>840</v>
      </c>
      <c r="F92" s="19">
        <v>2</v>
      </c>
      <c r="G92" s="136">
        <f t="shared" si="9"/>
        <v>1680</v>
      </c>
      <c r="H92" s="25">
        <f>'2020'!G42</f>
        <v>7382</v>
      </c>
      <c r="I92" s="117">
        <f t="shared" si="10"/>
        <v>-5702</v>
      </c>
      <c r="J92" s="117">
        <f t="shared" ref="J92:J98" si="14">G92-H92</f>
        <v>-5702</v>
      </c>
      <c r="K92" s="175" t="s">
        <v>81</v>
      </c>
    </row>
    <row r="93" spans="1:11" ht="41.25" customHeight="1" x14ac:dyDescent="0.3">
      <c r="A93" s="73" t="s">
        <v>82</v>
      </c>
      <c r="B93" s="64" t="s">
        <v>83</v>
      </c>
      <c r="C93" s="23">
        <f>(79/89)*37417</f>
        <v>33212.84269662921</v>
      </c>
      <c r="D93" s="23">
        <v>2</v>
      </c>
      <c r="E93" s="135">
        <f t="shared" si="8"/>
        <v>66425.68539325842</v>
      </c>
      <c r="F93" s="19">
        <v>2</v>
      </c>
      <c r="G93" s="137">
        <f t="shared" si="9"/>
        <v>132851.37078651684</v>
      </c>
      <c r="H93" s="25">
        <f>'2020'!G43</f>
        <v>146155.32584269662</v>
      </c>
      <c r="I93" s="117">
        <v>0</v>
      </c>
      <c r="J93" s="117">
        <f t="shared" si="14"/>
        <v>-13303.955056179781</v>
      </c>
      <c r="K93" s="159" t="s">
        <v>180</v>
      </c>
    </row>
    <row r="94" spans="1:11" ht="41.25" customHeight="1" x14ac:dyDescent="0.3">
      <c r="A94" s="73" t="s">
        <v>88</v>
      </c>
      <c r="B94" s="64" t="s">
        <v>89</v>
      </c>
      <c r="C94" s="23">
        <f>89*17</f>
        <v>1513</v>
      </c>
      <c r="D94" s="23">
        <v>1</v>
      </c>
      <c r="E94" s="134">
        <f t="shared" si="8"/>
        <v>1513</v>
      </c>
      <c r="F94" s="19">
        <v>1</v>
      </c>
      <c r="G94" s="136">
        <f t="shared" si="9"/>
        <v>1513</v>
      </c>
      <c r="H94" s="25">
        <v>0</v>
      </c>
      <c r="I94" s="117">
        <f t="shared" si="10"/>
        <v>1513</v>
      </c>
      <c r="J94" s="117">
        <v>0</v>
      </c>
      <c r="K94" s="159" t="s">
        <v>34</v>
      </c>
    </row>
    <row r="95" spans="1:11" ht="41.25" customHeight="1" x14ac:dyDescent="0.3">
      <c r="A95" s="73" t="s">
        <v>92</v>
      </c>
      <c r="B95" s="64" t="s">
        <v>181</v>
      </c>
      <c r="C95" s="23">
        <f>0.33*37417</f>
        <v>12347.61</v>
      </c>
      <c r="D95" s="23">
        <v>1</v>
      </c>
      <c r="E95" s="134">
        <f t="shared" si="8"/>
        <v>12347.61</v>
      </c>
      <c r="F95" s="19">
        <v>1</v>
      </c>
      <c r="G95" s="136">
        <f t="shared" si="9"/>
        <v>12347.61</v>
      </c>
      <c r="H95" s="25">
        <f>'2020'!G44</f>
        <v>13584.12</v>
      </c>
      <c r="I95" s="117">
        <v>0</v>
      </c>
      <c r="J95" s="117">
        <f t="shared" si="14"/>
        <v>-1236.5100000000002</v>
      </c>
      <c r="K95" s="159" t="s">
        <v>182</v>
      </c>
    </row>
    <row r="96" spans="1:11" ht="41.25" customHeight="1" x14ac:dyDescent="0.3">
      <c r="A96" s="77" t="s">
        <v>252</v>
      </c>
      <c r="B96" s="64" t="s">
        <v>184</v>
      </c>
      <c r="C96" s="142">
        <v>37417</v>
      </c>
      <c r="D96" s="23">
        <v>1</v>
      </c>
      <c r="E96" s="134">
        <f t="shared" si="8"/>
        <v>37417</v>
      </c>
      <c r="F96" s="19">
        <v>1</v>
      </c>
      <c r="G96" s="136">
        <f t="shared" si="9"/>
        <v>37417</v>
      </c>
      <c r="H96" s="25">
        <v>0</v>
      </c>
      <c r="I96" s="117">
        <v>0</v>
      </c>
      <c r="J96" s="117">
        <f t="shared" si="14"/>
        <v>37417</v>
      </c>
      <c r="K96" s="159" t="s">
        <v>128</v>
      </c>
    </row>
    <row r="97" spans="1:14" ht="41.25" customHeight="1" x14ac:dyDescent="0.3">
      <c r="A97" s="77" t="s">
        <v>185</v>
      </c>
      <c r="B97" s="64" t="s">
        <v>186</v>
      </c>
      <c r="C97" s="23">
        <f>(4/10)*973</f>
        <v>389.20000000000005</v>
      </c>
      <c r="D97" s="23">
        <v>1</v>
      </c>
      <c r="E97" s="134">
        <f t="shared" si="8"/>
        <v>389.20000000000005</v>
      </c>
      <c r="F97" s="19">
        <v>1</v>
      </c>
      <c r="G97" s="136">
        <f t="shared" si="9"/>
        <v>389.20000000000005</v>
      </c>
      <c r="H97" s="25">
        <f>'2020'!G45</f>
        <v>389.20000000000005</v>
      </c>
      <c r="I97" s="117">
        <f t="shared" si="10"/>
        <v>0</v>
      </c>
      <c r="J97" s="117">
        <f t="shared" si="14"/>
        <v>0</v>
      </c>
      <c r="K97" s="159" t="s">
        <v>253</v>
      </c>
    </row>
    <row r="98" spans="1:14" ht="34.5" customHeight="1" x14ac:dyDescent="0.3">
      <c r="A98" s="122" t="s">
        <v>187</v>
      </c>
      <c r="B98" s="123" t="s">
        <v>188</v>
      </c>
      <c r="C98" s="148">
        <v>37417</v>
      </c>
      <c r="D98" s="23">
        <v>1</v>
      </c>
      <c r="E98" s="134">
        <f t="shared" si="8"/>
        <v>37417</v>
      </c>
      <c r="F98" s="19">
        <v>2</v>
      </c>
      <c r="G98" s="136">
        <f t="shared" si="9"/>
        <v>74834</v>
      </c>
      <c r="H98" s="25">
        <v>0</v>
      </c>
      <c r="I98" s="117">
        <v>0</v>
      </c>
      <c r="J98" s="117">
        <f t="shared" si="14"/>
        <v>74834</v>
      </c>
      <c r="K98" s="111" t="s">
        <v>128</v>
      </c>
      <c r="N98" s="35"/>
    </row>
    <row r="99" spans="1:14" ht="15" customHeight="1" x14ac:dyDescent="0.3">
      <c r="A99" s="122" t="s">
        <v>116</v>
      </c>
      <c r="B99" s="123" t="s">
        <v>189</v>
      </c>
      <c r="C99" s="23">
        <f>3289*0.33</f>
        <v>1085.3700000000001</v>
      </c>
      <c r="D99" s="23">
        <v>1</v>
      </c>
      <c r="E99" s="134">
        <f t="shared" si="8"/>
        <v>1085.3700000000001</v>
      </c>
      <c r="F99" s="19">
        <v>1</v>
      </c>
      <c r="G99" s="136">
        <f t="shared" si="9"/>
        <v>1085.3700000000001</v>
      </c>
      <c r="H99" s="25">
        <v>0</v>
      </c>
      <c r="I99" s="117">
        <f t="shared" si="10"/>
        <v>1085.3700000000001</v>
      </c>
      <c r="J99" s="117">
        <v>0</v>
      </c>
      <c r="K99" s="111" t="s">
        <v>34</v>
      </c>
    </row>
    <row r="100" spans="1:14" ht="15.75" customHeight="1" x14ac:dyDescent="0.3">
      <c r="A100" s="122" t="s">
        <v>190</v>
      </c>
      <c r="B100" s="123" t="s">
        <v>191</v>
      </c>
      <c r="C100" s="23">
        <v>3289</v>
      </c>
      <c r="D100" s="23">
        <v>1</v>
      </c>
      <c r="E100" s="134">
        <f t="shared" si="8"/>
        <v>3289</v>
      </c>
      <c r="F100" s="19">
        <v>2</v>
      </c>
      <c r="G100" s="136">
        <f t="shared" si="9"/>
        <v>6578</v>
      </c>
      <c r="H100" s="25">
        <v>0</v>
      </c>
      <c r="I100" s="117">
        <f t="shared" si="10"/>
        <v>6578</v>
      </c>
      <c r="J100" s="117">
        <v>0</v>
      </c>
      <c r="K100" s="111" t="s">
        <v>34</v>
      </c>
    </row>
    <row r="101" spans="1:14" ht="15" customHeight="1" x14ac:dyDescent="0.3">
      <c r="A101" s="122" t="s">
        <v>254</v>
      </c>
      <c r="B101" s="123" t="s">
        <v>194</v>
      </c>
      <c r="C101" s="23">
        <f>(37417*0.02*0.02)</f>
        <v>14.966800000000001</v>
      </c>
      <c r="D101" s="23">
        <v>1</v>
      </c>
      <c r="E101" s="134">
        <f t="shared" si="8"/>
        <v>14.966800000000001</v>
      </c>
      <c r="F101" s="19">
        <v>2</v>
      </c>
      <c r="G101" s="136">
        <f t="shared" si="9"/>
        <v>29.933600000000002</v>
      </c>
      <c r="H101" s="25">
        <v>0</v>
      </c>
      <c r="I101" s="117">
        <f t="shared" si="10"/>
        <v>29.933600000000002</v>
      </c>
      <c r="J101" s="117">
        <v>0</v>
      </c>
      <c r="K101" s="111" t="s">
        <v>34</v>
      </c>
    </row>
    <row r="102" spans="1:14" ht="15" customHeight="1" thickBot="1" x14ac:dyDescent="0.35">
      <c r="A102" s="122" t="s">
        <v>195</v>
      </c>
      <c r="B102" s="123" t="s">
        <v>196</v>
      </c>
      <c r="C102" s="23">
        <f>(3289*0.02*0.02)</f>
        <v>1.3156000000000001</v>
      </c>
      <c r="D102" s="23">
        <v>1</v>
      </c>
      <c r="E102" s="134">
        <f t="shared" si="8"/>
        <v>1.3156000000000001</v>
      </c>
      <c r="F102" s="19">
        <v>2</v>
      </c>
      <c r="G102" s="136">
        <f t="shared" si="9"/>
        <v>2.6312000000000002</v>
      </c>
      <c r="H102" s="25">
        <v>0</v>
      </c>
      <c r="I102" s="117">
        <f t="shared" si="10"/>
        <v>2.6312000000000002</v>
      </c>
      <c r="J102" s="117">
        <v>0</v>
      </c>
      <c r="K102" s="111" t="s">
        <v>34</v>
      </c>
    </row>
    <row r="103" spans="1:14" x14ac:dyDescent="0.3">
      <c r="A103" s="249" t="s">
        <v>197</v>
      </c>
      <c r="B103" s="249"/>
      <c r="C103" s="11">
        <f>37417+543</f>
        <v>37960</v>
      </c>
      <c r="D103" s="33">
        <f>+E103/C103</f>
        <v>104.54479767632398</v>
      </c>
      <c r="E103" s="11">
        <f>SUM(E84:E102)</f>
        <v>3968520.5197932585</v>
      </c>
      <c r="F103" s="33">
        <f>+G103/E103</f>
        <v>0.38961199801377522</v>
      </c>
      <c r="G103" s="11">
        <f>SUM(G84:G102)</f>
        <v>1546183.2088753171</v>
      </c>
      <c r="H103" s="187">
        <f>SUM(H84:H102)</f>
        <v>167510.64584269663</v>
      </c>
      <c r="I103" s="33">
        <f>SUM(I84:I102)</f>
        <v>1254402.9248000002</v>
      </c>
      <c r="J103" s="11">
        <f>SUM(J84:J102)</f>
        <v>118567.63823262023</v>
      </c>
      <c r="K103" s="176"/>
    </row>
    <row r="104" spans="1:14" ht="14.5" thickBot="1" x14ac:dyDescent="0.35">
      <c r="A104" s="249" t="s">
        <v>198</v>
      </c>
      <c r="B104" s="249"/>
      <c r="C104" s="13">
        <f>SUM(C69,C82,C103)</f>
        <v>6283276</v>
      </c>
      <c r="D104" s="33">
        <f>E104/C104</f>
        <v>6.7949563363066163</v>
      </c>
      <c r="E104" s="13">
        <f>SUM(E69,E82,E103)</f>
        <v>42694586.068963289</v>
      </c>
      <c r="F104" s="34">
        <f>+G104/E104</f>
        <v>0.36066640359773322</v>
      </c>
      <c r="G104" s="13">
        <f>SUM(G69+G82+G103)</f>
        <v>15398502.810586872</v>
      </c>
      <c r="H104" s="14">
        <f>SUM(H103+H82+H69)</f>
        <v>4017131.7810526965</v>
      </c>
      <c r="I104" s="13">
        <f>SUM(I69,I82,I103)</f>
        <v>8882051.6157216858</v>
      </c>
      <c r="J104" s="13">
        <f>(G104-H104-I104)</f>
        <v>2499319.4138124902</v>
      </c>
      <c r="K104" s="177"/>
    </row>
    <row r="105" spans="1:14" ht="33" customHeight="1" x14ac:dyDescent="0.3">
      <c r="A105" s="244" t="s">
        <v>199</v>
      </c>
      <c r="B105" s="244"/>
      <c r="C105" s="244"/>
      <c r="D105" s="244"/>
      <c r="E105" s="244"/>
      <c r="F105" s="244"/>
      <c r="G105" s="244"/>
      <c r="H105" s="244"/>
      <c r="I105" s="244"/>
      <c r="J105" s="244"/>
      <c r="K105" s="245"/>
    </row>
    <row r="106" spans="1:14" ht="33" customHeight="1" x14ac:dyDescent="0.3">
      <c r="A106" s="246" t="s">
        <v>23</v>
      </c>
      <c r="B106" s="246"/>
      <c r="C106" s="246"/>
      <c r="D106" s="246"/>
      <c r="E106" s="246"/>
      <c r="F106" s="246"/>
      <c r="G106" s="246"/>
      <c r="H106" s="246"/>
      <c r="I106" s="246"/>
      <c r="J106" s="246"/>
      <c r="K106" s="247"/>
    </row>
    <row r="107" spans="1:14" ht="14.5" x14ac:dyDescent="0.3">
      <c r="A107" s="122" t="s">
        <v>200</v>
      </c>
      <c r="B107" s="111" t="s">
        <v>201</v>
      </c>
      <c r="C107" s="124">
        <v>89</v>
      </c>
      <c r="D107" s="124">
        <v>1</v>
      </c>
      <c r="E107" s="138">
        <f>C107*D107</f>
        <v>89</v>
      </c>
      <c r="F107" s="124">
        <v>0.16700000000000001</v>
      </c>
      <c r="G107" s="138">
        <f>E107*F107</f>
        <v>14.863000000000001</v>
      </c>
      <c r="H107" s="125">
        <v>0</v>
      </c>
      <c r="I107" s="124">
        <f>G107-H107</f>
        <v>14.863000000000001</v>
      </c>
      <c r="J107" s="124">
        <v>0</v>
      </c>
      <c r="K107" s="111" t="s">
        <v>34</v>
      </c>
    </row>
    <row r="108" spans="1:14" ht="14.5" x14ac:dyDescent="0.3">
      <c r="A108" s="77" t="s">
        <v>66</v>
      </c>
      <c r="B108" s="64" t="s">
        <v>168</v>
      </c>
      <c r="C108" s="23">
        <f>1810*0.7</f>
        <v>1267</v>
      </c>
      <c r="D108" s="23">
        <f>(10000/1267)*2*0.7</f>
        <v>11.049723756906078</v>
      </c>
      <c r="E108" s="138">
        <f t="shared" ref="E108:E123" si="15">C108*D108</f>
        <v>14000</v>
      </c>
      <c r="F108" s="126">
        <v>1.67E-2</v>
      </c>
      <c r="G108" s="138">
        <f t="shared" ref="G108:G123" si="16">E108*F108</f>
        <v>233.79999999999998</v>
      </c>
      <c r="H108" s="25">
        <f>'2020'!G50</f>
        <v>334</v>
      </c>
      <c r="I108" s="124">
        <f t="shared" ref="I108:I123" si="17">G108-H108</f>
        <v>-100.20000000000002</v>
      </c>
      <c r="J108" s="124">
        <f t="shared" ref="J108:J122" si="18">G108-H108</f>
        <v>-100.20000000000002</v>
      </c>
      <c r="K108" s="159" t="s">
        <v>27</v>
      </c>
    </row>
    <row r="109" spans="1:14" ht="14.5" x14ac:dyDescent="0.3">
      <c r="A109" s="77" t="s">
        <v>202</v>
      </c>
      <c r="B109" s="64" t="s">
        <v>203</v>
      </c>
      <c r="C109" s="23">
        <v>89</v>
      </c>
      <c r="D109" s="23">
        <v>1</v>
      </c>
      <c r="E109" s="138">
        <f t="shared" si="15"/>
        <v>89</v>
      </c>
      <c r="F109" s="126">
        <v>50</v>
      </c>
      <c r="G109" s="138">
        <f t="shared" si="16"/>
        <v>4450</v>
      </c>
      <c r="H109" s="25">
        <f>'2020'!G51</f>
        <v>4450</v>
      </c>
      <c r="I109" s="124">
        <f t="shared" si="17"/>
        <v>0</v>
      </c>
      <c r="J109" s="124">
        <f t="shared" si="18"/>
        <v>0</v>
      </c>
      <c r="K109" s="159" t="s">
        <v>27</v>
      </c>
    </row>
    <row r="110" spans="1:14" ht="14.5" x14ac:dyDescent="0.3">
      <c r="A110" s="77" t="s">
        <v>204</v>
      </c>
      <c r="B110" s="64" t="s">
        <v>205</v>
      </c>
      <c r="C110" s="23">
        <v>89</v>
      </c>
      <c r="D110" s="23">
        <f>((37417*0.33)/89)</f>
        <v>138.73719101123595</v>
      </c>
      <c r="E110" s="138">
        <f t="shared" si="15"/>
        <v>12347.609999999999</v>
      </c>
      <c r="F110" s="126">
        <v>1</v>
      </c>
      <c r="G110" s="138">
        <f t="shared" si="16"/>
        <v>12347.609999999999</v>
      </c>
      <c r="H110" s="25">
        <f>'2020'!G52</f>
        <v>13584.12</v>
      </c>
      <c r="I110" s="124">
        <v>0</v>
      </c>
      <c r="J110" s="124">
        <f t="shared" si="18"/>
        <v>-1236.510000000002</v>
      </c>
      <c r="K110" s="178" t="s">
        <v>182</v>
      </c>
    </row>
    <row r="111" spans="1:14" ht="14.5" x14ac:dyDescent="0.3">
      <c r="A111" s="77" t="s">
        <v>185</v>
      </c>
      <c r="B111" s="64" t="s">
        <v>186</v>
      </c>
      <c r="C111" s="23">
        <f>(4/10)*973</f>
        <v>389.20000000000005</v>
      </c>
      <c r="D111" s="23">
        <v>1</v>
      </c>
      <c r="E111" s="138">
        <f t="shared" si="15"/>
        <v>389.20000000000005</v>
      </c>
      <c r="F111" s="126">
        <v>1</v>
      </c>
      <c r="G111" s="138">
        <f t="shared" si="16"/>
        <v>389.20000000000005</v>
      </c>
      <c r="H111" s="25">
        <f>'2020'!G53</f>
        <v>389.20000000000005</v>
      </c>
      <c r="I111" s="124">
        <f t="shared" si="17"/>
        <v>0</v>
      </c>
      <c r="J111" s="124">
        <f t="shared" si="18"/>
        <v>0</v>
      </c>
      <c r="K111" s="179" t="s">
        <v>27</v>
      </c>
    </row>
    <row r="112" spans="1:14" ht="14.5" x14ac:dyDescent="0.3">
      <c r="A112" s="73" t="s">
        <v>206</v>
      </c>
      <c r="B112" s="64" t="s">
        <v>207</v>
      </c>
      <c r="C112" s="23">
        <v>89</v>
      </c>
      <c r="D112" s="23">
        <v>1</v>
      </c>
      <c r="E112" s="138">
        <f t="shared" si="15"/>
        <v>89</v>
      </c>
      <c r="F112" s="126">
        <v>2</v>
      </c>
      <c r="G112" s="138">
        <f t="shared" si="16"/>
        <v>178</v>
      </c>
      <c r="H112" s="25">
        <f>'2020'!G54</f>
        <v>178</v>
      </c>
      <c r="I112" s="124">
        <f t="shared" si="17"/>
        <v>0</v>
      </c>
      <c r="J112" s="124">
        <f t="shared" si="18"/>
        <v>0</v>
      </c>
      <c r="K112" s="159" t="s">
        <v>27</v>
      </c>
    </row>
    <row r="113" spans="1:14" ht="14.5" x14ac:dyDescent="0.3">
      <c r="A113" s="73" t="s">
        <v>208</v>
      </c>
      <c r="B113" s="64" t="s">
        <v>98</v>
      </c>
      <c r="C113" s="23">
        <v>89</v>
      </c>
      <c r="D113" s="23">
        <f>(37417/89)*0.05</f>
        <v>21.020786516853931</v>
      </c>
      <c r="E113" s="138">
        <f t="shared" si="15"/>
        <v>1870.85</v>
      </c>
      <c r="F113" s="126">
        <v>0.5</v>
      </c>
      <c r="G113" s="138">
        <f t="shared" si="16"/>
        <v>935.42499999999995</v>
      </c>
      <c r="H113" s="25">
        <f>'2020'!G55</f>
        <v>1029.1000000000001</v>
      </c>
      <c r="I113" s="124">
        <v>0</v>
      </c>
      <c r="J113" s="124">
        <f t="shared" si="18"/>
        <v>-93.675000000000182</v>
      </c>
      <c r="K113" s="180" t="s">
        <v>209</v>
      </c>
    </row>
    <row r="114" spans="1:14" ht="14.5" x14ac:dyDescent="0.3">
      <c r="A114" s="73" t="s">
        <v>210</v>
      </c>
      <c r="B114" s="64" t="s">
        <v>211</v>
      </c>
      <c r="C114" s="23">
        <v>89</v>
      </c>
      <c r="D114" s="23">
        <f>(37417/89)*0.05</f>
        <v>21.020786516853931</v>
      </c>
      <c r="E114" s="138">
        <f t="shared" si="15"/>
        <v>1870.85</v>
      </c>
      <c r="F114" s="126">
        <v>2</v>
      </c>
      <c r="G114" s="138">
        <f t="shared" si="16"/>
        <v>3741.7</v>
      </c>
      <c r="H114" s="25">
        <f>'2020'!G56</f>
        <v>4116.4000000000005</v>
      </c>
      <c r="I114" s="124">
        <v>0</v>
      </c>
      <c r="J114" s="124">
        <f t="shared" si="18"/>
        <v>-374.70000000000073</v>
      </c>
      <c r="K114" s="180" t="s">
        <v>182</v>
      </c>
    </row>
    <row r="115" spans="1:14" ht="14.5" x14ac:dyDescent="0.3">
      <c r="A115" s="73" t="s">
        <v>104</v>
      </c>
      <c r="B115" s="64" t="s">
        <v>212</v>
      </c>
      <c r="C115" s="23">
        <v>89</v>
      </c>
      <c r="D115" s="23">
        <f>1048/89</f>
        <v>11.775280898876405</v>
      </c>
      <c r="E115" s="138">
        <f t="shared" si="15"/>
        <v>1048</v>
      </c>
      <c r="F115" s="126">
        <v>1</v>
      </c>
      <c r="G115" s="138">
        <f t="shared" si="16"/>
        <v>1048</v>
      </c>
      <c r="H115" s="25">
        <f>'2020'!G57</f>
        <v>514</v>
      </c>
      <c r="I115" s="124">
        <v>0</v>
      </c>
      <c r="J115" s="124">
        <f t="shared" si="18"/>
        <v>534</v>
      </c>
      <c r="K115" s="181" t="s">
        <v>209</v>
      </c>
    </row>
    <row r="116" spans="1:14" ht="81" customHeight="1" x14ac:dyDescent="0.3">
      <c r="A116" s="127" t="s">
        <v>214</v>
      </c>
      <c r="B116" s="128" t="s">
        <v>107</v>
      </c>
      <c r="C116" s="129">
        <v>1</v>
      </c>
      <c r="D116" s="129">
        <v>1</v>
      </c>
      <c r="E116" s="139">
        <f t="shared" si="15"/>
        <v>1</v>
      </c>
      <c r="F116" s="129">
        <v>0.20039999999999999</v>
      </c>
      <c r="G116" s="139">
        <f t="shared" si="16"/>
        <v>0.20039999999999999</v>
      </c>
      <c r="H116" s="130">
        <v>0</v>
      </c>
      <c r="I116" s="124">
        <f t="shared" si="17"/>
        <v>0.20039999999999999</v>
      </c>
      <c r="J116" s="124">
        <v>0</v>
      </c>
      <c r="K116" s="182" t="s">
        <v>34</v>
      </c>
      <c r="N116" s="35"/>
    </row>
    <row r="117" spans="1:14" ht="32.25" customHeight="1" x14ac:dyDescent="0.3">
      <c r="A117" s="73" t="s">
        <v>255</v>
      </c>
      <c r="B117" s="64" t="s">
        <v>144</v>
      </c>
      <c r="C117" s="23">
        <v>89</v>
      </c>
      <c r="D117" s="23">
        <f>(1810/89)</f>
        <v>20.337078651685392</v>
      </c>
      <c r="E117" s="138">
        <f t="shared" si="15"/>
        <v>1809.9999999999998</v>
      </c>
      <c r="F117" s="126">
        <v>0.5</v>
      </c>
      <c r="G117" s="138">
        <f t="shared" si="16"/>
        <v>904.99999999999989</v>
      </c>
      <c r="H117" s="25">
        <v>0</v>
      </c>
      <c r="I117" s="124">
        <f t="shared" si="17"/>
        <v>904.99999999999989</v>
      </c>
      <c r="J117" s="124">
        <v>0</v>
      </c>
      <c r="K117" s="181" t="s">
        <v>34</v>
      </c>
    </row>
    <row r="118" spans="1:14" ht="32.25" customHeight="1" x14ac:dyDescent="0.3">
      <c r="A118" s="73" t="s">
        <v>149</v>
      </c>
      <c r="B118" s="64" t="s">
        <v>216</v>
      </c>
      <c r="C118" s="23">
        <v>89</v>
      </c>
      <c r="D118" s="23">
        <v>1</v>
      </c>
      <c r="E118" s="138">
        <f t="shared" si="15"/>
        <v>89</v>
      </c>
      <c r="F118" s="126">
        <v>0.16700000000000001</v>
      </c>
      <c r="G118" s="138">
        <f t="shared" si="16"/>
        <v>14.863000000000001</v>
      </c>
      <c r="H118" s="25">
        <v>0</v>
      </c>
      <c r="I118" s="124">
        <f t="shared" si="17"/>
        <v>14.863000000000001</v>
      </c>
      <c r="J118" s="124">
        <v>0</v>
      </c>
      <c r="K118" s="183" t="s">
        <v>34</v>
      </c>
      <c r="L118" s="10" t="s">
        <v>217</v>
      </c>
    </row>
    <row r="119" spans="1:14" ht="30.75" customHeight="1" x14ac:dyDescent="0.3">
      <c r="A119" s="73" t="s">
        <v>218</v>
      </c>
      <c r="B119" s="64" t="s">
        <v>219</v>
      </c>
      <c r="C119" s="23">
        <v>89</v>
      </c>
      <c r="D119" s="23">
        <v>1</v>
      </c>
      <c r="E119" s="138">
        <f t="shared" si="15"/>
        <v>89</v>
      </c>
      <c r="F119" s="126">
        <v>5</v>
      </c>
      <c r="G119" s="138">
        <f t="shared" si="16"/>
        <v>445</v>
      </c>
      <c r="H119" s="25">
        <f>'2020'!G58</f>
        <v>445</v>
      </c>
      <c r="I119" s="124">
        <f t="shared" si="17"/>
        <v>0</v>
      </c>
      <c r="J119" s="124">
        <f t="shared" si="18"/>
        <v>0</v>
      </c>
      <c r="K119" s="159" t="s">
        <v>27</v>
      </c>
    </row>
    <row r="120" spans="1:14" ht="38.25" customHeight="1" x14ac:dyDescent="0.3">
      <c r="A120" s="73" t="s">
        <v>220</v>
      </c>
      <c r="B120" s="64" t="s">
        <v>221</v>
      </c>
      <c r="C120" s="23">
        <f>89+1267</f>
        <v>1356</v>
      </c>
      <c r="D120" s="23">
        <v>12</v>
      </c>
      <c r="E120" s="138">
        <f t="shared" si="15"/>
        <v>16272</v>
      </c>
      <c r="F120" s="126">
        <v>2</v>
      </c>
      <c r="G120" s="140">
        <f t="shared" si="16"/>
        <v>32544</v>
      </c>
      <c r="H120" s="25">
        <f>'2020'!G59</f>
        <v>45528</v>
      </c>
      <c r="I120" s="124">
        <v>0</v>
      </c>
      <c r="J120" s="124">
        <f t="shared" si="18"/>
        <v>-12984</v>
      </c>
      <c r="K120" s="159" t="s">
        <v>31</v>
      </c>
    </row>
    <row r="121" spans="1:14" ht="28" x14ac:dyDescent="0.3">
      <c r="A121" s="73" t="s">
        <v>220</v>
      </c>
      <c r="B121" s="64" t="s">
        <v>222</v>
      </c>
      <c r="C121" s="23">
        <f>1810*0.7</f>
        <v>1267</v>
      </c>
      <c r="D121" s="23">
        <f>((6243960)/1267)*2*0.7</f>
        <v>6899.4033149171264</v>
      </c>
      <c r="E121" s="138">
        <f t="shared" si="15"/>
        <v>8741544</v>
      </c>
      <c r="F121" s="131">
        <v>1.67E-2</v>
      </c>
      <c r="G121" s="140">
        <f t="shared" si="16"/>
        <v>145983.78479999999</v>
      </c>
      <c r="H121" s="25">
        <f>'2020'!G60+114388.39</f>
        <v>458924.55359999998</v>
      </c>
      <c r="I121" s="124">
        <v>0</v>
      </c>
      <c r="J121" s="188">
        <f t="shared" si="18"/>
        <v>-312940.76879999996</v>
      </c>
      <c r="K121" s="180" t="s">
        <v>256</v>
      </c>
    </row>
    <row r="122" spans="1:14" ht="15" customHeight="1" x14ac:dyDescent="0.3">
      <c r="A122" s="73" t="s">
        <v>220</v>
      </c>
      <c r="B122" s="64" t="s">
        <v>224</v>
      </c>
      <c r="C122" s="23">
        <f>89+1267</f>
        <v>1356</v>
      </c>
      <c r="D122" s="23">
        <v>1</v>
      </c>
      <c r="E122" s="138">
        <f t="shared" si="15"/>
        <v>1356</v>
      </c>
      <c r="F122" s="126">
        <v>0.25</v>
      </c>
      <c r="G122" s="138">
        <f t="shared" si="16"/>
        <v>339</v>
      </c>
      <c r="H122" s="25">
        <f>'2020'!G62</f>
        <v>474.25</v>
      </c>
      <c r="I122" s="124">
        <v>0</v>
      </c>
      <c r="J122" s="124">
        <f t="shared" si="18"/>
        <v>-135.25</v>
      </c>
      <c r="K122" s="159" t="s">
        <v>31</v>
      </c>
    </row>
    <row r="123" spans="1:14" ht="15" customHeight="1" thickBot="1" x14ac:dyDescent="0.35">
      <c r="A123" s="122" t="s">
        <v>155</v>
      </c>
      <c r="B123" s="111" t="s">
        <v>156</v>
      </c>
      <c r="C123" s="27">
        <v>76</v>
      </c>
      <c r="D123" s="23">
        <v>1</v>
      </c>
      <c r="E123" s="138">
        <f t="shared" si="15"/>
        <v>76</v>
      </c>
      <c r="F123" s="126">
        <v>0.16700000000000001</v>
      </c>
      <c r="G123" s="138">
        <f t="shared" si="16"/>
        <v>12.692</v>
      </c>
      <c r="H123" s="132">
        <v>0</v>
      </c>
      <c r="I123" s="124">
        <f t="shared" si="17"/>
        <v>12.692</v>
      </c>
      <c r="J123" s="124">
        <v>0</v>
      </c>
      <c r="K123" s="184" t="s">
        <v>34</v>
      </c>
    </row>
    <row r="124" spans="1:14" ht="16.5" customHeight="1" x14ac:dyDescent="0.3">
      <c r="A124" s="248" t="s">
        <v>225</v>
      </c>
      <c r="B124" s="248"/>
      <c r="C124" s="13">
        <v>1356</v>
      </c>
      <c r="D124" s="33">
        <f>+E124/C124</f>
        <v>6484.5357743362829</v>
      </c>
      <c r="E124" s="13">
        <f>SUM(E107:E123)</f>
        <v>8793030.5099999998</v>
      </c>
      <c r="F124" s="33">
        <f>+G124/E124</f>
        <v>2.3152784238434313E-2</v>
      </c>
      <c r="G124" s="13">
        <f>SUM(G107:G123)</f>
        <v>203583.13820000002</v>
      </c>
      <c r="H124" s="14">
        <f>SUM(H107:H123)</f>
        <v>529966.62360000005</v>
      </c>
      <c r="I124" s="34">
        <f>SUM(I107:I123)</f>
        <v>847.41839999999991</v>
      </c>
      <c r="J124" s="13">
        <f>SUM(J107:J123)</f>
        <v>-327331.10379999998</v>
      </c>
      <c r="K124" s="185"/>
    </row>
    <row r="125" spans="1:14" ht="14.25" customHeight="1" thickBot="1" x14ac:dyDescent="0.35">
      <c r="A125" s="259" t="s">
        <v>176</v>
      </c>
      <c r="B125" s="259"/>
      <c r="C125" s="259"/>
      <c r="D125" s="259"/>
      <c r="E125" s="259"/>
      <c r="F125" s="259"/>
      <c r="G125" s="259"/>
      <c r="H125" s="259"/>
      <c r="I125" s="259"/>
      <c r="J125" s="259"/>
      <c r="K125" s="259"/>
    </row>
    <row r="126" spans="1:14" ht="14.25" customHeight="1" x14ac:dyDescent="0.3">
      <c r="A126" s="77" t="s">
        <v>66</v>
      </c>
      <c r="B126" s="64" t="s">
        <v>168</v>
      </c>
      <c r="C126" s="23">
        <f>0.3*1810</f>
        <v>543</v>
      </c>
      <c r="D126" s="23">
        <f>(10000/543)*2*0.3</f>
        <v>11.049723756906078</v>
      </c>
      <c r="E126" s="138">
        <f t="shared" ref="E126" si="19">C126*D126</f>
        <v>6000</v>
      </c>
      <c r="F126" s="126">
        <v>1.67E-2</v>
      </c>
      <c r="G126" s="138">
        <f t="shared" ref="G126" si="20">E126*F126</f>
        <v>100.2</v>
      </c>
      <c r="H126" s="25">
        <f>'2020'!G68</f>
        <v>0</v>
      </c>
      <c r="I126" s="124">
        <f t="shared" ref="I126" si="21">G126-H126</f>
        <v>100.2</v>
      </c>
      <c r="J126" s="124">
        <f t="shared" ref="J126" si="22">G126-H126</f>
        <v>100.2</v>
      </c>
      <c r="K126" s="178" t="s">
        <v>34</v>
      </c>
    </row>
    <row r="127" spans="1:14" ht="14.25" customHeight="1" x14ac:dyDescent="0.3">
      <c r="A127" s="77" t="s">
        <v>226</v>
      </c>
      <c r="B127" s="64" t="s">
        <v>227</v>
      </c>
      <c r="C127" s="23">
        <v>37417</v>
      </c>
      <c r="D127" s="23">
        <v>1</v>
      </c>
      <c r="E127" s="138">
        <f t="shared" ref="E127:E130" si="23">C127*D127</f>
        <v>37417</v>
      </c>
      <c r="F127" s="126">
        <v>0.16700000000000001</v>
      </c>
      <c r="G127" s="138">
        <f t="shared" ref="G127:G130" si="24">E127*F127</f>
        <v>6248.6390000000001</v>
      </c>
      <c r="H127" s="25">
        <v>0</v>
      </c>
      <c r="I127" s="124">
        <f t="shared" ref="I127" si="25">G127-H127</f>
        <v>6248.6390000000001</v>
      </c>
      <c r="J127" s="124">
        <v>0</v>
      </c>
      <c r="K127" s="178" t="s">
        <v>34</v>
      </c>
    </row>
    <row r="128" spans="1:14" ht="16.5" customHeight="1" x14ac:dyDescent="0.3">
      <c r="A128" s="73" t="s">
        <v>220</v>
      </c>
      <c r="B128" s="64" t="s">
        <v>221</v>
      </c>
      <c r="C128" s="23">
        <f>1810*0.3</f>
        <v>543</v>
      </c>
      <c r="D128" s="23">
        <v>12</v>
      </c>
      <c r="E128" s="138">
        <f t="shared" si="23"/>
        <v>6516</v>
      </c>
      <c r="F128" s="126">
        <v>2</v>
      </c>
      <c r="G128" s="140">
        <f t="shared" si="24"/>
        <v>13032</v>
      </c>
      <c r="H128" s="25">
        <f>'2020'!G67</f>
        <v>0</v>
      </c>
      <c r="I128" s="124">
        <v>0</v>
      </c>
      <c r="J128" s="124">
        <f t="shared" ref="J128:J130" si="26">G128-H128</f>
        <v>13032</v>
      </c>
      <c r="K128" s="178" t="s">
        <v>34</v>
      </c>
    </row>
    <row r="129" spans="1:11" ht="24" customHeight="1" x14ac:dyDescent="0.3">
      <c r="A129" s="73" t="s">
        <v>220</v>
      </c>
      <c r="B129" s="64" t="s">
        <v>222</v>
      </c>
      <c r="C129" s="23">
        <f>1810*0.3</f>
        <v>543</v>
      </c>
      <c r="D129" s="23">
        <f>((6243960)/543)*2*0.3</f>
        <v>6899.4033149171273</v>
      </c>
      <c r="E129" s="138">
        <f t="shared" si="23"/>
        <v>3746376</v>
      </c>
      <c r="F129" s="131">
        <v>1.67E-2</v>
      </c>
      <c r="G129" s="140">
        <f t="shared" si="24"/>
        <v>62564.479200000002</v>
      </c>
      <c r="H129" s="25">
        <f>'2020'!G68</f>
        <v>0</v>
      </c>
      <c r="I129" s="124">
        <v>0</v>
      </c>
      <c r="J129" s="124">
        <f t="shared" si="26"/>
        <v>62564.479200000002</v>
      </c>
      <c r="K129" s="178" t="s">
        <v>34</v>
      </c>
    </row>
    <row r="130" spans="1:11" ht="14.25" customHeight="1" x14ac:dyDescent="0.3">
      <c r="A130" s="73" t="s">
        <v>220</v>
      </c>
      <c r="B130" s="64" t="s">
        <v>224</v>
      </c>
      <c r="C130" s="23">
        <f>1810*0.3</f>
        <v>543</v>
      </c>
      <c r="D130" s="23">
        <v>1</v>
      </c>
      <c r="E130" s="138">
        <f t="shared" si="23"/>
        <v>543</v>
      </c>
      <c r="F130" s="126">
        <v>0.25</v>
      </c>
      <c r="G130" s="138">
        <f t="shared" si="24"/>
        <v>135.75</v>
      </c>
      <c r="H130" s="25">
        <f>'2020'!G70</f>
        <v>0</v>
      </c>
      <c r="I130" s="124">
        <v>0</v>
      </c>
      <c r="J130" s="124">
        <f t="shared" si="26"/>
        <v>135.75</v>
      </c>
      <c r="K130" s="178" t="s">
        <v>34</v>
      </c>
    </row>
    <row r="131" spans="1:11" x14ac:dyDescent="0.3">
      <c r="A131" s="248" t="s">
        <v>228</v>
      </c>
      <c r="B131" s="248"/>
      <c r="C131" s="13">
        <f>C127+543</f>
        <v>37960</v>
      </c>
      <c r="D131" s="33">
        <f>E131/C131</f>
        <v>100.02244467860906</v>
      </c>
      <c r="E131" s="13">
        <f>SUM(E126:E130)</f>
        <v>3796852</v>
      </c>
      <c r="F131" s="33">
        <f>G131/E131</f>
        <v>2.161819006903614E-2</v>
      </c>
      <c r="G131" s="13">
        <f>SUM(G126:G130)</f>
        <v>82081.068200000009</v>
      </c>
      <c r="H131" s="14">
        <f>SUM(H126:H130)</f>
        <v>0</v>
      </c>
      <c r="I131" s="34">
        <f>SUM(I126:I130)</f>
        <v>6348.8389999999999</v>
      </c>
      <c r="J131" s="13">
        <f>SUM(J126:J130)</f>
        <v>75832.429199999999</v>
      </c>
      <c r="K131" s="185"/>
    </row>
    <row r="132" spans="1:11" ht="15" customHeight="1" x14ac:dyDescent="0.3">
      <c r="A132" s="249" t="s">
        <v>229</v>
      </c>
      <c r="B132" s="250"/>
      <c r="C132" s="13">
        <f>C131+C124</f>
        <v>39316</v>
      </c>
      <c r="D132" s="33">
        <f>+E132/C132</f>
        <v>320.22287389358024</v>
      </c>
      <c r="E132" s="13">
        <f>E131+E124</f>
        <v>12589882.51</v>
      </c>
      <c r="F132" s="33">
        <f>G132/E132</f>
        <v>2.26899819099265E-2</v>
      </c>
      <c r="G132" s="13">
        <f>G131+G124</f>
        <v>285664.20640000002</v>
      </c>
      <c r="H132" s="14">
        <f>H131+H124</f>
        <v>529966.62360000005</v>
      </c>
      <c r="I132" s="34">
        <f>I131+I124</f>
        <v>7196.2573999999995</v>
      </c>
      <c r="J132" s="13">
        <f>J131+J124</f>
        <v>-251498.67459999997</v>
      </c>
      <c r="K132" s="185"/>
    </row>
    <row r="133" spans="1:11" ht="16.5" customHeight="1" thickBot="1" x14ac:dyDescent="0.35">
      <c r="A133" s="260" t="s">
        <v>257</v>
      </c>
      <c r="B133" s="261"/>
      <c r="C133" s="16">
        <f>C104</f>
        <v>6283276</v>
      </c>
      <c r="D133" s="28">
        <f>E133/C133</f>
        <v>8.7986694487021246</v>
      </c>
      <c r="E133" s="16">
        <f>E132+E104</f>
        <v>55284468.578963287</v>
      </c>
      <c r="F133" s="28">
        <f>G133/E133</f>
        <v>0.28369933581951756</v>
      </c>
      <c r="G133" s="16">
        <f>G132+G104</f>
        <v>15684167.016986871</v>
      </c>
      <c r="H133" s="95">
        <f>H132+H104+1</f>
        <v>4547099.4046526961</v>
      </c>
      <c r="I133" s="16">
        <f>I132+I104</f>
        <v>8889247.8731216863</v>
      </c>
      <c r="J133" s="16">
        <f>J132+J104</f>
        <v>2247820.7392124902</v>
      </c>
      <c r="K133" s="186"/>
    </row>
    <row r="134" spans="1:11" ht="14.25" customHeight="1" thickBot="1" x14ac:dyDescent="0.35"/>
    <row r="135" spans="1:11" ht="14.25" customHeight="1" thickBot="1" x14ac:dyDescent="0.35">
      <c r="A135" s="251" t="s">
        <v>236</v>
      </c>
      <c r="B135" s="252"/>
      <c r="C135" s="252"/>
      <c r="D135" s="253"/>
    </row>
    <row r="136" spans="1:11" ht="14.25" customHeight="1" thickBot="1" x14ac:dyDescent="0.35">
      <c r="A136" s="240" t="s">
        <v>237</v>
      </c>
      <c r="B136" s="241"/>
      <c r="C136" s="238">
        <f>+C104</f>
        <v>6283276</v>
      </c>
      <c r="D136" s="239"/>
      <c r="E136" s="31"/>
      <c r="F136" s="62"/>
    </row>
    <row r="137" spans="1:11" ht="16.5" customHeight="1" thickBot="1" x14ac:dyDescent="0.35">
      <c r="A137" s="254" t="s">
        <v>238</v>
      </c>
      <c r="B137" s="255"/>
      <c r="C137" s="242">
        <f>+C138/C136</f>
        <v>6.7949563363066163</v>
      </c>
      <c r="D137" s="243"/>
    </row>
    <row r="138" spans="1:11" ht="14.25" customHeight="1" thickBot="1" x14ac:dyDescent="0.35">
      <c r="A138" s="240" t="s">
        <v>239</v>
      </c>
      <c r="B138" s="241"/>
      <c r="C138" s="238">
        <f>+E104</f>
        <v>42694586.068963289</v>
      </c>
      <c r="D138" s="239"/>
      <c r="F138" s="89"/>
    </row>
    <row r="139" spans="1:11" ht="14.25" customHeight="1" thickBot="1" x14ac:dyDescent="0.35">
      <c r="A139" s="240" t="s">
        <v>240</v>
      </c>
      <c r="B139" s="241"/>
      <c r="C139" s="242">
        <f>+C140/C138</f>
        <v>0.36066640359773322</v>
      </c>
      <c r="D139" s="243"/>
      <c r="F139" s="89"/>
    </row>
    <row r="140" spans="1:11" ht="14.5" thickBot="1" x14ac:dyDescent="0.35">
      <c r="A140" s="240" t="s">
        <v>241</v>
      </c>
      <c r="B140" s="241"/>
      <c r="C140" s="238">
        <f>+G104</f>
        <v>15398502.810586872</v>
      </c>
      <c r="D140" s="239"/>
      <c r="F140" s="90"/>
    </row>
    <row r="141" spans="1:11" ht="15" customHeight="1" thickBot="1" x14ac:dyDescent="0.35">
      <c r="A141" s="240" t="s">
        <v>242</v>
      </c>
      <c r="B141" s="241"/>
      <c r="C141" s="238">
        <f>H104</f>
        <v>4017131.7810526965</v>
      </c>
      <c r="D141" s="239"/>
    </row>
    <row r="142" spans="1:11" ht="17.25" customHeight="1" thickBot="1" x14ac:dyDescent="0.35">
      <c r="A142" s="236" t="s">
        <v>243</v>
      </c>
      <c r="B142" s="237"/>
      <c r="C142" s="238">
        <f>C140-C141</f>
        <v>11381371.029534176</v>
      </c>
      <c r="D142" s="239"/>
    </row>
    <row r="143" spans="1:11" ht="17.25" customHeight="1" thickBot="1" x14ac:dyDescent="0.35"/>
    <row r="144" spans="1:11" ht="14.25" customHeight="1" thickBot="1" x14ac:dyDescent="0.35">
      <c r="A144" s="251" t="s">
        <v>244</v>
      </c>
      <c r="B144" s="252"/>
      <c r="C144" s="252"/>
      <c r="D144" s="253"/>
    </row>
    <row r="145" spans="1:4" ht="14.25" customHeight="1" thickBot="1" x14ac:dyDescent="0.35">
      <c r="A145" s="240" t="s">
        <v>245</v>
      </c>
      <c r="B145" s="241"/>
      <c r="C145" s="238">
        <f>+C132</f>
        <v>39316</v>
      </c>
      <c r="D145" s="239"/>
    </row>
    <row r="146" spans="1:4" ht="14.5" thickBot="1" x14ac:dyDescent="0.35">
      <c r="A146" s="254" t="s">
        <v>238</v>
      </c>
      <c r="B146" s="255"/>
      <c r="C146" s="242">
        <f>+C147/C145</f>
        <v>320.22287389358024</v>
      </c>
      <c r="D146" s="243"/>
    </row>
    <row r="147" spans="1:4" ht="14.5" thickBot="1" x14ac:dyDescent="0.35">
      <c r="A147" s="240" t="s">
        <v>239</v>
      </c>
      <c r="B147" s="241"/>
      <c r="C147" s="238">
        <f>+E132</f>
        <v>12589882.51</v>
      </c>
      <c r="D147" s="239"/>
    </row>
    <row r="148" spans="1:4" ht="14.5" thickBot="1" x14ac:dyDescent="0.35">
      <c r="A148" s="240" t="s">
        <v>240</v>
      </c>
      <c r="B148" s="241"/>
      <c r="C148" s="242">
        <f>+C149/C147</f>
        <v>2.26899819099265E-2</v>
      </c>
      <c r="D148" s="243"/>
    </row>
    <row r="149" spans="1:4" ht="14.5" thickBot="1" x14ac:dyDescent="0.35">
      <c r="A149" s="240" t="s">
        <v>241</v>
      </c>
      <c r="B149" s="241"/>
      <c r="C149" s="238">
        <f>+G132</f>
        <v>285664.20640000002</v>
      </c>
      <c r="D149" s="239"/>
    </row>
    <row r="150" spans="1:4" ht="14.5" thickBot="1" x14ac:dyDescent="0.35">
      <c r="A150" s="240" t="s">
        <v>242</v>
      </c>
      <c r="B150" s="241"/>
      <c r="C150" s="238">
        <f>+H132</f>
        <v>529966.62360000005</v>
      </c>
      <c r="D150" s="239"/>
    </row>
    <row r="151" spans="1:4" ht="14.5" thickBot="1" x14ac:dyDescent="0.35">
      <c r="A151" s="236" t="s">
        <v>243</v>
      </c>
      <c r="B151" s="237"/>
      <c r="C151" s="238">
        <f>C149-C150</f>
        <v>-244302.41720000003</v>
      </c>
      <c r="D151" s="239"/>
    </row>
    <row r="152" spans="1:4" ht="14.5" thickBot="1" x14ac:dyDescent="0.35"/>
    <row r="153" spans="1:4" ht="14.5" thickBot="1" x14ac:dyDescent="0.35">
      <c r="A153" s="251" t="s">
        <v>247</v>
      </c>
      <c r="B153" s="252"/>
      <c r="C153" s="252"/>
      <c r="D153" s="253"/>
    </row>
    <row r="154" spans="1:4" ht="14.5" thickBot="1" x14ac:dyDescent="0.35">
      <c r="A154" s="240" t="s">
        <v>248</v>
      </c>
      <c r="B154" s="241"/>
      <c r="C154" s="238">
        <f>+C138+C147</f>
        <v>55284468.578963287</v>
      </c>
      <c r="D154" s="239"/>
    </row>
    <row r="155" spans="1:4" ht="14.5" thickBot="1" x14ac:dyDescent="0.35">
      <c r="A155" s="240" t="s">
        <v>249</v>
      </c>
      <c r="B155" s="241"/>
      <c r="C155" s="235"/>
      <c r="D155" s="234">
        <f>+C140+C149</f>
        <v>15684167.016986871</v>
      </c>
    </row>
    <row r="156" spans="1:4" ht="14.5" thickBot="1" x14ac:dyDescent="0.35">
      <c r="A156" s="240" t="s">
        <v>242</v>
      </c>
      <c r="B156" s="241"/>
      <c r="C156" s="238">
        <f>H133</f>
        <v>4547099.4046526961</v>
      </c>
      <c r="D156" s="239"/>
    </row>
    <row r="157" spans="1:4" ht="14.5" thickBot="1" x14ac:dyDescent="0.35">
      <c r="A157" s="236" t="s">
        <v>243</v>
      </c>
      <c r="B157" s="237"/>
      <c r="C157" s="238">
        <f>D155-C156</f>
        <v>11137067.612334175</v>
      </c>
      <c r="D157" s="239"/>
    </row>
  </sheetData>
  <mergeCells count="54">
    <mergeCell ref="A82:B82"/>
    <mergeCell ref="A1:K1"/>
    <mergeCell ref="A3:K3"/>
    <mergeCell ref="A4:K4"/>
    <mergeCell ref="A69:B69"/>
    <mergeCell ref="A70:K70"/>
    <mergeCell ref="A136:B136"/>
    <mergeCell ref="C136:D136"/>
    <mergeCell ref="A83:K83"/>
    <mergeCell ref="A103:B103"/>
    <mergeCell ref="A104:B104"/>
    <mergeCell ref="A105:K105"/>
    <mergeCell ref="A106:K106"/>
    <mergeCell ref="A124:B124"/>
    <mergeCell ref="A125:K125"/>
    <mergeCell ref="A131:B131"/>
    <mergeCell ref="A132:B132"/>
    <mergeCell ref="A133:B133"/>
    <mergeCell ref="A135:D135"/>
    <mergeCell ref="A137:B137"/>
    <mergeCell ref="C137:D137"/>
    <mergeCell ref="A138:B138"/>
    <mergeCell ref="C138:D138"/>
    <mergeCell ref="A139:B139"/>
    <mergeCell ref="C139:D139"/>
    <mergeCell ref="A147:B147"/>
    <mergeCell ref="C147:D147"/>
    <mergeCell ref="A140:B140"/>
    <mergeCell ref="C140:D140"/>
    <mergeCell ref="A141:B141"/>
    <mergeCell ref="C141:D141"/>
    <mergeCell ref="A142:B142"/>
    <mergeCell ref="C142:D142"/>
    <mergeCell ref="A144:D144"/>
    <mergeCell ref="A145:B145"/>
    <mergeCell ref="C145:D145"/>
    <mergeCell ref="A146:B146"/>
    <mergeCell ref="C146:D146"/>
    <mergeCell ref="A148:B148"/>
    <mergeCell ref="C148:D148"/>
    <mergeCell ref="A149:B149"/>
    <mergeCell ref="C149:D149"/>
    <mergeCell ref="A150:B150"/>
    <mergeCell ref="C150:D150"/>
    <mergeCell ref="A156:B156"/>
    <mergeCell ref="C156:D156"/>
    <mergeCell ref="A157:B157"/>
    <mergeCell ref="C157:D157"/>
    <mergeCell ref="A151:B151"/>
    <mergeCell ref="C151:D151"/>
    <mergeCell ref="A153:D153"/>
    <mergeCell ref="A154:B154"/>
    <mergeCell ref="C154:D154"/>
    <mergeCell ref="A155:B155"/>
  </mergeCells>
  <pageMargins left="0.7" right="0.7" top="0.75" bottom="0.75" header="0.3" footer="0.3"/>
  <pageSetup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61375-D592-455D-B217-828ABFD5050F}">
  <dimension ref="A1:U149"/>
  <sheetViews>
    <sheetView topLeftCell="B57" zoomScaleNormal="100" workbookViewId="0">
      <selection activeCell="H69" sqref="H69"/>
    </sheetView>
  </sheetViews>
  <sheetFormatPr defaultColWidth="9.1796875" defaultRowHeight="14" x14ac:dyDescent="0.3"/>
  <cols>
    <col min="1" max="1" width="18.7265625" style="10" bestFit="1" customWidth="1"/>
    <col min="2" max="2" width="33.54296875" style="100" bestFit="1" customWidth="1"/>
    <col min="3" max="3" width="15.1796875" style="10" bestFit="1" customWidth="1"/>
    <col min="4" max="4" width="14.1796875" style="10" customWidth="1"/>
    <col min="5" max="5" width="17.7265625" style="10" customWidth="1"/>
    <col min="6" max="6" width="13.1796875" style="10" bestFit="1" customWidth="1"/>
    <col min="7" max="7" width="16.26953125" style="10" customWidth="1"/>
    <col min="8" max="8" width="15.54296875" style="10" bestFit="1" customWidth="1"/>
    <col min="9" max="9" width="15.7265625" style="35" customWidth="1"/>
    <col min="10" max="10" width="14" style="10" bestFit="1" customWidth="1"/>
    <col min="11" max="11" width="57.453125" style="100" customWidth="1"/>
    <col min="12" max="12" width="42.453125" style="10" customWidth="1"/>
    <col min="13" max="13" width="28.1796875" style="10" customWidth="1"/>
    <col min="14" max="14" width="16.81640625" style="10" customWidth="1"/>
    <col min="15" max="15" width="17.81640625" style="10" customWidth="1"/>
    <col min="16" max="16" width="23.1796875" style="10" customWidth="1"/>
    <col min="17" max="17" width="17.7265625" style="10" customWidth="1"/>
    <col min="18" max="18" width="17.26953125" style="10" customWidth="1"/>
    <col min="19" max="19" width="16.453125" style="10" customWidth="1"/>
    <col min="20" max="20" width="13.453125" style="10" customWidth="1"/>
    <col min="21" max="21" width="14.1796875" style="10" customWidth="1"/>
    <col min="22" max="16384" width="9.1796875" style="10"/>
  </cols>
  <sheetData>
    <row r="1" spans="1:21" s="149" customFormat="1" ht="15" customHeight="1" x14ac:dyDescent="0.3">
      <c r="A1" s="263" t="s">
        <v>250</v>
      </c>
      <c r="B1" s="263"/>
      <c r="C1" s="263"/>
      <c r="D1" s="263"/>
      <c r="E1" s="263"/>
      <c r="F1" s="263"/>
      <c r="G1" s="263"/>
      <c r="H1" s="263"/>
      <c r="I1" s="263"/>
      <c r="J1" s="263"/>
      <c r="K1" s="263"/>
      <c r="M1" s="142" t="s">
        <v>1</v>
      </c>
      <c r="N1" s="150"/>
    </row>
    <row r="2" spans="1:21" s="149" customFormat="1" ht="93.75" customHeight="1" x14ac:dyDescent="0.25">
      <c r="A2" s="1" t="s">
        <v>2</v>
      </c>
      <c r="B2" s="99" t="s">
        <v>3</v>
      </c>
      <c r="C2" s="3" t="s">
        <v>4</v>
      </c>
      <c r="D2" s="4" t="s">
        <v>5</v>
      </c>
      <c r="E2" s="20" t="s">
        <v>6</v>
      </c>
      <c r="F2" s="5" t="s">
        <v>7</v>
      </c>
      <c r="G2" s="21" t="s">
        <v>8</v>
      </c>
      <c r="H2" s="6" t="s">
        <v>9</v>
      </c>
      <c r="I2" s="32" t="s">
        <v>10</v>
      </c>
      <c r="J2" s="7" t="s">
        <v>11</v>
      </c>
      <c r="K2" s="101" t="s">
        <v>13</v>
      </c>
      <c r="L2" s="151"/>
      <c r="M2" s="152" t="s">
        <v>14</v>
      </c>
      <c r="N2" s="153" t="s">
        <v>15</v>
      </c>
      <c r="O2" s="152" t="s">
        <v>16</v>
      </c>
      <c r="P2" s="152" t="s">
        <v>17</v>
      </c>
      <c r="Q2" s="152" t="s">
        <v>18</v>
      </c>
      <c r="R2" s="152" t="s">
        <v>19</v>
      </c>
      <c r="S2" s="152" t="s">
        <v>20</v>
      </c>
      <c r="T2" s="152" t="s">
        <v>21</v>
      </c>
      <c r="U2" s="154"/>
    </row>
    <row r="3" spans="1:21" s="149" customFormat="1" ht="15" customHeight="1" x14ac:dyDescent="0.3">
      <c r="A3" s="244" t="s">
        <v>22</v>
      </c>
      <c r="B3" s="244"/>
      <c r="C3" s="244"/>
      <c r="D3" s="244"/>
      <c r="E3" s="244"/>
      <c r="F3" s="244"/>
      <c r="G3" s="244"/>
      <c r="H3" s="244"/>
      <c r="I3" s="244"/>
      <c r="J3" s="244"/>
      <c r="K3" s="244"/>
      <c r="M3" s="149">
        <v>89</v>
      </c>
      <c r="N3" s="155">
        <v>1810</v>
      </c>
      <c r="O3" s="149">
        <v>6243959</v>
      </c>
      <c r="P3" s="149">
        <v>1379126</v>
      </c>
      <c r="Q3" s="149">
        <v>1464744</v>
      </c>
      <c r="R3" s="142">
        <v>3400090</v>
      </c>
      <c r="S3" s="156">
        <v>37417</v>
      </c>
      <c r="T3" s="156">
        <v>3289</v>
      </c>
      <c r="U3" s="157"/>
    </row>
    <row r="4" spans="1:21" s="149" customFormat="1" ht="15" customHeight="1" x14ac:dyDescent="0.3">
      <c r="A4" s="264" t="s">
        <v>23</v>
      </c>
      <c r="B4" s="264"/>
      <c r="C4" s="264"/>
      <c r="D4" s="264"/>
      <c r="E4" s="264"/>
      <c r="F4" s="264"/>
      <c r="G4" s="264"/>
      <c r="H4" s="264"/>
      <c r="I4" s="264"/>
      <c r="J4" s="264"/>
      <c r="K4" s="264"/>
      <c r="L4" s="158"/>
      <c r="M4" s="149" t="s">
        <v>24</v>
      </c>
      <c r="N4" s="149" t="s">
        <v>25</v>
      </c>
      <c r="O4" s="149" t="s">
        <v>26</v>
      </c>
      <c r="P4" s="149" t="s">
        <v>26</v>
      </c>
      <c r="Q4" s="149" t="s">
        <v>26</v>
      </c>
      <c r="R4" s="143" t="s">
        <v>26</v>
      </c>
      <c r="S4" s="148" t="s">
        <v>26</v>
      </c>
      <c r="T4" s="156" t="s">
        <v>27</v>
      </c>
      <c r="U4" s="157"/>
    </row>
    <row r="5" spans="1:21" ht="14.5" x14ac:dyDescent="0.3">
      <c r="A5" s="98">
        <v>246.4</v>
      </c>
      <c r="B5" s="64" t="s">
        <v>28</v>
      </c>
      <c r="C5" s="23">
        <v>89</v>
      </c>
      <c r="D5" s="23">
        <v>1</v>
      </c>
      <c r="E5" s="41">
        <f>C5*D5</f>
        <v>89</v>
      </c>
      <c r="F5" s="19">
        <v>134.62</v>
      </c>
      <c r="G5" s="41">
        <f>E5*F5</f>
        <v>11981.18</v>
      </c>
      <c r="H5" s="25">
        <f>'2020'!G5</f>
        <v>11981.18</v>
      </c>
      <c r="I5" s="24">
        <f>G5-H5</f>
        <v>0</v>
      </c>
      <c r="J5" s="24">
        <f>G5-H5</f>
        <v>0</v>
      </c>
      <c r="K5" s="159" t="s">
        <v>27</v>
      </c>
      <c r="N5" s="35"/>
      <c r="S5" s="160"/>
      <c r="T5" s="157"/>
      <c r="U5" s="157"/>
    </row>
    <row r="6" spans="1:21" ht="14.5" x14ac:dyDescent="0.3">
      <c r="A6" s="98" t="s">
        <v>29</v>
      </c>
      <c r="B6" s="64" t="s">
        <v>30</v>
      </c>
      <c r="C6" s="23">
        <f>1810*0.5</f>
        <v>905</v>
      </c>
      <c r="D6" s="23">
        <v>1</v>
      </c>
      <c r="E6" s="41">
        <f t="shared" ref="E6:E65" si="0">C6*D6</f>
        <v>905</v>
      </c>
      <c r="F6" s="19">
        <v>2</v>
      </c>
      <c r="G6" s="41">
        <f t="shared" ref="G6:G63" si="1">E6*F6</f>
        <v>1810</v>
      </c>
      <c r="H6" s="25">
        <f>'2020'!G6</f>
        <v>1808</v>
      </c>
      <c r="I6" s="24">
        <v>0</v>
      </c>
      <c r="J6" s="24">
        <f t="shared" ref="J6:J64" si="2">G6-H6</f>
        <v>2</v>
      </c>
      <c r="K6" s="159" t="s">
        <v>42</v>
      </c>
      <c r="N6" s="35"/>
      <c r="R6" s="161"/>
      <c r="S6" s="160"/>
      <c r="T6" s="157"/>
      <c r="U6" s="157"/>
    </row>
    <row r="7" spans="1:21" ht="14.5" x14ac:dyDescent="0.3">
      <c r="A7" s="98" t="s">
        <v>32</v>
      </c>
      <c r="B7" s="64" t="s">
        <v>33</v>
      </c>
      <c r="C7" s="23">
        <v>4</v>
      </c>
      <c r="D7" s="23">
        <v>1</v>
      </c>
      <c r="E7" s="41">
        <f t="shared" si="0"/>
        <v>4</v>
      </c>
      <c r="F7" s="19">
        <v>0.16700000000000001</v>
      </c>
      <c r="G7" s="41">
        <f t="shared" si="1"/>
        <v>0.66800000000000004</v>
      </c>
      <c r="H7" s="25">
        <v>0</v>
      </c>
      <c r="I7" s="24">
        <f t="shared" ref="I7:I68" si="3">G7-H7</f>
        <v>0.66800000000000004</v>
      </c>
      <c r="J7" s="24">
        <v>0</v>
      </c>
      <c r="K7" s="162" t="s">
        <v>34</v>
      </c>
      <c r="N7" s="35"/>
      <c r="R7" s="161"/>
      <c r="S7" s="160"/>
      <c r="T7" s="157"/>
      <c r="U7" s="157"/>
    </row>
    <row r="8" spans="1:21" ht="14.5" x14ac:dyDescent="0.3">
      <c r="A8" s="98" t="s">
        <v>231</v>
      </c>
      <c r="B8" s="64" t="s">
        <v>232</v>
      </c>
      <c r="C8" s="23">
        <f>(89*0.33)</f>
        <v>29.37</v>
      </c>
      <c r="D8" s="23">
        <v>1</v>
      </c>
      <c r="E8" s="41">
        <f t="shared" si="0"/>
        <v>29.37</v>
      </c>
      <c r="F8" s="19">
        <v>0.5</v>
      </c>
      <c r="G8" s="41">
        <f t="shared" si="1"/>
        <v>14.685</v>
      </c>
      <c r="H8" s="25">
        <v>0</v>
      </c>
      <c r="I8" s="24">
        <f t="shared" si="3"/>
        <v>14.685</v>
      </c>
      <c r="J8" s="24">
        <v>0</v>
      </c>
      <c r="K8" s="162" t="s">
        <v>34</v>
      </c>
      <c r="N8" s="35"/>
      <c r="R8" s="161"/>
      <c r="S8" s="160"/>
      <c r="T8" s="157"/>
      <c r="U8" s="157"/>
    </row>
    <row r="9" spans="1:21" ht="17.25" customHeight="1" x14ac:dyDescent="0.3">
      <c r="A9" s="98" t="s">
        <v>35</v>
      </c>
      <c r="B9" s="102" t="s">
        <v>36</v>
      </c>
      <c r="C9" s="23">
        <v>4</v>
      </c>
      <c r="D9" s="23">
        <f>(1810/89)*0.02</f>
        <v>0.40674157303370784</v>
      </c>
      <c r="E9" s="41">
        <f t="shared" si="0"/>
        <v>1.6269662921348313</v>
      </c>
      <c r="F9" s="19">
        <v>0.5</v>
      </c>
      <c r="G9" s="41">
        <f t="shared" si="1"/>
        <v>0.81348314606741567</v>
      </c>
      <c r="H9" s="25"/>
      <c r="I9" s="24">
        <f t="shared" si="3"/>
        <v>0.81348314606741567</v>
      </c>
      <c r="J9" s="24">
        <v>0</v>
      </c>
      <c r="K9" s="162" t="s">
        <v>34</v>
      </c>
      <c r="N9" s="35"/>
      <c r="R9" s="161"/>
      <c r="S9" s="160"/>
      <c r="T9" s="157"/>
      <c r="U9" s="157"/>
    </row>
    <row r="10" spans="1:21" ht="14.5" x14ac:dyDescent="0.3">
      <c r="A10" s="98">
        <v>246.6</v>
      </c>
      <c r="B10" s="64" t="s">
        <v>37</v>
      </c>
      <c r="C10" s="23">
        <f>1810*0.5</f>
        <v>905</v>
      </c>
      <c r="D10" s="23">
        <v>1</v>
      </c>
      <c r="E10" s="41">
        <f t="shared" si="0"/>
        <v>905</v>
      </c>
      <c r="F10" s="19">
        <v>1.5</v>
      </c>
      <c r="G10" s="41">
        <f t="shared" si="1"/>
        <v>1357.5</v>
      </c>
      <c r="H10" s="25">
        <f>'2020'!G7</f>
        <v>1356</v>
      </c>
      <c r="I10" s="24">
        <v>0</v>
      </c>
      <c r="J10" s="24">
        <f t="shared" si="2"/>
        <v>1.5</v>
      </c>
      <c r="K10" s="159" t="s">
        <v>42</v>
      </c>
      <c r="N10" s="35"/>
      <c r="R10" s="161"/>
      <c r="S10" s="160"/>
      <c r="T10" s="157"/>
      <c r="U10" s="157"/>
    </row>
    <row r="11" spans="1:21" ht="28" x14ac:dyDescent="0.3">
      <c r="A11" s="98" t="s">
        <v>38</v>
      </c>
      <c r="B11" s="64" t="s">
        <v>39</v>
      </c>
      <c r="C11" s="23">
        <v>89</v>
      </c>
      <c r="D11" s="23">
        <f>(1810/89)</f>
        <v>20.337078651685392</v>
      </c>
      <c r="E11" s="41">
        <f t="shared" si="0"/>
        <v>1809.9999999999998</v>
      </c>
      <c r="F11" s="19">
        <v>0.25</v>
      </c>
      <c r="G11" s="41">
        <f t="shared" si="1"/>
        <v>452.49999999999994</v>
      </c>
      <c r="H11" s="25">
        <v>0</v>
      </c>
      <c r="I11" s="24">
        <f>G11-H11</f>
        <v>452.49999999999994</v>
      </c>
      <c r="J11" s="24">
        <v>0</v>
      </c>
      <c r="K11" s="162" t="s">
        <v>34</v>
      </c>
      <c r="N11" s="35"/>
      <c r="R11" s="161"/>
      <c r="S11" s="160"/>
      <c r="T11" s="157"/>
      <c r="U11" s="157"/>
    </row>
    <row r="12" spans="1:21" ht="14.25" customHeight="1" x14ac:dyDescent="0.3">
      <c r="A12" s="98" t="s">
        <v>40</v>
      </c>
      <c r="B12" s="64" t="s">
        <v>41</v>
      </c>
      <c r="C12" s="23">
        <f>1810/6</f>
        <v>301.66666666666669</v>
      </c>
      <c r="D12" s="23">
        <v>1</v>
      </c>
      <c r="E12" s="41">
        <f t="shared" si="0"/>
        <v>301.66666666666669</v>
      </c>
      <c r="F12" s="19">
        <v>0.25</v>
      </c>
      <c r="G12" s="41">
        <f t="shared" si="1"/>
        <v>75.416666666666671</v>
      </c>
      <c r="H12" s="25">
        <f>'2020'!G8</f>
        <v>75.325000000000003</v>
      </c>
      <c r="I12" s="24">
        <v>0</v>
      </c>
      <c r="J12" s="24">
        <f t="shared" si="2"/>
        <v>9.1666666666668561E-2</v>
      </c>
      <c r="K12" s="159" t="s">
        <v>42</v>
      </c>
      <c r="N12" s="35"/>
      <c r="R12" s="161"/>
      <c r="S12" s="160"/>
      <c r="T12" s="157"/>
      <c r="U12" s="157"/>
    </row>
    <row r="13" spans="1:21" ht="11.25" hidden="1" customHeight="1" x14ac:dyDescent="0.3">
      <c r="A13" s="98" t="s">
        <v>43</v>
      </c>
      <c r="B13" s="64" t="s">
        <v>44</v>
      </c>
      <c r="C13" s="23"/>
      <c r="D13" s="23"/>
      <c r="E13" s="41">
        <f t="shared" si="0"/>
        <v>0</v>
      </c>
      <c r="F13" s="19"/>
      <c r="G13" s="41">
        <f t="shared" si="1"/>
        <v>0</v>
      </c>
      <c r="H13" s="25">
        <f>'2020'!G9</f>
        <v>1428439</v>
      </c>
      <c r="I13" s="24">
        <f t="shared" si="3"/>
        <v>-1428439</v>
      </c>
      <c r="J13" s="24">
        <f t="shared" si="2"/>
        <v>-1428439</v>
      </c>
      <c r="K13" s="159" t="s">
        <v>27</v>
      </c>
      <c r="N13" s="35"/>
      <c r="O13" s="35"/>
      <c r="P13" s="35"/>
      <c r="R13" s="161"/>
      <c r="S13" s="160"/>
      <c r="T13" s="163"/>
      <c r="U13" s="157"/>
    </row>
    <row r="14" spans="1:21" ht="40.5" customHeight="1" x14ac:dyDescent="0.3">
      <c r="A14" s="98" t="s">
        <v>45</v>
      </c>
      <c r="B14" s="64" t="s">
        <v>46</v>
      </c>
      <c r="C14" s="23">
        <f>1810*0.7</f>
        <v>1267</v>
      </c>
      <c r="D14" s="23">
        <f>(1379126*0.7)/1267</f>
        <v>761.9480662983425</v>
      </c>
      <c r="E14" s="41">
        <f t="shared" si="0"/>
        <v>965388.2</v>
      </c>
      <c r="F14" s="19">
        <v>0.41749999999999998</v>
      </c>
      <c r="G14" s="41">
        <f t="shared" si="1"/>
        <v>403049.57349999994</v>
      </c>
      <c r="H14" s="25">
        <f>'2020'!G10</f>
        <v>545711</v>
      </c>
      <c r="I14" s="24">
        <v>0</v>
      </c>
      <c r="J14" s="24">
        <f t="shared" si="2"/>
        <v>-142661.42650000006</v>
      </c>
      <c r="K14" s="64" t="s">
        <v>47</v>
      </c>
      <c r="N14" s="35"/>
      <c r="P14" s="27"/>
      <c r="R14" s="161"/>
      <c r="S14" s="163"/>
      <c r="T14" s="157"/>
      <c r="U14" s="157"/>
    </row>
    <row r="15" spans="1:21" ht="99.75" customHeight="1" x14ac:dyDescent="0.3">
      <c r="A15" s="98" t="s">
        <v>43</v>
      </c>
      <c r="B15" s="64" t="s">
        <v>48</v>
      </c>
      <c r="C15" s="23">
        <f>1810*0.7</f>
        <v>1267</v>
      </c>
      <c r="D15" s="23">
        <f>(3400090*0.7)/1267</f>
        <v>1878.5027624309391</v>
      </c>
      <c r="E15" s="189">
        <f t="shared" si="0"/>
        <v>2380063</v>
      </c>
      <c r="F15" s="19">
        <v>0.41749999999999998</v>
      </c>
      <c r="G15" s="41">
        <f t="shared" si="1"/>
        <v>993676.30249999999</v>
      </c>
      <c r="H15" s="25">
        <f>'2020'!G11</f>
        <v>882728</v>
      </c>
      <c r="I15" s="24">
        <v>0</v>
      </c>
      <c r="J15" s="24">
        <f t="shared" si="2"/>
        <v>110948.30249999999</v>
      </c>
      <c r="K15" s="64" t="s">
        <v>49</v>
      </c>
      <c r="N15" s="35"/>
      <c r="P15" s="164"/>
      <c r="R15" s="161"/>
      <c r="S15" s="157"/>
      <c r="T15" s="157"/>
      <c r="U15" s="157"/>
    </row>
    <row r="16" spans="1:21" ht="36" customHeight="1" x14ac:dyDescent="0.3">
      <c r="A16" s="98" t="s">
        <v>43</v>
      </c>
      <c r="B16" s="64" t="s">
        <v>50</v>
      </c>
      <c r="C16" s="23">
        <f>1810*0.7</f>
        <v>1267</v>
      </c>
      <c r="D16" s="23">
        <f>1*(1464744*0.7/1267)</f>
        <v>809.25082872928169</v>
      </c>
      <c r="E16" s="41">
        <f t="shared" si="0"/>
        <v>1025320.7999999999</v>
      </c>
      <c r="F16" s="19">
        <v>0.41749999999999998</v>
      </c>
      <c r="G16" s="41">
        <f t="shared" si="1"/>
        <v>428071.43399999995</v>
      </c>
      <c r="H16" s="25">
        <f>'2020'!G12</f>
        <v>285970.967</v>
      </c>
      <c r="I16" s="24">
        <v>0</v>
      </c>
      <c r="J16" s="24">
        <f t="shared" si="2"/>
        <v>142100.46699999995</v>
      </c>
      <c r="K16" s="64" t="s">
        <v>51</v>
      </c>
      <c r="N16" s="35"/>
      <c r="P16" s="165"/>
      <c r="R16" s="161"/>
      <c r="S16" s="160"/>
      <c r="T16" s="157"/>
      <c r="U16" s="157"/>
    </row>
    <row r="17" spans="1:21" ht="14.5" x14ac:dyDescent="0.3">
      <c r="A17" s="98" t="s">
        <v>52</v>
      </c>
      <c r="B17" s="64" t="s">
        <v>53</v>
      </c>
      <c r="C17" s="23">
        <v>4</v>
      </c>
      <c r="D17" s="23">
        <v>1</v>
      </c>
      <c r="E17" s="41">
        <f t="shared" si="0"/>
        <v>4</v>
      </c>
      <c r="F17" s="19">
        <v>8.3500000000000005E-2</v>
      </c>
      <c r="G17" s="41">
        <f t="shared" si="1"/>
        <v>0.33400000000000002</v>
      </c>
      <c r="H17" s="25">
        <f>'2020'!G13</f>
        <v>0.33400000000000002</v>
      </c>
      <c r="I17" s="24">
        <f t="shared" si="3"/>
        <v>0</v>
      </c>
      <c r="J17" s="24">
        <f t="shared" si="2"/>
        <v>0</v>
      </c>
      <c r="K17" s="159" t="s">
        <v>27</v>
      </c>
      <c r="N17" s="35"/>
      <c r="R17" s="161"/>
      <c r="S17" s="160"/>
      <c r="T17" s="157"/>
      <c r="U17" s="157"/>
    </row>
    <row r="18" spans="1:21" ht="14.5" x14ac:dyDescent="0.3">
      <c r="A18" s="98" t="s">
        <v>54</v>
      </c>
      <c r="B18" s="64" t="s">
        <v>55</v>
      </c>
      <c r="C18" s="23">
        <v>1810</v>
      </c>
      <c r="D18" s="23">
        <f>((0.03*6243959)/1810)</f>
        <v>103.49103314917126</v>
      </c>
      <c r="E18" s="41">
        <f t="shared" si="0"/>
        <v>187318.77</v>
      </c>
      <c r="F18" s="19">
        <v>8.3500000000000005E-2</v>
      </c>
      <c r="G18" s="41">
        <f t="shared" si="1"/>
        <v>15641.117295</v>
      </c>
      <c r="H18" s="25">
        <f>'2020'!G14</f>
        <v>17210</v>
      </c>
      <c r="I18" s="24">
        <v>0</v>
      </c>
      <c r="J18" s="24">
        <f t="shared" si="2"/>
        <v>-1568.882705</v>
      </c>
      <c r="K18" s="159" t="s">
        <v>56</v>
      </c>
      <c r="N18" s="35"/>
    </row>
    <row r="19" spans="1:21" ht="14.5" x14ac:dyDescent="0.3">
      <c r="A19" s="103">
        <v>246.8</v>
      </c>
      <c r="B19" s="104" t="s">
        <v>57</v>
      </c>
      <c r="C19" s="105">
        <v>79</v>
      </c>
      <c r="D19" s="105">
        <v>1</v>
      </c>
      <c r="E19" s="41">
        <f t="shared" si="0"/>
        <v>79</v>
      </c>
      <c r="F19" s="106">
        <v>3</v>
      </c>
      <c r="G19" s="133">
        <f t="shared" si="1"/>
        <v>237</v>
      </c>
      <c r="H19" s="107">
        <v>0</v>
      </c>
      <c r="I19" s="24">
        <f t="shared" si="3"/>
        <v>237</v>
      </c>
      <c r="J19" s="24">
        <v>0</v>
      </c>
      <c r="K19" s="166" t="s">
        <v>34</v>
      </c>
      <c r="N19" s="35"/>
    </row>
    <row r="20" spans="1:21" ht="42" x14ac:dyDescent="0.3">
      <c r="A20" s="98" t="s">
        <v>58</v>
      </c>
      <c r="B20" s="64" t="s">
        <v>59</v>
      </c>
      <c r="C20" s="23">
        <v>89</v>
      </c>
      <c r="D20" s="23">
        <f>(6243959*0.02)/89</f>
        <v>1403.1368539325842</v>
      </c>
      <c r="E20" s="41">
        <f t="shared" si="0"/>
        <v>124879.18</v>
      </c>
      <c r="F20" s="19">
        <v>8.3500000000000005E-2</v>
      </c>
      <c r="G20" s="41">
        <f t="shared" si="1"/>
        <v>10427.411529999999</v>
      </c>
      <c r="H20" s="25">
        <v>0</v>
      </c>
      <c r="I20" s="24">
        <f t="shared" si="3"/>
        <v>10427.411529999999</v>
      </c>
      <c r="J20" s="24">
        <v>0</v>
      </c>
      <c r="K20" s="159" t="s">
        <v>34</v>
      </c>
      <c r="N20" s="35"/>
    </row>
    <row r="21" spans="1:21" ht="28" x14ac:dyDescent="0.3">
      <c r="A21" s="98" t="s">
        <v>60</v>
      </c>
      <c r="B21" s="64" t="s">
        <v>61</v>
      </c>
      <c r="C21" s="23">
        <v>89</v>
      </c>
      <c r="D21" s="23">
        <f>(6243959*0.02*0.02)/89</f>
        <v>28.06273707865169</v>
      </c>
      <c r="E21" s="41">
        <f t="shared" si="0"/>
        <v>2497.5836000000004</v>
      </c>
      <c r="F21" s="19">
        <v>3</v>
      </c>
      <c r="G21" s="41">
        <f t="shared" si="1"/>
        <v>7492.7508000000016</v>
      </c>
      <c r="H21" s="25">
        <v>0</v>
      </c>
      <c r="I21" s="24">
        <f t="shared" si="3"/>
        <v>7492.7508000000016</v>
      </c>
      <c r="J21" s="24">
        <v>0</v>
      </c>
      <c r="K21" s="159" t="s">
        <v>34</v>
      </c>
      <c r="N21" s="35"/>
    </row>
    <row r="22" spans="1:21" ht="14.5" x14ac:dyDescent="0.3">
      <c r="A22" s="98" t="s">
        <v>62</v>
      </c>
      <c r="B22" s="64" t="s">
        <v>63</v>
      </c>
      <c r="C22" s="23">
        <v>89</v>
      </c>
      <c r="D22" s="23">
        <v>1</v>
      </c>
      <c r="E22" s="41">
        <f t="shared" si="0"/>
        <v>89</v>
      </c>
      <c r="F22" s="19">
        <v>40</v>
      </c>
      <c r="G22" s="41">
        <f t="shared" si="1"/>
        <v>3560</v>
      </c>
      <c r="H22" s="25">
        <f>'2020'!G15</f>
        <v>3560</v>
      </c>
      <c r="I22" s="24">
        <f t="shared" si="3"/>
        <v>0</v>
      </c>
      <c r="J22" s="24">
        <f t="shared" si="2"/>
        <v>0</v>
      </c>
      <c r="K22" s="159" t="s">
        <v>27</v>
      </c>
      <c r="N22" s="35"/>
    </row>
    <row r="23" spans="1:21" ht="14.5" x14ac:dyDescent="0.3">
      <c r="A23" s="98" t="s">
        <v>64</v>
      </c>
      <c r="B23" s="64" t="s">
        <v>65</v>
      </c>
      <c r="C23" s="23">
        <v>54</v>
      </c>
      <c r="D23" s="23">
        <v>4</v>
      </c>
      <c r="E23" s="41">
        <f t="shared" si="0"/>
        <v>216</v>
      </c>
      <c r="F23" s="19">
        <v>8.3000000000000001E-3</v>
      </c>
      <c r="G23" s="41">
        <f t="shared" si="1"/>
        <v>1.7927999999999999</v>
      </c>
      <c r="H23" s="25">
        <f>'2020'!G16</f>
        <v>1.7927999999999999</v>
      </c>
      <c r="I23" s="24">
        <f t="shared" si="3"/>
        <v>0</v>
      </c>
      <c r="J23" s="24">
        <f t="shared" si="2"/>
        <v>0</v>
      </c>
      <c r="K23" s="167" t="s">
        <v>27</v>
      </c>
      <c r="N23" s="35"/>
    </row>
    <row r="24" spans="1:21" ht="28" x14ac:dyDescent="0.3">
      <c r="A24" s="98" t="s">
        <v>66</v>
      </c>
      <c r="B24" s="64" t="s">
        <v>67</v>
      </c>
      <c r="C24" s="23">
        <v>1810</v>
      </c>
      <c r="D24" s="23">
        <f>(1464744*0.01)/1810</f>
        <v>8.0925082872928176</v>
      </c>
      <c r="E24" s="41">
        <f t="shared" si="0"/>
        <v>14647.44</v>
      </c>
      <c r="F24" s="19">
        <v>3.3399999999999999E-2</v>
      </c>
      <c r="G24" s="41">
        <f t="shared" si="1"/>
        <v>489.22449599999999</v>
      </c>
      <c r="H24" s="25">
        <f>'2020'!G17</f>
        <v>572</v>
      </c>
      <c r="I24" s="24">
        <v>0</v>
      </c>
      <c r="J24" s="24">
        <f t="shared" si="2"/>
        <v>-82.775504000000012</v>
      </c>
      <c r="K24" s="64" t="s">
        <v>251</v>
      </c>
      <c r="N24" s="35"/>
    </row>
    <row r="25" spans="1:21" ht="14.5" x14ac:dyDescent="0.3">
      <c r="A25" s="98" t="s">
        <v>69</v>
      </c>
      <c r="B25" s="64" t="s">
        <v>70</v>
      </c>
      <c r="C25" s="23">
        <f>(1/5)</f>
        <v>0.2</v>
      </c>
      <c r="D25" s="23">
        <v>1</v>
      </c>
      <c r="E25" s="41">
        <f t="shared" si="0"/>
        <v>0.2</v>
      </c>
      <c r="F25" s="19">
        <v>2</v>
      </c>
      <c r="G25" s="41">
        <f t="shared" si="1"/>
        <v>0.4</v>
      </c>
      <c r="H25" s="25"/>
      <c r="I25" s="24">
        <f t="shared" si="3"/>
        <v>0.4</v>
      </c>
      <c r="J25" s="24">
        <f t="shared" si="2"/>
        <v>0.4</v>
      </c>
      <c r="K25" s="64" t="s">
        <v>34</v>
      </c>
      <c r="N25" s="35"/>
    </row>
    <row r="26" spans="1:21" ht="28" x14ac:dyDescent="0.3">
      <c r="A26" s="98" t="s">
        <v>71</v>
      </c>
      <c r="B26" s="64" t="s">
        <v>72</v>
      </c>
      <c r="C26" s="23">
        <v>1810</v>
      </c>
      <c r="D26" s="23">
        <f>(6243960/1810)</f>
        <v>3449.7016574585637</v>
      </c>
      <c r="E26" s="41">
        <f t="shared" si="0"/>
        <v>6243960</v>
      </c>
      <c r="F26" s="19">
        <v>0.25</v>
      </c>
      <c r="G26" s="41">
        <f t="shared" si="1"/>
        <v>1560990</v>
      </c>
      <c r="H26" s="25">
        <v>0</v>
      </c>
      <c r="I26" s="24">
        <f t="shared" si="3"/>
        <v>1560990</v>
      </c>
      <c r="J26" s="24">
        <v>0</v>
      </c>
      <c r="K26" s="64" t="s">
        <v>34</v>
      </c>
      <c r="N26" s="35"/>
    </row>
    <row r="27" spans="1:21" ht="14.5" x14ac:dyDescent="0.3">
      <c r="A27" s="98" t="s">
        <v>73</v>
      </c>
      <c r="B27" s="64" t="s">
        <v>74</v>
      </c>
      <c r="C27" s="23">
        <v>1810</v>
      </c>
      <c r="D27" s="23">
        <v>1</v>
      </c>
      <c r="E27" s="41">
        <f t="shared" si="0"/>
        <v>1810</v>
      </c>
      <c r="F27" s="19">
        <v>40</v>
      </c>
      <c r="G27" s="41">
        <f t="shared" si="1"/>
        <v>72400</v>
      </c>
      <c r="H27" s="25">
        <f>'2020'!G18</f>
        <v>72320</v>
      </c>
      <c r="I27" s="24">
        <v>0</v>
      </c>
      <c r="J27" s="24">
        <f t="shared" si="2"/>
        <v>80</v>
      </c>
      <c r="K27" s="159" t="s">
        <v>42</v>
      </c>
      <c r="N27" s="35"/>
    </row>
    <row r="28" spans="1:21" ht="14.5" x14ac:dyDescent="0.3">
      <c r="A28" s="98" t="s">
        <v>75</v>
      </c>
      <c r="B28" s="64" t="s">
        <v>76</v>
      </c>
      <c r="C28" s="23">
        <v>89</v>
      </c>
      <c r="D28" s="23">
        <v>1</v>
      </c>
      <c r="E28" s="41">
        <f t="shared" si="0"/>
        <v>89</v>
      </c>
      <c r="F28" s="19">
        <v>3</v>
      </c>
      <c r="G28" s="41">
        <f t="shared" si="1"/>
        <v>267</v>
      </c>
      <c r="H28" s="25">
        <v>0</v>
      </c>
      <c r="I28" s="24">
        <f t="shared" si="3"/>
        <v>267</v>
      </c>
      <c r="J28" s="24">
        <v>0</v>
      </c>
      <c r="K28" s="159" t="s">
        <v>34</v>
      </c>
      <c r="N28" s="35"/>
    </row>
    <row r="29" spans="1:21" ht="14.5" x14ac:dyDescent="0.3">
      <c r="A29" s="98" t="s">
        <v>77</v>
      </c>
      <c r="B29" s="64" t="s">
        <v>78</v>
      </c>
      <c r="C29" s="23">
        <v>89</v>
      </c>
      <c r="D29" s="23">
        <v>1</v>
      </c>
      <c r="E29" s="41">
        <f t="shared" si="0"/>
        <v>89</v>
      </c>
      <c r="F29" s="19">
        <v>3</v>
      </c>
      <c r="G29" s="41">
        <f t="shared" si="1"/>
        <v>267</v>
      </c>
      <c r="H29" s="25">
        <v>0</v>
      </c>
      <c r="I29" s="24">
        <f t="shared" si="3"/>
        <v>267</v>
      </c>
      <c r="J29" s="24">
        <v>0</v>
      </c>
      <c r="K29" s="159" t="s">
        <v>34</v>
      </c>
      <c r="N29" s="35"/>
    </row>
    <row r="30" spans="1:21" ht="14.5" x14ac:dyDescent="0.3">
      <c r="A30" s="98" t="s">
        <v>79</v>
      </c>
      <c r="B30" s="64" t="s">
        <v>80</v>
      </c>
      <c r="C30" s="23">
        <v>89</v>
      </c>
      <c r="D30" s="23">
        <f>(840)/89</f>
        <v>9.4382022471910112</v>
      </c>
      <c r="E30" s="41">
        <f t="shared" si="0"/>
        <v>840</v>
      </c>
      <c r="F30" s="19">
        <v>4</v>
      </c>
      <c r="G30" s="41">
        <f t="shared" si="1"/>
        <v>3360</v>
      </c>
      <c r="H30" s="25">
        <f>'2020'!G19</f>
        <v>14764</v>
      </c>
      <c r="I30" s="24">
        <f t="shared" si="3"/>
        <v>-11404</v>
      </c>
      <c r="J30" s="24">
        <f t="shared" si="2"/>
        <v>-11404</v>
      </c>
      <c r="K30" s="104" t="s">
        <v>81</v>
      </c>
      <c r="N30" s="35"/>
    </row>
    <row r="31" spans="1:21" ht="14.5" x14ac:dyDescent="0.3">
      <c r="A31" s="98" t="s">
        <v>82</v>
      </c>
      <c r="B31" s="64" t="s">
        <v>83</v>
      </c>
      <c r="C31" s="23">
        <v>79</v>
      </c>
      <c r="D31" s="23">
        <f>2*(37417/79)</f>
        <v>947.2658227848101</v>
      </c>
      <c r="E31" s="41">
        <f t="shared" si="0"/>
        <v>74834</v>
      </c>
      <c r="F31" s="19">
        <v>2</v>
      </c>
      <c r="G31" s="41">
        <f t="shared" si="1"/>
        <v>149668</v>
      </c>
      <c r="H31" s="25">
        <f>'2020'!G20</f>
        <v>164656</v>
      </c>
      <c r="I31" s="24">
        <v>0</v>
      </c>
      <c r="J31" s="24">
        <f t="shared" si="2"/>
        <v>-14988</v>
      </c>
      <c r="K31" s="159" t="s">
        <v>84</v>
      </c>
      <c r="N31" s="35"/>
    </row>
    <row r="32" spans="1:21" ht="14.5" x14ac:dyDescent="0.3">
      <c r="A32" s="98" t="s">
        <v>82</v>
      </c>
      <c r="B32" s="64" t="s">
        <v>85</v>
      </c>
      <c r="C32" s="23">
        <v>5</v>
      </c>
      <c r="D32" s="23">
        <v>1</v>
      </c>
      <c r="E32" s="41">
        <f t="shared" si="0"/>
        <v>5</v>
      </c>
      <c r="F32" s="19">
        <v>8</v>
      </c>
      <c r="G32" s="41">
        <f t="shared" si="1"/>
        <v>40</v>
      </c>
      <c r="H32" s="25">
        <f>'2020'!G21</f>
        <v>40</v>
      </c>
      <c r="I32" s="24">
        <f t="shared" si="3"/>
        <v>0</v>
      </c>
      <c r="J32" s="24">
        <f t="shared" si="2"/>
        <v>0</v>
      </c>
      <c r="K32" s="159" t="s">
        <v>27</v>
      </c>
      <c r="N32" s="35"/>
    </row>
    <row r="33" spans="1:14" ht="14.5" x14ac:dyDescent="0.3">
      <c r="A33" s="98" t="s">
        <v>86</v>
      </c>
      <c r="B33" s="64" t="s">
        <v>87</v>
      </c>
      <c r="C33" s="23">
        <v>89</v>
      </c>
      <c r="D33" s="23">
        <v>1</v>
      </c>
      <c r="E33" s="41">
        <f t="shared" si="0"/>
        <v>89</v>
      </c>
      <c r="F33" s="19">
        <v>3</v>
      </c>
      <c r="G33" s="41">
        <f t="shared" si="1"/>
        <v>267</v>
      </c>
      <c r="H33" s="25">
        <v>0</v>
      </c>
      <c r="I33" s="24">
        <f t="shared" si="3"/>
        <v>267</v>
      </c>
      <c r="J33" s="24">
        <v>0</v>
      </c>
      <c r="K33" s="159" t="s">
        <v>34</v>
      </c>
      <c r="N33" s="35"/>
    </row>
    <row r="34" spans="1:14" ht="14.5" x14ac:dyDescent="0.3">
      <c r="A34" s="98" t="s">
        <v>88</v>
      </c>
      <c r="B34" s="64" t="s">
        <v>89</v>
      </c>
      <c r="C34" s="23">
        <v>89</v>
      </c>
      <c r="D34" s="23">
        <v>17</v>
      </c>
      <c r="E34" s="41">
        <f t="shared" si="0"/>
        <v>1513</v>
      </c>
      <c r="F34" s="19">
        <v>1</v>
      </c>
      <c r="G34" s="41">
        <f t="shared" si="1"/>
        <v>1513</v>
      </c>
      <c r="H34" s="25">
        <v>0</v>
      </c>
      <c r="I34" s="24">
        <f t="shared" si="3"/>
        <v>1513</v>
      </c>
      <c r="J34" s="24">
        <v>0</v>
      </c>
      <c r="K34" s="166" t="s">
        <v>34</v>
      </c>
      <c r="N34" s="35"/>
    </row>
    <row r="35" spans="1:14" ht="14.5" x14ac:dyDescent="0.3">
      <c r="A35" s="98" t="s">
        <v>90</v>
      </c>
      <c r="B35" s="64" t="s">
        <v>91</v>
      </c>
      <c r="C35" s="23">
        <v>89</v>
      </c>
      <c r="D35" s="23">
        <v>1</v>
      </c>
      <c r="E35" s="41">
        <f t="shared" si="0"/>
        <v>89</v>
      </c>
      <c r="F35" s="19">
        <v>3</v>
      </c>
      <c r="G35" s="41">
        <f t="shared" si="1"/>
        <v>267</v>
      </c>
      <c r="H35" s="25">
        <v>0</v>
      </c>
      <c r="I35" s="24">
        <f t="shared" si="3"/>
        <v>267</v>
      </c>
      <c r="J35" s="24">
        <v>0</v>
      </c>
      <c r="K35" s="159" t="s">
        <v>34</v>
      </c>
      <c r="N35" s="35"/>
    </row>
    <row r="36" spans="1:14" ht="28" x14ac:dyDescent="0.3">
      <c r="A36" s="98" t="s">
        <v>92</v>
      </c>
      <c r="B36" s="64" t="s">
        <v>93</v>
      </c>
      <c r="C36" s="23">
        <v>89</v>
      </c>
      <c r="D36" s="23">
        <f>(0.33*37417)/89</f>
        <v>138.73719101123595</v>
      </c>
      <c r="E36" s="41">
        <f t="shared" si="0"/>
        <v>12347.609999999999</v>
      </c>
      <c r="F36" s="19">
        <v>0.67800000000000005</v>
      </c>
      <c r="G36" s="41">
        <f t="shared" si="1"/>
        <v>8371.67958</v>
      </c>
      <c r="H36" s="25">
        <v>0</v>
      </c>
      <c r="I36" s="24">
        <f t="shared" si="3"/>
        <v>8371.67958</v>
      </c>
      <c r="J36" s="24">
        <v>0</v>
      </c>
      <c r="K36" s="159" t="s">
        <v>34</v>
      </c>
      <c r="N36" s="35"/>
    </row>
    <row r="37" spans="1:14" ht="14.5" x14ac:dyDescent="0.3">
      <c r="A37" s="98" t="s">
        <v>94</v>
      </c>
      <c r="B37" s="64" t="s">
        <v>95</v>
      </c>
      <c r="C37" s="23">
        <v>89</v>
      </c>
      <c r="D37" s="23">
        <v>1</v>
      </c>
      <c r="E37" s="41">
        <f t="shared" si="0"/>
        <v>89</v>
      </c>
      <c r="F37" s="19">
        <v>8</v>
      </c>
      <c r="G37" s="41">
        <f t="shared" si="1"/>
        <v>712</v>
      </c>
      <c r="H37" s="25">
        <f>'2020'!G22</f>
        <v>712</v>
      </c>
      <c r="I37" s="24">
        <f t="shared" si="3"/>
        <v>0</v>
      </c>
      <c r="J37" s="24">
        <f t="shared" si="2"/>
        <v>0</v>
      </c>
      <c r="K37" s="159" t="s">
        <v>27</v>
      </c>
      <c r="N37" s="35"/>
    </row>
    <row r="38" spans="1:14" ht="14.5" x14ac:dyDescent="0.3">
      <c r="A38" s="98" t="s">
        <v>94</v>
      </c>
      <c r="B38" s="64" t="s">
        <v>96</v>
      </c>
      <c r="C38" s="24">
        <v>89</v>
      </c>
      <c r="D38" s="23">
        <f>(S3/89)</f>
        <v>420.41573033707863</v>
      </c>
      <c r="E38" s="41">
        <f t="shared" si="0"/>
        <v>37417</v>
      </c>
      <c r="F38" s="19">
        <v>2</v>
      </c>
      <c r="G38" s="41">
        <f t="shared" si="1"/>
        <v>74834</v>
      </c>
      <c r="H38" s="25">
        <f>'2020'!G23</f>
        <v>82328</v>
      </c>
      <c r="I38" s="24">
        <v>0</v>
      </c>
      <c r="J38" s="24">
        <f t="shared" si="2"/>
        <v>-7494</v>
      </c>
      <c r="K38" s="159" t="s">
        <v>84</v>
      </c>
      <c r="N38" s="35"/>
    </row>
    <row r="39" spans="1:14" ht="102" customHeight="1" x14ac:dyDescent="0.3">
      <c r="A39" s="98" t="s">
        <v>97</v>
      </c>
      <c r="B39" s="64" t="s">
        <v>98</v>
      </c>
      <c r="C39" s="24">
        <v>89</v>
      </c>
      <c r="D39" s="23">
        <f>(0.05*37417)/89</f>
        <v>21.020786516853935</v>
      </c>
      <c r="E39" s="41">
        <f t="shared" si="0"/>
        <v>1870.8500000000001</v>
      </c>
      <c r="F39" s="19">
        <v>1.3340000000000001</v>
      </c>
      <c r="G39" s="41">
        <f t="shared" si="1"/>
        <v>2495.7139000000002</v>
      </c>
      <c r="H39" s="25">
        <v>0</v>
      </c>
      <c r="I39" s="24">
        <f t="shared" si="3"/>
        <v>2495.7139000000002</v>
      </c>
      <c r="J39" s="24">
        <v>0</v>
      </c>
      <c r="K39" s="159" t="s">
        <v>34</v>
      </c>
      <c r="N39" s="35"/>
    </row>
    <row r="40" spans="1:14" ht="14.5" x14ac:dyDescent="0.3">
      <c r="A40" s="98" t="s">
        <v>99</v>
      </c>
      <c r="B40" s="64" t="s">
        <v>100</v>
      </c>
      <c r="C40" s="24">
        <v>89</v>
      </c>
      <c r="D40" s="23">
        <f>(37417*0.05)/89</f>
        <v>21.020786516853935</v>
      </c>
      <c r="E40" s="41">
        <f t="shared" si="0"/>
        <v>1870.8500000000001</v>
      </c>
      <c r="F40" s="19">
        <v>2.3340000000000001</v>
      </c>
      <c r="G40" s="41">
        <f t="shared" si="1"/>
        <v>4366.5639000000001</v>
      </c>
      <c r="H40" s="25">
        <f>'2020'!G24</f>
        <v>4116.4000000000005</v>
      </c>
      <c r="I40" s="24">
        <v>0</v>
      </c>
      <c r="J40" s="24">
        <f t="shared" si="2"/>
        <v>250.16389999999956</v>
      </c>
      <c r="K40" s="166" t="s">
        <v>84</v>
      </c>
      <c r="N40" s="35"/>
    </row>
    <row r="41" spans="1:14" ht="28" x14ac:dyDescent="0.3">
      <c r="A41" s="98" t="s">
        <v>102</v>
      </c>
      <c r="B41" s="64" t="s">
        <v>103</v>
      </c>
      <c r="C41" s="24">
        <v>2</v>
      </c>
      <c r="D41" s="23">
        <v>1</v>
      </c>
      <c r="E41" s="41">
        <f t="shared" si="0"/>
        <v>2</v>
      </c>
      <c r="F41" s="19">
        <v>3</v>
      </c>
      <c r="G41" s="41">
        <f t="shared" si="1"/>
        <v>6</v>
      </c>
      <c r="H41" s="25">
        <v>0</v>
      </c>
      <c r="I41" s="24">
        <f t="shared" si="3"/>
        <v>6</v>
      </c>
      <c r="J41" s="24">
        <v>0</v>
      </c>
      <c r="K41" s="159" t="s">
        <v>34</v>
      </c>
      <c r="N41" s="35"/>
    </row>
    <row r="42" spans="1:14" ht="14.5" x14ac:dyDescent="0.3">
      <c r="A42" s="98" t="s">
        <v>104</v>
      </c>
      <c r="B42" s="64" t="s">
        <v>105</v>
      </c>
      <c r="C42" s="24">
        <v>89</v>
      </c>
      <c r="D42" s="23">
        <f>(37417*0.02)/89</f>
        <v>8.4083146067415733</v>
      </c>
      <c r="E42" s="41">
        <f t="shared" si="0"/>
        <v>748.34</v>
      </c>
      <c r="F42" s="19">
        <v>0.05</v>
      </c>
      <c r="G42" s="41">
        <f t="shared" si="1"/>
        <v>37.417000000000002</v>
      </c>
      <c r="H42" s="25">
        <v>0</v>
      </c>
      <c r="I42" s="24">
        <f t="shared" si="3"/>
        <v>37.417000000000002</v>
      </c>
      <c r="J42" s="24">
        <v>0</v>
      </c>
      <c r="K42" s="159" t="s">
        <v>34</v>
      </c>
      <c r="N42" s="35"/>
    </row>
    <row r="43" spans="1:14" ht="14.5" x14ac:dyDescent="0.3">
      <c r="A43" s="98" t="s">
        <v>106</v>
      </c>
      <c r="B43" s="64" t="s">
        <v>107</v>
      </c>
      <c r="C43" s="24">
        <v>1</v>
      </c>
      <c r="D43" s="23">
        <v>12</v>
      </c>
      <c r="E43" s="41">
        <f>C43*D43</f>
        <v>12</v>
      </c>
      <c r="F43" s="19">
        <v>40</v>
      </c>
      <c r="G43" s="41">
        <f>E43*F43</f>
        <v>480</v>
      </c>
      <c r="H43" s="25">
        <v>0</v>
      </c>
      <c r="I43" s="24">
        <f t="shared" si="3"/>
        <v>480</v>
      </c>
      <c r="J43" s="24">
        <v>0</v>
      </c>
      <c r="K43" s="159" t="s">
        <v>34</v>
      </c>
      <c r="N43" s="35"/>
    </row>
    <row r="44" spans="1:14" ht="14.5" x14ac:dyDescent="0.3">
      <c r="A44" s="98" t="s">
        <v>108</v>
      </c>
      <c r="B44" s="64" t="s">
        <v>109</v>
      </c>
      <c r="C44" s="23">
        <v>89</v>
      </c>
      <c r="D44" s="23">
        <f>10000/89</f>
        <v>112.35955056179775</v>
      </c>
      <c r="E44" s="41">
        <f t="shared" si="0"/>
        <v>10000</v>
      </c>
      <c r="F44" s="19">
        <v>1</v>
      </c>
      <c r="G44" s="41">
        <f t="shared" si="1"/>
        <v>10000</v>
      </c>
      <c r="H44" s="25">
        <f>'2020'!G25</f>
        <v>10000</v>
      </c>
      <c r="I44" s="24">
        <f t="shared" si="3"/>
        <v>0</v>
      </c>
      <c r="J44" s="24">
        <f t="shared" si="2"/>
        <v>0</v>
      </c>
      <c r="K44" s="159" t="s">
        <v>27</v>
      </c>
      <c r="N44" s="35"/>
    </row>
    <row r="45" spans="1:14" ht="28" x14ac:dyDescent="0.3">
      <c r="A45" s="98" t="s">
        <v>110</v>
      </c>
      <c r="B45" s="64" t="s">
        <v>111</v>
      </c>
      <c r="C45" s="23">
        <v>89</v>
      </c>
      <c r="D45" s="23">
        <v>1</v>
      </c>
      <c r="E45" s="41">
        <f t="shared" si="0"/>
        <v>89</v>
      </c>
      <c r="F45" s="19">
        <v>2</v>
      </c>
      <c r="G45" s="41">
        <f t="shared" si="1"/>
        <v>178</v>
      </c>
      <c r="H45" s="25">
        <v>0</v>
      </c>
      <c r="I45" s="24">
        <f t="shared" si="3"/>
        <v>178</v>
      </c>
      <c r="J45" s="24">
        <v>0</v>
      </c>
      <c r="K45" s="159" t="s">
        <v>34</v>
      </c>
      <c r="N45" s="35"/>
    </row>
    <row r="46" spans="1:14" ht="14.5" x14ac:dyDescent="0.3">
      <c r="A46" s="98" t="s">
        <v>112</v>
      </c>
      <c r="B46" s="64" t="s">
        <v>113</v>
      </c>
      <c r="C46" s="23">
        <v>89</v>
      </c>
      <c r="D46" s="23">
        <v>1</v>
      </c>
      <c r="E46" s="41">
        <f t="shared" si="0"/>
        <v>89</v>
      </c>
      <c r="F46" s="19">
        <v>40</v>
      </c>
      <c r="G46" s="41">
        <f t="shared" si="1"/>
        <v>3560</v>
      </c>
      <c r="H46" s="25">
        <f>'2020'!G26</f>
        <v>3560</v>
      </c>
      <c r="I46" s="24">
        <f t="shared" si="3"/>
        <v>0</v>
      </c>
      <c r="J46" s="24">
        <f t="shared" si="2"/>
        <v>0</v>
      </c>
      <c r="K46" s="159" t="s">
        <v>27</v>
      </c>
      <c r="N46" s="35"/>
    </row>
    <row r="47" spans="1:14" ht="14.5" x14ac:dyDescent="0.3">
      <c r="A47" s="98" t="s">
        <v>114</v>
      </c>
      <c r="B47" s="64" t="s">
        <v>115</v>
      </c>
      <c r="C47" s="23">
        <v>89</v>
      </c>
      <c r="D47" s="23">
        <f>(6243959*0.02)/89</f>
        <v>1403.1368539325842</v>
      </c>
      <c r="E47" s="41">
        <f t="shared" si="0"/>
        <v>124879.18</v>
      </c>
      <c r="F47" s="19">
        <v>8.3500000000000005E-2</v>
      </c>
      <c r="G47" s="41">
        <f t="shared" si="1"/>
        <v>10427.411529999999</v>
      </c>
      <c r="H47" s="25">
        <v>0</v>
      </c>
      <c r="I47" s="24">
        <f t="shared" si="3"/>
        <v>10427.411529999999</v>
      </c>
      <c r="J47" s="24">
        <v>0</v>
      </c>
      <c r="K47" s="159" t="s">
        <v>34</v>
      </c>
      <c r="N47" s="35"/>
    </row>
    <row r="48" spans="1:14" ht="28" x14ac:dyDescent="0.3">
      <c r="A48" s="98" t="s">
        <v>116</v>
      </c>
      <c r="B48" s="64" t="s">
        <v>117</v>
      </c>
      <c r="C48" s="23">
        <v>89</v>
      </c>
      <c r="D48" s="23">
        <f>(0.3*3289)/89</f>
        <v>11.086516853932583</v>
      </c>
      <c r="E48" s="41">
        <f t="shared" si="0"/>
        <v>986.69999999999993</v>
      </c>
      <c r="F48" s="19">
        <v>0.67800000000000005</v>
      </c>
      <c r="G48" s="41">
        <f t="shared" si="1"/>
        <v>668.98260000000005</v>
      </c>
      <c r="H48" s="25">
        <v>0</v>
      </c>
      <c r="I48" s="24">
        <f t="shared" si="3"/>
        <v>668.98260000000005</v>
      </c>
      <c r="J48" s="24">
        <v>0</v>
      </c>
      <c r="K48" s="159" t="s">
        <v>34</v>
      </c>
      <c r="N48" s="35"/>
    </row>
    <row r="49" spans="1:14" ht="14.5" x14ac:dyDescent="0.3">
      <c r="A49" s="98" t="s">
        <v>118</v>
      </c>
      <c r="B49" s="64" t="s">
        <v>119</v>
      </c>
      <c r="C49" s="23">
        <v>89</v>
      </c>
      <c r="D49" s="23">
        <f>(3289*0.02)/89</f>
        <v>0.73910112359550562</v>
      </c>
      <c r="E49" s="41">
        <f>C49*D49</f>
        <v>65.78</v>
      </c>
      <c r="F49" s="19">
        <v>8.3500000000000005E-2</v>
      </c>
      <c r="G49" s="41">
        <f>E49*F49</f>
        <v>5.4926300000000001</v>
      </c>
      <c r="H49" s="25">
        <v>0</v>
      </c>
      <c r="I49" s="24">
        <f t="shared" si="3"/>
        <v>5.4926300000000001</v>
      </c>
      <c r="J49" s="24">
        <v>0</v>
      </c>
      <c r="K49" s="159" t="s">
        <v>34</v>
      </c>
      <c r="N49" s="35"/>
    </row>
    <row r="50" spans="1:14" ht="28" x14ac:dyDescent="0.3">
      <c r="A50" s="98" t="s">
        <v>120</v>
      </c>
      <c r="B50" s="64" t="s">
        <v>121</v>
      </c>
      <c r="C50" s="23">
        <v>89</v>
      </c>
      <c r="D50" s="23">
        <v>1</v>
      </c>
      <c r="E50" s="41">
        <f>C50*D50</f>
        <v>89</v>
      </c>
      <c r="F50" s="19">
        <v>3</v>
      </c>
      <c r="G50" s="41">
        <f>E50*F50</f>
        <v>267</v>
      </c>
      <c r="H50" s="25">
        <v>0</v>
      </c>
      <c r="I50" s="24">
        <f t="shared" si="3"/>
        <v>267</v>
      </c>
      <c r="J50" s="24">
        <v>0</v>
      </c>
      <c r="K50" s="159" t="s">
        <v>34</v>
      </c>
      <c r="N50" s="35"/>
    </row>
    <row r="51" spans="1:14" ht="87" customHeight="1" x14ac:dyDescent="0.3">
      <c r="A51" s="98" t="s">
        <v>122</v>
      </c>
      <c r="B51" s="64" t="s">
        <v>123</v>
      </c>
      <c r="C51" s="23">
        <v>20</v>
      </c>
      <c r="D51" s="23">
        <v>1</v>
      </c>
      <c r="E51" s="41">
        <f t="shared" si="0"/>
        <v>20</v>
      </c>
      <c r="F51" s="19">
        <v>160</v>
      </c>
      <c r="G51" s="41">
        <f t="shared" si="1"/>
        <v>3200</v>
      </c>
      <c r="H51" s="25">
        <f>'2020'!G27</f>
        <v>3200</v>
      </c>
      <c r="I51" s="24">
        <f t="shared" si="3"/>
        <v>0</v>
      </c>
      <c r="J51" s="24">
        <f t="shared" si="2"/>
        <v>0</v>
      </c>
      <c r="K51" s="168" t="s">
        <v>27</v>
      </c>
      <c r="N51" s="35"/>
    </row>
    <row r="52" spans="1:14" ht="28" x14ac:dyDescent="0.3">
      <c r="A52" s="98" t="s">
        <v>124</v>
      </c>
      <c r="B52" s="64" t="s">
        <v>125</v>
      </c>
      <c r="C52" s="23">
        <v>27</v>
      </c>
      <c r="D52" s="23">
        <v>1</v>
      </c>
      <c r="E52" s="41">
        <f t="shared" si="0"/>
        <v>27</v>
      </c>
      <c r="F52" s="19">
        <v>2</v>
      </c>
      <c r="G52" s="41">
        <f t="shared" si="1"/>
        <v>54</v>
      </c>
      <c r="H52" s="25">
        <v>0</v>
      </c>
      <c r="I52" s="24">
        <f t="shared" si="3"/>
        <v>54</v>
      </c>
      <c r="J52" s="24">
        <v>0</v>
      </c>
      <c r="K52" s="168" t="s">
        <v>34</v>
      </c>
      <c r="N52" s="35"/>
    </row>
    <row r="53" spans="1:14" ht="14.5" x14ac:dyDescent="0.3">
      <c r="A53" s="98" t="s">
        <v>126</v>
      </c>
      <c r="B53" s="64" t="s">
        <v>127</v>
      </c>
      <c r="C53" s="23">
        <v>89</v>
      </c>
      <c r="D53" s="23">
        <f>(1810*4)/89</f>
        <v>81.348314606741567</v>
      </c>
      <c r="E53" s="41">
        <f t="shared" si="0"/>
        <v>7239.9999999999991</v>
      </c>
      <c r="F53" s="19">
        <v>2</v>
      </c>
      <c r="G53" s="41">
        <f t="shared" si="1"/>
        <v>14479.999999999998</v>
      </c>
      <c r="H53" s="25">
        <f>'2020'!G28</f>
        <v>14464</v>
      </c>
      <c r="I53" s="24">
        <v>0</v>
      </c>
      <c r="J53" s="24">
        <f t="shared" si="2"/>
        <v>15.999999999998181</v>
      </c>
      <c r="K53" s="169" t="s">
        <v>128</v>
      </c>
      <c r="N53" s="35"/>
    </row>
    <row r="54" spans="1:14" ht="42" x14ac:dyDescent="0.3">
      <c r="A54" s="98" t="s">
        <v>129</v>
      </c>
      <c r="B54" s="64" t="s">
        <v>130</v>
      </c>
      <c r="C54" s="23">
        <v>30</v>
      </c>
      <c r="D54" s="23">
        <v>1</v>
      </c>
      <c r="E54" s="41">
        <f t="shared" si="0"/>
        <v>30</v>
      </c>
      <c r="F54" s="19">
        <v>1.5</v>
      </c>
      <c r="G54" s="41">
        <f t="shared" si="1"/>
        <v>45</v>
      </c>
      <c r="H54" s="25">
        <v>0</v>
      </c>
      <c r="I54" s="24">
        <f t="shared" si="3"/>
        <v>45</v>
      </c>
      <c r="J54" s="24">
        <v>0</v>
      </c>
      <c r="K54" s="168" t="s">
        <v>34</v>
      </c>
      <c r="N54" s="35"/>
    </row>
    <row r="55" spans="1:14" ht="28" x14ac:dyDescent="0.3">
      <c r="A55" s="98" t="s">
        <v>131</v>
      </c>
      <c r="B55" s="64" t="s">
        <v>132</v>
      </c>
      <c r="C55" s="23">
        <f>79/5</f>
        <v>15.8</v>
      </c>
      <c r="D55" s="23">
        <v>1</v>
      </c>
      <c r="E55" s="41">
        <f t="shared" si="0"/>
        <v>15.8</v>
      </c>
      <c r="F55" s="19">
        <v>1968</v>
      </c>
      <c r="G55" s="41">
        <f t="shared" si="1"/>
        <v>31094.400000000001</v>
      </c>
      <c r="H55" s="25">
        <v>0</v>
      </c>
      <c r="I55" s="24">
        <f t="shared" si="3"/>
        <v>31094.400000000001</v>
      </c>
      <c r="J55" s="24">
        <v>0</v>
      </c>
      <c r="K55" s="168" t="s">
        <v>34</v>
      </c>
      <c r="N55" s="35"/>
    </row>
    <row r="56" spans="1:14" ht="14.5" x14ac:dyDescent="0.3">
      <c r="A56" s="98" t="s">
        <v>133</v>
      </c>
      <c r="B56" s="64" t="s">
        <v>134</v>
      </c>
      <c r="C56" s="23">
        <v>2</v>
      </c>
      <c r="D56" s="23">
        <v>1</v>
      </c>
      <c r="E56" s="41">
        <f t="shared" si="0"/>
        <v>2</v>
      </c>
      <c r="F56" s="19">
        <v>8</v>
      </c>
      <c r="G56" s="41">
        <f t="shared" ref="G56" si="4">E56*F56</f>
        <v>16</v>
      </c>
      <c r="H56" s="25">
        <v>0</v>
      </c>
      <c r="I56" s="24">
        <f t="shared" si="3"/>
        <v>16</v>
      </c>
      <c r="J56" s="24">
        <v>0</v>
      </c>
      <c r="K56" s="168" t="s">
        <v>34</v>
      </c>
      <c r="N56" s="35"/>
    </row>
    <row r="57" spans="1:14" ht="28" x14ac:dyDescent="0.3">
      <c r="A57" s="98" t="s">
        <v>135</v>
      </c>
      <c r="B57" s="64" t="s">
        <v>136</v>
      </c>
      <c r="C57" s="23">
        <v>2</v>
      </c>
      <c r="D57" s="23">
        <v>1</v>
      </c>
      <c r="E57" s="41">
        <f t="shared" si="0"/>
        <v>2</v>
      </c>
      <c r="F57" s="19">
        <v>480</v>
      </c>
      <c r="G57" s="41">
        <f t="shared" si="1"/>
        <v>960</v>
      </c>
      <c r="H57" s="25">
        <v>0</v>
      </c>
      <c r="I57" s="24">
        <f t="shared" si="3"/>
        <v>960</v>
      </c>
      <c r="J57" s="24">
        <v>0</v>
      </c>
      <c r="K57" s="159" t="s">
        <v>34</v>
      </c>
      <c r="N57" s="35"/>
    </row>
    <row r="58" spans="1:14" ht="14.5" x14ac:dyDescent="0.3">
      <c r="A58" s="98" t="s">
        <v>137</v>
      </c>
      <c r="B58" s="64" t="s">
        <v>138</v>
      </c>
      <c r="C58" s="23">
        <v>89</v>
      </c>
      <c r="D58" s="23">
        <f>(10/89)</f>
        <v>0.11235955056179775</v>
      </c>
      <c r="E58" s="41">
        <f t="shared" si="0"/>
        <v>10</v>
      </c>
      <c r="F58" s="19">
        <v>8</v>
      </c>
      <c r="G58" s="41">
        <f t="shared" si="1"/>
        <v>80</v>
      </c>
      <c r="H58" s="25">
        <f>'2020'!G29</f>
        <v>80</v>
      </c>
      <c r="I58" s="24">
        <f t="shared" si="3"/>
        <v>0</v>
      </c>
      <c r="J58" s="24">
        <f t="shared" si="2"/>
        <v>0</v>
      </c>
      <c r="K58" s="159" t="s">
        <v>27</v>
      </c>
      <c r="N58" s="35"/>
    </row>
    <row r="59" spans="1:14" ht="28" x14ac:dyDescent="0.3">
      <c r="A59" s="98">
        <v>246.18</v>
      </c>
      <c r="B59" s="64" t="s">
        <v>139</v>
      </c>
      <c r="C59" s="23">
        <v>89</v>
      </c>
      <c r="D59" s="23">
        <f>((37417+3289)*0.02)/89</f>
        <v>9.1474157303370784</v>
      </c>
      <c r="E59" s="41">
        <f t="shared" si="0"/>
        <v>814.12</v>
      </c>
      <c r="F59" s="19">
        <v>2</v>
      </c>
      <c r="G59" s="41">
        <f t="shared" si="1"/>
        <v>1628.24</v>
      </c>
      <c r="H59" s="25">
        <v>0</v>
      </c>
      <c r="I59" s="24">
        <f t="shared" si="3"/>
        <v>1628.24</v>
      </c>
      <c r="J59" s="24">
        <v>0</v>
      </c>
      <c r="K59" s="110" t="s">
        <v>34</v>
      </c>
      <c r="N59" s="35"/>
    </row>
    <row r="60" spans="1:14" ht="14.5" x14ac:dyDescent="0.3">
      <c r="A60" s="98">
        <v>246.19</v>
      </c>
      <c r="B60" s="64" t="s">
        <v>142</v>
      </c>
      <c r="C60" s="23">
        <v>17</v>
      </c>
      <c r="D60" s="23">
        <v>1</v>
      </c>
      <c r="E60" s="41">
        <f t="shared" ref="E60" si="5">C60*D60</f>
        <v>17</v>
      </c>
      <c r="F60" s="19">
        <v>3</v>
      </c>
      <c r="G60" s="41">
        <f t="shared" ref="G60" si="6">E60*F60</f>
        <v>51</v>
      </c>
      <c r="H60" s="25">
        <v>0</v>
      </c>
      <c r="I60" s="24">
        <f t="shared" si="3"/>
        <v>51</v>
      </c>
      <c r="J60" s="24">
        <v>0</v>
      </c>
      <c r="K60" s="159" t="s">
        <v>34</v>
      </c>
      <c r="N60" s="35"/>
    </row>
    <row r="61" spans="1:14" ht="14.5" x14ac:dyDescent="0.3">
      <c r="A61" s="98" t="s">
        <v>140</v>
      </c>
      <c r="B61" s="64" t="s">
        <v>141</v>
      </c>
      <c r="C61" s="23">
        <f>89*0.33</f>
        <v>29.37</v>
      </c>
      <c r="D61" s="23">
        <v>1</v>
      </c>
      <c r="E61" s="41">
        <f t="shared" si="0"/>
        <v>29.37</v>
      </c>
      <c r="F61" s="19">
        <v>30</v>
      </c>
      <c r="G61" s="41">
        <f t="shared" si="1"/>
        <v>881.1</v>
      </c>
      <c r="H61" s="25">
        <f>'2020'!G30</f>
        <v>881.1</v>
      </c>
      <c r="I61" s="24">
        <f t="shared" si="3"/>
        <v>0</v>
      </c>
      <c r="J61" s="24">
        <f t="shared" si="2"/>
        <v>0</v>
      </c>
      <c r="K61" s="159" t="s">
        <v>27</v>
      </c>
      <c r="N61" s="35"/>
    </row>
    <row r="62" spans="1:14" ht="14.5" x14ac:dyDescent="0.3">
      <c r="A62" s="98" t="s">
        <v>143</v>
      </c>
      <c r="B62" s="64" t="s">
        <v>144</v>
      </c>
      <c r="C62" s="23">
        <v>89</v>
      </c>
      <c r="D62" s="23">
        <f>(1810/2)/89</f>
        <v>10.168539325842696</v>
      </c>
      <c r="E62" s="41">
        <f t="shared" si="0"/>
        <v>904.99999999999989</v>
      </c>
      <c r="F62" s="19">
        <v>2</v>
      </c>
      <c r="G62" s="41">
        <f t="shared" si="1"/>
        <v>1809.9999999999998</v>
      </c>
      <c r="H62" s="25">
        <v>0</v>
      </c>
      <c r="I62" s="24">
        <f t="shared" si="3"/>
        <v>1809.9999999999998</v>
      </c>
      <c r="J62" s="24">
        <v>0</v>
      </c>
      <c r="K62" s="159" t="s">
        <v>34</v>
      </c>
      <c r="N62" s="35"/>
    </row>
    <row r="63" spans="1:14" ht="14.5" x14ac:dyDescent="0.3">
      <c r="A63" s="98" t="s">
        <v>145</v>
      </c>
      <c r="B63" s="64" t="s">
        <v>146</v>
      </c>
      <c r="C63" s="23">
        <v>89</v>
      </c>
      <c r="D63" s="23">
        <f>(1810/89)*0.5*0.25</f>
        <v>2.542134831460674</v>
      </c>
      <c r="E63" s="41">
        <f t="shared" si="0"/>
        <v>226.24999999999997</v>
      </c>
      <c r="F63" s="19">
        <v>2</v>
      </c>
      <c r="G63" s="41">
        <f t="shared" si="1"/>
        <v>452.49999999999994</v>
      </c>
      <c r="H63" s="25">
        <f>'2020'!G31</f>
        <v>452</v>
      </c>
      <c r="I63" s="24">
        <v>0</v>
      </c>
      <c r="J63" s="24">
        <f t="shared" si="2"/>
        <v>0.49999999999994316</v>
      </c>
      <c r="K63" s="159" t="s">
        <v>128</v>
      </c>
      <c r="N63" s="35"/>
    </row>
    <row r="64" spans="1:14" ht="14.5" x14ac:dyDescent="0.3">
      <c r="A64" s="108" t="s">
        <v>147</v>
      </c>
      <c r="B64" s="64" t="s">
        <v>148</v>
      </c>
      <c r="C64" s="23">
        <v>1</v>
      </c>
      <c r="D64" s="23">
        <v>1</v>
      </c>
      <c r="E64" s="41">
        <f t="shared" si="0"/>
        <v>1</v>
      </c>
      <c r="F64" s="19">
        <v>40</v>
      </c>
      <c r="G64" s="41">
        <f t="shared" ref="G64:G68" si="7">E64*F64</f>
        <v>40</v>
      </c>
      <c r="H64" s="25">
        <f>'2020'!G32</f>
        <v>40</v>
      </c>
      <c r="I64" s="24">
        <f t="shared" si="3"/>
        <v>0</v>
      </c>
      <c r="J64" s="24">
        <f t="shared" si="2"/>
        <v>0</v>
      </c>
      <c r="K64" s="159" t="s">
        <v>27</v>
      </c>
    </row>
    <row r="65" spans="1:14" ht="14.5" x14ac:dyDescent="0.3">
      <c r="A65" s="109" t="s">
        <v>149</v>
      </c>
      <c r="B65" s="110" t="s">
        <v>150</v>
      </c>
      <c r="C65" s="23">
        <v>89</v>
      </c>
      <c r="D65" s="23">
        <v>1</v>
      </c>
      <c r="E65" s="41">
        <f t="shared" si="0"/>
        <v>89</v>
      </c>
      <c r="F65" s="19">
        <v>8</v>
      </c>
      <c r="G65" s="41">
        <f t="shared" si="7"/>
        <v>712</v>
      </c>
      <c r="H65" s="25">
        <v>0</v>
      </c>
      <c r="I65" s="24">
        <f t="shared" si="3"/>
        <v>712</v>
      </c>
      <c r="J65" s="24">
        <v>0</v>
      </c>
      <c r="K65" s="170" t="s">
        <v>34</v>
      </c>
    </row>
    <row r="66" spans="1:14" ht="14.5" x14ac:dyDescent="0.3">
      <c r="A66" s="98" t="s">
        <v>151</v>
      </c>
      <c r="B66" s="64" t="s">
        <v>152</v>
      </c>
      <c r="C66" s="23">
        <v>1</v>
      </c>
      <c r="D66" s="23">
        <v>1</v>
      </c>
      <c r="E66" s="41">
        <f t="shared" ref="E66:E68" si="8">C66*D66</f>
        <v>1</v>
      </c>
      <c r="F66" s="19">
        <v>2</v>
      </c>
      <c r="G66" s="41">
        <f t="shared" si="7"/>
        <v>2</v>
      </c>
      <c r="H66" s="25">
        <v>0</v>
      </c>
      <c r="I66" s="24">
        <f t="shared" si="3"/>
        <v>2</v>
      </c>
      <c r="J66" s="24">
        <v>0</v>
      </c>
      <c r="K66" s="110" t="s">
        <v>34</v>
      </c>
    </row>
    <row r="67" spans="1:14" ht="14.5" x14ac:dyDescent="0.3">
      <c r="A67" s="98" t="s">
        <v>153</v>
      </c>
      <c r="B67" s="64" t="s">
        <v>154</v>
      </c>
      <c r="C67" s="23">
        <v>1</v>
      </c>
      <c r="D67" s="23">
        <v>1</v>
      </c>
      <c r="E67" s="41">
        <f t="shared" si="8"/>
        <v>1</v>
      </c>
      <c r="F67" s="19">
        <v>2</v>
      </c>
      <c r="G67" s="41">
        <f t="shared" si="7"/>
        <v>2</v>
      </c>
      <c r="H67" s="25">
        <v>0</v>
      </c>
      <c r="I67" s="24">
        <f t="shared" si="3"/>
        <v>2</v>
      </c>
      <c r="J67" s="24">
        <v>0</v>
      </c>
      <c r="K67" s="110" t="s">
        <v>34</v>
      </c>
    </row>
    <row r="68" spans="1:14" ht="33" customHeight="1" x14ac:dyDescent="0.3">
      <c r="A68" s="144" t="s">
        <v>155</v>
      </c>
      <c r="B68" s="111" t="s">
        <v>156</v>
      </c>
      <c r="C68" s="23">
        <f>(89*0.25)</f>
        <v>22.25</v>
      </c>
      <c r="D68" s="23">
        <v>1</v>
      </c>
      <c r="E68" s="41">
        <f t="shared" si="8"/>
        <v>22.25</v>
      </c>
      <c r="F68" s="19">
        <v>0.25</v>
      </c>
      <c r="G68" s="41">
        <f t="shared" si="7"/>
        <v>5.5625</v>
      </c>
      <c r="H68" s="25">
        <v>0</v>
      </c>
      <c r="I68" s="24">
        <f t="shared" si="3"/>
        <v>5.5625</v>
      </c>
      <c r="J68" s="24">
        <v>0</v>
      </c>
      <c r="K68" s="171" t="s">
        <v>34</v>
      </c>
    </row>
    <row r="69" spans="1:14" ht="23.5" customHeight="1" x14ac:dyDescent="0.3">
      <c r="A69" s="248" t="s">
        <v>157</v>
      </c>
      <c r="B69" s="248"/>
      <c r="C69" s="11">
        <f>C5+1810</f>
        <v>1899</v>
      </c>
      <c r="D69" s="11">
        <f>E69/C69</f>
        <v>5912.5202407756478</v>
      </c>
      <c r="E69" s="11">
        <f>SUM(E5:E68)</f>
        <v>11227875.937232954</v>
      </c>
      <c r="F69" s="33">
        <f>G69/E69</f>
        <v>0.34194385377729669</v>
      </c>
      <c r="G69" s="11">
        <f>SUM(G5:G68)</f>
        <v>3839303.1677108132</v>
      </c>
      <c r="H69" s="187">
        <v>2122588</v>
      </c>
      <c r="I69" s="33">
        <f>SUM(I5:I68)</f>
        <v>201672.12855314597</v>
      </c>
      <c r="J69" s="11">
        <f>SUM(J5:J68)</f>
        <v>-1353238.6596423336</v>
      </c>
      <c r="K69" s="172"/>
    </row>
    <row r="70" spans="1:14" ht="42" customHeight="1" x14ac:dyDescent="0.3">
      <c r="A70" s="259" t="s">
        <v>158</v>
      </c>
      <c r="B70" s="259"/>
      <c r="C70" s="259"/>
      <c r="D70" s="259"/>
      <c r="E70" s="259"/>
      <c r="F70" s="259"/>
      <c r="G70" s="259"/>
      <c r="H70" s="259"/>
      <c r="I70" s="259"/>
      <c r="J70" s="259"/>
      <c r="K70" s="259"/>
      <c r="L70" s="35"/>
      <c r="M70" s="35"/>
    </row>
    <row r="71" spans="1:14" ht="87" customHeight="1" x14ac:dyDescent="0.3">
      <c r="A71" s="98" t="s">
        <v>43</v>
      </c>
      <c r="B71" s="64" t="s">
        <v>46</v>
      </c>
      <c r="C71" s="145">
        <v>1379126</v>
      </c>
      <c r="D71" s="23">
        <v>1</v>
      </c>
      <c r="E71" s="41">
        <f>C71*D71</f>
        <v>1379126</v>
      </c>
      <c r="F71" s="23">
        <v>0.41749999999999998</v>
      </c>
      <c r="G71" s="41">
        <f>E71*F71</f>
        <v>575785.10499999998</v>
      </c>
      <c r="H71" s="25">
        <f>'2020'!G35</f>
        <v>545710.576</v>
      </c>
      <c r="I71" s="112">
        <v>0</v>
      </c>
      <c r="J71" s="24">
        <f>G71-H71</f>
        <v>30074.52899999998</v>
      </c>
      <c r="K71" s="64" t="s">
        <v>159</v>
      </c>
      <c r="L71" s="35"/>
      <c r="M71" s="35"/>
      <c r="N71" s="35"/>
    </row>
    <row r="72" spans="1:14" ht="28" x14ac:dyDescent="0.3">
      <c r="A72" s="98" t="s">
        <v>43</v>
      </c>
      <c r="B72" s="64" t="s">
        <v>160</v>
      </c>
      <c r="C72" s="146">
        <v>3400090</v>
      </c>
      <c r="D72" s="23">
        <v>1</v>
      </c>
      <c r="E72" s="41">
        <f t="shared" ref="E72:E81" si="9">C72*D72</f>
        <v>3400090</v>
      </c>
      <c r="F72" s="23">
        <v>0.41749999999999998</v>
      </c>
      <c r="G72" s="41">
        <f t="shared" ref="G72:G81" si="10">E72*F72</f>
        <v>1419537.575</v>
      </c>
      <c r="H72" s="25">
        <f>'2020'!G36</f>
        <v>882727.68150000006</v>
      </c>
      <c r="I72" s="112">
        <v>0</v>
      </c>
      <c r="J72" s="24">
        <f t="shared" ref="J72:J78" si="11">G72-H72</f>
        <v>536809.89349999989</v>
      </c>
      <c r="K72" s="64" t="s">
        <v>161</v>
      </c>
      <c r="L72" s="35"/>
      <c r="M72" s="35"/>
    </row>
    <row r="73" spans="1:14" ht="28" x14ac:dyDescent="0.3">
      <c r="A73" s="98" t="s">
        <v>43</v>
      </c>
      <c r="B73" s="64" t="s">
        <v>50</v>
      </c>
      <c r="C73" s="145">
        <v>1464744</v>
      </c>
      <c r="D73" s="23">
        <v>1</v>
      </c>
      <c r="E73" s="41">
        <f t="shared" si="9"/>
        <v>1464744</v>
      </c>
      <c r="F73" s="23">
        <v>0.41749999999999998</v>
      </c>
      <c r="G73" s="41">
        <f t="shared" si="10"/>
        <v>611530.62</v>
      </c>
      <c r="H73" s="25">
        <f>'2020'!G37</f>
        <v>285970.967</v>
      </c>
      <c r="I73" s="112">
        <v>0</v>
      </c>
      <c r="J73" s="24">
        <f t="shared" si="11"/>
        <v>325559.65299999999</v>
      </c>
      <c r="K73" s="64" t="s">
        <v>162</v>
      </c>
      <c r="L73" s="35"/>
      <c r="M73" s="35"/>
    </row>
    <row r="74" spans="1:14" ht="28" x14ac:dyDescent="0.3">
      <c r="A74" s="98">
        <v>246.7</v>
      </c>
      <c r="B74" s="64" t="s">
        <v>163</v>
      </c>
      <c r="C74" s="27">
        <v>6243960</v>
      </c>
      <c r="D74" s="23">
        <v>1</v>
      </c>
      <c r="E74" s="41">
        <f t="shared" si="9"/>
        <v>6243960</v>
      </c>
      <c r="F74" s="23">
        <v>0.33400000000000002</v>
      </c>
      <c r="G74" s="41">
        <f t="shared" si="10"/>
        <v>2085482.6400000001</v>
      </c>
      <c r="H74" s="25">
        <v>0</v>
      </c>
      <c r="I74" s="112">
        <f t="shared" ref="I74:I81" si="12">G74-H74</f>
        <v>2085482.6400000001</v>
      </c>
      <c r="J74" s="24">
        <v>0</v>
      </c>
      <c r="K74" s="159" t="s">
        <v>34</v>
      </c>
      <c r="L74" s="35"/>
      <c r="M74" s="35"/>
    </row>
    <row r="75" spans="1:14" ht="14.5" x14ac:dyDescent="0.3">
      <c r="A75" s="98" t="s">
        <v>164</v>
      </c>
      <c r="B75" s="64" t="s">
        <v>165</v>
      </c>
      <c r="C75" s="27">
        <v>6243960</v>
      </c>
      <c r="D75" s="23">
        <v>1</v>
      </c>
      <c r="E75" s="41">
        <f t="shared" si="9"/>
        <v>6243960</v>
      </c>
      <c r="F75" s="23">
        <v>0.33400000000000002</v>
      </c>
      <c r="G75" s="41">
        <f t="shared" si="10"/>
        <v>2085482.6400000001</v>
      </c>
      <c r="H75" s="25">
        <v>0</v>
      </c>
      <c r="I75" s="112">
        <f t="shared" si="12"/>
        <v>2085482.6400000001</v>
      </c>
      <c r="J75" s="24">
        <v>0</v>
      </c>
      <c r="K75" s="159" t="s">
        <v>34</v>
      </c>
      <c r="L75" s="35"/>
      <c r="M75" s="35"/>
    </row>
    <row r="76" spans="1:14" ht="14.5" x14ac:dyDescent="0.3">
      <c r="A76" s="98">
        <v>246.9</v>
      </c>
      <c r="B76" s="64" t="s">
        <v>166</v>
      </c>
      <c r="C76" s="27">
        <f>(6243959*0.02*0.02)</f>
        <v>2497.5836000000004</v>
      </c>
      <c r="D76" s="23">
        <v>1</v>
      </c>
      <c r="E76" s="41">
        <f t="shared" si="9"/>
        <v>2497.5836000000004</v>
      </c>
      <c r="F76" s="23">
        <v>2</v>
      </c>
      <c r="G76" s="41">
        <f t="shared" si="10"/>
        <v>4995.1672000000008</v>
      </c>
      <c r="H76" s="25">
        <v>0</v>
      </c>
      <c r="I76" s="112">
        <f t="shared" si="12"/>
        <v>4995.1672000000008</v>
      </c>
      <c r="J76" s="24">
        <v>0</v>
      </c>
      <c r="K76" s="159" t="s">
        <v>34</v>
      </c>
    </row>
    <row r="77" spans="1:14" ht="40.5" customHeight="1" x14ac:dyDescent="0.3">
      <c r="A77" s="98" t="s">
        <v>66</v>
      </c>
      <c r="B77" s="64" t="s">
        <v>67</v>
      </c>
      <c r="C77" s="27">
        <f>1464744*0.01</f>
        <v>14647.44</v>
      </c>
      <c r="D77" s="23">
        <v>1</v>
      </c>
      <c r="E77" s="41">
        <f t="shared" si="9"/>
        <v>14647.44</v>
      </c>
      <c r="F77" s="23">
        <v>3.3399999999999999E-2</v>
      </c>
      <c r="G77" s="41">
        <f t="shared" si="10"/>
        <v>489.22449599999999</v>
      </c>
      <c r="H77" s="25">
        <f>'2020'!G38</f>
        <v>572</v>
      </c>
      <c r="I77" s="112">
        <v>0</v>
      </c>
      <c r="J77" s="24">
        <f t="shared" si="11"/>
        <v>-82.775504000000012</v>
      </c>
      <c r="K77" s="64" t="s">
        <v>167</v>
      </c>
    </row>
    <row r="78" spans="1:14" ht="40.5" customHeight="1" x14ac:dyDescent="0.3">
      <c r="A78" s="98" t="s">
        <v>66</v>
      </c>
      <c r="B78" s="64" t="s">
        <v>168</v>
      </c>
      <c r="C78" s="27">
        <f>(3400090*0.01)+(1464744*0.01)+(1379126*0.01)</f>
        <v>62439.600000000006</v>
      </c>
      <c r="D78" s="23">
        <v>2</v>
      </c>
      <c r="E78" s="41">
        <f t="shared" si="9"/>
        <v>124879.20000000001</v>
      </c>
      <c r="F78" s="23">
        <v>5.0099999999999999E-2</v>
      </c>
      <c r="G78" s="41">
        <f t="shared" si="10"/>
        <v>6256.4479200000005</v>
      </c>
      <c r="H78" s="113">
        <f>'2020'!G39</f>
        <v>12051.910709999998</v>
      </c>
      <c r="I78" s="112">
        <v>0</v>
      </c>
      <c r="J78" s="24">
        <f t="shared" si="11"/>
        <v>-5795.4627899999978</v>
      </c>
      <c r="K78" s="64" t="s">
        <v>169</v>
      </c>
    </row>
    <row r="79" spans="1:14" ht="51.75" customHeight="1" x14ac:dyDescent="0.3">
      <c r="A79" s="114" t="s">
        <v>170</v>
      </c>
      <c r="B79" s="111" t="s">
        <v>171</v>
      </c>
      <c r="C79" s="27">
        <v>6243960</v>
      </c>
      <c r="D79" s="23">
        <v>1</v>
      </c>
      <c r="E79" s="41">
        <f t="shared" si="9"/>
        <v>6243960</v>
      </c>
      <c r="F79" s="23">
        <v>0.25</v>
      </c>
      <c r="G79" s="41">
        <f t="shared" si="10"/>
        <v>1560990</v>
      </c>
      <c r="H79" s="113">
        <v>0</v>
      </c>
      <c r="I79" s="112">
        <f t="shared" si="12"/>
        <v>1560990</v>
      </c>
      <c r="J79" s="24">
        <v>0</v>
      </c>
      <c r="K79" s="64" t="s">
        <v>34</v>
      </c>
    </row>
    <row r="80" spans="1:14" ht="52.5" customHeight="1" x14ac:dyDescent="0.3">
      <c r="A80" s="114" t="s">
        <v>172</v>
      </c>
      <c r="B80" s="147" t="s">
        <v>173</v>
      </c>
      <c r="C80" s="27">
        <f>((6243959/89)/2)*17</f>
        <v>596333.16292134835</v>
      </c>
      <c r="D80" s="23">
        <v>3</v>
      </c>
      <c r="E80" s="41">
        <f t="shared" si="9"/>
        <v>1788999.4887640451</v>
      </c>
      <c r="F80" s="23">
        <v>0.5</v>
      </c>
      <c r="G80" s="41">
        <f t="shared" si="10"/>
        <v>894499.74438202253</v>
      </c>
      <c r="H80" s="113">
        <v>0</v>
      </c>
      <c r="I80" s="112">
        <f t="shared" si="12"/>
        <v>894499.74438202253</v>
      </c>
      <c r="J80" s="24">
        <v>0</v>
      </c>
      <c r="K80" s="64" t="s">
        <v>34</v>
      </c>
    </row>
    <row r="81" spans="1:11" ht="50.25" customHeight="1" x14ac:dyDescent="0.3">
      <c r="A81" s="114" t="s">
        <v>172</v>
      </c>
      <c r="B81" s="147" t="s">
        <v>174</v>
      </c>
      <c r="C81" s="27">
        <f>((6243960/89)/2)*72</f>
        <v>2525646.7415730339</v>
      </c>
      <c r="D81" s="23">
        <v>1</v>
      </c>
      <c r="E81" s="41">
        <f t="shared" si="9"/>
        <v>2525646.7415730339</v>
      </c>
      <c r="F81" s="23">
        <v>0.5</v>
      </c>
      <c r="G81" s="41">
        <f t="shared" si="10"/>
        <v>1262823.3707865169</v>
      </c>
      <c r="H81" s="113">
        <v>0</v>
      </c>
      <c r="I81" s="112">
        <f t="shared" si="12"/>
        <v>1262823.3707865169</v>
      </c>
      <c r="J81" s="24">
        <v>0</v>
      </c>
      <c r="K81" s="173" t="s">
        <v>34</v>
      </c>
    </row>
    <row r="82" spans="1:11" ht="15.75" customHeight="1" x14ac:dyDescent="0.3">
      <c r="A82" s="249" t="s">
        <v>175</v>
      </c>
      <c r="B82" s="249"/>
      <c r="C82" s="15">
        <f>C71+C72+C73</f>
        <v>6243960</v>
      </c>
      <c r="D82" s="33">
        <f>E82/C82</f>
        <v>4.7137570474405788</v>
      </c>
      <c r="E82" s="11">
        <f>SUM(E71:E81)</f>
        <v>29432510.453937076</v>
      </c>
      <c r="F82" s="33">
        <f>G82/E82</f>
        <v>0.35701584311775697</v>
      </c>
      <c r="G82" s="11">
        <f>SUM(G71:G81)</f>
        <v>10507872.534784541</v>
      </c>
      <c r="H82" s="11">
        <f>SUM(H71:H81)</f>
        <v>1727033.13521</v>
      </c>
      <c r="I82" s="33">
        <f>SUM(I71:I81)</f>
        <v>7894273.5623685401</v>
      </c>
      <c r="J82" s="11">
        <f>SUM(J71:J81)</f>
        <v>886565.83720599976</v>
      </c>
      <c r="K82" s="172"/>
    </row>
    <row r="83" spans="1:11" x14ac:dyDescent="0.3">
      <c r="A83" s="259" t="s">
        <v>176</v>
      </c>
      <c r="B83" s="259"/>
      <c r="C83" s="259"/>
      <c r="D83" s="259"/>
      <c r="E83" s="259"/>
      <c r="F83" s="259"/>
      <c r="G83" s="259"/>
      <c r="H83" s="259"/>
      <c r="I83" s="259"/>
      <c r="J83" s="259"/>
      <c r="K83" s="259"/>
    </row>
    <row r="84" spans="1:11" ht="14.5" x14ac:dyDescent="0.3">
      <c r="A84" s="115" t="s">
        <v>29</v>
      </c>
      <c r="B84" s="116" t="s">
        <v>177</v>
      </c>
      <c r="C84" s="117">
        <f>543*0.5</f>
        <v>271.5</v>
      </c>
      <c r="D84" s="117">
        <v>1</v>
      </c>
      <c r="E84" s="134">
        <f>C84*D84</f>
        <v>271.5</v>
      </c>
      <c r="F84" s="118">
        <v>2</v>
      </c>
      <c r="G84" s="136">
        <f>E84*F84</f>
        <v>543</v>
      </c>
      <c r="H84" s="119">
        <v>0</v>
      </c>
      <c r="I84" s="117">
        <f>G84-H84</f>
        <v>543</v>
      </c>
      <c r="J84" s="117">
        <v>0</v>
      </c>
      <c r="K84" s="174" t="s">
        <v>34</v>
      </c>
    </row>
    <row r="85" spans="1:11" ht="14.5" x14ac:dyDescent="0.3">
      <c r="A85" s="73" t="s">
        <v>43</v>
      </c>
      <c r="B85" s="64" t="s">
        <v>46</v>
      </c>
      <c r="C85" s="117">
        <f>1810*0.3</f>
        <v>543</v>
      </c>
      <c r="D85" s="120">
        <f>(0.3*1379126)/543</f>
        <v>761.9480662983425</v>
      </c>
      <c r="E85" s="134">
        <f t="shared" ref="E85:E98" si="13">C85*D85</f>
        <v>413737.8</v>
      </c>
      <c r="F85" s="141">
        <v>0.41749999999999998</v>
      </c>
      <c r="G85" s="136">
        <f t="shared" ref="G85:G98" si="14">E85*F85</f>
        <v>172735.53149999998</v>
      </c>
      <c r="H85" s="119">
        <v>0</v>
      </c>
      <c r="I85" s="117">
        <f t="shared" ref="I85:I98" si="15">G85-H85</f>
        <v>172735.53149999998</v>
      </c>
      <c r="J85" s="117">
        <v>0</v>
      </c>
      <c r="K85" s="111" t="s">
        <v>34</v>
      </c>
    </row>
    <row r="86" spans="1:11" ht="14.5" x14ac:dyDescent="0.3">
      <c r="A86" s="73" t="s">
        <v>43</v>
      </c>
      <c r="B86" s="64" t="s">
        <v>160</v>
      </c>
      <c r="C86" s="117">
        <f>1810*0.3</f>
        <v>543</v>
      </c>
      <c r="D86" s="121">
        <f>(0.3*3400090)/543</f>
        <v>1878.5027624309391</v>
      </c>
      <c r="E86" s="134">
        <f t="shared" si="13"/>
        <v>1020027</v>
      </c>
      <c r="F86" s="141">
        <v>0.41749999999999998</v>
      </c>
      <c r="G86" s="136">
        <f t="shared" si="14"/>
        <v>425861.27249999996</v>
      </c>
      <c r="H86" s="119">
        <v>0</v>
      </c>
      <c r="I86" s="117">
        <f t="shared" si="15"/>
        <v>425861.27249999996</v>
      </c>
      <c r="J86" s="117">
        <v>0</v>
      </c>
      <c r="K86" s="111" t="s">
        <v>34</v>
      </c>
    </row>
    <row r="87" spans="1:11" ht="14.5" x14ac:dyDescent="0.3">
      <c r="A87" s="73" t="s">
        <v>43</v>
      </c>
      <c r="B87" s="64" t="s">
        <v>50</v>
      </c>
      <c r="C87" s="117">
        <f>1810*0.3</f>
        <v>543</v>
      </c>
      <c r="D87" s="121">
        <f>(1*0.3*1464744)/543</f>
        <v>809.25082872928181</v>
      </c>
      <c r="E87" s="134">
        <f t="shared" si="13"/>
        <v>439423.2</v>
      </c>
      <c r="F87" s="141">
        <v>0.41749999999999998</v>
      </c>
      <c r="G87" s="136">
        <f t="shared" si="14"/>
        <v>183459.18599999999</v>
      </c>
      <c r="H87" s="119">
        <v>0</v>
      </c>
      <c r="I87" s="117">
        <f t="shared" si="15"/>
        <v>183459.18599999999</v>
      </c>
      <c r="J87" s="117">
        <v>0</v>
      </c>
      <c r="K87" s="111" t="s">
        <v>34</v>
      </c>
    </row>
    <row r="88" spans="1:11" ht="14.5" x14ac:dyDescent="0.3">
      <c r="A88" s="73" t="s">
        <v>79</v>
      </c>
      <c r="B88" s="64" t="s">
        <v>179</v>
      </c>
      <c r="C88" s="23">
        <v>840</v>
      </c>
      <c r="D88" s="23">
        <v>1</v>
      </c>
      <c r="E88" s="134">
        <f t="shared" si="13"/>
        <v>840</v>
      </c>
      <c r="F88" s="19">
        <v>2</v>
      </c>
      <c r="G88" s="136">
        <f t="shared" si="14"/>
        <v>1680</v>
      </c>
      <c r="H88" s="25">
        <f>'2020'!G42</f>
        <v>7382</v>
      </c>
      <c r="I88" s="117">
        <f t="shared" si="15"/>
        <v>-5702</v>
      </c>
      <c r="J88" s="117">
        <f t="shared" ref="J88:J94" si="16">G88-H88</f>
        <v>-5702</v>
      </c>
      <c r="K88" s="175" t="s">
        <v>81</v>
      </c>
    </row>
    <row r="89" spans="1:11" ht="14.5" x14ac:dyDescent="0.3">
      <c r="A89" s="73" t="s">
        <v>82</v>
      </c>
      <c r="B89" s="64" t="s">
        <v>83</v>
      </c>
      <c r="C89" s="23">
        <f>(79/89)*37417</f>
        <v>33212.84269662921</v>
      </c>
      <c r="D89" s="23">
        <v>2</v>
      </c>
      <c r="E89" s="135">
        <f t="shared" si="13"/>
        <v>66425.68539325842</v>
      </c>
      <c r="F89" s="19">
        <v>2</v>
      </c>
      <c r="G89" s="137">
        <f t="shared" si="14"/>
        <v>132851.37078651684</v>
      </c>
      <c r="H89" s="25">
        <f>'2020'!G43</f>
        <v>146155.32584269662</v>
      </c>
      <c r="I89" s="117">
        <v>0</v>
      </c>
      <c r="J89" s="117">
        <f t="shared" si="16"/>
        <v>-13303.955056179781</v>
      </c>
      <c r="K89" s="159" t="s">
        <v>180</v>
      </c>
    </row>
    <row r="90" spans="1:11" ht="14.5" x14ac:dyDescent="0.3">
      <c r="A90" s="73" t="s">
        <v>88</v>
      </c>
      <c r="B90" s="64" t="s">
        <v>89</v>
      </c>
      <c r="C90" s="23">
        <f>89*17</f>
        <v>1513</v>
      </c>
      <c r="D90" s="23">
        <v>1</v>
      </c>
      <c r="E90" s="134">
        <f t="shared" si="13"/>
        <v>1513</v>
      </c>
      <c r="F90" s="19">
        <v>1</v>
      </c>
      <c r="G90" s="136">
        <f t="shared" si="14"/>
        <v>1513</v>
      </c>
      <c r="H90" s="25">
        <v>0</v>
      </c>
      <c r="I90" s="117">
        <f t="shared" si="15"/>
        <v>1513</v>
      </c>
      <c r="J90" s="117">
        <v>0</v>
      </c>
      <c r="K90" s="159" t="s">
        <v>34</v>
      </c>
    </row>
    <row r="91" spans="1:11" ht="14.5" x14ac:dyDescent="0.3">
      <c r="A91" s="73" t="s">
        <v>92</v>
      </c>
      <c r="B91" s="64" t="s">
        <v>181</v>
      </c>
      <c r="C91" s="23">
        <f>0.33*37417</f>
        <v>12347.61</v>
      </c>
      <c r="D91" s="23">
        <v>1</v>
      </c>
      <c r="E91" s="134">
        <f t="shared" si="13"/>
        <v>12347.61</v>
      </c>
      <c r="F91" s="19">
        <v>1</v>
      </c>
      <c r="G91" s="136">
        <f t="shared" si="14"/>
        <v>12347.61</v>
      </c>
      <c r="H91" s="25">
        <f>'2020'!G44</f>
        <v>13584.12</v>
      </c>
      <c r="I91" s="117">
        <v>0</v>
      </c>
      <c r="J91" s="117">
        <f t="shared" si="16"/>
        <v>-1236.5100000000002</v>
      </c>
      <c r="K91" s="159" t="s">
        <v>182</v>
      </c>
    </row>
    <row r="92" spans="1:11" ht="41.25" customHeight="1" x14ac:dyDescent="0.3">
      <c r="A92" s="77" t="s">
        <v>252</v>
      </c>
      <c r="B92" s="64" t="s">
        <v>184</v>
      </c>
      <c r="C92" s="142">
        <v>37417</v>
      </c>
      <c r="D92" s="23">
        <v>1</v>
      </c>
      <c r="E92" s="134">
        <f t="shared" si="13"/>
        <v>37417</v>
      </c>
      <c r="F92" s="19">
        <v>1</v>
      </c>
      <c r="G92" s="136">
        <f t="shared" si="14"/>
        <v>37417</v>
      </c>
      <c r="H92" s="25">
        <v>0</v>
      </c>
      <c r="I92" s="117">
        <v>0</v>
      </c>
      <c r="J92" s="117">
        <f t="shared" si="16"/>
        <v>37417</v>
      </c>
      <c r="K92" s="159" t="s">
        <v>128</v>
      </c>
    </row>
    <row r="93" spans="1:11" ht="41.25" customHeight="1" x14ac:dyDescent="0.3">
      <c r="A93" s="77" t="s">
        <v>185</v>
      </c>
      <c r="B93" s="64" t="s">
        <v>186</v>
      </c>
      <c r="C93" s="23">
        <f>(4/10)*973</f>
        <v>389.20000000000005</v>
      </c>
      <c r="D93" s="23">
        <v>1</v>
      </c>
      <c r="E93" s="134">
        <f t="shared" si="13"/>
        <v>389.20000000000005</v>
      </c>
      <c r="F93" s="19">
        <v>1</v>
      </c>
      <c r="G93" s="136">
        <f t="shared" si="14"/>
        <v>389.20000000000005</v>
      </c>
      <c r="H93" s="25">
        <f>'2020'!G45</f>
        <v>389.20000000000005</v>
      </c>
      <c r="I93" s="117">
        <f t="shared" si="15"/>
        <v>0</v>
      </c>
      <c r="J93" s="117">
        <f t="shared" si="16"/>
        <v>0</v>
      </c>
      <c r="K93" s="159" t="s">
        <v>253</v>
      </c>
    </row>
    <row r="94" spans="1:11" ht="41.25" customHeight="1" x14ac:dyDescent="0.3">
      <c r="A94" s="122" t="s">
        <v>187</v>
      </c>
      <c r="B94" s="123" t="s">
        <v>188</v>
      </c>
      <c r="C94" s="148">
        <v>37417</v>
      </c>
      <c r="D94" s="23">
        <v>1</v>
      </c>
      <c r="E94" s="134">
        <f t="shared" si="13"/>
        <v>37417</v>
      </c>
      <c r="F94" s="19">
        <v>2</v>
      </c>
      <c r="G94" s="136">
        <f t="shared" si="14"/>
        <v>74834</v>
      </c>
      <c r="H94" s="25">
        <v>0</v>
      </c>
      <c r="I94" s="117">
        <v>0</v>
      </c>
      <c r="J94" s="117">
        <f t="shared" si="16"/>
        <v>74834</v>
      </c>
      <c r="K94" s="111" t="s">
        <v>128</v>
      </c>
    </row>
    <row r="95" spans="1:11" ht="41.25" customHeight="1" x14ac:dyDescent="0.3">
      <c r="A95" s="122" t="s">
        <v>116</v>
      </c>
      <c r="B95" s="123" t="s">
        <v>189</v>
      </c>
      <c r="C95" s="23">
        <f>3289*0.33</f>
        <v>1085.3700000000001</v>
      </c>
      <c r="D95" s="23">
        <v>1</v>
      </c>
      <c r="E95" s="134">
        <f t="shared" si="13"/>
        <v>1085.3700000000001</v>
      </c>
      <c r="F95" s="19">
        <v>1</v>
      </c>
      <c r="G95" s="136">
        <f t="shared" si="14"/>
        <v>1085.3700000000001</v>
      </c>
      <c r="H95" s="25">
        <v>0</v>
      </c>
      <c r="I95" s="117">
        <f t="shared" si="15"/>
        <v>1085.3700000000001</v>
      </c>
      <c r="J95" s="117">
        <v>0</v>
      </c>
      <c r="K95" s="111" t="s">
        <v>34</v>
      </c>
    </row>
    <row r="96" spans="1:11" ht="41.25" customHeight="1" x14ac:dyDescent="0.3">
      <c r="A96" s="122" t="s">
        <v>190</v>
      </c>
      <c r="B96" s="123" t="s">
        <v>191</v>
      </c>
      <c r="C96" s="23">
        <v>3289</v>
      </c>
      <c r="D96" s="23">
        <v>1</v>
      </c>
      <c r="E96" s="134">
        <f t="shared" si="13"/>
        <v>3289</v>
      </c>
      <c r="F96" s="19">
        <v>2</v>
      </c>
      <c r="G96" s="136">
        <f t="shared" si="14"/>
        <v>6578</v>
      </c>
      <c r="H96" s="25">
        <v>0</v>
      </c>
      <c r="I96" s="117">
        <f t="shared" si="15"/>
        <v>6578</v>
      </c>
      <c r="J96" s="117">
        <v>0</v>
      </c>
      <c r="K96" s="111" t="s">
        <v>34</v>
      </c>
    </row>
    <row r="97" spans="1:14" ht="41.25" customHeight="1" x14ac:dyDescent="0.3">
      <c r="A97" s="122" t="s">
        <v>254</v>
      </c>
      <c r="B97" s="123" t="s">
        <v>194</v>
      </c>
      <c r="C97" s="23">
        <f>(37417*0.02*0.02)</f>
        <v>14.966800000000001</v>
      </c>
      <c r="D97" s="23">
        <v>1</v>
      </c>
      <c r="E97" s="134">
        <f t="shared" si="13"/>
        <v>14.966800000000001</v>
      </c>
      <c r="F97" s="19">
        <v>2</v>
      </c>
      <c r="G97" s="136">
        <f t="shared" si="14"/>
        <v>29.933600000000002</v>
      </c>
      <c r="H97" s="25">
        <v>0</v>
      </c>
      <c r="I97" s="117">
        <f t="shared" si="15"/>
        <v>29.933600000000002</v>
      </c>
      <c r="J97" s="117">
        <v>0</v>
      </c>
      <c r="K97" s="111" t="s">
        <v>34</v>
      </c>
    </row>
    <row r="98" spans="1:14" ht="34.5" customHeight="1" x14ac:dyDescent="0.3">
      <c r="A98" s="122" t="s">
        <v>195</v>
      </c>
      <c r="B98" s="123" t="s">
        <v>196</v>
      </c>
      <c r="C98" s="23">
        <f>(3289*0.02*0.02)</f>
        <v>1.3156000000000001</v>
      </c>
      <c r="D98" s="23">
        <v>1</v>
      </c>
      <c r="E98" s="134">
        <f t="shared" si="13"/>
        <v>1.3156000000000001</v>
      </c>
      <c r="F98" s="19">
        <v>2</v>
      </c>
      <c r="G98" s="136">
        <f t="shared" si="14"/>
        <v>2.6312000000000002</v>
      </c>
      <c r="H98" s="25">
        <v>0</v>
      </c>
      <c r="I98" s="117">
        <f t="shared" si="15"/>
        <v>2.6312000000000002</v>
      </c>
      <c r="J98" s="117">
        <v>0</v>
      </c>
      <c r="K98" s="111" t="s">
        <v>34</v>
      </c>
      <c r="N98" s="35"/>
    </row>
    <row r="99" spans="1:14" ht="15" customHeight="1" x14ac:dyDescent="0.3">
      <c r="A99" s="249" t="s">
        <v>258</v>
      </c>
      <c r="B99" s="249"/>
      <c r="C99" s="11">
        <v>37417</v>
      </c>
      <c r="D99" s="33">
        <f>+E99/C99</f>
        <v>54.3656532536884</v>
      </c>
      <c r="E99" s="11">
        <f>SUM(E84:E98)</f>
        <v>2034199.6477932588</v>
      </c>
      <c r="F99" s="33">
        <f>+G99/E99</f>
        <v>0.51682592056636034</v>
      </c>
      <c r="G99" s="11">
        <f>SUM(G84:G98)</f>
        <v>1051327.1055865169</v>
      </c>
      <c r="H99" s="11">
        <f>SUM(H84:H98)</f>
        <v>167510.64584269663</v>
      </c>
      <c r="I99" s="33">
        <f>SUM(I84:I98)</f>
        <v>786105.92479999992</v>
      </c>
      <c r="J99" s="11">
        <f>SUM(J84:J98)</f>
        <v>92008.53494382021</v>
      </c>
      <c r="K99" s="176"/>
    </row>
    <row r="100" spans="1:14" ht="15.75" customHeight="1" x14ac:dyDescent="0.3">
      <c r="A100" s="249" t="s">
        <v>198</v>
      </c>
      <c r="B100" s="249"/>
      <c r="C100" s="13">
        <f>SUM(C69,C82,C99)</f>
        <v>6283276</v>
      </c>
      <c r="D100" s="33">
        <f>E100/C100</f>
        <v>6.7949563315320365</v>
      </c>
      <c r="E100" s="13">
        <f>SUM(E69,E82,E99)</f>
        <v>42694586.038963288</v>
      </c>
      <c r="F100" s="34">
        <f>+G100/E100</f>
        <v>0.36066640379248838</v>
      </c>
      <c r="G100" s="13">
        <f>SUM(G69+G82+G99)</f>
        <v>15398502.808081871</v>
      </c>
      <c r="H100" s="14">
        <f>SUM(H99+H82+H69)</f>
        <v>4017131.7810526965</v>
      </c>
      <c r="I100" s="13">
        <f>SUM(I69,I82,I99)</f>
        <v>8882051.6157216858</v>
      </c>
      <c r="J100" s="13">
        <f>(G100-H100-I100)</f>
        <v>2499319.4113074895</v>
      </c>
      <c r="K100" s="177"/>
    </row>
    <row r="101" spans="1:14" ht="15" customHeight="1" x14ac:dyDescent="0.3">
      <c r="A101" s="244" t="s">
        <v>199</v>
      </c>
      <c r="B101" s="244"/>
      <c r="C101" s="244"/>
      <c r="D101" s="244"/>
      <c r="E101" s="244"/>
      <c r="F101" s="244"/>
      <c r="G101" s="244"/>
      <c r="H101" s="244"/>
      <c r="I101" s="244"/>
      <c r="J101" s="244"/>
      <c r="K101" s="245"/>
    </row>
    <row r="102" spans="1:14" ht="15" customHeight="1" x14ac:dyDescent="0.3">
      <c r="A102" s="266" t="s">
        <v>23</v>
      </c>
      <c r="B102" s="266"/>
      <c r="C102" s="266"/>
      <c r="D102" s="266"/>
      <c r="E102" s="266"/>
      <c r="F102" s="266"/>
      <c r="G102" s="266"/>
      <c r="H102" s="266"/>
      <c r="I102" s="266"/>
      <c r="J102" s="266"/>
      <c r="K102" s="267"/>
    </row>
    <row r="103" spans="1:14" ht="14.5" x14ac:dyDescent="0.3">
      <c r="A103" s="122" t="s">
        <v>200</v>
      </c>
      <c r="B103" s="111" t="s">
        <v>201</v>
      </c>
      <c r="C103" s="124">
        <v>89</v>
      </c>
      <c r="D103" s="124">
        <v>1</v>
      </c>
      <c r="E103" s="138">
        <f>C103*D103</f>
        <v>89</v>
      </c>
      <c r="F103" s="124">
        <v>0.16700000000000001</v>
      </c>
      <c r="G103" s="138">
        <f>E103*F103</f>
        <v>14.863000000000001</v>
      </c>
      <c r="H103" s="125">
        <v>0</v>
      </c>
      <c r="I103" s="124">
        <f>G103-H103</f>
        <v>14.863000000000001</v>
      </c>
      <c r="J103" s="124">
        <v>0</v>
      </c>
      <c r="K103" s="111" t="s">
        <v>34</v>
      </c>
    </row>
    <row r="104" spans="1:14" ht="14.5" x14ac:dyDescent="0.3">
      <c r="A104" s="77" t="s">
        <v>66</v>
      </c>
      <c r="B104" s="64" t="s">
        <v>168</v>
      </c>
      <c r="C104" s="23">
        <v>1810</v>
      </c>
      <c r="D104" s="23">
        <f>(10000/1810)*2</f>
        <v>11.049723756906078</v>
      </c>
      <c r="E104" s="138">
        <f t="shared" ref="E104:E119" si="17">C104*D104</f>
        <v>20000</v>
      </c>
      <c r="F104" s="126">
        <v>1.67E-2</v>
      </c>
      <c r="G104" s="138">
        <f t="shared" ref="G104:G119" si="18">E104*F104</f>
        <v>334</v>
      </c>
      <c r="H104" s="25">
        <f>'2020'!G50</f>
        <v>334</v>
      </c>
      <c r="I104" s="124">
        <f t="shared" ref="I104:I119" si="19">G104-H104</f>
        <v>0</v>
      </c>
      <c r="J104" s="124">
        <f t="shared" ref="J104:J118" si="20">G104-H104</f>
        <v>0</v>
      </c>
      <c r="K104" s="159" t="s">
        <v>27</v>
      </c>
    </row>
    <row r="105" spans="1:14" ht="33" customHeight="1" x14ac:dyDescent="0.3">
      <c r="A105" s="77" t="s">
        <v>202</v>
      </c>
      <c r="B105" s="64" t="s">
        <v>203</v>
      </c>
      <c r="C105" s="23">
        <v>89</v>
      </c>
      <c r="D105" s="23">
        <v>1</v>
      </c>
      <c r="E105" s="138">
        <f t="shared" si="17"/>
        <v>89</v>
      </c>
      <c r="F105" s="126">
        <v>50</v>
      </c>
      <c r="G105" s="138">
        <f t="shared" si="18"/>
        <v>4450</v>
      </c>
      <c r="H105" s="25">
        <f>'2020'!G51</f>
        <v>4450</v>
      </c>
      <c r="I105" s="124">
        <f t="shared" si="19"/>
        <v>0</v>
      </c>
      <c r="J105" s="124">
        <f t="shared" si="20"/>
        <v>0</v>
      </c>
      <c r="K105" s="159" t="s">
        <v>27</v>
      </c>
    </row>
    <row r="106" spans="1:14" ht="33" customHeight="1" x14ac:dyDescent="0.3">
      <c r="A106" s="77" t="s">
        <v>204</v>
      </c>
      <c r="B106" s="64" t="s">
        <v>205</v>
      </c>
      <c r="C106" s="23">
        <v>89</v>
      </c>
      <c r="D106" s="23">
        <f>((37417*0.33)/89)</f>
        <v>138.73719101123595</v>
      </c>
      <c r="E106" s="138">
        <f t="shared" si="17"/>
        <v>12347.609999999999</v>
      </c>
      <c r="F106" s="126">
        <v>1</v>
      </c>
      <c r="G106" s="138">
        <f t="shared" si="18"/>
        <v>12347.609999999999</v>
      </c>
      <c r="H106" s="25">
        <f>'2020'!G52</f>
        <v>13584.12</v>
      </c>
      <c r="I106" s="124">
        <v>0</v>
      </c>
      <c r="J106" s="124">
        <f t="shared" si="20"/>
        <v>-1236.510000000002</v>
      </c>
      <c r="K106" s="178" t="s">
        <v>182</v>
      </c>
    </row>
    <row r="107" spans="1:14" ht="14.5" x14ac:dyDescent="0.3">
      <c r="A107" s="77" t="s">
        <v>185</v>
      </c>
      <c r="B107" s="64" t="s">
        <v>186</v>
      </c>
      <c r="C107" s="23">
        <f>(4/10)*973</f>
        <v>389.20000000000005</v>
      </c>
      <c r="D107" s="23">
        <v>1</v>
      </c>
      <c r="E107" s="138">
        <f t="shared" si="17"/>
        <v>389.20000000000005</v>
      </c>
      <c r="F107" s="126">
        <v>1</v>
      </c>
      <c r="G107" s="138">
        <f t="shared" si="18"/>
        <v>389.20000000000005</v>
      </c>
      <c r="H107" s="25">
        <f>'2020'!G53</f>
        <v>389.20000000000005</v>
      </c>
      <c r="I107" s="124">
        <f t="shared" si="19"/>
        <v>0</v>
      </c>
      <c r="J107" s="124">
        <f t="shared" si="20"/>
        <v>0</v>
      </c>
      <c r="K107" s="179" t="s">
        <v>27</v>
      </c>
    </row>
    <row r="108" spans="1:14" ht="14.5" x14ac:dyDescent="0.3">
      <c r="A108" s="73" t="s">
        <v>206</v>
      </c>
      <c r="B108" s="64" t="s">
        <v>207</v>
      </c>
      <c r="C108" s="23">
        <v>89</v>
      </c>
      <c r="D108" s="23">
        <v>1</v>
      </c>
      <c r="E108" s="138">
        <f t="shared" si="17"/>
        <v>89</v>
      </c>
      <c r="F108" s="126">
        <v>2</v>
      </c>
      <c r="G108" s="138">
        <f t="shared" si="18"/>
        <v>178</v>
      </c>
      <c r="H108" s="25">
        <f>'2020'!G54</f>
        <v>178</v>
      </c>
      <c r="I108" s="124">
        <f t="shared" si="19"/>
        <v>0</v>
      </c>
      <c r="J108" s="124">
        <f t="shared" si="20"/>
        <v>0</v>
      </c>
      <c r="K108" s="159" t="s">
        <v>27</v>
      </c>
    </row>
    <row r="109" spans="1:14" ht="14.5" x14ac:dyDescent="0.3">
      <c r="A109" s="73" t="s">
        <v>208</v>
      </c>
      <c r="B109" s="64" t="s">
        <v>98</v>
      </c>
      <c r="C109" s="23">
        <v>89</v>
      </c>
      <c r="D109" s="23">
        <f>(37417/89)*0.05</f>
        <v>21.020786516853931</v>
      </c>
      <c r="E109" s="138">
        <f t="shared" si="17"/>
        <v>1870.85</v>
      </c>
      <c r="F109" s="126">
        <v>0.5</v>
      </c>
      <c r="G109" s="138">
        <f t="shared" si="18"/>
        <v>935.42499999999995</v>
      </c>
      <c r="H109" s="25">
        <f>'2020'!G55</f>
        <v>1029.1000000000001</v>
      </c>
      <c r="I109" s="124">
        <v>0</v>
      </c>
      <c r="J109" s="124">
        <f t="shared" si="20"/>
        <v>-93.675000000000182</v>
      </c>
      <c r="K109" s="180" t="s">
        <v>209</v>
      </c>
    </row>
    <row r="110" spans="1:14" ht="14.5" x14ac:dyDescent="0.3">
      <c r="A110" s="73" t="s">
        <v>210</v>
      </c>
      <c r="B110" s="64" t="s">
        <v>211</v>
      </c>
      <c r="C110" s="23">
        <v>89</v>
      </c>
      <c r="D110" s="23">
        <f>(37417/89)*0.05</f>
        <v>21.020786516853931</v>
      </c>
      <c r="E110" s="138">
        <f t="shared" si="17"/>
        <v>1870.85</v>
      </c>
      <c r="F110" s="126">
        <v>2</v>
      </c>
      <c r="G110" s="138">
        <f t="shared" si="18"/>
        <v>3741.7</v>
      </c>
      <c r="H110" s="25">
        <f>'2020'!G56</f>
        <v>4116.4000000000005</v>
      </c>
      <c r="I110" s="124">
        <v>0</v>
      </c>
      <c r="J110" s="124">
        <f t="shared" si="20"/>
        <v>-374.70000000000073</v>
      </c>
      <c r="K110" s="180" t="s">
        <v>182</v>
      </c>
    </row>
    <row r="111" spans="1:14" ht="14.5" x14ac:dyDescent="0.3">
      <c r="A111" s="73" t="s">
        <v>104</v>
      </c>
      <c r="B111" s="64" t="s">
        <v>212</v>
      </c>
      <c r="C111" s="23">
        <v>89</v>
      </c>
      <c r="D111" s="23">
        <f>1048/89</f>
        <v>11.775280898876405</v>
      </c>
      <c r="E111" s="138">
        <f t="shared" si="17"/>
        <v>1048</v>
      </c>
      <c r="F111" s="126">
        <v>1</v>
      </c>
      <c r="G111" s="138">
        <f t="shared" si="18"/>
        <v>1048</v>
      </c>
      <c r="H111" s="25">
        <f>'2020'!G57</f>
        <v>514</v>
      </c>
      <c r="I111" s="124">
        <v>0</v>
      </c>
      <c r="J111" s="124">
        <f t="shared" si="20"/>
        <v>534</v>
      </c>
      <c r="K111" s="181" t="s">
        <v>209</v>
      </c>
    </row>
    <row r="112" spans="1:14" ht="14.5" x14ac:dyDescent="0.3">
      <c r="A112" s="127" t="s">
        <v>214</v>
      </c>
      <c r="B112" s="128" t="s">
        <v>107</v>
      </c>
      <c r="C112" s="129">
        <v>1</v>
      </c>
      <c r="D112" s="129">
        <v>1</v>
      </c>
      <c r="E112" s="139">
        <f t="shared" si="17"/>
        <v>1</v>
      </c>
      <c r="F112" s="129">
        <v>0.20039999999999999</v>
      </c>
      <c r="G112" s="139">
        <f t="shared" si="18"/>
        <v>0.20039999999999999</v>
      </c>
      <c r="H112" s="130">
        <v>0</v>
      </c>
      <c r="I112" s="124">
        <f t="shared" si="19"/>
        <v>0.20039999999999999</v>
      </c>
      <c r="J112" s="124">
        <v>0</v>
      </c>
      <c r="K112" s="182" t="s">
        <v>34</v>
      </c>
    </row>
    <row r="113" spans="1:14" ht="14.5" x14ac:dyDescent="0.3">
      <c r="A113" s="73" t="s">
        <v>255</v>
      </c>
      <c r="B113" s="64" t="s">
        <v>144</v>
      </c>
      <c r="C113" s="23">
        <v>89</v>
      </c>
      <c r="D113" s="23">
        <f>(1810/89)</f>
        <v>20.337078651685392</v>
      </c>
      <c r="E113" s="138">
        <f t="shared" si="17"/>
        <v>1809.9999999999998</v>
      </c>
      <c r="F113" s="126">
        <v>0.5</v>
      </c>
      <c r="G113" s="138">
        <f t="shared" si="18"/>
        <v>904.99999999999989</v>
      </c>
      <c r="H113" s="25">
        <v>0</v>
      </c>
      <c r="I113" s="124">
        <f t="shared" si="19"/>
        <v>904.99999999999989</v>
      </c>
      <c r="J113" s="124">
        <v>0</v>
      </c>
      <c r="K113" s="181" t="s">
        <v>34</v>
      </c>
    </row>
    <row r="114" spans="1:14" ht="14.5" x14ac:dyDescent="0.3">
      <c r="A114" s="73" t="s">
        <v>149</v>
      </c>
      <c r="B114" s="64" t="s">
        <v>216</v>
      </c>
      <c r="C114" s="23">
        <v>89</v>
      </c>
      <c r="D114" s="23">
        <v>1</v>
      </c>
      <c r="E114" s="138">
        <f t="shared" si="17"/>
        <v>89</v>
      </c>
      <c r="F114" s="126">
        <v>0.16700000000000001</v>
      </c>
      <c r="G114" s="138">
        <f t="shared" si="18"/>
        <v>14.863000000000001</v>
      </c>
      <c r="H114" s="25">
        <v>0</v>
      </c>
      <c r="I114" s="124">
        <f t="shared" si="19"/>
        <v>14.863000000000001</v>
      </c>
      <c r="J114" s="124">
        <v>0</v>
      </c>
      <c r="K114" s="183" t="s">
        <v>34</v>
      </c>
    </row>
    <row r="115" spans="1:14" ht="14.5" x14ac:dyDescent="0.3">
      <c r="A115" s="73" t="s">
        <v>218</v>
      </c>
      <c r="B115" s="64" t="s">
        <v>219</v>
      </c>
      <c r="C115" s="23">
        <v>89</v>
      </c>
      <c r="D115" s="23">
        <v>1</v>
      </c>
      <c r="E115" s="138">
        <f t="shared" si="17"/>
        <v>89</v>
      </c>
      <c r="F115" s="126">
        <v>5</v>
      </c>
      <c r="G115" s="138">
        <f t="shared" si="18"/>
        <v>445</v>
      </c>
      <c r="H115" s="25">
        <f>'2020'!G58</f>
        <v>445</v>
      </c>
      <c r="I115" s="124">
        <f t="shared" si="19"/>
        <v>0</v>
      </c>
      <c r="J115" s="124">
        <f t="shared" si="20"/>
        <v>0</v>
      </c>
      <c r="K115" s="159" t="s">
        <v>27</v>
      </c>
    </row>
    <row r="116" spans="1:14" ht="81" customHeight="1" x14ac:dyDescent="0.3">
      <c r="A116" s="73" t="s">
        <v>220</v>
      </c>
      <c r="B116" s="64" t="s">
        <v>221</v>
      </c>
      <c r="C116" s="23">
        <f>89+1810</f>
        <v>1899</v>
      </c>
      <c r="D116" s="23">
        <v>12</v>
      </c>
      <c r="E116" s="138">
        <f t="shared" si="17"/>
        <v>22788</v>
      </c>
      <c r="F116" s="126">
        <v>2</v>
      </c>
      <c r="G116" s="140">
        <f t="shared" si="18"/>
        <v>45576</v>
      </c>
      <c r="H116" s="25">
        <f>'2020'!G59</f>
        <v>45528</v>
      </c>
      <c r="I116" s="124">
        <v>0</v>
      </c>
      <c r="J116" s="124">
        <f t="shared" si="20"/>
        <v>48</v>
      </c>
      <c r="K116" s="180" t="s">
        <v>128</v>
      </c>
      <c r="N116" s="35"/>
    </row>
    <row r="117" spans="1:14" ht="32.25" customHeight="1" x14ac:dyDescent="0.3">
      <c r="A117" s="73" t="s">
        <v>220</v>
      </c>
      <c r="B117" s="64" t="s">
        <v>222</v>
      </c>
      <c r="C117" s="23">
        <v>1810</v>
      </c>
      <c r="D117" s="23">
        <f>((6243960)/1810)*2</f>
        <v>6899.4033149171273</v>
      </c>
      <c r="E117" s="138">
        <f t="shared" si="17"/>
        <v>12487920</v>
      </c>
      <c r="F117" s="131">
        <v>1.67E-2</v>
      </c>
      <c r="G117" s="140">
        <f t="shared" si="18"/>
        <v>208548.264</v>
      </c>
      <c r="H117" s="25">
        <f>'2020'!G60+114388.39</f>
        <v>458924.55359999998</v>
      </c>
      <c r="I117" s="124">
        <v>0</v>
      </c>
      <c r="J117" s="124">
        <f t="shared" si="20"/>
        <v>-250376.28959999999</v>
      </c>
      <c r="K117" s="180" t="s">
        <v>256</v>
      </c>
    </row>
    <row r="118" spans="1:14" ht="32.25" customHeight="1" x14ac:dyDescent="0.3">
      <c r="A118" s="73" t="s">
        <v>220</v>
      </c>
      <c r="B118" s="64" t="s">
        <v>224</v>
      </c>
      <c r="C118" s="23">
        <f>89+1810</f>
        <v>1899</v>
      </c>
      <c r="D118" s="23">
        <v>1</v>
      </c>
      <c r="E118" s="138">
        <f t="shared" si="17"/>
        <v>1899</v>
      </c>
      <c r="F118" s="126">
        <v>0.25</v>
      </c>
      <c r="G118" s="138">
        <f t="shared" si="18"/>
        <v>474.75</v>
      </c>
      <c r="H118" s="25">
        <f>'2020'!G62</f>
        <v>474.25</v>
      </c>
      <c r="I118" s="124">
        <v>0</v>
      </c>
      <c r="J118" s="124">
        <f t="shared" si="20"/>
        <v>0.5</v>
      </c>
      <c r="K118" s="180" t="s">
        <v>128</v>
      </c>
      <c r="L118" s="10" t="s">
        <v>217</v>
      </c>
    </row>
    <row r="119" spans="1:14" ht="30.75" customHeight="1" thickBot="1" x14ac:dyDescent="0.35">
      <c r="A119" s="122" t="s">
        <v>155</v>
      </c>
      <c r="B119" s="111" t="s">
        <v>156</v>
      </c>
      <c r="C119" s="27">
        <v>76</v>
      </c>
      <c r="D119" s="23">
        <v>1</v>
      </c>
      <c r="E119" s="138">
        <f t="shared" si="17"/>
        <v>76</v>
      </c>
      <c r="F119" s="126">
        <v>0.16700000000000001</v>
      </c>
      <c r="G119" s="138">
        <f t="shared" si="18"/>
        <v>12.692</v>
      </c>
      <c r="H119" s="132">
        <v>0</v>
      </c>
      <c r="I119" s="124">
        <f t="shared" si="19"/>
        <v>12.692</v>
      </c>
      <c r="J119" s="124">
        <v>0</v>
      </c>
      <c r="K119" s="184" t="s">
        <v>34</v>
      </c>
    </row>
    <row r="120" spans="1:14" ht="38.25" customHeight="1" thickBot="1" x14ac:dyDescent="0.35">
      <c r="A120" s="248" t="s">
        <v>225</v>
      </c>
      <c r="B120" s="248"/>
      <c r="C120" s="13">
        <v>1899</v>
      </c>
      <c r="D120" s="33">
        <f>+E120/C120</f>
        <v>6610.0397630331754</v>
      </c>
      <c r="E120" s="13">
        <f>SUM(E103:E119)</f>
        <v>12552465.51</v>
      </c>
      <c r="F120" s="33">
        <f>+G120/E120</f>
        <v>2.2259815585822709E-2</v>
      </c>
      <c r="G120" s="13">
        <f>SUM(G103:G119)</f>
        <v>279415.5674</v>
      </c>
      <c r="H120" s="13">
        <f>SUM(H103:H119)</f>
        <v>529966.62360000005</v>
      </c>
      <c r="I120" s="34">
        <f>SUM(I103:I119)</f>
        <v>947.61839999999995</v>
      </c>
      <c r="J120" s="13">
        <f>SUM(J103:J119)</f>
        <v>-251498.6746</v>
      </c>
      <c r="K120" s="185"/>
    </row>
    <row r="121" spans="1:14" ht="14.5" thickBot="1" x14ac:dyDescent="0.35">
      <c r="A121" s="259" t="s">
        <v>176</v>
      </c>
      <c r="B121" s="259"/>
      <c r="C121" s="259"/>
      <c r="D121" s="259"/>
      <c r="E121" s="259"/>
      <c r="F121" s="259"/>
      <c r="G121" s="259"/>
      <c r="H121" s="259"/>
      <c r="I121" s="259"/>
      <c r="J121" s="259"/>
      <c r="K121" s="259"/>
    </row>
    <row r="122" spans="1:14" ht="15" customHeight="1" thickBot="1" x14ac:dyDescent="0.35">
      <c r="A122" s="77" t="s">
        <v>226</v>
      </c>
      <c r="B122" s="64" t="s">
        <v>227</v>
      </c>
      <c r="C122" s="23">
        <v>37417</v>
      </c>
      <c r="D122" s="23">
        <v>1</v>
      </c>
      <c r="E122" s="138">
        <f t="shared" ref="E122" si="21">C122*D122</f>
        <v>37417</v>
      </c>
      <c r="F122" s="126">
        <v>0.16700000000000001</v>
      </c>
      <c r="G122" s="138">
        <f t="shared" ref="G122" si="22">E122*F122</f>
        <v>6248.6390000000001</v>
      </c>
      <c r="H122" s="25">
        <v>0</v>
      </c>
      <c r="I122" s="124">
        <f t="shared" ref="I122" si="23">G122-H122</f>
        <v>6248.6390000000001</v>
      </c>
      <c r="J122" s="124">
        <v>0</v>
      </c>
      <c r="K122" s="178" t="s">
        <v>34</v>
      </c>
    </row>
    <row r="123" spans="1:14" ht="15" customHeight="1" thickBot="1" x14ac:dyDescent="0.35">
      <c r="A123" s="248" t="s">
        <v>259</v>
      </c>
      <c r="B123" s="248"/>
      <c r="C123" s="13">
        <f>C122</f>
        <v>37417</v>
      </c>
      <c r="D123" s="33">
        <f>E123/C123</f>
        <v>1</v>
      </c>
      <c r="E123" s="13">
        <f>E122</f>
        <v>37417</v>
      </c>
      <c r="F123" s="33">
        <f>G123/E123</f>
        <v>0.16700000000000001</v>
      </c>
      <c r="G123" s="13">
        <f>G122</f>
        <v>6248.6390000000001</v>
      </c>
      <c r="H123" s="13">
        <v>0</v>
      </c>
      <c r="I123" s="34">
        <f>I122</f>
        <v>6248.6390000000001</v>
      </c>
      <c r="J123" s="13">
        <f>J122</f>
        <v>0</v>
      </c>
      <c r="K123" s="185"/>
    </row>
    <row r="124" spans="1:14" ht="16.5" customHeight="1" thickBot="1" x14ac:dyDescent="0.35">
      <c r="A124" s="249" t="s">
        <v>229</v>
      </c>
      <c r="B124" s="250"/>
      <c r="C124" s="13">
        <f>C123+C120</f>
        <v>39316</v>
      </c>
      <c r="D124" s="33">
        <f>+E124/C124</f>
        <v>320.22287389358024</v>
      </c>
      <c r="E124" s="13">
        <f>E123+E120</f>
        <v>12589882.51</v>
      </c>
      <c r="F124" s="33">
        <f>G124/E124</f>
        <v>2.26899819099265E-2</v>
      </c>
      <c r="G124" s="13">
        <f>G123+G120</f>
        <v>285664.20640000002</v>
      </c>
      <c r="H124" s="13">
        <f>H123+H120</f>
        <v>529966.62360000005</v>
      </c>
      <c r="I124" s="34">
        <f>I123+I120</f>
        <v>7196.2574000000004</v>
      </c>
      <c r="J124" s="13">
        <f>J123+J120</f>
        <v>-251498.6746</v>
      </c>
      <c r="K124" s="185"/>
    </row>
    <row r="125" spans="1:14" ht="14.25" customHeight="1" x14ac:dyDescent="0.3">
      <c r="A125" s="260" t="s">
        <v>257</v>
      </c>
      <c r="B125" s="261"/>
      <c r="C125" s="16">
        <f>C100</f>
        <v>6283276</v>
      </c>
      <c r="D125" s="28">
        <f>E125/C125</f>
        <v>8.7986694439275439</v>
      </c>
      <c r="E125" s="16">
        <f>E124+E100</f>
        <v>55284468.548963286</v>
      </c>
      <c r="F125" s="28">
        <f>G125/E125</f>
        <v>0.28369933592815527</v>
      </c>
      <c r="G125" s="16">
        <f>G124+G100</f>
        <v>15684167.01448187</v>
      </c>
      <c r="H125" s="95">
        <v>4547099</v>
      </c>
      <c r="I125" s="16">
        <f>I124+I100</f>
        <v>8889247.8731216863</v>
      </c>
      <c r="J125" s="16">
        <f>J124+J100</f>
        <v>2247820.7367074895</v>
      </c>
      <c r="K125" s="186"/>
    </row>
    <row r="126" spans="1:14" ht="14.25" customHeight="1" thickBot="1" x14ac:dyDescent="0.35"/>
    <row r="127" spans="1:14" ht="14.25" customHeight="1" thickBot="1" x14ac:dyDescent="0.35">
      <c r="A127" s="251" t="s">
        <v>236</v>
      </c>
      <c r="B127" s="252"/>
      <c r="C127" s="252"/>
      <c r="D127" s="253"/>
    </row>
    <row r="128" spans="1:14" ht="16.5" customHeight="1" thickBot="1" x14ac:dyDescent="0.35">
      <c r="A128" s="240" t="s">
        <v>237</v>
      </c>
      <c r="B128" s="241"/>
      <c r="C128" s="238">
        <f>+C100</f>
        <v>6283276</v>
      </c>
      <c r="D128" s="239"/>
      <c r="E128" s="31"/>
      <c r="F128" s="62"/>
    </row>
    <row r="129" spans="1:6" ht="14.25" customHeight="1" thickBot="1" x14ac:dyDescent="0.35">
      <c r="A129" s="254" t="s">
        <v>238</v>
      </c>
      <c r="B129" s="255"/>
      <c r="C129" s="242">
        <f>+C130/C128</f>
        <v>6.7949563315320365</v>
      </c>
      <c r="D129" s="243"/>
    </row>
    <row r="130" spans="1:6" ht="14.25" customHeight="1" thickBot="1" x14ac:dyDescent="0.35">
      <c r="A130" s="240" t="s">
        <v>239</v>
      </c>
      <c r="B130" s="241"/>
      <c r="C130" s="238">
        <f>+E100</f>
        <v>42694586.038963288</v>
      </c>
      <c r="D130" s="239"/>
      <c r="F130" s="89"/>
    </row>
    <row r="131" spans="1:6" ht="14.5" thickBot="1" x14ac:dyDescent="0.35">
      <c r="A131" s="240" t="s">
        <v>240</v>
      </c>
      <c r="B131" s="241"/>
      <c r="C131" s="242">
        <f>+C132/C130</f>
        <v>0.36066640379248838</v>
      </c>
      <c r="D131" s="243"/>
      <c r="F131" s="89"/>
    </row>
    <row r="132" spans="1:6" ht="15" customHeight="1" thickBot="1" x14ac:dyDescent="0.35">
      <c r="A132" s="240" t="s">
        <v>241</v>
      </c>
      <c r="B132" s="241"/>
      <c r="C132" s="238">
        <f>+G100</f>
        <v>15398502.808081871</v>
      </c>
      <c r="D132" s="239"/>
      <c r="F132" s="90"/>
    </row>
    <row r="133" spans="1:6" ht="16.5" customHeight="1" thickBot="1" x14ac:dyDescent="0.35">
      <c r="A133" s="240" t="s">
        <v>242</v>
      </c>
      <c r="B133" s="241"/>
      <c r="C133" s="238">
        <f>H100</f>
        <v>4017131.7810526965</v>
      </c>
      <c r="D133" s="239"/>
    </row>
    <row r="134" spans="1:6" ht="14.25" customHeight="1" thickBot="1" x14ac:dyDescent="0.35">
      <c r="A134" s="236" t="s">
        <v>243</v>
      </c>
      <c r="B134" s="237"/>
      <c r="C134" s="238">
        <f>C132-C133</f>
        <v>11381371.027029175</v>
      </c>
      <c r="D134" s="239"/>
    </row>
    <row r="135" spans="1:6" ht="14.25" customHeight="1" thickBot="1" x14ac:dyDescent="0.35"/>
    <row r="136" spans="1:6" ht="14.25" customHeight="1" thickBot="1" x14ac:dyDescent="0.35">
      <c r="A136" s="251" t="s">
        <v>244</v>
      </c>
      <c r="B136" s="252"/>
      <c r="C136" s="252"/>
      <c r="D136" s="253"/>
    </row>
    <row r="137" spans="1:6" ht="16.5" customHeight="1" thickBot="1" x14ac:dyDescent="0.35">
      <c r="A137" s="240" t="s">
        <v>245</v>
      </c>
      <c r="B137" s="241"/>
      <c r="C137" s="238">
        <f>+C124</f>
        <v>39316</v>
      </c>
      <c r="D137" s="239"/>
    </row>
    <row r="138" spans="1:6" ht="14.25" customHeight="1" thickBot="1" x14ac:dyDescent="0.35">
      <c r="A138" s="254" t="s">
        <v>238</v>
      </c>
      <c r="B138" s="255"/>
      <c r="C138" s="242">
        <f>+C139/C137</f>
        <v>320.22287389358024</v>
      </c>
      <c r="D138" s="243"/>
    </row>
    <row r="139" spans="1:6" ht="14.25" customHeight="1" thickBot="1" x14ac:dyDescent="0.35">
      <c r="A139" s="240" t="s">
        <v>239</v>
      </c>
      <c r="B139" s="241"/>
      <c r="C139" s="238">
        <f>+E124</f>
        <v>12589882.51</v>
      </c>
      <c r="D139" s="239"/>
    </row>
    <row r="140" spans="1:6" ht="14.5" thickBot="1" x14ac:dyDescent="0.35">
      <c r="A140" s="240" t="s">
        <v>240</v>
      </c>
      <c r="B140" s="241"/>
      <c r="C140" s="242">
        <f>+C141/C139</f>
        <v>2.26899819099265E-2</v>
      </c>
      <c r="D140" s="243"/>
    </row>
    <row r="141" spans="1:6" ht="15" customHeight="1" thickBot="1" x14ac:dyDescent="0.35">
      <c r="A141" s="240" t="s">
        <v>241</v>
      </c>
      <c r="B141" s="241"/>
      <c r="C141" s="238">
        <f>+G124</f>
        <v>285664.20640000002</v>
      </c>
      <c r="D141" s="239"/>
    </row>
    <row r="142" spans="1:6" ht="17.25" customHeight="1" thickBot="1" x14ac:dyDescent="0.35">
      <c r="A142" s="240" t="s">
        <v>242</v>
      </c>
      <c r="B142" s="241"/>
      <c r="C142" s="238">
        <f>+H124</f>
        <v>529966.62360000005</v>
      </c>
      <c r="D142" s="239"/>
    </row>
    <row r="143" spans="1:6" ht="17.25" customHeight="1" thickBot="1" x14ac:dyDescent="0.35">
      <c r="A143" s="236" t="s">
        <v>243</v>
      </c>
      <c r="B143" s="237"/>
      <c r="C143" s="238">
        <f>C141-C142</f>
        <v>-244302.41720000003</v>
      </c>
      <c r="D143" s="239"/>
    </row>
    <row r="144" spans="1:6" ht="14.25" customHeight="1" thickBot="1" x14ac:dyDescent="0.35"/>
    <row r="145" spans="1:4" ht="14.25" customHeight="1" thickBot="1" x14ac:dyDescent="0.35">
      <c r="A145" s="251" t="s">
        <v>247</v>
      </c>
      <c r="B145" s="252"/>
      <c r="C145" s="252"/>
      <c r="D145" s="253"/>
    </row>
    <row r="146" spans="1:4" ht="14.5" thickBot="1" x14ac:dyDescent="0.35">
      <c r="A146" s="240" t="s">
        <v>248</v>
      </c>
      <c r="B146" s="241"/>
      <c r="C146" s="238">
        <f>+C130+C139</f>
        <v>55284468.548963286</v>
      </c>
      <c r="D146" s="239"/>
    </row>
    <row r="147" spans="1:4" ht="14.5" thickBot="1" x14ac:dyDescent="0.35">
      <c r="A147" s="240" t="s">
        <v>249</v>
      </c>
      <c r="B147" s="241"/>
      <c r="C147" s="235"/>
      <c r="D147" s="234">
        <f>+C132+C141</f>
        <v>15684167.01448187</v>
      </c>
    </row>
    <row r="148" spans="1:4" ht="14.5" thickBot="1" x14ac:dyDescent="0.35">
      <c r="A148" s="240" t="s">
        <v>242</v>
      </c>
      <c r="B148" s="241"/>
      <c r="C148" s="238">
        <f>H125</f>
        <v>4547099</v>
      </c>
      <c r="D148" s="239"/>
    </row>
    <row r="149" spans="1:4" ht="14.5" thickBot="1" x14ac:dyDescent="0.35">
      <c r="A149" s="236" t="s">
        <v>243</v>
      </c>
      <c r="B149" s="237"/>
      <c r="C149" s="238">
        <f>D147-C148</f>
        <v>11137068.01448187</v>
      </c>
      <c r="D149" s="239"/>
    </row>
  </sheetData>
  <mergeCells count="54">
    <mergeCell ref="A149:B149"/>
    <mergeCell ref="C149:D149"/>
    <mergeCell ref="A145:D145"/>
    <mergeCell ref="A146:B146"/>
    <mergeCell ref="C146:D146"/>
    <mergeCell ref="A147:B147"/>
    <mergeCell ref="A148:B148"/>
    <mergeCell ref="C148:D148"/>
    <mergeCell ref="A141:B141"/>
    <mergeCell ref="C141:D141"/>
    <mergeCell ref="A142:B142"/>
    <mergeCell ref="C142:D142"/>
    <mergeCell ref="A143:B143"/>
    <mergeCell ref="C143:D143"/>
    <mergeCell ref="A138:B138"/>
    <mergeCell ref="C138:D138"/>
    <mergeCell ref="A139:B139"/>
    <mergeCell ref="C139:D139"/>
    <mergeCell ref="A140:B140"/>
    <mergeCell ref="C140:D140"/>
    <mergeCell ref="A137:B137"/>
    <mergeCell ref="C137:D137"/>
    <mergeCell ref="A130:B130"/>
    <mergeCell ref="C130:D130"/>
    <mergeCell ref="A131:B131"/>
    <mergeCell ref="C131:D131"/>
    <mergeCell ref="A132:B132"/>
    <mergeCell ref="C132:D132"/>
    <mergeCell ref="A133:B133"/>
    <mergeCell ref="C133:D133"/>
    <mergeCell ref="A134:B134"/>
    <mergeCell ref="C134:D134"/>
    <mergeCell ref="A136:D136"/>
    <mergeCell ref="A125:B125"/>
    <mergeCell ref="A127:D127"/>
    <mergeCell ref="A128:B128"/>
    <mergeCell ref="C128:D128"/>
    <mergeCell ref="A129:B129"/>
    <mergeCell ref="C129:D129"/>
    <mergeCell ref="A124:B124"/>
    <mergeCell ref="A1:K1"/>
    <mergeCell ref="A3:K3"/>
    <mergeCell ref="A4:K4"/>
    <mergeCell ref="A69:B69"/>
    <mergeCell ref="A70:K70"/>
    <mergeCell ref="A82:B82"/>
    <mergeCell ref="A83:K83"/>
    <mergeCell ref="A99:B99"/>
    <mergeCell ref="A100:B100"/>
    <mergeCell ref="A101:K101"/>
    <mergeCell ref="A102:K102"/>
    <mergeCell ref="A121:K121"/>
    <mergeCell ref="A120:B120"/>
    <mergeCell ref="A123:B123"/>
  </mergeCells>
  <pageMargins left="0.7" right="0.7" top="0.75" bottom="0.75" header="0.3" footer="0.3"/>
  <pageSetup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88"/>
  <sheetViews>
    <sheetView topLeftCell="A48" zoomScale="90" zoomScaleNormal="90" workbookViewId="0">
      <selection activeCell="A48" sqref="A48"/>
    </sheetView>
  </sheetViews>
  <sheetFormatPr defaultColWidth="9.1796875" defaultRowHeight="12.5" x14ac:dyDescent="0.25"/>
  <cols>
    <col min="1" max="1" width="18.7265625" style="9" bestFit="1" customWidth="1"/>
    <col min="2" max="2" width="33.54296875" style="9" bestFit="1" customWidth="1"/>
    <col min="3" max="3" width="15.1796875" style="9" bestFit="1" customWidth="1"/>
    <col min="4" max="4" width="14.1796875" style="9" customWidth="1"/>
    <col min="5" max="5" width="17.7265625" style="9" customWidth="1"/>
    <col min="6" max="6" width="13.1796875" style="9" bestFit="1" customWidth="1"/>
    <col min="7" max="7" width="16.26953125" style="9" customWidth="1"/>
    <col min="8" max="8" width="15.54296875" style="9" bestFit="1" customWidth="1"/>
    <col min="9" max="9" width="15.7265625" style="36" customWidth="1"/>
    <col min="10" max="10" width="14" style="9" bestFit="1" customWidth="1"/>
    <col min="11" max="11" width="57.453125" style="9" customWidth="1"/>
    <col min="12" max="12" width="93.54296875" style="9" customWidth="1"/>
    <col min="13" max="13" width="16.81640625" style="9" customWidth="1"/>
    <col min="14" max="14" width="6" style="9" customWidth="1"/>
    <col min="15" max="15" width="12.81640625" style="9" bestFit="1" customWidth="1"/>
    <col min="16" max="16" width="9.1796875" style="9"/>
    <col min="17" max="17" width="17.26953125" style="9" customWidth="1"/>
    <col min="18" max="18" width="16.453125" style="9" customWidth="1"/>
    <col min="19" max="19" width="13.453125" style="9" customWidth="1"/>
    <col min="20" max="20" width="14.1796875" style="9" customWidth="1"/>
    <col min="21" max="16384" width="9.1796875" style="9"/>
  </cols>
  <sheetData>
    <row r="1" spans="1:20" s="8" customFormat="1" ht="15" customHeight="1" thickBot="1" x14ac:dyDescent="0.3">
      <c r="A1" s="263" t="s">
        <v>250</v>
      </c>
      <c r="B1" s="277"/>
      <c r="C1" s="277"/>
      <c r="D1" s="277"/>
      <c r="E1" s="277"/>
      <c r="F1" s="277"/>
      <c r="G1" s="277"/>
      <c r="H1" s="277"/>
      <c r="I1" s="277"/>
      <c r="J1" s="277"/>
      <c r="K1" s="277"/>
    </row>
    <row r="2" spans="1:20" s="8" customFormat="1" ht="93.75" customHeight="1" thickBot="1" x14ac:dyDescent="0.3">
      <c r="A2" s="1" t="s">
        <v>2</v>
      </c>
      <c r="B2" s="2" t="s">
        <v>3</v>
      </c>
      <c r="C2" s="3" t="s">
        <v>4</v>
      </c>
      <c r="D2" s="4" t="s">
        <v>5</v>
      </c>
      <c r="E2" s="20" t="s">
        <v>6</v>
      </c>
      <c r="F2" s="5" t="s">
        <v>7</v>
      </c>
      <c r="G2" s="21" t="s">
        <v>8</v>
      </c>
      <c r="H2" s="6" t="s">
        <v>9</v>
      </c>
      <c r="I2" s="32" t="s">
        <v>10</v>
      </c>
      <c r="J2" s="7" t="s">
        <v>11</v>
      </c>
      <c r="K2" s="7" t="s">
        <v>260</v>
      </c>
      <c r="L2" s="17"/>
      <c r="M2" s="30"/>
      <c r="P2" s="17"/>
      <c r="Q2" s="26"/>
      <c r="S2" s="26"/>
      <c r="T2" s="26"/>
    </row>
    <row r="3" spans="1:20" s="8" customFormat="1" ht="15" customHeight="1" x14ac:dyDescent="0.25">
      <c r="A3" s="244" t="s">
        <v>22</v>
      </c>
      <c r="B3" s="278"/>
      <c r="C3" s="278"/>
      <c r="D3" s="278"/>
      <c r="E3" s="278"/>
      <c r="F3" s="278"/>
      <c r="G3" s="278"/>
      <c r="H3" s="278"/>
      <c r="I3" s="278"/>
      <c r="J3" s="278"/>
      <c r="K3" s="279"/>
      <c r="Q3" s="45"/>
      <c r="R3" s="46"/>
      <c r="S3" s="47"/>
      <c r="T3" s="48"/>
    </row>
    <row r="4" spans="1:20" s="8" customFormat="1" ht="15" customHeight="1" thickBot="1" x14ac:dyDescent="0.3">
      <c r="A4" s="264" t="s">
        <v>23</v>
      </c>
      <c r="B4" s="280"/>
      <c r="C4" s="280"/>
      <c r="D4" s="280"/>
      <c r="E4" s="280"/>
      <c r="F4" s="280"/>
      <c r="G4" s="280"/>
      <c r="H4" s="280"/>
      <c r="I4" s="280"/>
      <c r="J4" s="280"/>
      <c r="K4" s="281"/>
      <c r="L4" s="49"/>
      <c r="Q4" s="45"/>
      <c r="R4" s="46"/>
      <c r="S4" s="47"/>
      <c r="T4" s="48"/>
    </row>
    <row r="5" spans="1:20" ht="14.5" x14ac:dyDescent="0.25">
      <c r="A5" s="58">
        <v>246.4</v>
      </c>
      <c r="B5" s="60" t="s">
        <v>28</v>
      </c>
      <c r="C5" s="38">
        <v>89</v>
      </c>
      <c r="D5" s="38">
        <v>1</v>
      </c>
      <c r="E5" s="41">
        <f>C5*D5</f>
        <v>89</v>
      </c>
      <c r="F5" s="43">
        <v>134.62</v>
      </c>
      <c r="G5" s="41">
        <f>E5*F5</f>
        <v>11981.18</v>
      </c>
      <c r="H5" s="44">
        <v>12115.8</v>
      </c>
      <c r="I5" s="24"/>
      <c r="J5" s="24">
        <v>-134.62</v>
      </c>
      <c r="K5" s="65" t="s">
        <v>261</v>
      </c>
      <c r="M5" s="36"/>
      <c r="Q5" s="45"/>
      <c r="R5" s="46"/>
      <c r="S5" s="48"/>
      <c r="T5" s="48"/>
    </row>
    <row r="6" spans="1:20" ht="14.5" x14ac:dyDescent="0.25">
      <c r="A6" s="58" t="s">
        <v>29</v>
      </c>
      <c r="B6" s="60" t="s">
        <v>30</v>
      </c>
      <c r="C6" s="38">
        <v>904</v>
      </c>
      <c r="D6" s="38">
        <v>1</v>
      </c>
      <c r="E6" s="41">
        <f t="shared" ref="E6:E32" si="0">C6*D6</f>
        <v>904</v>
      </c>
      <c r="F6" s="43">
        <v>2</v>
      </c>
      <c r="G6" s="41">
        <f t="shared" ref="G6:G32" si="1">E6*F6</f>
        <v>1808</v>
      </c>
      <c r="H6" s="44">
        <v>1837</v>
      </c>
      <c r="I6" s="24"/>
      <c r="J6" s="24">
        <f>G6-H6</f>
        <v>-29</v>
      </c>
      <c r="K6" s="66" t="s">
        <v>262</v>
      </c>
      <c r="M6" s="36"/>
      <c r="Q6" s="45"/>
      <c r="R6" s="46"/>
      <c r="S6" s="48"/>
      <c r="T6" s="48"/>
    </row>
    <row r="7" spans="1:20" ht="14.5" x14ac:dyDescent="0.25">
      <c r="A7" s="58">
        <v>246.6</v>
      </c>
      <c r="B7" s="60" t="s">
        <v>37</v>
      </c>
      <c r="C7" s="38">
        <v>904</v>
      </c>
      <c r="D7" s="38">
        <v>1</v>
      </c>
      <c r="E7" s="41">
        <f t="shared" si="0"/>
        <v>904</v>
      </c>
      <c r="F7" s="43">
        <v>1.5</v>
      </c>
      <c r="G7" s="41">
        <f t="shared" si="1"/>
        <v>1356</v>
      </c>
      <c r="H7" s="44">
        <v>1377.75</v>
      </c>
      <c r="I7" s="24"/>
      <c r="J7" s="24">
        <f>G7-H7</f>
        <v>-21.75</v>
      </c>
      <c r="K7" s="66" t="s">
        <v>262</v>
      </c>
      <c r="M7" s="36"/>
      <c r="Q7" s="45"/>
      <c r="R7" s="46"/>
      <c r="S7" s="48"/>
      <c r="T7" s="48"/>
    </row>
    <row r="8" spans="1:20" ht="14.25" customHeight="1" x14ac:dyDescent="0.25">
      <c r="A8" s="58" t="s">
        <v>40</v>
      </c>
      <c r="B8" s="60" t="s">
        <v>41</v>
      </c>
      <c r="C8" s="38">
        <v>301.3</v>
      </c>
      <c r="D8" s="38">
        <v>1</v>
      </c>
      <c r="E8" s="41">
        <f t="shared" si="0"/>
        <v>301.3</v>
      </c>
      <c r="F8" s="43">
        <v>0.25</v>
      </c>
      <c r="G8" s="41">
        <f t="shared" si="1"/>
        <v>75.325000000000003</v>
      </c>
      <c r="H8" s="44">
        <v>76.5</v>
      </c>
      <c r="I8" s="24"/>
      <c r="J8" s="24">
        <f>G8-H8</f>
        <v>-1.1749999999999972</v>
      </c>
      <c r="K8" s="66" t="s">
        <v>262</v>
      </c>
      <c r="M8" s="36"/>
      <c r="Q8" s="45"/>
      <c r="R8" s="46"/>
      <c r="S8" s="48"/>
      <c r="T8" s="48"/>
    </row>
    <row r="9" spans="1:20" ht="11.25" hidden="1" customHeight="1" x14ac:dyDescent="0.25">
      <c r="A9" s="73" t="s">
        <v>43</v>
      </c>
      <c r="B9" s="64" t="s">
        <v>44</v>
      </c>
      <c r="C9" s="23"/>
      <c r="D9" s="23"/>
      <c r="E9" s="41"/>
      <c r="F9" s="18"/>
      <c r="G9" s="41">
        <f>+G10+G11</f>
        <v>1428439</v>
      </c>
      <c r="H9" s="12">
        <f>G9</f>
        <v>1428439</v>
      </c>
      <c r="I9" s="24"/>
      <c r="J9" s="24">
        <f>H9-G9</f>
        <v>0</v>
      </c>
      <c r="K9" s="65" t="s">
        <v>27</v>
      </c>
      <c r="L9" s="29"/>
      <c r="M9" s="36"/>
      <c r="N9" s="36"/>
      <c r="O9" s="36"/>
      <c r="Q9" s="45"/>
      <c r="R9" s="46"/>
      <c r="S9" s="50"/>
      <c r="T9" s="48"/>
    </row>
    <row r="10" spans="1:20" ht="40.5" customHeight="1" x14ac:dyDescent="0.25">
      <c r="A10" s="73" t="s">
        <v>43</v>
      </c>
      <c r="B10" s="64" t="s">
        <v>46</v>
      </c>
      <c r="C10" s="23">
        <v>1808</v>
      </c>
      <c r="D10" s="23">
        <f>(2*1633864)/1808</f>
        <v>1807.3716814159293</v>
      </c>
      <c r="E10" s="41">
        <f t="shared" si="0"/>
        <v>3267728</v>
      </c>
      <c r="F10" s="43">
        <v>0.16700000000000001</v>
      </c>
      <c r="G10" s="41">
        <v>545711</v>
      </c>
      <c r="H10" s="38">
        <v>624927.81999999995</v>
      </c>
      <c r="I10" s="24"/>
      <c r="J10" s="24">
        <f>G10-H10</f>
        <v>-79216.819999999949</v>
      </c>
      <c r="K10" s="67" t="s">
        <v>47</v>
      </c>
      <c r="L10" s="29"/>
      <c r="M10" s="61"/>
      <c r="O10" s="27"/>
      <c r="Q10" s="45"/>
      <c r="R10" s="50"/>
      <c r="S10" s="48"/>
      <c r="T10" s="48"/>
    </row>
    <row r="11" spans="1:20" ht="99.75" customHeight="1" x14ac:dyDescent="0.25">
      <c r="A11" s="73" t="s">
        <v>43</v>
      </c>
      <c r="B11" s="64" t="s">
        <v>48</v>
      </c>
      <c r="C11" s="38">
        <v>1808</v>
      </c>
      <c r="D11" s="38">
        <f>(1.5*3523863)/1808</f>
        <v>2923.5589048672568</v>
      </c>
      <c r="E11" s="41">
        <f t="shared" si="0"/>
        <v>5285794.5</v>
      </c>
      <c r="F11" s="43">
        <v>0.16700000000000001</v>
      </c>
      <c r="G11" s="41">
        <v>882728</v>
      </c>
      <c r="H11" s="25">
        <v>1015270.01</v>
      </c>
      <c r="I11" s="24"/>
      <c r="J11" s="24">
        <f>G11-H11</f>
        <v>-132542.01</v>
      </c>
      <c r="K11" s="68" t="s">
        <v>263</v>
      </c>
      <c r="L11" s="29"/>
      <c r="M11" s="61"/>
      <c r="O11" s="51"/>
      <c r="Q11" s="45"/>
      <c r="R11" s="48"/>
      <c r="S11" s="48"/>
      <c r="T11" s="48"/>
    </row>
    <row r="12" spans="1:20" ht="36" customHeight="1" x14ac:dyDescent="0.3">
      <c r="A12" s="73" t="s">
        <v>43</v>
      </c>
      <c r="B12" s="64" t="s">
        <v>50</v>
      </c>
      <c r="C12" s="38">
        <v>1808</v>
      </c>
      <c r="D12" s="38">
        <f>1*(1712401/1808)</f>
        <v>947.12444690265488</v>
      </c>
      <c r="E12" s="41">
        <f t="shared" si="0"/>
        <v>1712401</v>
      </c>
      <c r="F12" s="43">
        <v>0.16700000000000001</v>
      </c>
      <c r="G12" s="41">
        <f t="shared" si="1"/>
        <v>285970.967</v>
      </c>
      <c r="H12" s="44">
        <v>318553.65000000002</v>
      </c>
      <c r="I12" s="24"/>
      <c r="J12" s="24">
        <f>G12-H12</f>
        <v>-32582.683000000019</v>
      </c>
      <c r="K12" s="66" t="s">
        <v>264</v>
      </c>
      <c r="L12" s="10"/>
      <c r="M12" s="61"/>
      <c r="O12" s="52"/>
      <c r="Q12" s="45"/>
      <c r="R12" s="46"/>
      <c r="S12" s="48"/>
      <c r="T12" s="48"/>
    </row>
    <row r="13" spans="1:20" ht="14.5" x14ac:dyDescent="0.25">
      <c r="A13" s="58" t="s">
        <v>52</v>
      </c>
      <c r="B13" s="60" t="s">
        <v>53</v>
      </c>
      <c r="C13" s="38">
        <v>4</v>
      </c>
      <c r="D13" s="38">
        <v>1</v>
      </c>
      <c r="E13" s="41">
        <f t="shared" si="0"/>
        <v>4</v>
      </c>
      <c r="F13" s="43">
        <v>8.3500000000000005E-2</v>
      </c>
      <c r="G13" s="41">
        <f t="shared" si="1"/>
        <v>0.33400000000000002</v>
      </c>
      <c r="H13" s="44">
        <v>0.36</v>
      </c>
      <c r="I13" s="40"/>
      <c r="J13" s="40">
        <f>G13-H13</f>
        <v>-2.5999999999999968E-2</v>
      </c>
      <c r="K13" s="96" t="s">
        <v>265</v>
      </c>
      <c r="M13" s="36"/>
      <c r="Q13" s="45"/>
      <c r="R13" s="46"/>
      <c r="S13" s="48"/>
      <c r="T13" s="48"/>
    </row>
    <row r="14" spans="1:20" ht="14.5" x14ac:dyDescent="0.25">
      <c r="A14" s="73" t="s">
        <v>54</v>
      </c>
      <c r="B14" s="64" t="s">
        <v>55</v>
      </c>
      <c r="C14" s="38">
        <v>1808</v>
      </c>
      <c r="D14" s="38">
        <f>((0.03*6870128)/1808)</f>
        <v>113.99548672566371</v>
      </c>
      <c r="E14" s="41">
        <f t="shared" si="0"/>
        <v>206103.84</v>
      </c>
      <c r="F14" s="43">
        <v>8.3500000000000005E-2</v>
      </c>
      <c r="G14" s="41">
        <v>17210</v>
      </c>
      <c r="H14" s="44">
        <v>20771.96</v>
      </c>
      <c r="I14" s="24"/>
      <c r="J14" s="24">
        <f>G14-H14</f>
        <v>-3561.9599999999991</v>
      </c>
      <c r="K14" s="66" t="s">
        <v>56</v>
      </c>
      <c r="L14" s="29"/>
      <c r="M14" s="36"/>
    </row>
    <row r="15" spans="1:20" ht="14.5" x14ac:dyDescent="0.25">
      <c r="A15" s="58" t="s">
        <v>62</v>
      </c>
      <c r="B15" s="60" t="s">
        <v>63</v>
      </c>
      <c r="C15" s="38">
        <v>89</v>
      </c>
      <c r="D15" s="38">
        <v>1</v>
      </c>
      <c r="E15" s="41">
        <f t="shared" si="0"/>
        <v>89</v>
      </c>
      <c r="F15" s="43">
        <v>40</v>
      </c>
      <c r="G15" s="41">
        <f t="shared" si="1"/>
        <v>3560</v>
      </c>
      <c r="H15" s="44">
        <v>3600</v>
      </c>
      <c r="I15" s="55"/>
      <c r="J15" s="24">
        <v>-40</v>
      </c>
      <c r="K15" s="65" t="s">
        <v>266</v>
      </c>
      <c r="M15" s="36"/>
    </row>
    <row r="16" spans="1:20" ht="14.5" x14ac:dyDescent="0.25">
      <c r="A16" s="58" t="s">
        <v>64</v>
      </c>
      <c r="B16" s="60" t="s">
        <v>65</v>
      </c>
      <c r="C16" s="38">
        <v>54</v>
      </c>
      <c r="D16" s="38">
        <v>4</v>
      </c>
      <c r="E16" s="41">
        <f>C16*D16</f>
        <v>216</v>
      </c>
      <c r="F16" s="43">
        <v>8.3000000000000001E-3</v>
      </c>
      <c r="G16" s="41">
        <f t="shared" si="1"/>
        <v>1.7927999999999999</v>
      </c>
      <c r="H16" s="44">
        <v>1.79</v>
      </c>
      <c r="I16" s="40"/>
      <c r="J16" s="56">
        <v>0</v>
      </c>
      <c r="K16" s="69" t="s">
        <v>27</v>
      </c>
      <c r="L16" s="29"/>
      <c r="M16" s="36"/>
    </row>
    <row r="17" spans="1:13" ht="28" x14ac:dyDescent="0.25">
      <c r="A17" s="73" t="s">
        <v>66</v>
      </c>
      <c r="B17" s="64" t="s">
        <v>67</v>
      </c>
      <c r="C17" s="38">
        <v>1808</v>
      </c>
      <c r="D17" s="38">
        <f>(1712401*0.01)/1808</f>
        <v>9.4712444690265496</v>
      </c>
      <c r="E17" s="41">
        <f t="shared" si="0"/>
        <v>17124.010000000002</v>
      </c>
      <c r="F17" s="43">
        <v>3.3399999999999999E-2</v>
      </c>
      <c r="G17" s="41">
        <v>572</v>
      </c>
      <c r="H17" s="44">
        <v>562.15</v>
      </c>
      <c r="I17" s="54"/>
      <c r="J17" s="54">
        <f>G17-H17</f>
        <v>9.8500000000000227</v>
      </c>
      <c r="K17" s="67" t="s">
        <v>251</v>
      </c>
      <c r="M17" s="36"/>
    </row>
    <row r="18" spans="1:13" ht="14.5" x14ac:dyDescent="0.25">
      <c r="A18" s="58" t="s">
        <v>73</v>
      </c>
      <c r="B18" s="60" t="s">
        <v>74</v>
      </c>
      <c r="C18" s="38">
        <v>1808</v>
      </c>
      <c r="D18" s="38">
        <v>1</v>
      </c>
      <c r="E18" s="41">
        <f t="shared" si="0"/>
        <v>1808</v>
      </c>
      <c r="F18" s="43">
        <v>40</v>
      </c>
      <c r="G18" s="41">
        <f t="shared" si="1"/>
        <v>72320</v>
      </c>
      <c r="H18" s="44">
        <v>73480</v>
      </c>
      <c r="I18" s="53"/>
      <c r="J18" s="53">
        <f>G18-H18</f>
        <v>-1160</v>
      </c>
      <c r="K18" s="66" t="s">
        <v>267</v>
      </c>
      <c r="L18" s="29"/>
      <c r="M18" s="36"/>
    </row>
    <row r="19" spans="1:13" ht="37.5" x14ac:dyDescent="0.25">
      <c r="A19" s="73" t="s">
        <v>79</v>
      </c>
      <c r="B19" s="64" t="s">
        <v>80</v>
      </c>
      <c r="C19" s="22">
        <v>89</v>
      </c>
      <c r="D19" s="23">
        <f>(3691)/89</f>
        <v>41.471910112359552</v>
      </c>
      <c r="E19" s="41">
        <f t="shared" si="0"/>
        <v>3691</v>
      </c>
      <c r="F19" s="43">
        <v>4</v>
      </c>
      <c r="G19" s="41">
        <f t="shared" si="1"/>
        <v>14764</v>
      </c>
      <c r="H19" s="12">
        <v>10308</v>
      </c>
      <c r="I19" s="24"/>
      <c r="J19" s="24">
        <f>G19-H19</f>
        <v>4456</v>
      </c>
      <c r="K19" s="67" t="s">
        <v>268</v>
      </c>
      <c r="L19" s="29"/>
      <c r="M19" s="36"/>
    </row>
    <row r="20" spans="1:13" ht="25" x14ac:dyDescent="0.25">
      <c r="A20" s="73" t="s">
        <v>82</v>
      </c>
      <c r="B20" s="64" t="s">
        <v>83</v>
      </c>
      <c r="C20" s="38">
        <v>79</v>
      </c>
      <c r="D20" s="38">
        <f>2*(41164/79)</f>
        <v>1042.126582278481</v>
      </c>
      <c r="E20" s="41">
        <f t="shared" si="0"/>
        <v>82328</v>
      </c>
      <c r="F20" s="43">
        <v>2</v>
      </c>
      <c r="G20" s="41">
        <f t="shared" si="1"/>
        <v>164656</v>
      </c>
      <c r="H20" s="12">
        <v>178896</v>
      </c>
      <c r="I20" s="24"/>
      <c r="J20" s="24">
        <f>G20-H20</f>
        <v>-14240</v>
      </c>
      <c r="K20" s="66" t="s">
        <v>269</v>
      </c>
      <c r="L20" s="29"/>
      <c r="M20" s="36"/>
    </row>
    <row r="21" spans="1:13" ht="50" x14ac:dyDescent="0.25">
      <c r="A21" s="58" t="s">
        <v>82</v>
      </c>
      <c r="B21" s="60" t="s">
        <v>85</v>
      </c>
      <c r="C21" s="23">
        <v>5</v>
      </c>
      <c r="D21" s="23">
        <v>1</v>
      </c>
      <c r="E21" s="41">
        <f t="shared" si="0"/>
        <v>5</v>
      </c>
      <c r="F21" s="43">
        <v>8</v>
      </c>
      <c r="G21" s="41">
        <f t="shared" si="1"/>
        <v>40</v>
      </c>
      <c r="H21" s="12">
        <v>16</v>
      </c>
      <c r="I21" s="24">
        <v>-8</v>
      </c>
      <c r="J21" s="24">
        <v>32</v>
      </c>
      <c r="K21" s="65" t="s">
        <v>270</v>
      </c>
      <c r="M21" s="36"/>
    </row>
    <row r="22" spans="1:13" ht="14.5" x14ac:dyDescent="0.25">
      <c r="A22" s="58" t="s">
        <v>94</v>
      </c>
      <c r="B22" s="60" t="s">
        <v>95</v>
      </c>
      <c r="C22" s="38">
        <v>89</v>
      </c>
      <c r="D22" s="38">
        <v>1</v>
      </c>
      <c r="E22" s="41">
        <f t="shared" si="0"/>
        <v>89</v>
      </c>
      <c r="F22" s="43">
        <v>8</v>
      </c>
      <c r="G22" s="41">
        <f t="shared" si="1"/>
        <v>712</v>
      </c>
      <c r="H22" s="44">
        <v>720</v>
      </c>
      <c r="I22" s="24"/>
      <c r="J22" s="24">
        <v>-8</v>
      </c>
      <c r="K22" s="65" t="s">
        <v>271</v>
      </c>
      <c r="L22" s="29"/>
      <c r="M22" s="36"/>
    </row>
    <row r="23" spans="1:13" ht="25" x14ac:dyDescent="0.25">
      <c r="A23" s="73" t="s">
        <v>94</v>
      </c>
      <c r="B23" s="64" t="s">
        <v>96</v>
      </c>
      <c r="C23" s="24">
        <v>89</v>
      </c>
      <c r="D23" s="23">
        <f>(41164/89)</f>
        <v>462.5168539325843</v>
      </c>
      <c r="E23" s="41">
        <f t="shared" si="0"/>
        <v>41164</v>
      </c>
      <c r="F23" s="43">
        <v>2</v>
      </c>
      <c r="G23" s="41">
        <f t="shared" si="1"/>
        <v>82328</v>
      </c>
      <c r="H23" s="12">
        <v>89448</v>
      </c>
      <c r="I23" s="24"/>
      <c r="J23" s="24">
        <f>G23-H23</f>
        <v>-7120</v>
      </c>
      <c r="K23" s="66" t="s">
        <v>272</v>
      </c>
      <c r="L23" s="29"/>
      <c r="M23" s="36"/>
    </row>
    <row r="24" spans="1:13" ht="25" x14ac:dyDescent="0.25">
      <c r="A24" s="73" t="s">
        <v>273</v>
      </c>
      <c r="B24" s="64" t="s">
        <v>100</v>
      </c>
      <c r="C24" s="24">
        <v>89</v>
      </c>
      <c r="D24" s="23">
        <f>(41164*0.05)/89</f>
        <v>23.125842696629217</v>
      </c>
      <c r="E24" s="41">
        <f t="shared" si="0"/>
        <v>2058.2000000000003</v>
      </c>
      <c r="F24" s="43">
        <v>2</v>
      </c>
      <c r="G24" s="41">
        <f t="shared" si="1"/>
        <v>4116.4000000000005</v>
      </c>
      <c r="H24" s="12">
        <v>4472.3999999999996</v>
      </c>
      <c r="I24" s="24"/>
      <c r="J24" s="24">
        <f>G24-H24</f>
        <v>-355.99999999999909</v>
      </c>
      <c r="K24" s="66" t="s">
        <v>274</v>
      </c>
      <c r="M24" s="36"/>
    </row>
    <row r="25" spans="1:13" ht="14.5" x14ac:dyDescent="0.25">
      <c r="A25" s="73" t="s">
        <v>108</v>
      </c>
      <c r="B25" s="64" t="s">
        <v>109</v>
      </c>
      <c r="C25" s="22">
        <v>89</v>
      </c>
      <c r="D25" s="23">
        <f>10000/89</f>
        <v>112.35955056179775</v>
      </c>
      <c r="E25" s="41">
        <f t="shared" si="0"/>
        <v>10000</v>
      </c>
      <c r="F25" s="43">
        <v>1</v>
      </c>
      <c r="G25" s="41">
        <f t="shared" si="1"/>
        <v>10000</v>
      </c>
      <c r="H25" s="12">
        <f>G25</f>
        <v>10000</v>
      </c>
      <c r="I25" s="24"/>
      <c r="J25" s="24">
        <f t="shared" ref="J25" si="2">H25-G25</f>
        <v>0</v>
      </c>
      <c r="K25" s="65" t="s">
        <v>27</v>
      </c>
      <c r="M25" s="36"/>
    </row>
    <row r="26" spans="1:13" ht="14.5" x14ac:dyDescent="0.25">
      <c r="A26" s="58" t="s">
        <v>112</v>
      </c>
      <c r="B26" s="60" t="s">
        <v>113</v>
      </c>
      <c r="C26" s="22">
        <v>89</v>
      </c>
      <c r="D26" s="23">
        <v>1</v>
      </c>
      <c r="E26" s="41">
        <f t="shared" si="0"/>
        <v>89</v>
      </c>
      <c r="F26" s="43">
        <v>40</v>
      </c>
      <c r="G26" s="41">
        <f t="shared" si="1"/>
        <v>3560</v>
      </c>
      <c r="H26" s="12">
        <v>3600</v>
      </c>
      <c r="I26" s="24"/>
      <c r="J26" s="24">
        <v>-40</v>
      </c>
      <c r="K26" s="65" t="s">
        <v>266</v>
      </c>
      <c r="M26" s="36"/>
    </row>
    <row r="27" spans="1:13" ht="37.5" x14ac:dyDescent="0.25">
      <c r="A27" s="58" t="s">
        <v>122</v>
      </c>
      <c r="B27" s="60" t="s">
        <v>123</v>
      </c>
      <c r="C27" s="38">
        <v>20</v>
      </c>
      <c r="D27" s="38">
        <v>1</v>
      </c>
      <c r="E27" s="41">
        <f t="shared" si="0"/>
        <v>20</v>
      </c>
      <c r="F27" s="43">
        <v>160</v>
      </c>
      <c r="G27" s="41">
        <f t="shared" si="1"/>
        <v>3200</v>
      </c>
      <c r="H27" s="44">
        <v>11200</v>
      </c>
      <c r="I27" s="24"/>
      <c r="J27" s="57">
        <v>-8000</v>
      </c>
      <c r="K27" s="70" t="s">
        <v>275</v>
      </c>
      <c r="L27" s="29"/>
      <c r="M27" s="36"/>
    </row>
    <row r="28" spans="1:13" ht="14.5" x14ac:dyDescent="0.25">
      <c r="A28" s="73" t="s">
        <v>126</v>
      </c>
      <c r="B28" s="64" t="s">
        <v>127</v>
      </c>
      <c r="C28" s="38">
        <v>89</v>
      </c>
      <c r="D28" s="38">
        <f>(1808*4)/89</f>
        <v>81.258426966292134</v>
      </c>
      <c r="E28" s="41">
        <f t="shared" si="0"/>
        <v>7232</v>
      </c>
      <c r="F28" s="43">
        <v>2</v>
      </c>
      <c r="G28" s="41">
        <f t="shared" si="1"/>
        <v>14464</v>
      </c>
      <c r="H28" s="44">
        <v>14696</v>
      </c>
      <c r="I28" s="24"/>
      <c r="J28" s="24">
        <f>G28-H28</f>
        <v>-232</v>
      </c>
      <c r="K28" s="71" t="s">
        <v>262</v>
      </c>
      <c r="M28" s="36"/>
    </row>
    <row r="29" spans="1:13" ht="14.5" x14ac:dyDescent="0.25">
      <c r="A29" s="58" t="s">
        <v>137</v>
      </c>
      <c r="B29" s="60" t="s">
        <v>138</v>
      </c>
      <c r="C29" s="38">
        <v>89</v>
      </c>
      <c r="D29" s="38">
        <f>(10/89)</f>
        <v>0.11235955056179775</v>
      </c>
      <c r="E29" s="41">
        <f t="shared" si="0"/>
        <v>10</v>
      </c>
      <c r="F29" s="43">
        <v>8</v>
      </c>
      <c r="G29" s="41">
        <f t="shared" si="1"/>
        <v>80</v>
      </c>
      <c r="H29" s="44">
        <f>G29</f>
        <v>80</v>
      </c>
      <c r="I29" s="24"/>
      <c r="J29" s="24">
        <f>H29-G29</f>
        <v>0</v>
      </c>
      <c r="K29" s="65" t="s">
        <v>27</v>
      </c>
      <c r="M29" s="36"/>
    </row>
    <row r="30" spans="1:13" ht="37.5" x14ac:dyDescent="0.25">
      <c r="A30" s="58" t="s">
        <v>140</v>
      </c>
      <c r="B30" s="60" t="s">
        <v>141</v>
      </c>
      <c r="C30" s="38">
        <f>89*0.33</f>
        <v>29.37</v>
      </c>
      <c r="D30" s="38">
        <v>1</v>
      </c>
      <c r="E30" s="41">
        <f t="shared" si="0"/>
        <v>29.37</v>
      </c>
      <c r="F30" s="43">
        <v>30</v>
      </c>
      <c r="G30" s="41">
        <f t="shared" si="1"/>
        <v>881.1</v>
      </c>
      <c r="H30" s="44">
        <v>900</v>
      </c>
      <c r="I30" s="24">
        <v>-10</v>
      </c>
      <c r="J30" s="24">
        <v>-8.9</v>
      </c>
      <c r="K30" s="65" t="s">
        <v>276</v>
      </c>
      <c r="M30" s="36"/>
    </row>
    <row r="31" spans="1:13" ht="14.5" x14ac:dyDescent="0.25">
      <c r="A31" s="58" t="s">
        <v>145</v>
      </c>
      <c r="B31" s="60" t="s">
        <v>146</v>
      </c>
      <c r="C31" s="38">
        <v>89</v>
      </c>
      <c r="D31" s="38">
        <f>(1808/89)*0.5*0.25</f>
        <v>2.5393258426966292</v>
      </c>
      <c r="E31" s="41">
        <f t="shared" si="0"/>
        <v>226</v>
      </c>
      <c r="F31" s="43">
        <v>2</v>
      </c>
      <c r="G31" s="41">
        <f t="shared" si="1"/>
        <v>452</v>
      </c>
      <c r="H31" s="44">
        <v>459.25</v>
      </c>
      <c r="I31" s="24"/>
      <c r="J31" s="24">
        <f>G31-H31</f>
        <v>-7.25</v>
      </c>
      <c r="K31" s="66" t="s">
        <v>262</v>
      </c>
      <c r="M31" s="36"/>
    </row>
    <row r="32" spans="1:13" ht="15" thickBot="1" x14ac:dyDescent="0.3">
      <c r="A32" s="74" t="s">
        <v>147</v>
      </c>
      <c r="B32" s="60" t="s">
        <v>148</v>
      </c>
      <c r="C32" s="38">
        <v>1</v>
      </c>
      <c r="D32" s="38">
        <v>1</v>
      </c>
      <c r="E32" s="41">
        <f t="shared" si="0"/>
        <v>1</v>
      </c>
      <c r="F32" s="43">
        <v>40</v>
      </c>
      <c r="G32" s="41">
        <f t="shared" si="1"/>
        <v>40</v>
      </c>
      <c r="H32" s="44">
        <v>40</v>
      </c>
      <c r="I32" s="24"/>
      <c r="J32" s="24">
        <f>G32-H32</f>
        <v>0</v>
      </c>
      <c r="K32" s="72" t="s">
        <v>27</v>
      </c>
    </row>
    <row r="33" spans="1:13" ht="15.75" customHeight="1" thickBot="1" x14ac:dyDescent="0.3">
      <c r="A33" s="249" t="s">
        <v>157</v>
      </c>
      <c r="B33" s="288"/>
      <c r="C33" s="11">
        <f>C5+1808</f>
        <v>1897</v>
      </c>
      <c r="D33" s="11">
        <f>E33/C33</f>
        <v>5609.0718081180803</v>
      </c>
      <c r="E33" s="11">
        <f>SUM(E5:E32)</f>
        <v>10640409.219999999</v>
      </c>
      <c r="F33" s="33">
        <f>G33/E33</f>
        <v>0.19948369042144792</v>
      </c>
      <c r="G33" s="11">
        <f>SUM(G5:G8,G10:G32)</f>
        <v>2122588.0987999998</v>
      </c>
      <c r="H33" s="11">
        <f>SUM(H5:H8,H10:H32)</f>
        <v>2397410.44</v>
      </c>
      <c r="I33" s="33">
        <f>SUM(I5:I32)</f>
        <v>-18</v>
      </c>
      <c r="J33" s="11">
        <f>SUM(J5:J32)</f>
        <v>-274804.34399999998</v>
      </c>
      <c r="K33" s="75"/>
    </row>
    <row r="34" spans="1:13" ht="23.5" customHeight="1" thickBot="1" x14ac:dyDescent="0.3">
      <c r="A34" s="282" t="s">
        <v>158</v>
      </c>
      <c r="B34" s="283"/>
      <c r="C34" s="283"/>
      <c r="D34" s="283"/>
      <c r="E34" s="283"/>
      <c r="F34" s="283"/>
      <c r="G34" s="283"/>
      <c r="H34" s="283"/>
      <c r="I34" s="283"/>
      <c r="J34" s="283"/>
      <c r="K34" s="284"/>
    </row>
    <row r="35" spans="1:13" ht="42" customHeight="1" x14ac:dyDescent="0.3">
      <c r="A35" s="73" t="s">
        <v>43</v>
      </c>
      <c r="B35" s="60" t="s">
        <v>46</v>
      </c>
      <c r="C35" s="38">
        <v>1633864</v>
      </c>
      <c r="D35" s="38">
        <v>2</v>
      </c>
      <c r="E35" s="41">
        <f>C35*D35</f>
        <v>3267728</v>
      </c>
      <c r="F35" s="38">
        <v>0.16700000000000001</v>
      </c>
      <c r="G35" s="41">
        <f>E35*F35</f>
        <v>545710.576</v>
      </c>
      <c r="H35" s="25">
        <v>183802.3</v>
      </c>
      <c r="I35" s="97">
        <f>(G35-H35)-J35</f>
        <v>381997.40600000002</v>
      </c>
      <c r="J35" s="24">
        <v>-20089.13</v>
      </c>
      <c r="K35" s="68" t="s">
        <v>277</v>
      </c>
      <c r="L35" s="35"/>
      <c r="M35" s="29"/>
    </row>
    <row r="36" spans="1:13" ht="87" customHeight="1" x14ac:dyDescent="0.3">
      <c r="A36" s="73" t="s">
        <v>43</v>
      </c>
      <c r="B36" s="60" t="s">
        <v>160</v>
      </c>
      <c r="C36" s="37">
        <v>3523863</v>
      </c>
      <c r="D36" s="38">
        <v>1.5</v>
      </c>
      <c r="E36" s="41">
        <f>C36*D36</f>
        <v>5285794.5</v>
      </c>
      <c r="F36" s="38">
        <v>0.16700000000000001</v>
      </c>
      <c r="G36" s="41">
        <f>E36*F36</f>
        <v>882727.68150000006</v>
      </c>
      <c r="H36" s="44">
        <v>298608.83</v>
      </c>
      <c r="I36" s="97">
        <f t="shared" ref="I36:I37" si="3">(G36-H36)-J36</f>
        <v>617909.38150000013</v>
      </c>
      <c r="J36" s="24">
        <v>-33790.53</v>
      </c>
      <c r="K36" s="72" t="s">
        <v>278</v>
      </c>
      <c r="L36" s="35"/>
      <c r="M36" s="61"/>
    </row>
    <row r="37" spans="1:13" ht="25" x14ac:dyDescent="0.3">
      <c r="A37" s="73" t="s">
        <v>43</v>
      </c>
      <c r="B37" s="60" t="s">
        <v>50</v>
      </c>
      <c r="C37" s="37">
        <v>1712401</v>
      </c>
      <c r="D37" s="38">
        <v>1</v>
      </c>
      <c r="E37" s="41">
        <f>C37*D37</f>
        <v>1712401</v>
      </c>
      <c r="F37" s="38">
        <v>0.16700000000000001</v>
      </c>
      <c r="G37" s="41">
        <f>E37*F37</f>
        <v>285970.967</v>
      </c>
      <c r="H37" s="44">
        <v>93692.25</v>
      </c>
      <c r="I37" s="97">
        <f t="shared" si="3"/>
        <v>200179.677</v>
      </c>
      <c r="J37" s="24">
        <v>-7900.96</v>
      </c>
      <c r="K37" s="72" t="s">
        <v>279</v>
      </c>
      <c r="L37" s="35"/>
      <c r="M37" s="29"/>
    </row>
    <row r="38" spans="1:13" ht="28" x14ac:dyDescent="0.25">
      <c r="A38" s="73" t="s">
        <v>66</v>
      </c>
      <c r="B38" s="60" t="s">
        <v>67</v>
      </c>
      <c r="C38" s="37">
        <f>1712401*0.01</f>
        <v>17124.010000000002</v>
      </c>
      <c r="D38" s="38">
        <v>1</v>
      </c>
      <c r="E38" s="41">
        <f>C38*D38</f>
        <v>17124.010000000002</v>
      </c>
      <c r="F38" s="38">
        <v>3.3399999999999999E-2</v>
      </c>
      <c r="G38" s="41">
        <v>572</v>
      </c>
      <c r="H38" s="44">
        <v>562.15</v>
      </c>
      <c r="I38" s="55"/>
      <c r="J38" s="24">
        <v>10</v>
      </c>
      <c r="K38" s="67" t="s">
        <v>280</v>
      </c>
    </row>
    <row r="39" spans="1:13" ht="40.5" customHeight="1" thickBot="1" x14ac:dyDescent="0.3">
      <c r="A39" s="58" t="s">
        <v>66</v>
      </c>
      <c r="B39" s="60" t="s">
        <v>168</v>
      </c>
      <c r="C39" s="37">
        <f>(6870128*0.01)+(1633864*0.01)+(3523863*0.01)</f>
        <v>120278.54999999999</v>
      </c>
      <c r="D39" s="38">
        <v>2</v>
      </c>
      <c r="E39" s="41">
        <f>C39*D39</f>
        <v>240557.09999999998</v>
      </c>
      <c r="F39" s="38">
        <v>5.0099999999999999E-2</v>
      </c>
      <c r="G39" s="42">
        <f>E39*F39</f>
        <v>12051.910709999998</v>
      </c>
      <c r="H39" s="63">
        <v>13512.79</v>
      </c>
      <c r="I39" s="39"/>
      <c r="J39" s="24">
        <f>G39-H39</f>
        <v>-1460.8792900000026</v>
      </c>
      <c r="K39" s="91" t="s">
        <v>169</v>
      </c>
      <c r="L39" s="29"/>
      <c r="M39" s="29"/>
    </row>
    <row r="40" spans="1:13" ht="14.5" thickBot="1" x14ac:dyDescent="0.3">
      <c r="A40" s="249" t="s">
        <v>175</v>
      </c>
      <c r="B40" s="287"/>
      <c r="C40" s="15">
        <f>C35+C36+C37</f>
        <v>6870128</v>
      </c>
      <c r="D40" s="33">
        <f>E40/C40</f>
        <v>1.5317916361965889</v>
      </c>
      <c r="E40" s="11">
        <f>SUM(E35:E39)</f>
        <v>10523604.609999999</v>
      </c>
      <c r="F40" s="33">
        <f>G40/E40</f>
        <v>0.16411041646023986</v>
      </c>
      <c r="G40" s="11">
        <f>SUM(G35:G39)</f>
        <v>1727033.13521</v>
      </c>
      <c r="H40" s="11">
        <f>SUM(H35:H39)</f>
        <v>590178.32000000007</v>
      </c>
      <c r="I40" s="33">
        <f>SUM(I35:I39)</f>
        <v>1200086.4645</v>
      </c>
      <c r="J40" s="11">
        <f>SUM(J35:J39)</f>
        <v>-63231.499290000007</v>
      </c>
      <c r="K40" s="75"/>
    </row>
    <row r="41" spans="1:13" ht="15.75" customHeight="1" thickBot="1" x14ac:dyDescent="0.3">
      <c r="A41" s="259" t="s">
        <v>281</v>
      </c>
      <c r="B41" s="285"/>
      <c r="C41" s="285"/>
      <c r="D41" s="285"/>
      <c r="E41" s="285"/>
      <c r="F41" s="285"/>
      <c r="G41" s="285"/>
      <c r="H41" s="285"/>
      <c r="I41" s="285"/>
      <c r="J41" s="285"/>
      <c r="K41" s="286"/>
    </row>
    <row r="42" spans="1:13" ht="37.5" x14ac:dyDescent="0.25">
      <c r="A42" s="58" t="s">
        <v>79</v>
      </c>
      <c r="B42" s="60" t="s">
        <v>179</v>
      </c>
      <c r="C42" s="23">
        <v>3691</v>
      </c>
      <c r="D42" s="23">
        <v>1</v>
      </c>
      <c r="E42" s="41">
        <f>C42*D42</f>
        <v>3691</v>
      </c>
      <c r="F42" s="18">
        <v>2</v>
      </c>
      <c r="G42" s="41">
        <f>E42*F42</f>
        <v>7382</v>
      </c>
      <c r="H42" s="12">
        <v>5154</v>
      </c>
      <c r="I42" s="24"/>
      <c r="J42" s="24">
        <f>G42-H42</f>
        <v>2228</v>
      </c>
      <c r="K42" s="76" t="s">
        <v>268</v>
      </c>
      <c r="L42" s="29"/>
    </row>
    <row r="43" spans="1:13" ht="14.5" x14ac:dyDescent="0.25">
      <c r="A43" s="73" t="s">
        <v>82</v>
      </c>
      <c r="B43" s="64" t="s">
        <v>83</v>
      </c>
      <c r="C43" s="23">
        <f>(79/89)*41164</f>
        <v>36538.831460674155</v>
      </c>
      <c r="D43" s="23">
        <v>2</v>
      </c>
      <c r="E43" s="41">
        <f>C43*D43</f>
        <v>73077.66292134831</v>
      </c>
      <c r="F43" s="18">
        <v>2</v>
      </c>
      <c r="G43" s="41">
        <f>E43*F43</f>
        <v>146155.32584269662</v>
      </c>
      <c r="H43" s="12">
        <v>149080</v>
      </c>
      <c r="I43" s="24"/>
      <c r="J43" s="24">
        <f>G43-H43</f>
        <v>-2924.6741573033796</v>
      </c>
      <c r="K43" s="66" t="s">
        <v>180</v>
      </c>
    </row>
    <row r="44" spans="1:13" ht="14.5" x14ac:dyDescent="0.25">
      <c r="A44" s="58" t="s">
        <v>92</v>
      </c>
      <c r="B44" s="60" t="s">
        <v>181</v>
      </c>
      <c r="C44" s="23">
        <f>41164*0.33</f>
        <v>13584.12</v>
      </c>
      <c r="D44" s="23">
        <v>1</v>
      </c>
      <c r="E44" s="41">
        <f>C44*D44</f>
        <v>13584.12</v>
      </c>
      <c r="F44" s="18">
        <v>1</v>
      </c>
      <c r="G44" s="41">
        <f>E44*F44</f>
        <v>13584.12</v>
      </c>
      <c r="H44" s="12">
        <v>22362</v>
      </c>
      <c r="I44" s="24"/>
      <c r="J44" s="24">
        <f>G44-H44</f>
        <v>-8777.8799999999992</v>
      </c>
      <c r="K44" s="66" t="s">
        <v>282</v>
      </c>
    </row>
    <row r="45" spans="1:13" ht="41.25" customHeight="1" thickBot="1" x14ac:dyDescent="0.3">
      <c r="A45" s="77" t="s">
        <v>185</v>
      </c>
      <c r="B45" s="64" t="s">
        <v>186</v>
      </c>
      <c r="C45" s="23">
        <f>(4/10)*973</f>
        <v>389.20000000000005</v>
      </c>
      <c r="D45" s="23">
        <v>1</v>
      </c>
      <c r="E45" s="41">
        <f>C45*D45</f>
        <v>389.20000000000005</v>
      </c>
      <c r="F45" s="18">
        <v>1</v>
      </c>
      <c r="G45" s="41">
        <f>E45*F45</f>
        <v>389.20000000000005</v>
      </c>
      <c r="H45" s="12">
        <v>859</v>
      </c>
      <c r="I45" s="24"/>
      <c r="J45" s="24">
        <f>G45-H45</f>
        <v>-469.79999999999995</v>
      </c>
      <c r="K45" s="78" t="s">
        <v>283</v>
      </c>
      <c r="L45" s="29"/>
    </row>
    <row r="46" spans="1:13" ht="34.5" customHeight="1" thickBot="1" x14ac:dyDescent="0.3">
      <c r="A46" s="249" t="s">
        <v>284</v>
      </c>
      <c r="B46" s="288"/>
      <c r="C46" s="11">
        <v>41164</v>
      </c>
      <c r="D46" s="33">
        <f>+E46/C46</f>
        <v>2.2044014896839057</v>
      </c>
      <c r="E46" s="11">
        <f>SUM(E42:E45)</f>
        <v>90741.982921348303</v>
      </c>
      <c r="F46" s="33">
        <f>+G46/E46</f>
        <v>1.8460104182194088</v>
      </c>
      <c r="G46" s="11">
        <f>SUM(G42:G45)</f>
        <v>167510.64584269663</v>
      </c>
      <c r="H46" s="11">
        <f>SUM(H42:H45)</f>
        <v>177455</v>
      </c>
      <c r="I46" s="33">
        <f>SUM(I42:I45)</f>
        <v>0</v>
      </c>
      <c r="J46" s="11">
        <f>SUM(J42:J45)</f>
        <v>-9944.3541573033781</v>
      </c>
      <c r="K46" s="79"/>
      <c r="M46" s="61"/>
    </row>
    <row r="47" spans="1:13" s="10" customFormat="1" ht="14.5" thickBot="1" x14ac:dyDescent="0.35">
      <c r="A47" s="249" t="s">
        <v>285</v>
      </c>
      <c r="B47" s="289"/>
      <c r="C47" s="13">
        <f>SUM(C33,C40,C46)</f>
        <v>6913189</v>
      </c>
      <c r="D47" s="33">
        <f>E47/C47</f>
        <v>3.0745225991827136</v>
      </c>
      <c r="E47" s="13">
        <f>SUM(E33,E40,E46)</f>
        <v>21254755.812921345</v>
      </c>
      <c r="F47" s="34">
        <f>+G47/E47</f>
        <v>0.188999201647406</v>
      </c>
      <c r="G47" s="13">
        <f>SUM(G33+G40+G46)</f>
        <v>4017131.8798526963</v>
      </c>
      <c r="H47" s="14">
        <v>3165043</v>
      </c>
      <c r="I47" s="13">
        <f>SUM(I33,I40,I46)</f>
        <v>1200068.4645</v>
      </c>
      <c r="J47" s="94">
        <f>(G47-H47-I47)</f>
        <v>-347979.58464730368</v>
      </c>
      <c r="K47" s="80"/>
    </row>
    <row r="48" spans="1:13" s="10" customFormat="1" ht="15.75" customHeight="1" x14ac:dyDescent="0.3">
      <c r="A48" s="244" t="s">
        <v>199</v>
      </c>
      <c r="B48" s="278"/>
      <c r="C48" s="278"/>
      <c r="D48" s="278"/>
      <c r="E48" s="278"/>
      <c r="F48" s="278"/>
      <c r="G48" s="278"/>
      <c r="H48" s="278"/>
      <c r="I48" s="278"/>
      <c r="J48" s="278"/>
      <c r="K48" s="278"/>
    </row>
    <row r="49" spans="1:13" ht="15" customHeight="1" x14ac:dyDescent="0.25">
      <c r="A49" s="266" t="s">
        <v>23</v>
      </c>
      <c r="B49" s="290"/>
      <c r="C49" s="290"/>
      <c r="D49" s="290"/>
      <c r="E49" s="290"/>
      <c r="F49" s="290"/>
      <c r="G49" s="290"/>
      <c r="H49" s="290"/>
      <c r="I49" s="290"/>
      <c r="J49" s="290"/>
      <c r="K49" s="290"/>
    </row>
    <row r="50" spans="1:13" ht="14.5" x14ac:dyDescent="0.25">
      <c r="A50" s="77" t="s">
        <v>66</v>
      </c>
      <c r="B50" s="64" t="s">
        <v>168</v>
      </c>
      <c r="C50" s="23">
        <v>10000</v>
      </c>
      <c r="D50" s="23">
        <v>2</v>
      </c>
      <c r="E50" s="23">
        <f>C50*D50</f>
        <v>20000</v>
      </c>
      <c r="F50" s="19">
        <v>1.67E-2</v>
      </c>
      <c r="G50" s="41">
        <f>E50*F50</f>
        <v>334</v>
      </c>
      <c r="H50" s="25">
        <v>320</v>
      </c>
      <c r="I50" s="24"/>
      <c r="J50" s="24">
        <f>G50-H50</f>
        <v>14</v>
      </c>
      <c r="K50" s="65" t="s">
        <v>286</v>
      </c>
    </row>
    <row r="51" spans="1:13" s="10" customFormat="1" ht="14.5" x14ac:dyDescent="0.3">
      <c r="A51" s="77" t="s">
        <v>202</v>
      </c>
      <c r="B51" s="64" t="s">
        <v>203</v>
      </c>
      <c r="C51" s="23">
        <v>89</v>
      </c>
      <c r="D51" s="23">
        <v>1</v>
      </c>
      <c r="E51" s="23">
        <f>C51*D51</f>
        <v>89</v>
      </c>
      <c r="F51" s="19">
        <v>50</v>
      </c>
      <c r="G51" s="41">
        <f>E51*F51</f>
        <v>4450</v>
      </c>
      <c r="H51" s="25">
        <f>4500</f>
        <v>4500</v>
      </c>
      <c r="I51" s="24"/>
      <c r="J51" s="24">
        <v>-50</v>
      </c>
      <c r="K51" s="65" t="s">
        <v>287</v>
      </c>
    </row>
    <row r="52" spans="1:13" s="10" customFormat="1" ht="33" customHeight="1" x14ac:dyDescent="0.3">
      <c r="A52" s="77" t="s">
        <v>204</v>
      </c>
      <c r="B52" s="64" t="s">
        <v>205</v>
      </c>
      <c r="C52" s="23">
        <f>41164*0.33</f>
        <v>13584.12</v>
      </c>
      <c r="D52" s="23">
        <v>1</v>
      </c>
      <c r="E52" s="23">
        <f t="shared" ref="E52:E62" si="4">C52*D52</f>
        <v>13584.12</v>
      </c>
      <c r="F52" s="19">
        <v>1</v>
      </c>
      <c r="G52" s="41">
        <f t="shared" ref="G52:G62" si="5">E52*F52</f>
        <v>13584.12</v>
      </c>
      <c r="H52" s="25">
        <v>22362</v>
      </c>
      <c r="I52" s="57"/>
      <c r="J52" s="24">
        <f>G52-H52</f>
        <v>-8777.8799999999992</v>
      </c>
      <c r="K52" s="82" t="s">
        <v>288</v>
      </c>
    </row>
    <row r="53" spans="1:13" s="10" customFormat="1" ht="14.5" x14ac:dyDescent="0.3">
      <c r="A53" s="81" t="s">
        <v>185</v>
      </c>
      <c r="B53" s="60" t="s">
        <v>186</v>
      </c>
      <c r="C53" s="23">
        <f>(4/10)*973</f>
        <v>389.20000000000005</v>
      </c>
      <c r="D53" s="23">
        <v>1</v>
      </c>
      <c r="E53" s="41">
        <f t="shared" si="4"/>
        <v>389.20000000000005</v>
      </c>
      <c r="F53" s="18">
        <v>1</v>
      </c>
      <c r="G53" s="41">
        <f t="shared" si="5"/>
        <v>389.20000000000005</v>
      </c>
      <c r="H53" s="25">
        <v>859</v>
      </c>
      <c r="I53" s="57"/>
      <c r="J53" s="24">
        <f>G53-H53</f>
        <v>-469.79999999999995</v>
      </c>
      <c r="K53" s="83" t="s">
        <v>283</v>
      </c>
      <c r="L53" s="29"/>
    </row>
    <row r="54" spans="1:13" s="10" customFormat="1" ht="14.5" x14ac:dyDescent="0.3">
      <c r="A54" s="73" t="s">
        <v>206</v>
      </c>
      <c r="B54" s="64" t="s">
        <v>207</v>
      </c>
      <c r="C54" s="23">
        <v>89</v>
      </c>
      <c r="D54" s="22">
        <v>1</v>
      </c>
      <c r="E54" s="41">
        <f t="shared" si="4"/>
        <v>89</v>
      </c>
      <c r="F54" s="18">
        <v>2</v>
      </c>
      <c r="G54" s="41">
        <f t="shared" si="5"/>
        <v>178</v>
      </c>
      <c r="H54" s="25">
        <v>180</v>
      </c>
      <c r="I54" s="24"/>
      <c r="J54" s="24">
        <v>-2</v>
      </c>
      <c r="K54" s="65" t="s">
        <v>266</v>
      </c>
    </row>
    <row r="55" spans="1:13" s="10" customFormat="1" ht="37.5" x14ac:dyDescent="0.3">
      <c r="A55" s="73" t="s">
        <v>208</v>
      </c>
      <c r="B55" s="64" t="s">
        <v>98</v>
      </c>
      <c r="C55" s="23">
        <v>89</v>
      </c>
      <c r="D55" s="23">
        <f>(41164/89)*0.05</f>
        <v>23.125842696629217</v>
      </c>
      <c r="E55" s="23">
        <f t="shared" si="4"/>
        <v>2058.2000000000003</v>
      </c>
      <c r="F55" s="18">
        <v>0.5</v>
      </c>
      <c r="G55" s="41">
        <f t="shared" si="5"/>
        <v>1029.1000000000001</v>
      </c>
      <c r="H55" s="25">
        <v>2236.1999999999998</v>
      </c>
      <c r="I55" s="24">
        <v>-1029.0999999999999</v>
      </c>
      <c r="J55" s="24">
        <v>-178</v>
      </c>
      <c r="K55" s="84" t="s">
        <v>289</v>
      </c>
    </row>
    <row r="56" spans="1:13" s="10" customFormat="1" ht="25" x14ac:dyDescent="0.3">
      <c r="A56" s="73" t="s">
        <v>210</v>
      </c>
      <c r="B56" s="64" t="s">
        <v>211</v>
      </c>
      <c r="C56" s="23">
        <v>89</v>
      </c>
      <c r="D56" s="23">
        <f>(41164/89)*0.05</f>
        <v>23.125842696629217</v>
      </c>
      <c r="E56" s="23">
        <f t="shared" si="4"/>
        <v>2058.2000000000003</v>
      </c>
      <c r="F56" s="18">
        <v>2</v>
      </c>
      <c r="G56" s="41">
        <f t="shared" si="5"/>
        <v>4116.4000000000005</v>
      </c>
      <c r="H56" s="25">
        <v>4472.3999999999996</v>
      </c>
      <c r="I56" s="24"/>
      <c r="J56" s="24">
        <f>G56-H56</f>
        <v>-355.99999999999909</v>
      </c>
      <c r="K56" s="84" t="s">
        <v>290</v>
      </c>
    </row>
    <row r="57" spans="1:13" s="10" customFormat="1" ht="14.5" x14ac:dyDescent="0.3">
      <c r="A57" s="73" t="s">
        <v>104</v>
      </c>
      <c r="B57" s="64" t="s">
        <v>212</v>
      </c>
      <c r="C57" s="23">
        <v>89</v>
      </c>
      <c r="D57" s="23">
        <f>514/89</f>
        <v>5.7752808988764048</v>
      </c>
      <c r="E57" s="23">
        <f>C57*D57</f>
        <v>514</v>
      </c>
      <c r="F57" s="18">
        <v>1</v>
      </c>
      <c r="G57" s="41">
        <f t="shared" si="5"/>
        <v>514</v>
      </c>
      <c r="H57" s="25">
        <v>2300</v>
      </c>
      <c r="I57" s="24"/>
      <c r="J57" s="24">
        <v>-1786</v>
      </c>
      <c r="K57" s="85" t="s">
        <v>291</v>
      </c>
    </row>
    <row r="58" spans="1:13" s="10" customFormat="1" ht="14.5" x14ac:dyDescent="0.3">
      <c r="A58" s="73" t="s">
        <v>218</v>
      </c>
      <c r="B58" s="64" t="s">
        <v>219</v>
      </c>
      <c r="C58" s="23">
        <v>89</v>
      </c>
      <c r="D58" s="22">
        <v>1</v>
      </c>
      <c r="E58" s="41">
        <f t="shared" si="4"/>
        <v>89</v>
      </c>
      <c r="F58" s="18">
        <v>5</v>
      </c>
      <c r="G58" s="41">
        <f t="shared" si="5"/>
        <v>445</v>
      </c>
      <c r="H58" s="25">
        <v>450</v>
      </c>
      <c r="I58" s="24"/>
      <c r="J58" s="24">
        <v>-5</v>
      </c>
      <c r="K58" s="65" t="s">
        <v>266</v>
      </c>
    </row>
    <row r="59" spans="1:13" s="10" customFormat="1" ht="14.5" x14ac:dyDescent="0.3">
      <c r="A59" s="58" t="s">
        <v>220</v>
      </c>
      <c r="B59" s="64" t="s">
        <v>221</v>
      </c>
      <c r="C59" s="23">
        <f>89+1808</f>
        <v>1897</v>
      </c>
      <c r="D59" s="23">
        <v>12</v>
      </c>
      <c r="E59" s="41">
        <f t="shared" si="4"/>
        <v>22764</v>
      </c>
      <c r="F59" s="18">
        <v>2</v>
      </c>
      <c r="G59" s="41">
        <f t="shared" si="5"/>
        <v>45528</v>
      </c>
      <c r="H59" s="25">
        <v>46248</v>
      </c>
      <c r="I59" s="24"/>
      <c r="J59" s="24">
        <f>G59-H59</f>
        <v>-720</v>
      </c>
      <c r="K59" s="84" t="s">
        <v>292</v>
      </c>
    </row>
    <row r="60" spans="1:13" s="10" customFormat="1" ht="81" customHeight="1" x14ac:dyDescent="0.3">
      <c r="A60" s="73" t="s">
        <v>220</v>
      </c>
      <c r="B60" s="64" t="s">
        <v>293</v>
      </c>
      <c r="C60" s="23">
        <v>1808</v>
      </c>
      <c r="D60" s="22">
        <f>((1633864+3523863)/1808)*4</f>
        <v>11410.900442477876</v>
      </c>
      <c r="E60" s="23">
        <f t="shared" si="4"/>
        <v>20630908</v>
      </c>
      <c r="F60" s="92">
        <v>1.67E-2</v>
      </c>
      <c r="G60" s="41">
        <f t="shared" si="5"/>
        <v>344536.16359999997</v>
      </c>
      <c r="H60" s="25">
        <v>395724.23</v>
      </c>
      <c r="I60" s="86"/>
      <c r="J60" s="24">
        <f>G60-H60</f>
        <v>-51188.066400000011</v>
      </c>
      <c r="K60" s="59" t="s">
        <v>294</v>
      </c>
      <c r="M60" s="61"/>
    </row>
    <row r="61" spans="1:13" s="10" customFormat="1" ht="14.5" x14ac:dyDescent="0.3">
      <c r="A61" s="73" t="s">
        <v>220</v>
      </c>
      <c r="B61" s="64" t="s">
        <v>295</v>
      </c>
      <c r="C61" s="23">
        <v>1808</v>
      </c>
      <c r="D61" s="22">
        <f>(1712401/1808)*4</f>
        <v>3788.4977876106195</v>
      </c>
      <c r="E61" s="23">
        <f t="shared" si="4"/>
        <v>6849604</v>
      </c>
      <c r="F61" s="18">
        <v>1.67E-2</v>
      </c>
      <c r="G61" s="41">
        <f t="shared" si="5"/>
        <v>114388.38679999999</v>
      </c>
      <c r="H61" s="25">
        <v>127421.46</v>
      </c>
      <c r="I61" s="86"/>
      <c r="J61" s="24">
        <f>G61-H61</f>
        <v>-13033.073200000013</v>
      </c>
      <c r="K61" s="84" t="s">
        <v>296</v>
      </c>
    </row>
    <row r="62" spans="1:13" s="10" customFormat="1" ht="32.25" customHeight="1" thickBot="1" x14ac:dyDescent="0.35">
      <c r="A62" s="73" t="s">
        <v>220</v>
      </c>
      <c r="B62" s="64" t="s">
        <v>224</v>
      </c>
      <c r="C62" s="23">
        <f>89+1808</f>
        <v>1897</v>
      </c>
      <c r="D62" s="22">
        <v>1</v>
      </c>
      <c r="E62" s="41">
        <f t="shared" si="4"/>
        <v>1897</v>
      </c>
      <c r="F62" s="18">
        <v>0.25</v>
      </c>
      <c r="G62" s="41">
        <f t="shared" si="5"/>
        <v>474.25</v>
      </c>
      <c r="H62" s="25">
        <v>481.75</v>
      </c>
      <c r="I62" s="24"/>
      <c r="J62" s="24">
        <f>G62-H62</f>
        <v>-7.5</v>
      </c>
      <c r="K62" s="84" t="s">
        <v>262</v>
      </c>
    </row>
    <row r="63" spans="1:13" s="10" customFormat="1" ht="14.5" thickBot="1" x14ac:dyDescent="0.35">
      <c r="A63" s="249" t="s">
        <v>297</v>
      </c>
      <c r="B63" s="287"/>
      <c r="C63" s="13">
        <f>10000+1808+89</f>
        <v>11897</v>
      </c>
      <c r="D63" s="33">
        <f>+E63/C63</f>
        <v>2315.2091888711439</v>
      </c>
      <c r="E63" s="13">
        <f>SUM(E50:E62)</f>
        <v>27544043.719999999</v>
      </c>
      <c r="F63" s="33">
        <f>+G63/E63</f>
        <v>1.9240697763458242E-2</v>
      </c>
      <c r="G63" s="13">
        <f>SUM(G50:G62)</f>
        <v>529966.62040000001</v>
      </c>
      <c r="H63" s="93">
        <f>SUM(H50:H62)</f>
        <v>607555.03999999992</v>
      </c>
      <c r="I63" s="34">
        <f>SUM(I50:I62)</f>
        <v>-1029.0999999999999</v>
      </c>
      <c r="J63" s="13">
        <f>SUM(J50:J62)</f>
        <v>-76559.319600000017</v>
      </c>
      <c r="K63" s="87"/>
    </row>
    <row r="64" spans="1:13" s="10" customFormat="1" ht="38.25" customHeight="1" thickBot="1" x14ac:dyDescent="0.35">
      <c r="A64" s="260" t="s">
        <v>257</v>
      </c>
      <c r="B64" s="268"/>
      <c r="C64" s="16">
        <f>SUM(C47)</f>
        <v>6913189</v>
      </c>
      <c r="D64" s="28">
        <f>E64/C64</f>
        <v>7.0587972544828945</v>
      </c>
      <c r="E64" s="16">
        <f>SUM(E47,E63)</f>
        <v>48798799.532921344</v>
      </c>
      <c r="F64" s="28">
        <f>G64/E64</f>
        <v>9.3180540172613638E-2</v>
      </c>
      <c r="G64" s="16">
        <f t="shared" ref="G64:I64" si="6">SUM(G47,G63)</f>
        <v>4547098.5002526967</v>
      </c>
      <c r="H64" s="95">
        <f>SUM(H47,H63)</f>
        <v>3772598.04</v>
      </c>
      <c r="I64" s="16">
        <f t="shared" si="6"/>
        <v>1199039.3644999999</v>
      </c>
      <c r="J64" s="16">
        <f>SUM(J47,J63)+1</f>
        <v>-424537.90424730373</v>
      </c>
      <c r="K64" s="88"/>
    </row>
    <row r="65" spans="1:10" ht="14.5" thickBot="1" x14ac:dyDescent="0.35">
      <c r="A65" s="10"/>
      <c r="B65" s="10"/>
      <c r="C65" s="10"/>
      <c r="D65" s="10"/>
      <c r="E65" s="10"/>
      <c r="F65" s="10"/>
      <c r="G65" s="10"/>
      <c r="H65" s="10"/>
      <c r="I65" s="35"/>
      <c r="J65" s="10"/>
    </row>
    <row r="66" spans="1:10" ht="14.5" thickBot="1" x14ac:dyDescent="0.35">
      <c r="A66" s="251" t="s">
        <v>236</v>
      </c>
      <c r="B66" s="252"/>
      <c r="C66" s="252"/>
      <c r="D66" s="272"/>
      <c r="E66" s="10"/>
      <c r="F66" s="10"/>
      <c r="G66" s="10"/>
      <c r="H66" s="10"/>
      <c r="I66" s="35"/>
      <c r="J66" s="10"/>
    </row>
    <row r="67" spans="1:10" ht="14.5" thickBot="1" x14ac:dyDescent="0.35">
      <c r="A67" s="273" t="s">
        <v>237</v>
      </c>
      <c r="B67" s="274"/>
      <c r="C67" s="238">
        <f>+C47</f>
        <v>6913189</v>
      </c>
      <c r="D67" s="269"/>
      <c r="E67" s="31"/>
      <c r="F67" s="62" t="s">
        <v>298</v>
      </c>
      <c r="G67" s="10"/>
      <c r="H67" s="10"/>
      <c r="I67" s="35"/>
      <c r="J67" s="10"/>
    </row>
    <row r="68" spans="1:10" ht="14.5" thickBot="1" x14ac:dyDescent="0.35">
      <c r="A68" s="270" t="s">
        <v>238</v>
      </c>
      <c r="B68" s="271"/>
      <c r="C68" s="275">
        <f>+C69/C67</f>
        <v>3.0745225991827136</v>
      </c>
      <c r="D68" s="276"/>
      <c r="E68" s="10"/>
      <c r="F68" s="10"/>
      <c r="G68" s="10"/>
      <c r="H68" s="10"/>
      <c r="I68" s="35"/>
      <c r="J68" s="10"/>
    </row>
    <row r="69" spans="1:10" ht="14.5" thickBot="1" x14ac:dyDescent="0.35">
      <c r="A69" s="273" t="s">
        <v>239</v>
      </c>
      <c r="B69" s="291"/>
      <c r="C69" s="238">
        <f>+E47</f>
        <v>21254755.812921345</v>
      </c>
      <c r="D69" s="269"/>
      <c r="E69" s="10"/>
      <c r="F69" s="89"/>
      <c r="G69" s="10"/>
      <c r="H69" s="10"/>
      <c r="I69" s="35"/>
      <c r="J69" s="10"/>
    </row>
    <row r="70" spans="1:10" ht="14.5" thickBot="1" x14ac:dyDescent="0.35">
      <c r="A70" s="273" t="s">
        <v>240</v>
      </c>
      <c r="B70" s="291"/>
      <c r="C70" s="292">
        <f>+C71/C69</f>
        <v>0.188999201647406</v>
      </c>
      <c r="D70" s="293"/>
      <c r="E70" s="10"/>
      <c r="F70" s="89" t="s">
        <v>299</v>
      </c>
      <c r="G70" s="10"/>
      <c r="H70" s="10"/>
      <c r="I70" s="35"/>
      <c r="J70" s="10"/>
    </row>
    <row r="71" spans="1:10" ht="14.5" thickBot="1" x14ac:dyDescent="0.35">
      <c r="A71" s="273" t="s">
        <v>241</v>
      </c>
      <c r="B71" s="294"/>
      <c r="C71" s="238">
        <f>+G47</f>
        <v>4017131.8798526963</v>
      </c>
      <c r="D71" s="269"/>
      <c r="E71" s="10"/>
      <c r="F71" s="90" t="s">
        <v>300</v>
      </c>
      <c r="G71" s="10"/>
      <c r="H71" s="10"/>
      <c r="I71" s="35"/>
      <c r="J71" s="10"/>
    </row>
    <row r="72" spans="1:10" ht="14.5" thickBot="1" x14ac:dyDescent="0.35">
      <c r="A72" s="273" t="s">
        <v>242</v>
      </c>
      <c r="B72" s="291"/>
      <c r="C72" s="238">
        <f>H47</f>
        <v>3165043</v>
      </c>
      <c r="D72" s="269"/>
      <c r="E72" s="10"/>
      <c r="F72" s="10"/>
      <c r="G72" s="10"/>
      <c r="H72" s="10"/>
      <c r="I72" s="35"/>
      <c r="J72" s="10"/>
    </row>
    <row r="73" spans="1:10" ht="14.5" thickBot="1" x14ac:dyDescent="0.35">
      <c r="A73" s="295" t="s">
        <v>243</v>
      </c>
      <c r="B73" s="296"/>
      <c r="C73" s="297">
        <v>852088</v>
      </c>
      <c r="D73" s="298"/>
      <c r="E73" s="10"/>
      <c r="F73" s="10"/>
      <c r="G73" s="10"/>
      <c r="H73" s="10"/>
      <c r="I73" s="35"/>
      <c r="J73" s="10"/>
    </row>
    <row r="74" spans="1:10" ht="13" thickBot="1" x14ac:dyDescent="0.3"/>
    <row r="75" spans="1:10" ht="14.5" thickBot="1" x14ac:dyDescent="0.35">
      <c r="A75" s="251" t="s">
        <v>244</v>
      </c>
      <c r="B75" s="252"/>
      <c r="C75" s="252"/>
      <c r="D75" s="272"/>
    </row>
    <row r="76" spans="1:10" ht="14.5" thickBot="1" x14ac:dyDescent="0.35">
      <c r="A76" s="273" t="s">
        <v>245</v>
      </c>
      <c r="B76" s="274"/>
      <c r="C76" s="238">
        <f>+C63</f>
        <v>11897</v>
      </c>
      <c r="D76" s="269"/>
    </row>
    <row r="77" spans="1:10" ht="14.5" thickBot="1" x14ac:dyDescent="0.35">
      <c r="A77" s="270" t="s">
        <v>238</v>
      </c>
      <c r="B77" s="271"/>
      <c r="C77" s="275">
        <f>+C78/C76</f>
        <v>2315.2091888711439</v>
      </c>
      <c r="D77" s="276"/>
    </row>
    <row r="78" spans="1:10" ht="14.5" thickBot="1" x14ac:dyDescent="0.35">
      <c r="A78" s="273" t="s">
        <v>239</v>
      </c>
      <c r="B78" s="291"/>
      <c r="C78" s="238">
        <f>+E63</f>
        <v>27544043.719999999</v>
      </c>
      <c r="D78" s="269"/>
    </row>
    <row r="79" spans="1:10" ht="14.5" thickBot="1" x14ac:dyDescent="0.35">
      <c r="A79" s="273" t="s">
        <v>240</v>
      </c>
      <c r="B79" s="291"/>
      <c r="C79" s="292">
        <f>+C80/C78</f>
        <v>1.9240697763458242E-2</v>
      </c>
      <c r="D79" s="293"/>
    </row>
    <row r="80" spans="1:10" ht="14.5" thickBot="1" x14ac:dyDescent="0.35">
      <c r="A80" s="273" t="s">
        <v>241</v>
      </c>
      <c r="B80" s="294"/>
      <c r="C80" s="238">
        <f>+G63</f>
        <v>529966.62040000001</v>
      </c>
      <c r="D80" s="269"/>
    </row>
    <row r="81" spans="1:4" ht="14.5" thickBot="1" x14ac:dyDescent="0.35">
      <c r="A81" s="273" t="s">
        <v>242</v>
      </c>
      <c r="B81" s="291"/>
      <c r="C81" s="238">
        <f>+H63</f>
        <v>607555.03999999992</v>
      </c>
      <c r="D81" s="269"/>
    </row>
    <row r="82" spans="1:4" ht="14.5" thickBot="1" x14ac:dyDescent="0.3">
      <c r="A82" s="295" t="s">
        <v>243</v>
      </c>
      <c r="B82" s="296"/>
      <c r="C82" s="297">
        <f>C80-C81</f>
        <v>-77588.419599999906</v>
      </c>
      <c r="D82" s="298"/>
    </row>
    <row r="83" spans="1:4" ht="13" thickBot="1" x14ac:dyDescent="0.3"/>
    <row r="84" spans="1:4" ht="14.5" thickBot="1" x14ac:dyDescent="0.35">
      <c r="A84" s="251" t="s">
        <v>247</v>
      </c>
      <c r="B84" s="252"/>
      <c r="C84" s="252"/>
      <c r="D84" s="272"/>
    </row>
    <row r="85" spans="1:4" ht="17.25" customHeight="1" thickBot="1" x14ac:dyDescent="0.35">
      <c r="A85" s="273" t="s">
        <v>248</v>
      </c>
      <c r="B85" s="274"/>
      <c r="C85" s="238">
        <f>+C69+C78</f>
        <v>48798799.532921344</v>
      </c>
      <c r="D85" s="269"/>
    </row>
    <row r="86" spans="1:4" ht="17.25" customHeight="1" thickBot="1" x14ac:dyDescent="0.35">
      <c r="A86" s="273" t="s">
        <v>249</v>
      </c>
      <c r="B86" s="274"/>
      <c r="C86" s="235"/>
      <c r="D86" s="234">
        <f>+C71+C80</f>
        <v>4547098.5002526967</v>
      </c>
    </row>
    <row r="87" spans="1:4" ht="14.5" thickBot="1" x14ac:dyDescent="0.35">
      <c r="A87" s="273" t="s">
        <v>242</v>
      </c>
      <c r="B87" s="291"/>
      <c r="C87" s="238">
        <f>H64</f>
        <v>3772598.04</v>
      </c>
      <c r="D87" s="269"/>
    </row>
    <row r="88" spans="1:4" ht="14.5" thickBot="1" x14ac:dyDescent="0.3">
      <c r="A88" s="295" t="s">
        <v>243</v>
      </c>
      <c r="B88" s="296"/>
      <c r="C88" s="297">
        <f>C73+C82+1</f>
        <v>774500.58040000009</v>
      </c>
      <c r="D88" s="298"/>
    </row>
  </sheetData>
  <mergeCells count="51">
    <mergeCell ref="A88:B88"/>
    <mergeCell ref="C88:D88"/>
    <mergeCell ref="A87:B87"/>
    <mergeCell ref="C87:D87"/>
    <mergeCell ref="A85:B85"/>
    <mergeCell ref="C85:D85"/>
    <mergeCell ref="A86:B86"/>
    <mergeCell ref="A78:B78"/>
    <mergeCell ref="C78:D78"/>
    <mergeCell ref="A79:B79"/>
    <mergeCell ref="C79:D79"/>
    <mergeCell ref="A84:D84"/>
    <mergeCell ref="A82:B82"/>
    <mergeCell ref="C82:D82"/>
    <mergeCell ref="A80:B80"/>
    <mergeCell ref="C80:D80"/>
    <mergeCell ref="A81:B81"/>
    <mergeCell ref="C81:D81"/>
    <mergeCell ref="A69:B69"/>
    <mergeCell ref="A77:B77"/>
    <mergeCell ref="C77:D77"/>
    <mergeCell ref="C69:D69"/>
    <mergeCell ref="A76:B76"/>
    <mergeCell ref="C76:D76"/>
    <mergeCell ref="A70:B70"/>
    <mergeCell ref="C70:D70"/>
    <mergeCell ref="A71:B71"/>
    <mergeCell ref="C71:D71"/>
    <mergeCell ref="A73:B73"/>
    <mergeCell ref="C73:D73"/>
    <mergeCell ref="A72:B72"/>
    <mergeCell ref="C72:D72"/>
    <mergeCell ref="A75:D75"/>
    <mergeCell ref="A46:B46"/>
    <mergeCell ref="A47:B47"/>
    <mergeCell ref="A63:B63"/>
    <mergeCell ref="A33:B33"/>
    <mergeCell ref="A48:K48"/>
    <mergeCell ref="A49:K49"/>
    <mergeCell ref="A1:K1"/>
    <mergeCell ref="A3:K3"/>
    <mergeCell ref="A4:K4"/>
    <mergeCell ref="A34:K34"/>
    <mergeCell ref="A41:K41"/>
    <mergeCell ref="A40:B40"/>
    <mergeCell ref="A64:B64"/>
    <mergeCell ref="C67:D67"/>
    <mergeCell ref="A68:B68"/>
    <mergeCell ref="A66:D66"/>
    <mergeCell ref="A67:B67"/>
    <mergeCell ref="C68:D68"/>
  </mergeCells>
  <printOptions gridLines="1"/>
  <pageMargins left="0.7" right="0.7" top="0.75" bottom="0.75" header="0.3" footer="0.3"/>
  <pageSetup scale="38" fitToHeight="3" orientation="landscape" r:id="rId1"/>
  <headerFooter>
    <oddHeader>&amp;A</oddHeader>
    <oddFooter>Page &amp;P of &amp;N</oddFooter>
  </headerFooter>
  <rowBreaks count="2" manualBreakCount="2">
    <brk id="32" max="16383" man="1"/>
    <brk id="4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4ac9689-863f-4422-872b-d3791ecc8c2d">
      <UserInfo>
        <DisplayName>Bailey, Patricia - FNS</DisplayName>
        <AccountId>28</AccountId>
        <AccountType/>
      </UserInfo>
      <UserInfo>
        <DisplayName>Hymes, Melanie - FNS</DisplayName>
        <AccountId>18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F35BB24BF1974F84EF7F0E86515D8B" ma:contentTypeVersion="4" ma:contentTypeDescription="Create a new document." ma:contentTypeScope="" ma:versionID="9c1e822b5b491e2e723d03e30fe10afc">
  <xsd:schema xmlns:xsd="http://www.w3.org/2001/XMLSchema" xmlns:xs="http://www.w3.org/2001/XMLSchema" xmlns:p="http://schemas.microsoft.com/office/2006/metadata/properties" xmlns:ns2="2d5c441e-313f-4181-84c9-4d771301bd02" xmlns:ns3="14ac9689-863f-4422-872b-d3791ecc8c2d" targetNamespace="http://schemas.microsoft.com/office/2006/metadata/properties" ma:root="true" ma:fieldsID="687ee8b86b1df7a1336035ffa30e118d" ns2:_="" ns3:_="">
    <xsd:import namespace="2d5c441e-313f-4181-84c9-4d771301bd02"/>
    <xsd:import namespace="14ac9689-863f-4422-872b-d3791ecc8c2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5c441e-313f-4181-84c9-4d771301bd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ac9689-863f-4422-872b-d3791ecc8c2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6CDE96-3DD0-4775-A8CF-DDE3C3E068FB}">
  <ds:schemaRefs>
    <ds:schemaRef ds:uri="http://schemas.microsoft.com/office/2006/metadata/properties"/>
    <ds:schemaRef ds:uri="http://schemas.microsoft.com/office/infopath/2007/PartnerControls"/>
    <ds:schemaRef ds:uri="14ac9689-863f-4422-872b-d3791ecc8c2d"/>
  </ds:schemaRefs>
</ds:datastoreItem>
</file>

<file path=customXml/itemProps2.xml><?xml version="1.0" encoding="utf-8"?>
<ds:datastoreItem xmlns:ds="http://schemas.openxmlformats.org/officeDocument/2006/customXml" ds:itemID="{52EDE642-5B97-46C0-9986-A908E801C847}">
  <ds:schemaRefs>
    <ds:schemaRef ds:uri="http://schemas.microsoft.com/sharepoint/v3/contenttype/forms"/>
  </ds:schemaRefs>
</ds:datastoreItem>
</file>

<file path=customXml/itemProps3.xml><?xml version="1.0" encoding="utf-8"?>
<ds:datastoreItem xmlns:ds="http://schemas.openxmlformats.org/officeDocument/2006/customXml" ds:itemID="{72062C29-126B-4718-90EC-F82E389366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5c441e-313f-4181-84c9-4d771301bd02"/>
    <ds:schemaRef ds:uri="14ac9689-863f-4422-872b-d3791ecc8c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2023-Final</vt:lpstr>
      <vt:lpstr>2023 - LA</vt:lpstr>
      <vt:lpstr>2023</vt:lpstr>
      <vt:lpstr>2020</vt:lpstr>
    </vt:vector>
  </TitlesOfParts>
  <Manager/>
  <Company>USDA FSC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 CARROLL</dc:creator>
  <cp:keywords/>
  <dc:description/>
  <cp:lastModifiedBy>Duncan-Hughes, Dionne - FNS</cp:lastModifiedBy>
  <cp:revision/>
  <dcterms:created xsi:type="dcterms:W3CDTF">1999-05-24T18:00:59Z</dcterms:created>
  <dcterms:modified xsi:type="dcterms:W3CDTF">2023-10-26T14:26:29Z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0x010100C9F35BB24BF1974F84EF7F0E86515D8B</vt:lpwstr>
  </property>
  <property fmtid="{D5CDD505-2E9C-101B-9397-08002B2CF9AE}" pid="3" name="Order">
    <vt:r8>94100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