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epa-my.sharepoint.com/personal/schultz_eric_epa_gov/Documents/03 ICR materials/"/>
    </mc:Choice>
  </mc:AlternateContent>
  <xr:revisionPtr revIDLastSave="0" documentId="8_{DD33B0D9-4769-447A-B4F6-54A3AAF1EC23}" xr6:coauthVersionLast="47" xr6:coauthVersionMax="47" xr10:uidLastSave="{00000000-0000-0000-0000-000000000000}"/>
  <bookViews>
    <workbookView xWindow="-26370" yWindow="3450" windowWidth="21600" windowHeight="11295" xr2:uid="{6B939483-7390-4D4D-9E94-1F1C80266C24}"/>
  </bookViews>
  <sheets>
    <sheet name="Burden_NSPSKc"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8" l="1"/>
  <c r="P65" i="8"/>
  <c r="P63" i="8"/>
  <c r="P64" i="8"/>
  <c r="P62" i="8"/>
  <c r="L65" i="8"/>
  <c r="M65" i="8"/>
  <c r="N65" i="8"/>
  <c r="O65" i="8"/>
  <c r="M64" i="8"/>
  <c r="M63" i="8"/>
  <c r="M62" i="8"/>
  <c r="L64" i="8"/>
  <c r="L63" i="8"/>
  <c r="L62" i="8"/>
  <c r="E99" i="8"/>
  <c r="E96" i="8"/>
  <c r="E92" i="8"/>
  <c r="E93" i="8"/>
  <c r="E94" i="8"/>
  <c r="E95" i="8"/>
  <c r="E91" i="8"/>
  <c r="B98" i="8"/>
  <c r="B92" i="8"/>
  <c r="B93" i="8"/>
  <c r="E76" i="8"/>
  <c r="E75" i="8"/>
  <c r="D76" i="8"/>
  <c r="D77" i="8"/>
  <c r="D78" i="8"/>
  <c r="D79" i="8"/>
  <c r="D80" i="8"/>
  <c r="D81" i="8"/>
  <c r="D71" i="8"/>
  <c r="D72" i="8"/>
  <c r="D73" i="8"/>
  <c r="E27" i="8" l="1"/>
  <c r="E42" i="8"/>
  <c r="E41" i="8"/>
  <c r="E40" i="8"/>
  <c r="M45" i="8"/>
  <c r="M46" i="8" s="1"/>
  <c r="D43" i="8"/>
  <c r="D40" i="8"/>
  <c r="D41" i="8"/>
  <c r="D42" i="8"/>
  <c r="D39" i="8"/>
  <c r="D37" i="8"/>
  <c r="D21" i="8"/>
  <c r="D27" i="8"/>
  <c r="D26" i="8"/>
  <c r="D23" i="8"/>
  <c r="D17" i="8"/>
  <c r="D18" i="8"/>
  <c r="D19" i="8"/>
  <c r="D16" i="8"/>
  <c r="F40" i="8" l="1"/>
  <c r="G40" i="8" s="1"/>
  <c r="F27" i="8"/>
  <c r="G27" i="8" s="1"/>
  <c r="M47" i="8"/>
  <c r="F41" i="8"/>
  <c r="H41" i="8" s="1"/>
  <c r="F42" i="8"/>
  <c r="G42" i="8" s="1"/>
  <c r="H40" i="8" l="1"/>
  <c r="H27" i="8"/>
  <c r="G41" i="8"/>
  <c r="H42" i="8"/>
  <c r="O50" i="8" l="1"/>
  <c r="G62" i="8"/>
  <c r="M21" i="8"/>
  <c r="N21" i="8" s="1"/>
  <c r="M22" i="8"/>
  <c r="N22" i="8" s="1"/>
  <c r="M23" i="8"/>
  <c r="N23" i="8" s="1"/>
  <c r="O23" i="8" s="1"/>
  <c r="M20" i="8"/>
  <c r="O22" i="8" l="1"/>
  <c r="O21" i="8"/>
  <c r="N20" i="8"/>
  <c r="O20" i="8" s="1"/>
  <c r="D35" i="8"/>
  <c r="D36" i="8"/>
  <c r="D38" i="8"/>
  <c r="M16" i="8"/>
  <c r="N13" i="8"/>
  <c r="N14" i="8"/>
  <c r="O14" i="8" s="1"/>
  <c r="N15" i="8"/>
  <c r="O15" i="8" s="1"/>
  <c r="N12" i="8"/>
  <c r="O12" i="8" s="1"/>
  <c r="M70" i="8"/>
  <c r="D75" i="8"/>
  <c r="L51" i="8"/>
  <c r="Q50" i="8"/>
  <c r="Q51" i="8" s="1"/>
  <c r="Q54" i="8" s="1"/>
  <c r="P50" i="8"/>
  <c r="P51" i="8" s="1"/>
  <c r="P54" i="8" s="1"/>
  <c r="O51" i="8"/>
  <c r="O54" i="8" s="1"/>
  <c r="N50" i="8"/>
  <c r="N51" i="8" s="1"/>
  <c r="N54" i="8" s="1"/>
  <c r="M50" i="8"/>
  <c r="L40" i="8"/>
  <c r="Q40" i="8" s="1"/>
  <c r="Q41" i="8" s="1"/>
  <c r="M36" i="8"/>
  <c r="Q29" i="8"/>
  <c r="P29" i="8"/>
  <c r="O29" i="8"/>
  <c r="N29" i="8"/>
  <c r="M29" i="8"/>
  <c r="L28" i="8"/>
  <c r="N28" i="8" s="1"/>
  <c r="F48" i="8"/>
  <c r="G48" i="8" s="1"/>
  <c r="F47" i="8"/>
  <c r="D46" i="8"/>
  <c r="F45" i="8"/>
  <c r="D44" i="8"/>
  <c r="D34" i="8"/>
  <c r="D33" i="8"/>
  <c r="F32" i="8"/>
  <c r="D31" i="8"/>
  <c r="D22" i="8"/>
  <c r="D25" i="8"/>
  <c r="D24" i="8"/>
  <c r="D13" i="8"/>
  <c r="D12" i="8"/>
  <c r="D9" i="8"/>
  <c r="M9" i="8"/>
  <c r="L53" i="8" l="1"/>
  <c r="L55" i="8" s="1"/>
  <c r="L54" i="8"/>
  <c r="M37" i="8"/>
  <c r="R29" i="8"/>
  <c r="M51" i="8"/>
  <c r="R50" i="8"/>
  <c r="M24" i="8"/>
  <c r="N16" i="8"/>
  <c r="O16" i="8" s="1"/>
  <c r="O13" i="8"/>
  <c r="L41" i="8"/>
  <c r="L43" i="8" s="1"/>
  <c r="N30" i="8"/>
  <c r="N33" i="8" s="1"/>
  <c r="P28" i="8"/>
  <c r="P30" i="8" s="1"/>
  <c r="P33" i="8" s="1"/>
  <c r="M40" i="8"/>
  <c r="N40" i="8"/>
  <c r="N41" i="8" s="1"/>
  <c r="N44" i="8" s="1"/>
  <c r="H48" i="8"/>
  <c r="O40" i="8"/>
  <c r="O41" i="8" s="1"/>
  <c r="P40" i="8"/>
  <c r="P41" i="8" s="1"/>
  <c r="P44" i="8" s="1"/>
  <c r="L30" i="8"/>
  <c r="L32" i="8" s="1"/>
  <c r="O28" i="8"/>
  <c r="Q44" i="8"/>
  <c r="Q28" i="8"/>
  <c r="M28" i="8"/>
  <c r="G45" i="8"/>
  <c r="H45" i="8"/>
  <c r="G47" i="8"/>
  <c r="H47" i="8"/>
  <c r="G32" i="8"/>
  <c r="H32" i="8"/>
  <c r="N8" i="8"/>
  <c r="O8" i="8" s="1"/>
  <c r="N7" i="8"/>
  <c r="O7" i="8" s="1"/>
  <c r="N6" i="8"/>
  <c r="O6" i="8" s="1"/>
  <c r="N5" i="8"/>
  <c r="O5" i="8" s="1"/>
  <c r="R51" i="8" l="1"/>
  <c r="R54" i="8" s="1"/>
  <c r="E39" i="8" s="1"/>
  <c r="F39" i="8" s="1"/>
  <c r="M54" i="8"/>
  <c r="R28" i="8"/>
  <c r="N24" i="8"/>
  <c r="O24" i="8" s="1"/>
  <c r="P52" i="8"/>
  <c r="P53" i="8" s="1"/>
  <c r="P55" i="8" s="1"/>
  <c r="M30" i="8"/>
  <c r="M33" i="8" s="1"/>
  <c r="M41" i="8"/>
  <c r="M44" i="8" s="1"/>
  <c r="R40" i="8"/>
  <c r="Q52" i="8"/>
  <c r="Q53" i="8" s="1"/>
  <c r="Q55" i="8" s="1"/>
  <c r="M53" i="8"/>
  <c r="M55" i="8" s="1"/>
  <c r="N52" i="8"/>
  <c r="O52" i="8"/>
  <c r="O53" i="8" s="1"/>
  <c r="O55" i="8" s="1"/>
  <c r="O30" i="8"/>
  <c r="O44" i="8"/>
  <c r="Q30" i="8"/>
  <c r="N9" i="8"/>
  <c r="O9" i="8" s="1"/>
  <c r="E44" i="8" l="1"/>
  <c r="F44" i="8" s="1"/>
  <c r="H44" i="8" s="1"/>
  <c r="G39" i="8"/>
  <c r="H39" i="8"/>
  <c r="E13" i="8"/>
  <c r="B91" i="8" s="1"/>
  <c r="E12" i="8"/>
  <c r="E70" i="8" s="1"/>
  <c r="O42" i="8"/>
  <c r="R30" i="8"/>
  <c r="Q42" i="8"/>
  <c r="M32" i="8"/>
  <c r="M34" i="8" s="1"/>
  <c r="M35" i="8" s="1"/>
  <c r="N31" i="8"/>
  <c r="M43" i="8"/>
  <c r="O31" i="8"/>
  <c r="O36" i="8" s="1"/>
  <c r="O37" i="8" s="1"/>
  <c r="N53" i="8"/>
  <c r="R52" i="8"/>
  <c r="R44" i="8"/>
  <c r="N42" i="8"/>
  <c r="N45" i="8" s="1"/>
  <c r="R41" i="8"/>
  <c r="P31" i="8"/>
  <c r="P32" i="8" s="1"/>
  <c r="P42" i="8"/>
  <c r="Q31" i="8"/>
  <c r="Q36" i="8" s="1"/>
  <c r="Q37" i="8" s="1"/>
  <c r="L44" i="8"/>
  <c r="O33" i="8"/>
  <c r="R33" i="8" s="1"/>
  <c r="Q33" i="8"/>
  <c r="E73" i="8" l="1"/>
  <c r="E72" i="8"/>
  <c r="E71" i="8"/>
  <c r="F71" i="8" s="1"/>
  <c r="H71" i="8" s="1"/>
  <c r="F13" i="8"/>
  <c r="G13" i="8" s="1"/>
  <c r="G44" i="8"/>
  <c r="O32" i="8"/>
  <c r="O34" i="8" s="1"/>
  <c r="O35" i="8" s="1"/>
  <c r="R31" i="8"/>
  <c r="R53" i="8"/>
  <c r="N55" i="8"/>
  <c r="E9" i="8"/>
  <c r="F9" i="8" s="1"/>
  <c r="N46" i="8"/>
  <c r="O43" i="8"/>
  <c r="O45" i="8"/>
  <c r="O46" i="8" s="1"/>
  <c r="O47" i="8" s="1"/>
  <c r="P43" i="8"/>
  <c r="P45" i="8"/>
  <c r="P46" i="8" s="1"/>
  <c r="P47" i="8" s="1"/>
  <c r="Q43" i="8"/>
  <c r="Q45" i="8"/>
  <c r="Q46" i="8" s="1"/>
  <c r="Q47" i="8" s="1"/>
  <c r="P36" i="8"/>
  <c r="P37" i="8" s="1"/>
  <c r="B90" i="8"/>
  <c r="E90" i="8" s="1"/>
  <c r="E25" i="8"/>
  <c r="E24" i="8"/>
  <c r="E31" i="8"/>
  <c r="F31" i="8" s="1"/>
  <c r="G31" i="8" s="1"/>
  <c r="N32" i="8"/>
  <c r="N36" i="8"/>
  <c r="F12" i="8"/>
  <c r="G12" i="8" s="1"/>
  <c r="R42" i="8"/>
  <c r="N43" i="8"/>
  <c r="L33" i="8"/>
  <c r="Q32" i="8"/>
  <c r="Q34" i="8" s="1"/>
  <c r="Q35" i="8" s="1"/>
  <c r="R32" i="8" l="1"/>
  <c r="E38" i="8" s="1"/>
  <c r="F38" i="8" s="1"/>
  <c r="G38" i="8" s="1"/>
  <c r="G71" i="8"/>
  <c r="H13" i="8"/>
  <c r="H9" i="8"/>
  <c r="G9" i="8"/>
  <c r="H12" i="8"/>
  <c r="R55" i="8"/>
  <c r="R36" i="8"/>
  <c r="E34" i="8" s="1"/>
  <c r="F34" i="8" s="1"/>
  <c r="G34" i="8" s="1"/>
  <c r="N37" i="8"/>
  <c r="L36" i="8"/>
  <c r="N47" i="8"/>
  <c r="R46" i="8"/>
  <c r="L46" i="8"/>
  <c r="L47" i="8" s="1"/>
  <c r="L45" i="8"/>
  <c r="P34" i="8"/>
  <c r="P35" i="8" s="1"/>
  <c r="H31" i="8"/>
  <c r="F25" i="8"/>
  <c r="F24" i="8"/>
  <c r="N34" i="8"/>
  <c r="R43" i="8"/>
  <c r="E21" i="8" l="1"/>
  <c r="E46" i="8"/>
  <c r="F46" i="8" s="1"/>
  <c r="G46" i="8" s="1"/>
  <c r="E26" i="8"/>
  <c r="E18" i="8"/>
  <c r="B96" i="8" s="1"/>
  <c r="R47" i="8"/>
  <c r="E37" i="8" s="1"/>
  <c r="F37" i="8" s="1"/>
  <c r="E23" i="8"/>
  <c r="R37" i="8"/>
  <c r="L37" i="8"/>
  <c r="R34" i="8"/>
  <c r="N35" i="8"/>
  <c r="E33" i="8"/>
  <c r="F33" i="8" s="1"/>
  <c r="L34" i="8"/>
  <c r="H38" i="8"/>
  <c r="G25" i="8"/>
  <c r="H25" i="8"/>
  <c r="G24" i="8"/>
  <c r="H24" i="8"/>
  <c r="R45" i="8"/>
  <c r="H34" i="8"/>
  <c r="H46" i="8" l="1"/>
  <c r="F21" i="8"/>
  <c r="G21" i="8" s="1"/>
  <c r="E98" i="8"/>
  <c r="E81" i="8"/>
  <c r="F81" i="8" s="1"/>
  <c r="H81" i="8" s="1"/>
  <c r="F26" i="8"/>
  <c r="F23" i="8"/>
  <c r="H23" i="8" s="1"/>
  <c r="E77" i="8"/>
  <c r="E16" i="8"/>
  <c r="F18" i="8"/>
  <c r="G18" i="8" s="1"/>
  <c r="E79" i="8"/>
  <c r="F79" i="8" s="1"/>
  <c r="H37" i="8"/>
  <c r="G37" i="8"/>
  <c r="E36" i="8"/>
  <c r="F36" i="8" s="1"/>
  <c r="L35" i="8"/>
  <c r="R35" i="8"/>
  <c r="E35" i="8"/>
  <c r="F35" i="8" s="1"/>
  <c r="G33" i="8"/>
  <c r="H33" i="8"/>
  <c r="F76" i="8"/>
  <c r="G2" i="8"/>
  <c r="H21" i="8" l="1"/>
  <c r="F16" i="8"/>
  <c r="G16" i="8" s="1"/>
  <c r="B94" i="8"/>
  <c r="G81" i="8"/>
  <c r="H18" i="8"/>
  <c r="G23" i="8"/>
  <c r="E80" i="8"/>
  <c r="F80" i="8" s="1"/>
  <c r="E19" i="8"/>
  <c r="B97" i="8" s="1"/>
  <c r="H26" i="8"/>
  <c r="G26" i="8"/>
  <c r="H79" i="8"/>
  <c r="G79" i="8"/>
  <c r="H36" i="8"/>
  <c r="G36" i="8"/>
  <c r="G35" i="8"/>
  <c r="H35" i="8"/>
  <c r="E43" i="8"/>
  <c r="F43" i="8" s="1"/>
  <c r="E17" i="8"/>
  <c r="E22" i="8"/>
  <c r="H2" i="8"/>
  <c r="H1" i="8" s="1"/>
  <c r="F77" i="8"/>
  <c r="G77" i="8" s="1"/>
  <c r="G76" i="8"/>
  <c r="H76" i="8"/>
  <c r="H16" i="8" l="1"/>
  <c r="E78" i="8"/>
  <c r="F78" i="8" s="1"/>
  <c r="H78" i="8" s="1"/>
  <c r="B95" i="8"/>
  <c r="H80" i="8"/>
  <c r="G80" i="8"/>
  <c r="F17" i="8"/>
  <c r="E97" i="8"/>
  <c r="F19" i="8"/>
  <c r="F73" i="8"/>
  <c r="G43" i="8"/>
  <c r="G49" i="8" s="1"/>
  <c r="H43" i="8"/>
  <c r="F22" i="8"/>
  <c r="F75" i="8"/>
  <c r="F49" i="8"/>
  <c r="H77" i="8"/>
  <c r="D70" i="8"/>
  <c r="F70" i="8" s="1"/>
  <c r="D62" i="8"/>
  <c r="D63" i="8" s="1"/>
  <c r="G78" i="8" l="1"/>
  <c r="G19" i="8"/>
  <c r="H19" i="8"/>
  <c r="H49" i="8"/>
  <c r="H73" i="8"/>
  <c r="G73" i="8"/>
  <c r="H75" i="8"/>
  <c r="G75" i="8"/>
  <c r="G22" i="8"/>
  <c r="H22" i="8"/>
  <c r="G17" i="8"/>
  <c r="H17" i="8"/>
  <c r="F29" i="8"/>
  <c r="H70" i="8"/>
  <c r="G70" i="8"/>
  <c r="G29" i="8" l="1"/>
  <c r="H29" i="8"/>
  <c r="M71" i="8"/>
  <c r="N71" i="8" s="1"/>
  <c r="M69" i="8" l="1"/>
  <c r="N70" i="8"/>
  <c r="F67" i="8" s="1"/>
  <c r="H67" i="8"/>
  <c r="N69" i="8" l="1"/>
  <c r="G67" i="8" s="1"/>
  <c r="I70" i="8" s="1"/>
  <c r="F2" i="8"/>
  <c r="I80" i="8" l="1"/>
  <c r="I79" i="8"/>
  <c r="I78" i="8"/>
  <c r="I81" i="8"/>
  <c r="I27" i="8"/>
  <c r="I40" i="8"/>
  <c r="I26" i="8"/>
  <c r="I42" i="8"/>
  <c r="I41" i="8"/>
  <c r="I39" i="8"/>
  <c r="I21" i="8"/>
  <c r="I23" i="8"/>
  <c r="I37" i="8"/>
  <c r="I18" i="8"/>
  <c r="I16" i="8"/>
  <c r="I43" i="8"/>
  <c r="I17" i="8"/>
  <c r="I22" i="8"/>
  <c r="I19" i="8"/>
  <c r="I36" i="8"/>
  <c r="I38" i="8"/>
  <c r="I35" i="8"/>
  <c r="I77" i="8"/>
  <c r="I75" i="8"/>
  <c r="I71" i="8"/>
  <c r="I76" i="8"/>
  <c r="I73" i="8"/>
  <c r="I45" i="8"/>
  <c r="I48" i="8"/>
  <c r="I32" i="8"/>
  <c r="I47" i="8"/>
  <c r="I44" i="8"/>
  <c r="I31" i="8"/>
  <c r="I46" i="8"/>
  <c r="I33" i="8"/>
  <c r="I34" i="8"/>
  <c r="I12" i="8"/>
  <c r="I13" i="8"/>
  <c r="I9" i="8"/>
  <c r="I25" i="8"/>
  <c r="I24" i="8"/>
  <c r="I29" i="8" l="1"/>
  <c r="I82" i="8"/>
  <c r="I49" i="8"/>
  <c r="G63" i="8"/>
  <c r="F82" i="8" l="1"/>
  <c r="F50" i="8" l="1"/>
  <c r="E102" i="8" s="1"/>
  <c r="I50" i="8" l="1"/>
  <c r="I51" i="8" l="1"/>
  <c r="I52" i="8" s="1"/>
</calcChain>
</file>

<file path=xl/sharedStrings.xml><?xml version="1.0" encoding="utf-8"?>
<sst xmlns="http://schemas.openxmlformats.org/spreadsheetml/2006/main" count="254" uniqueCount="177">
  <si>
    <r>
      <t>Table 1: Annual Respondent Bur</t>
    </r>
    <r>
      <rPr>
        <b/>
        <sz val="12"/>
        <color theme="1"/>
        <rFont val="Times New Roman"/>
        <family val="1"/>
      </rPr>
      <t>den and Cost – NSPS subpart Kc (Proposed Rule)</t>
    </r>
  </si>
  <si>
    <t>May 2022 - National Occupational Employment and Wage Estimates</t>
  </si>
  <si>
    <t>Burden item</t>
  </si>
  <si>
    <t>(A)</t>
  </si>
  <si>
    <t>(B)</t>
  </si>
  <si>
    <t>(C)</t>
  </si>
  <si>
    <t>(D)</t>
  </si>
  <si>
    <t>(E)</t>
  </si>
  <si>
    <t>(F)</t>
  </si>
  <si>
    <t>(G)</t>
  </si>
  <si>
    <t>(H)</t>
  </si>
  <si>
    <t>Chemical Manufacturing - May 2022 OEWS Industry-Specific Occupational Employment and Wage Estimates (bls.gov)</t>
  </si>
  <si>
    <t>Person hours per occurrence</t>
  </si>
  <si>
    <t>No. of occurrences per respondent per year</t>
  </si>
  <si>
    <t>Person hours per respondent per year</t>
  </si>
  <si>
    <r>
      <t xml:space="preserve">Respondents per year </t>
    </r>
    <r>
      <rPr>
        <b/>
        <vertAlign val="superscript"/>
        <sz val="10"/>
        <color rgb="FF000000"/>
        <rFont val="Times New Roman"/>
        <family val="1"/>
      </rPr>
      <t>a</t>
    </r>
  </si>
  <si>
    <t>Technical person- hours per year</t>
  </si>
  <si>
    <t>Management person hours per year</t>
  </si>
  <si>
    <t>Clerical person hours per year</t>
  </si>
  <si>
    <r>
      <t>Total Cost per year,</t>
    </r>
    <r>
      <rPr>
        <b/>
        <vertAlign val="superscript"/>
        <sz val="10"/>
        <color rgb="FF000000"/>
        <rFont val="Times New Roman"/>
        <family val="1"/>
      </rPr>
      <t xml:space="preserve"> </t>
    </r>
    <r>
      <rPr>
        <b/>
        <sz val="10"/>
        <color rgb="FF000000"/>
        <rFont val="Times New Roman"/>
        <family val="1"/>
      </rPr>
      <t>($)</t>
    </r>
    <r>
      <rPr>
        <b/>
        <vertAlign val="superscript"/>
        <sz val="10"/>
        <color rgb="FF000000"/>
        <rFont val="Times New Roman"/>
        <family val="1"/>
      </rPr>
      <t xml:space="preserve"> b</t>
    </r>
  </si>
  <si>
    <t>Occupation Code</t>
  </si>
  <si>
    <t>Title</t>
  </si>
  <si>
    <t>Mean Hourly Rate</t>
  </si>
  <si>
    <t>110% OH and benefits</t>
  </si>
  <si>
    <t>Estimated Total Pay with Benefits</t>
  </si>
  <si>
    <t>(C=AxB)</t>
  </si>
  <si>
    <t>(E=CxD)</t>
  </si>
  <si>
    <t>(G=Ex0.1)</t>
  </si>
  <si>
    <t>11-0000</t>
  </si>
  <si>
    <t>Mgmt Occup</t>
  </si>
  <si>
    <t>1.  Applications</t>
  </si>
  <si>
    <t>N/A</t>
  </si>
  <si>
    <t>17-2081</t>
  </si>
  <si>
    <t>Environmental Engineer</t>
  </si>
  <si>
    <t>2.  Surveys and studies</t>
  </si>
  <si>
    <t>49-0000</t>
  </si>
  <si>
    <t>Maintenance/Inspections</t>
  </si>
  <si>
    <t>3.  Reporting requirements</t>
  </si>
  <si>
    <t>43-0000</t>
  </si>
  <si>
    <t>Office and Admin Support</t>
  </si>
  <si>
    <t xml:space="preserve">     a.  Familiarize with regulatory requirements</t>
  </si>
  <si>
    <t>Technical</t>
  </si>
  <si>
    <t>b.  Required activities</t>
  </si>
  <si>
    <t>Petroleum and Coal Products Manufacturing - May 2022 OEWS Industry-Specific Occupational Employment and Wage Estimates (bls.gov)</t>
  </si>
  <si>
    <t>Notification of construction</t>
  </si>
  <si>
    <t>Notification of actual startup</t>
  </si>
  <si>
    <t>Notification of physical/ operational changes</t>
  </si>
  <si>
    <t>Notification of malfunction</t>
  </si>
  <si>
    <t>IFR internal inspection</t>
  </si>
  <si>
    <t>EFR gap measurement</t>
  </si>
  <si>
    <t>NSPS Kc Labor Rates (Average of Chemical Manufacturing and Petroleum and Coal Products Manufacturing)</t>
  </si>
  <si>
    <t>EFR 1st seal gap measurement</t>
  </si>
  <si>
    <t>EFR 2nd seal gap measurement</t>
  </si>
  <si>
    <t>49-9000</t>
  </si>
  <si>
    <t>Internal Floating Roof Tanks</t>
  </si>
  <si>
    <t>Total Number Tanks Across 5 Years</t>
  </si>
  <si>
    <t>Year 1</t>
  </si>
  <si>
    <t>Year 2</t>
  </si>
  <si>
    <t>Year 3</t>
  </si>
  <si>
    <t>Year 4</t>
  </si>
  <si>
    <t>Year 5</t>
  </si>
  <si>
    <t>New IFR Tanks</t>
  </si>
  <si>
    <t>Modified IFR Tanks</t>
  </si>
  <si>
    <t>New Subject IFR Tanks</t>
  </si>
  <si>
    <t>Previously Subject IFR Tanks</t>
  </si>
  <si>
    <t>LEL monitoring</t>
  </si>
  <si>
    <t>Total Subject IFR Tanks</t>
  </si>
  <si>
    <t>Subtotal for Reporting Requirements</t>
  </si>
  <si>
    <t>Initial IFR Inspection</t>
  </si>
  <si>
    <t>4.  Recordkeeping requirements</t>
  </si>
  <si>
    <t>A.  Read instructions</t>
  </si>
  <si>
    <t>B.  Gather and record information</t>
  </si>
  <si>
    <t>Vessel volumes, liquid vapor pressures, flares</t>
  </si>
  <si>
    <t>External Floating Roof Tanks</t>
  </si>
  <si>
    <t>New EFR Tanks</t>
  </si>
  <si>
    <t>New Subject EFR Tanks</t>
  </si>
  <si>
    <t>Previously Subject EFR Tanks</t>
  </si>
  <si>
    <t>D.  Time to enter information</t>
  </si>
  <si>
    <t>Total Subject EFR Tanks</t>
  </si>
  <si>
    <t>CVS parameter records</t>
  </si>
  <si>
    <t>E.  Train personnel</t>
  </si>
  <si>
    <t>F.  Audits</t>
  </si>
  <si>
    <t>Subtotal for Recordkeeping Requirements</t>
  </si>
  <si>
    <t>Fixed Roof Tanks</t>
  </si>
  <si>
    <t>TOTAL LABOR BURDEN AND COST</t>
  </si>
  <si>
    <t>Modified Fixed Roof Tanks</t>
  </si>
  <si>
    <t>Capital O&amp;M Cost</t>
  </si>
  <si>
    <t>New Subject Fixed Roof Tanks</t>
  </si>
  <si>
    <t>GRAND TOTAL</t>
  </si>
  <si>
    <t>Previously Subject Fixed Roof Tanks</t>
  </si>
  <si>
    <t>Assumptions:</t>
  </si>
  <si>
    <t>Total Subject Fixed Roof Tanks</t>
  </si>
  <si>
    <r>
      <t>a</t>
    </r>
    <r>
      <rPr>
        <sz val="10"/>
        <color theme="1"/>
        <rFont val="Times New Roman"/>
        <family val="1"/>
      </rPr>
      <t xml:space="preserve">  The average number of respondents per year over the first three years of this ICR.</t>
    </r>
  </si>
  <si>
    <r>
      <t>b</t>
    </r>
    <r>
      <rPr>
        <sz val="10"/>
        <color rgb="FF000000"/>
        <rFont val="Times New Roman"/>
      </rPr>
      <t xml:space="preserve">  This ICR uses the following labor rates from the United States Department of Labor, Bureau of Labor Statistics, May 2022, national mean labor rates for Management Occupations (11-0000), Environmental Engineers (17-2081), Maintenance/Inspections (49-0000), and Office and Administrative Support (43-0000) for the Chemical Manufacturing and Petroleum and Coal Products Manufacturing industries. The rates have been increased by 110 percent to account for the benefit packages available to those employed by private industry. Using an average of the two industries, fully burdened hourly rates are: $146.81 for management; $72.67 for technical (20% engineer and 80% maintenance/inspection); and $49.82 for clerical.</t>
    </r>
  </si>
  <si>
    <t>Monitoring Device</t>
  </si>
  <si>
    <t>Capital/Startup Cost for One Respondent</t>
  </si>
  <si>
    <t xml:space="preserve">Number of New Respondents </t>
  </si>
  <si>
    <t>Total Capital/Startup Cost, (B x C)</t>
  </si>
  <si>
    <t>Annual O&amp;M Costs for One Respondent</t>
  </si>
  <si>
    <t>Number of Respondents with O&amp;M</t>
  </si>
  <si>
    <t>Total O&amp;M, 
(E x F)</t>
  </si>
  <si>
    <t>LEL monitor</t>
  </si>
  <si>
    <t>Total</t>
  </si>
  <si>
    <t>Table 2: Average Annual EPA Burden and Cost – NSPS subpart Kc (Proposed Rule)</t>
  </si>
  <si>
    <t>2022:</t>
  </si>
  <si>
    <t>Activity</t>
  </si>
  <si>
    <t>(A) EPA person-hours per occurrence</t>
  </si>
  <si>
    <t>(B) No. of occurrences per plant per year</t>
  </si>
  <si>
    <t>(C) EPA person hours per plant per year (AxB)</t>
  </si>
  <si>
    <t xml:space="preserve">(D) Plants per year  </t>
  </si>
  <si>
    <t>(E) Technical person-hours per year (CxD)</t>
  </si>
  <si>
    <t>(F) Management person-hours per year (Ex0.05)</t>
  </si>
  <si>
    <t>(G) Clerical person-hours per year (Ex0.1)</t>
  </si>
  <si>
    <r>
      <t xml:space="preserve">(H) Cost, $ </t>
    </r>
    <r>
      <rPr>
        <b/>
        <vertAlign val="superscript"/>
        <sz val="9"/>
        <rFont val="Times New Roman"/>
        <family val="1"/>
      </rPr>
      <t>a</t>
    </r>
  </si>
  <si>
    <t>Agency Worker Rates</t>
  </si>
  <si>
    <r>
      <t xml:space="preserve">Labor Rates, $/hr </t>
    </r>
    <r>
      <rPr>
        <b/>
        <vertAlign val="superscript"/>
        <sz val="12"/>
        <color rgb="FF000000"/>
        <rFont val="Times New Roman"/>
        <family val="1"/>
      </rPr>
      <t>a</t>
    </r>
  </si>
  <si>
    <t>60% Overhead</t>
  </si>
  <si>
    <t>Total, $/hr</t>
  </si>
  <si>
    <t>Report review: New plant</t>
  </si>
  <si>
    <t>Managerial (GS-13, step 5)</t>
  </si>
  <si>
    <t xml:space="preserve">Technical (GS-12, step 1) </t>
  </si>
  <si>
    <t>Clerical (GS-6, step 3)</t>
  </si>
  <si>
    <t>a https://www.opm.gov/policy-data-oversight/pay-leave/salaries-wages/salary-tables/pdf/2022/GS_h.pdf</t>
  </si>
  <si>
    <t>Effective January 2022</t>
  </si>
  <si>
    <t>Report review: Existing plant</t>
  </si>
  <si>
    <t>Notification of IFR delay of repair/emptying</t>
  </si>
  <si>
    <t>TOTAL BURDEN AND COST</t>
  </si>
  <si>
    <r>
      <t>a</t>
    </r>
    <r>
      <rPr>
        <sz val="10"/>
        <color rgb="FF000000"/>
        <rFont val="Times New Roman"/>
      </rPr>
      <t xml:space="preserve">  This cost is based on the following 2022 labor rates which incorporates a 1.6 benefits multiplication factor to account for government overhead expenses: $70.56 Managerial rate (GS-13, Step 5), $52.37 Technical rate (GS-12, Step 1), and $28.34 Clerical rate (GS-6, Step 3).  These rates are calculated from the hourly rates included in the Office of Personnel Management (OPM) 2022 General Schedule which excludes locality rates of pay; the rates have been increased by 60 percent to account for benefit packages available to government employees.</t>
    </r>
  </si>
  <si>
    <t>Information Collection Activity</t>
  </si>
  <si>
    <t>Number of Respondents</t>
  </si>
  <si>
    <t>Number of Responses</t>
  </si>
  <si>
    <t>Number of Existing Respondents That Keep Records But Do Not Submit Reports</t>
  </si>
  <si>
    <t>Total Annual  Responses</t>
  </si>
  <si>
    <t>E=(BxC)+D</t>
  </si>
  <si>
    <t>Report of IFR failure</t>
  </si>
  <si>
    <t>Averge response burden</t>
  </si>
  <si>
    <t xml:space="preserve">3 Year Average </t>
  </si>
  <si>
    <t>3 Year Average</t>
  </si>
  <si>
    <t>Notifications</t>
  </si>
  <si>
    <t>Notification of gap measurement inspection</t>
  </si>
  <si>
    <t>Report of EFR failure</t>
  </si>
  <si>
    <t>Notification of filling or refilling</t>
  </si>
  <si>
    <t>Semiannual report</t>
  </si>
  <si>
    <t>CVS CPMS deviation</t>
  </si>
  <si>
    <t>CVS flare deviation</t>
  </si>
  <si>
    <t>CVS operating plan</t>
  </si>
  <si>
    <t>Flare monitoring</t>
  </si>
  <si>
    <t>Flare visible emissions events</t>
  </si>
  <si>
    <t>Flare operations</t>
  </si>
  <si>
    <t>Degassing events</t>
  </si>
  <si>
    <t>C.  Develop record system (5 year retention)</t>
  </si>
  <si>
    <t>10% failure rate</t>
  </si>
  <si>
    <t>Total Subject CVS non-flare</t>
  </si>
  <si>
    <t>Total Subject CVS flare</t>
  </si>
  <si>
    <t>New Subject CVS non-flare</t>
  </si>
  <si>
    <t>EFR internal inspection</t>
  </si>
  <si>
    <t>IFR external inspection</t>
  </si>
  <si>
    <t>Initial EFR Gap Measurement</t>
  </si>
  <si>
    <t>EFR Gap Measurement (5 years)</t>
  </si>
  <si>
    <t>Internal EFR Inspection (when emptied/degassed)</t>
  </si>
  <si>
    <t>Failed Internal IFR Inspection</t>
  </si>
  <si>
    <t>Failed EFR Gap Measurement</t>
  </si>
  <si>
    <t>Failed External IFR Inspection</t>
  </si>
  <si>
    <t>Yearly External IFR Inspection</t>
  </si>
  <si>
    <t>Internal IFR Inspection (10 years)</t>
  </si>
  <si>
    <t>Compile semiannual report</t>
  </si>
  <si>
    <t>Year</t>
  </si>
  <si>
    <t>Average</t>
  </si>
  <si>
    <t>Respondents that Submit Reports</t>
  </si>
  <si>
    <t>Respondents That Do Not Submit Any Reports</t>
  </si>
  <si>
    <t>(A) Number of New Respondents</t>
  </si>
  <si>
    <t>(B) Number of Existing Respondents</t>
  </si>
  <si>
    <t>(C) Number of Existing Respondents that keep records but do not submit reports</t>
  </si>
  <si>
    <t>(D) Number of Existing Respondents That Are Also New Respondents</t>
  </si>
  <si>
    <t>(E) Number of Respondents (E=A+B+C-D)</t>
  </si>
  <si>
    <t>(F=Ex0.05)</t>
  </si>
  <si>
    <t>Notification of EFR delay of repair/emptying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</si>
</sst>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quot;$&quot;#,##0"/>
    <numFmt numFmtId="166" formatCode="_(* #,##0.0_);_(* \(#,##0.0\);_(* &quot;-&quot;??_);_(@_)"/>
    <numFmt numFmtId="167" formatCode="_(&quot;$&quot;* #,##0_);_(&quot;$&quot;* \(#,##0\);_(&quot;$&quot;* &quot;-&quot;??_);_(@_)"/>
  </numFmts>
  <fonts count="29" x14ac:knownFonts="1">
    <font>
      <sz val="11"/>
      <color theme="1"/>
      <name val="Calibri"/>
      <family val="2"/>
      <scheme val="minor"/>
    </font>
    <font>
      <sz val="12"/>
      <color theme="1"/>
      <name val="Times New Roman"/>
      <family val="1"/>
    </font>
    <font>
      <b/>
      <sz val="12"/>
      <color theme="1"/>
      <name val="Times New Roman"/>
      <family val="1"/>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sz val="10"/>
      <color theme="1"/>
      <name val="Times New Roman"/>
      <family val="1"/>
    </font>
    <font>
      <vertAlign val="superscript"/>
      <sz val="10"/>
      <color theme="1"/>
      <name val="Times New Roman"/>
      <family val="1"/>
    </font>
    <font>
      <u/>
      <sz val="11"/>
      <color theme="10"/>
      <name val="Calibri"/>
      <family val="2"/>
      <scheme val="minor"/>
    </font>
    <font>
      <sz val="12"/>
      <color rgb="FF000000"/>
      <name val="Times New Roman"/>
      <family val="1"/>
    </font>
    <font>
      <b/>
      <vertAlign val="superscript"/>
      <sz val="12"/>
      <color rgb="FF000000"/>
      <name val="Times New Roman"/>
      <family val="1"/>
    </font>
    <font>
      <sz val="9"/>
      <name val="Calibri"/>
      <family val="2"/>
      <scheme val="minor"/>
    </font>
    <font>
      <b/>
      <sz val="9"/>
      <name val="Times New Roman"/>
      <family val="1"/>
    </font>
    <font>
      <b/>
      <vertAlign val="superscript"/>
      <sz val="9"/>
      <name val="Times New Roman"/>
      <family val="1"/>
    </font>
    <font>
      <sz val="9"/>
      <name val="Times New Roman"/>
      <family val="1"/>
    </font>
    <font>
      <b/>
      <sz val="9"/>
      <color theme="1"/>
      <name val="Times New Roman"/>
      <family val="1"/>
    </font>
    <font>
      <sz val="9"/>
      <color theme="1"/>
      <name val="Times New Roman"/>
      <family val="1"/>
    </font>
    <font>
      <sz val="11"/>
      <color rgb="FF000000"/>
      <name val="Calibri"/>
      <family val="2"/>
      <scheme val="minor"/>
    </font>
    <font>
      <sz val="11"/>
      <color theme="1"/>
      <name val="Calibri"/>
      <family val="2"/>
      <scheme val="minor"/>
    </font>
    <font>
      <b/>
      <sz val="12"/>
      <name val="Times New Roman"/>
      <family val="1"/>
    </font>
    <font>
      <vertAlign val="superscript"/>
      <sz val="10"/>
      <color rgb="FF000000"/>
      <name val="Times New Roman"/>
    </font>
    <font>
      <sz val="10"/>
      <color rgb="FF000000"/>
      <name val="Times New Roman"/>
    </font>
    <font>
      <sz val="8"/>
      <name val="Calibri"/>
      <family val="2"/>
      <scheme val="minor"/>
    </font>
    <font>
      <b/>
      <sz val="11"/>
      <color theme="1"/>
      <name val="Calibri"/>
      <family val="2"/>
      <scheme val="minor"/>
    </font>
    <font>
      <sz val="10"/>
      <name val="Times New Roman"/>
      <family val="1"/>
    </font>
    <font>
      <sz val="11"/>
      <name val="Calibri"/>
      <family val="2"/>
      <scheme val="minor"/>
    </font>
  </fonts>
  <fills count="3">
    <fill>
      <patternFill patternType="none"/>
    </fill>
    <fill>
      <patternFill patternType="gray125"/>
    </fill>
    <fill>
      <patternFill patternType="solid">
        <fgColor theme="2"/>
        <bgColor indexed="64"/>
      </patternFill>
    </fill>
  </fills>
  <borders count="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xf numFmtId="0" fontId="11" fillId="0" borderId="0" applyNumberFormat="0" applyFill="0" applyBorder="0" applyAlignment="0" applyProtection="0"/>
    <xf numFmtId="43" fontId="21" fillId="0" borderId="0" applyFont="0" applyFill="0" applyBorder="0" applyAlignment="0" applyProtection="0"/>
    <xf numFmtId="44" fontId="21" fillId="0" borderId="0" applyFont="0" applyFill="0" applyBorder="0" applyAlignment="0" applyProtection="0"/>
  </cellStyleXfs>
  <cellXfs count="151">
    <xf numFmtId="0" fontId="0" fillId="0" borderId="0" xfId="0"/>
    <xf numFmtId="0" fontId="3" fillId="0" borderId="0" xfId="0" applyFont="1" applyAlignment="1">
      <alignment vertical="center"/>
    </xf>
    <xf numFmtId="0" fontId="7" fillId="0" borderId="3" xfId="0" applyFont="1" applyBorder="1" applyAlignment="1">
      <alignment horizontal="left" vertical="center" wrapText="1" indent="1"/>
    </xf>
    <xf numFmtId="0" fontId="7" fillId="0" borderId="7" xfId="0" applyFont="1" applyBorder="1" applyAlignment="1">
      <alignment horizontal="center" vertical="center" wrapText="1"/>
    </xf>
    <xf numFmtId="0" fontId="7" fillId="0" borderId="7" xfId="0" applyFont="1" applyBorder="1" applyAlignment="1">
      <alignment horizontal="right" vertical="center" wrapText="1"/>
    </xf>
    <xf numFmtId="6" fontId="7" fillId="0" borderId="7" xfId="0" applyNumberFormat="1" applyFont="1" applyBorder="1" applyAlignment="1">
      <alignment horizontal="right" vertical="center" wrapText="1"/>
    </xf>
    <xf numFmtId="0" fontId="9" fillId="0" borderId="0" xfId="0" applyFont="1" applyAlignment="1">
      <alignment vertical="center"/>
    </xf>
    <xf numFmtId="0" fontId="10" fillId="0" borderId="0" xfId="0" applyFont="1" applyAlignment="1">
      <alignment vertical="center"/>
    </xf>
    <xf numFmtId="0" fontId="11" fillId="0" borderId="0" xfId="1"/>
    <xf numFmtId="0" fontId="7" fillId="0" borderId="10" xfId="0" applyFont="1" applyBorder="1" applyAlignment="1">
      <alignment horizontal="center" vertical="center" wrapText="1"/>
    </xf>
    <xf numFmtId="0" fontId="7" fillId="0" borderId="10" xfId="0" applyFont="1" applyBorder="1" applyAlignment="1">
      <alignment vertical="center" wrapText="1"/>
    </xf>
    <xf numFmtId="0" fontId="4" fillId="0" borderId="10" xfId="0" applyFont="1" applyBorder="1" applyAlignment="1">
      <alignment vertical="center" wrapText="1"/>
    </xf>
    <xf numFmtId="6" fontId="4" fillId="0" borderId="10"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12" fillId="0" borderId="3" xfId="0" applyFont="1" applyBorder="1" applyAlignment="1">
      <alignment vertical="center"/>
    </xf>
    <xf numFmtId="8" fontId="12" fillId="0" borderId="7" xfId="0" applyNumberFormat="1" applyFont="1" applyBorder="1" applyAlignment="1">
      <alignment horizontal="center" vertical="center"/>
    </xf>
    <xf numFmtId="8" fontId="1" fillId="0" borderId="7" xfId="0" applyNumberFormat="1" applyFont="1" applyBorder="1" applyAlignment="1">
      <alignment horizontal="center" vertical="center"/>
    </xf>
    <xf numFmtId="0" fontId="11" fillId="0" borderId="0" xfId="1" applyAlignment="1">
      <alignment vertical="center"/>
    </xf>
    <xf numFmtId="0" fontId="12" fillId="0" borderId="0" xfId="0" applyFont="1" applyFill="1" applyBorder="1" applyAlignment="1">
      <alignment vertical="center"/>
    </xf>
    <xf numFmtId="0" fontId="14" fillId="0" borderId="0" xfId="0" applyFont="1"/>
    <xf numFmtId="46" fontId="14" fillId="0" borderId="0" xfId="0" quotePrefix="1" applyNumberFormat="1" applyFont="1"/>
    <xf numFmtId="8" fontId="14" fillId="0" borderId="0" xfId="0" applyNumberFormat="1" applyFont="1"/>
    <xf numFmtId="0" fontId="15" fillId="0" borderId="10" xfId="0" applyFont="1" applyBorder="1" applyAlignment="1">
      <alignment horizontal="center" vertical="center" wrapText="1"/>
    </xf>
    <xf numFmtId="0" fontId="18" fillId="0" borderId="10" xfId="0" applyFont="1" applyBorder="1" applyAlignment="1">
      <alignment horizontal="center" vertical="center" wrapText="1"/>
    </xf>
    <xf numFmtId="0" fontId="0" fillId="0" borderId="10" xfId="0" applyBorder="1"/>
    <xf numFmtId="0" fontId="0" fillId="0" borderId="10" xfId="0" applyBorder="1" applyAlignment="1">
      <alignment vertical="top" wrapText="1"/>
    </xf>
    <xf numFmtId="0" fontId="19" fillId="0" borderId="10" xfId="0" applyFont="1" applyBorder="1" applyAlignment="1">
      <alignment horizontal="center" vertical="center" wrapText="1"/>
    </xf>
    <xf numFmtId="0" fontId="19" fillId="0" borderId="10" xfId="0" applyFont="1" applyBorder="1" applyAlignment="1">
      <alignment vertical="center" wrapText="1"/>
    </xf>
    <xf numFmtId="0" fontId="18" fillId="0" borderId="10" xfId="0" applyFont="1" applyBorder="1" applyAlignment="1">
      <alignment vertical="center" wrapText="1"/>
    </xf>
    <xf numFmtId="1" fontId="18" fillId="0" borderId="10" xfId="0" applyNumberFormat="1" applyFont="1" applyBorder="1" applyAlignment="1">
      <alignment horizontal="center" vertical="center" wrapText="1"/>
    </xf>
    <xf numFmtId="2" fontId="0" fillId="0" borderId="0" xfId="0" applyNumberFormat="1"/>
    <xf numFmtId="0" fontId="0" fillId="0" borderId="0" xfId="0" applyAlignment="1">
      <alignment horizontal="right"/>
    </xf>
    <xf numFmtId="3" fontId="17" fillId="0" borderId="10" xfId="0" applyNumberFormat="1" applyFont="1" applyBorder="1" applyAlignment="1">
      <alignment horizontal="center" vertical="center"/>
    </xf>
    <xf numFmtId="6" fontId="17" fillId="0" borderId="10" xfId="0" applyNumberFormat="1" applyFont="1" applyBorder="1" applyAlignment="1">
      <alignment horizontal="right" vertical="center"/>
    </xf>
    <xf numFmtId="0" fontId="14" fillId="0" borderId="15" xfId="0" applyFont="1" applyBorder="1" applyAlignment="1">
      <alignment vertical="center"/>
    </xf>
    <xf numFmtId="6" fontId="15" fillId="0" borderId="15" xfId="0" applyNumberFormat="1" applyFont="1" applyBorder="1" applyAlignment="1">
      <alignment vertical="center"/>
    </xf>
    <xf numFmtId="0" fontId="5" fillId="0" borderId="0" xfId="0" applyFont="1" applyAlignment="1">
      <alignment vertical="center"/>
    </xf>
    <xf numFmtId="0" fontId="8" fillId="0" borderId="0" xfId="0" applyFont="1" applyAlignment="1">
      <alignment vertical="center"/>
    </xf>
    <xf numFmtId="0" fontId="7" fillId="0" borderId="10" xfId="0" applyFont="1" applyBorder="1" applyAlignment="1">
      <alignment horizontal="left" vertical="center" wrapText="1" indent="1"/>
    </xf>
    <xf numFmtId="0" fontId="20" fillId="0" borderId="0" xfId="0" applyFont="1"/>
    <xf numFmtId="16" fontId="20" fillId="0" borderId="0" xfId="0" applyNumberFormat="1" applyFont="1"/>
    <xf numFmtId="2" fontId="0" fillId="0" borderId="10" xfId="0" applyNumberFormat="1" applyBorder="1"/>
    <xf numFmtId="0" fontId="5" fillId="2" borderId="10" xfId="0" applyFont="1" applyFill="1" applyBorder="1" applyAlignment="1">
      <alignment horizontal="center" vertical="center" wrapText="1"/>
    </xf>
    <xf numFmtId="0" fontId="0" fillId="2" borderId="10" xfId="0" applyFill="1" applyBorder="1"/>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2" borderId="7" xfId="0" applyFill="1" applyBorder="1" applyAlignment="1">
      <alignment vertical="center" wrapText="1"/>
    </xf>
    <xf numFmtId="0" fontId="5" fillId="2" borderId="7"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6" fontId="7" fillId="0" borderId="4" xfId="0" applyNumberFormat="1" applyFont="1" applyBorder="1" applyAlignment="1">
      <alignment horizontal="right" vertical="center" wrapText="1"/>
    </xf>
    <xf numFmtId="0" fontId="0" fillId="0" borderId="14" xfId="0" applyBorder="1"/>
    <xf numFmtId="0" fontId="4" fillId="0" borderId="14" xfId="0" applyFont="1" applyBorder="1" applyAlignment="1">
      <alignment horizontal="center"/>
    </xf>
    <xf numFmtId="0" fontId="4" fillId="0" borderId="4" xfId="0" applyFont="1" applyBorder="1" applyAlignment="1">
      <alignment horizontal="center"/>
    </xf>
    <xf numFmtId="165" fontId="5" fillId="0" borderId="7" xfId="0" applyNumberFormat="1" applyFont="1" applyBorder="1" applyAlignment="1">
      <alignment vertical="center" wrapText="1"/>
    </xf>
    <xf numFmtId="0" fontId="22" fillId="0" borderId="0" xfId="0" applyFont="1"/>
    <xf numFmtId="0" fontId="3" fillId="0" borderId="4" xfId="0" applyFont="1" applyBorder="1" applyAlignment="1">
      <alignment horizontal="center" vertical="center" wrapText="1"/>
    </xf>
    <xf numFmtId="0" fontId="7" fillId="0" borderId="1" xfId="0" applyFont="1" applyBorder="1" applyAlignment="1">
      <alignment vertical="center" wrapText="1"/>
    </xf>
    <xf numFmtId="0" fontId="0" fillId="0" borderId="0" xfId="0" applyBorder="1"/>
    <xf numFmtId="0" fontId="7" fillId="2" borderId="7"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4" xfId="0" applyFont="1" applyFill="1" applyBorder="1" applyAlignment="1">
      <alignment horizontal="center" vertical="center" wrapText="1"/>
    </xf>
    <xf numFmtId="165" fontId="7" fillId="2" borderId="14" xfId="2" applyNumberFormat="1" applyFont="1" applyFill="1" applyBorder="1" applyAlignment="1">
      <alignment vertical="center" wrapText="1"/>
    </xf>
    <xf numFmtId="0" fontId="5" fillId="0" borderId="3" xfId="0" applyFont="1" applyBorder="1" applyAlignment="1">
      <alignment horizontal="center" vertical="center" wrapText="1"/>
    </xf>
    <xf numFmtId="0" fontId="5" fillId="0" borderId="14" xfId="0" applyFont="1" applyFill="1" applyBorder="1" applyAlignment="1">
      <alignment horizontal="center" vertical="center" wrapText="1"/>
    </xf>
    <xf numFmtId="0" fontId="7" fillId="0" borderId="3" xfId="0" applyFont="1" applyBorder="1" applyAlignment="1">
      <alignment horizontal="center" vertical="center" wrapText="1"/>
    </xf>
    <xf numFmtId="0" fontId="0" fillId="0" borderId="17" xfId="0" applyBorder="1"/>
    <xf numFmtId="0" fontId="0" fillId="0" borderId="16" xfId="0" applyBorder="1"/>
    <xf numFmtId="6" fontId="4" fillId="0" borderId="7" xfId="0" applyNumberFormat="1" applyFont="1" applyBorder="1"/>
    <xf numFmtId="0" fontId="15" fillId="0" borderId="15" xfId="0" applyFont="1" applyBorder="1" applyAlignment="1">
      <alignment horizontal="center" vertical="center"/>
    </xf>
    <xf numFmtId="0" fontId="3" fillId="0" borderId="14" xfId="0" applyFont="1" applyBorder="1" applyAlignment="1">
      <alignment vertical="center" wrapText="1"/>
    </xf>
    <xf numFmtId="0" fontId="4" fillId="0" borderId="15" xfId="0" applyFont="1" applyBorder="1" applyAlignment="1">
      <alignment vertical="center" wrapText="1"/>
    </xf>
    <xf numFmtId="6" fontId="4" fillId="0" borderId="15"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2" xfId="0" applyFont="1" applyBorder="1" applyAlignment="1">
      <alignment vertical="center" wrapText="1"/>
    </xf>
    <xf numFmtId="0" fontId="5" fillId="0" borderId="18"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horizontal="center" vertical="center" wrapText="1"/>
    </xf>
    <xf numFmtId="0" fontId="5" fillId="0" borderId="15" xfId="0" applyFont="1" applyBorder="1" applyAlignment="1">
      <alignment vertical="center" wrapText="1"/>
    </xf>
    <xf numFmtId="165" fontId="9" fillId="0" borderId="14" xfId="0" applyNumberFormat="1" applyFont="1" applyBorder="1"/>
    <xf numFmtId="3" fontId="9" fillId="0" borderId="8" xfId="0" applyNumberFormat="1" applyFont="1" applyBorder="1" applyAlignment="1">
      <alignment horizontal="center"/>
    </xf>
    <xf numFmtId="0" fontId="9" fillId="0" borderId="4" xfId="0" applyFont="1" applyBorder="1" applyAlignment="1">
      <alignment horizontal="center"/>
    </xf>
    <xf numFmtId="0" fontId="9" fillId="0" borderId="14" xfId="0" applyFont="1" applyBorder="1" applyAlignment="1">
      <alignment horizontal="center"/>
    </xf>
    <xf numFmtId="0" fontId="0" fillId="0" borderId="0" xfId="0" applyFill="1" applyBorder="1"/>
    <xf numFmtId="6" fontId="4" fillId="0" borderId="15" xfId="0" applyNumberFormat="1" applyFont="1" applyFill="1" applyBorder="1" applyAlignment="1">
      <alignment horizontal="center" vertical="center" wrapText="1"/>
    </xf>
    <xf numFmtId="0" fontId="4" fillId="0" borderId="15" xfId="0" applyFont="1" applyFill="1" applyBorder="1" applyAlignment="1">
      <alignment horizontal="center" vertical="center" wrapText="1"/>
    </xf>
    <xf numFmtId="0" fontId="0" fillId="0" borderId="10" xfId="0" applyFill="1" applyBorder="1"/>
    <xf numFmtId="0" fontId="19" fillId="0" borderId="10" xfId="0" applyFont="1" applyBorder="1" applyAlignment="1">
      <alignment horizontal="center"/>
    </xf>
    <xf numFmtId="0" fontId="19" fillId="0" borderId="10" xfId="0" applyFont="1" applyBorder="1"/>
    <xf numFmtId="0" fontId="19" fillId="0" borderId="10" xfId="0" applyFont="1" applyBorder="1" applyAlignment="1">
      <alignment horizontal="center" wrapText="1"/>
    </xf>
    <xf numFmtId="166" fontId="7" fillId="2" borderId="8" xfId="2" applyNumberFormat="1" applyFont="1" applyFill="1" applyBorder="1" applyAlignment="1">
      <alignment horizontal="center" vertical="center" wrapText="1"/>
    </xf>
    <xf numFmtId="0" fontId="0" fillId="0" borderId="0" xfId="0" applyFill="1"/>
    <xf numFmtId="0" fontId="23" fillId="0" borderId="0" xfId="0" applyFont="1" applyAlignment="1">
      <alignment vertical="center"/>
    </xf>
    <xf numFmtId="0" fontId="7" fillId="0" borderId="14" xfId="0" applyFont="1" applyBorder="1" applyAlignment="1">
      <alignment horizontal="left" vertical="center" wrapText="1" indent="2"/>
    </xf>
    <xf numFmtId="0" fontId="4" fillId="0" borderId="3" xfId="0" applyFont="1" applyBorder="1" applyAlignment="1">
      <alignment horizontal="left" vertical="center" wrapText="1" indent="2"/>
    </xf>
    <xf numFmtId="0" fontId="4" fillId="0" borderId="7" xfId="0" applyFont="1" applyBorder="1" applyAlignment="1">
      <alignment vertical="center"/>
    </xf>
    <xf numFmtId="0" fontId="4" fillId="0" borderId="3" xfId="0" applyFont="1" applyBorder="1" applyAlignment="1">
      <alignment horizontal="left" vertical="center" wrapText="1" indent="4"/>
    </xf>
    <xf numFmtId="0" fontId="4" fillId="0" borderId="7" xfId="0" applyFont="1" applyBorder="1" applyAlignment="1">
      <alignment horizontal="center" vertical="center" wrapText="1"/>
    </xf>
    <xf numFmtId="0" fontId="4" fillId="0" borderId="7" xfId="0" applyFont="1" applyBorder="1" applyAlignment="1">
      <alignment horizontal="right" vertical="center" wrapText="1"/>
    </xf>
    <xf numFmtId="0" fontId="4" fillId="0" borderId="3" xfId="0" applyFont="1" applyBorder="1" applyAlignment="1">
      <alignment vertical="center" wrapText="1"/>
    </xf>
    <xf numFmtId="0" fontId="4" fillId="0" borderId="3" xfId="0" applyFont="1" applyBorder="1" applyAlignment="1">
      <alignment horizontal="left" vertical="center" wrapText="1" indent="1"/>
    </xf>
    <xf numFmtId="0" fontId="4" fillId="0" borderId="3" xfId="0" applyFont="1" applyBorder="1" applyAlignment="1">
      <alignment horizontal="center"/>
    </xf>
    <xf numFmtId="0" fontId="4" fillId="0" borderId="7" xfId="0" applyFont="1" applyBorder="1" applyAlignment="1">
      <alignment horizontal="center"/>
    </xf>
    <xf numFmtId="0" fontId="4" fillId="0" borderId="3" xfId="0" applyFont="1" applyBorder="1" applyAlignment="1">
      <alignment horizontal="left" vertical="center" wrapText="1" indent="3"/>
    </xf>
    <xf numFmtId="0" fontId="26" fillId="0" borderId="0" xfId="0" applyFont="1"/>
    <xf numFmtId="0" fontId="4" fillId="0" borderId="10" xfId="0" applyFont="1" applyBorder="1" applyAlignment="1">
      <alignment horizontal="center"/>
    </xf>
    <xf numFmtId="3" fontId="27" fillId="0" borderId="10" xfId="0" applyNumberFormat="1" applyFont="1" applyBorder="1" applyAlignment="1">
      <alignment horizontal="center" vertical="center"/>
    </xf>
    <xf numFmtId="6" fontId="27" fillId="0" borderId="10" xfId="0" applyNumberFormat="1" applyFont="1" applyBorder="1" applyAlignment="1">
      <alignment horizontal="right" vertical="center"/>
    </xf>
    <xf numFmtId="2" fontId="4" fillId="0" borderId="7" xfId="0" applyNumberFormat="1" applyFont="1" applyBorder="1" applyAlignment="1">
      <alignment horizontal="center" vertical="center" wrapText="1"/>
    </xf>
    <xf numFmtId="2" fontId="7" fillId="0" borderId="7" xfId="0" applyNumberFormat="1" applyFont="1" applyBorder="1" applyAlignment="1">
      <alignment horizontal="center" vertical="center" wrapText="1"/>
    </xf>
    <xf numFmtId="2" fontId="7" fillId="0" borderId="4" xfId="0" applyNumberFormat="1" applyFont="1" applyBorder="1" applyAlignment="1">
      <alignment horizontal="center" vertical="center" wrapText="1"/>
    </xf>
    <xf numFmtId="3" fontId="5" fillId="0" borderId="8" xfId="0" applyNumberFormat="1" applyFont="1" applyBorder="1" applyAlignment="1">
      <alignment horizontal="center" vertical="center" wrapText="1"/>
    </xf>
    <xf numFmtId="3" fontId="5" fillId="0" borderId="9"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0" fontId="0" fillId="0" borderId="8" xfId="0" applyBorder="1"/>
    <xf numFmtId="0" fontId="0" fillId="0" borderId="9" xfId="0" applyBorder="1"/>
    <xf numFmtId="0" fontId="0" fillId="0" borderId="4" xfId="0" applyBorder="1"/>
    <xf numFmtId="0" fontId="4" fillId="0" borderId="17" xfId="0" applyFont="1" applyBorder="1" applyAlignment="1">
      <alignment horizontal="left" vertical="center" wrapText="1" indent="2"/>
    </xf>
    <xf numFmtId="0" fontId="0" fillId="0" borderId="15" xfId="0" applyBorder="1"/>
    <xf numFmtId="164" fontId="7" fillId="2" borderId="17" xfId="2"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2" fontId="7" fillId="0" borderId="4" xfId="0" applyNumberFormat="1" applyFont="1" applyFill="1" applyBorder="1" applyAlignment="1">
      <alignment horizontal="center" vertical="center" wrapText="1"/>
    </xf>
    <xf numFmtId="0" fontId="0" fillId="0" borderId="25" xfId="0" applyFill="1" applyBorder="1"/>
    <xf numFmtId="0" fontId="0" fillId="0" borderId="21" xfId="0" applyFill="1" applyBorder="1"/>
    <xf numFmtId="0" fontId="0" fillId="0" borderId="24" xfId="0" applyBorder="1"/>
    <xf numFmtId="0" fontId="4" fillId="0" borderId="7" xfId="0" applyFont="1" applyFill="1" applyBorder="1" applyAlignment="1">
      <alignment horizontal="center" vertical="center" wrapText="1"/>
    </xf>
    <xf numFmtId="0" fontId="7" fillId="0" borderId="15" xfId="0" applyFont="1" applyBorder="1" applyAlignment="1">
      <alignment horizontal="left" vertical="center" wrapText="1" indent="1"/>
    </xf>
    <xf numFmtId="0" fontId="19" fillId="0" borderId="15" xfId="0" applyFont="1" applyBorder="1" applyAlignment="1">
      <alignment horizontal="center" vertical="center" wrapText="1"/>
    </xf>
    <xf numFmtId="0" fontId="7" fillId="0" borderId="15" xfId="0" applyFont="1" applyBorder="1" applyAlignment="1">
      <alignment horizontal="center" vertical="center" wrapText="1"/>
    </xf>
    <xf numFmtId="2" fontId="7" fillId="0" borderId="15" xfId="0" applyNumberFormat="1" applyFont="1" applyBorder="1" applyAlignment="1">
      <alignment horizontal="center" vertical="center" wrapText="1"/>
    </xf>
    <xf numFmtId="2" fontId="19" fillId="0" borderId="10" xfId="0" applyNumberFormat="1" applyFont="1" applyBorder="1" applyAlignment="1">
      <alignment horizontal="center"/>
    </xf>
    <xf numFmtId="0" fontId="5" fillId="2" borderId="3" xfId="0" applyFont="1" applyFill="1" applyBorder="1" applyAlignment="1">
      <alignment horizontal="center" vertical="center" wrapText="1"/>
    </xf>
    <xf numFmtId="167" fontId="7" fillId="2" borderId="3" xfId="3" applyNumberFormat="1" applyFont="1" applyFill="1" applyBorder="1" applyAlignment="1">
      <alignment horizontal="center" vertical="center" wrapText="1"/>
    </xf>
    <xf numFmtId="0" fontId="0" fillId="0" borderId="10" xfId="0" applyFont="1" applyBorder="1"/>
    <xf numFmtId="0" fontId="0" fillId="0" borderId="10" xfId="0" applyFont="1" applyBorder="1" applyAlignment="1">
      <alignment wrapText="1"/>
    </xf>
    <xf numFmtId="0" fontId="28" fillId="0" borderId="10" xfId="0" applyFont="1" applyBorder="1"/>
    <xf numFmtId="0" fontId="28" fillId="0" borderId="10" xfId="0" applyFont="1" applyBorder="1" applyAlignment="1">
      <alignment horizontal="center"/>
    </xf>
    <xf numFmtId="3" fontId="15" fillId="0" borderId="19" xfId="0" applyNumberFormat="1" applyFont="1" applyBorder="1" applyAlignment="1">
      <alignment horizontal="center" vertical="center"/>
    </xf>
    <xf numFmtId="3" fontId="15" fillId="0" borderId="20" xfId="0" applyNumberFormat="1" applyFont="1" applyBorder="1" applyAlignment="1">
      <alignment horizontal="center" vertical="center"/>
    </xf>
    <xf numFmtId="3" fontId="15" fillId="0" borderId="21" xfId="0" applyNumberFormat="1" applyFont="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0" fillId="0" borderId="10" xfId="0" applyFont="1" applyBorder="1" applyAlignment="1">
      <alignment horizontal="center"/>
    </xf>
    <xf numFmtId="0" fontId="28" fillId="0" borderId="10" xfId="0" applyFont="1" applyBorder="1" applyAlignment="1">
      <alignment horizontal="center"/>
    </xf>
  </cellXfs>
  <cellStyles count="4">
    <cellStyle name="Comma" xfId="2" builtinId="3"/>
    <cellStyle name="Currency" xfId="3"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ls.gov/oes/current/naics3_325000.htm" TargetMode="External"/><Relationship Id="rId2" Type="http://schemas.openxmlformats.org/officeDocument/2006/relationships/hyperlink" Target="https://www.bls.gov/oes/current/naics3_324000.htm" TargetMode="External"/><Relationship Id="rId1" Type="http://schemas.openxmlformats.org/officeDocument/2006/relationships/hyperlink" Target="https://www.opm.gov/policy-data-oversight/pay-leave/salaries-wages/salary-tables/pdf/2022/GS_h.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4574A-6288-4C17-B30E-20061ABBF66B}">
  <sheetPr>
    <tabColor theme="9"/>
  </sheetPr>
  <dimension ref="A1:S102"/>
  <sheetViews>
    <sheetView tabSelected="1" zoomScale="90" zoomScaleNormal="90" workbookViewId="0">
      <selection activeCell="F49" sqref="F49:H49"/>
    </sheetView>
  </sheetViews>
  <sheetFormatPr defaultRowHeight="15" x14ac:dyDescent="0.25"/>
  <cols>
    <col min="1" max="1" width="49.5703125" customWidth="1"/>
    <col min="2" max="2" width="25.85546875" customWidth="1"/>
    <col min="3" max="10" width="11.28515625" customWidth="1"/>
    <col min="11" max="11" width="27.28515625" customWidth="1"/>
    <col min="12" max="12" width="28.42578125" customWidth="1"/>
    <col min="13" max="13" width="20.42578125" customWidth="1"/>
    <col min="14" max="14" width="26.7109375" customWidth="1"/>
    <col min="15" max="15" width="30" customWidth="1"/>
    <col min="16" max="16" width="19.28515625" customWidth="1"/>
    <col min="18" max="18" width="13.7109375" bestFit="1" customWidth="1"/>
  </cols>
  <sheetData>
    <row r="1" spans="1:18" ht="15.75" x14ac:dyDescent="0.25">
      <c r="A1" s="1" t="s">
        <v>0</v>
      </c>
      <c r="B1" s="1"/>
      <c r="G1">
        <f>G2*0.05</f>
        <v>8.0650000000000013</v>
      </c>
      <c r="H1">
        <f>H2*0.1</f>
        <v>5.7229999999999999</v>
      </c>
      <c r="M1" s="39"/>
    </row>
    <row r="2" spans="1:18" ht="16.5" thickBot="1" x14ac:dyDescent="0.3">
      <c r="A2" s="1"/>
      <c r="B2" s="1"/>
      <c r="F2">
        <f>ROUND(O24,2)</f>
        <v>90.11</v>
      </c>
      <c r="G2">
        <f>ROUND(O20,2)</f>
        <v>161.30000000000001</v>
      </c>
      <c r="H2">
        <f>ROUND(O23,2)</f>
        <v>57.23</v>
      </c>
      <c r="K2" s="39" t="s">
        <v>1</v>
      </c>
      <c r="L2" s="40"/>
      <c r="M2" s="8"/>
    </row>
    <row r="3" spans="1:18" x14ac:dyDescent="0.25">
      <c r="A3" s="146" t="s">
        <v>2</v>
      </c>
      <c r="B3" s="44" t="s">
        <v>3</v>
      </c>
      <c r="C3" s="44" t="s">
        <v>4</v>
      </c>
      <c r="D3" s="44" t="s">
        <v>5</v>
      </c>
      <c r="E3" s="44" t="s">
        <v>6</v>
      </c>
      <c r="F3" s="44" t="s">
        <v>7</v>
      </c>
      <c r="G3" s="44" t="s">
        <v>8</v>
      </c>
      <c r="H3" s="44" t="s">
        <v>9</v>
      </c>
      <c r="I3" s="44" t="s">
        <v>10</v>
      </c>
      <c r="K3" s="8" t="s">
        <v>11</v>
      </c>
    </row>
    <row r="4" spans="1:18" ht="63.75" x14ac:dyDescent="0.25">
      <c r="A4" s="147"/>
      <c r="B4" s="45" t="s">
        <v>12</v>
      </c>
      <c r="C4" s="45" t="s">
        <v>13</v>
      </c>
      <c r="D4" s="45" t="s">
        <v>14</v>
      </c>
      <c r="E4" s="45" t="s">
        <v>15</v>
      </c>
      <c r="F4" s="45" t="s">
        <v>16</v>
      </c>
      <c r="G4" s="45" t="s">
        <v>17</v>
      </c>
      <c r="H4" s="45" t="s">
        <v>18</v>
      </c>
      <c r="I4" s="45" t="s">
        <v>19</v>
      </c>
      <c r="K4" s="42" t="s">
        <v>20</v>
      </c>
      <c r="L4" s="42" t="s">
        <v>21</v>
      </c>
      <c r="M4" s="42" t="s">
        <v>22</v>
      </c>
      <c r="N4" s="42" t="s">
        <v>23</v>
      </c>
      <c r="O4" s="42" t="s">
        <v>24</v>
      </c>
    </row>
    <row r="5" spans="1:18" ht="15.75" thickBot="1" x14ac:dyDescent="0.3">
      <c r="A5" s="148"/>
      <c r="B5" s="46"/>
      <c r="C5" s="46"/>
      <c r="D5" s="47" t="s">
        <v>25</v>
      </c>
      <c r="E5" s="46"/>
      <c r="F5" s="47" t="s">
        <v>26</v>
      </c>
      <c r="G5" s="47" t="s">
        <v>175</v>
      </c>
      <c r="H5" s="47" t="s">
        <v>27</v>
      </c>
      <c r="I5" s="46"/>
      <c r="K5" s="24" t="s">
        <v>28</v>
      </c>
      <c r="L5" s="24" t="s">
        <v>29</v>
      </c>
      <c r="M5" s="24">
        <v>76.739999999999995</v>
      </c>
      <c r="N5" s="41">
        <f>M5*1.1</f>
        <v>84.414000000000001</v>
      </c>
      <c r="O5" s="41">
        <f>M5+N5</f>
        <v>161.154</v>
      </c>
    </row>
    <row r="6" spans="1:18" ht="15.75" thickBot="1" x14ac:dyDescent="0.3">
      <c r="A6" s="2" t="s">
        <v>30</v>
      </c>
      <c r="B6" s="3" t="s">
        <v>31</v>
      </c>
      <c r="C6" s="3"/>
      <c r="D6" s="3"/>
      <c r="E6" s="3"/>
      <c r="F6" s="3"/>
      <c r="G6" s="3"/>
      <c r="H6" s="3"/>
      <c r="I6" s="4"/>
      <c r="K6" s="24" t="s">
        <v>32</v>
      </c>
      <c r="L6" s="24" t="s">
        <v>33</v>
      </c>
      <c r="M6" s="24">
        <v>59.21</v>
      </c>
      <c r="N6" s="41">
        <f>M6*1.1</f>
        <v>65.131</v>
      </c>
      <c r="O6" s="41">
        <f t="shared" ref="O6:O9" si="0">M6+N6</f>
        <v>124.34100000000001</v>
      </c>
    </row>
    <row r="7" spans="1:18" ht="15.75" thickBot="1" x14ac:dyDescent="0.3">
      <c r="A7" s="2" t="s">
        <v>34</v>
      </c>
      <c r="B7" s="3" t="s">
        <v>31</v>
      </c>
      <c r="C7" s="3"/>
      <c r="D7" s="3"/>
      <c r="E7" s="3"/>
      <c r="F7" s="3"/>
      <c r="G7" s="3"/>
      <c r="H7" s="3"/>
      <c r="I7" s="4"/>
      <c r="K7" s="90" t="s">
        <v>35</v>
      </c>
      <c r="L7" s="24" t="s">
        <v>36</v>
      </c>
      <c r="M7" s="24">
        <v>33.369999999999997</v>
      </c>
      <c r="N7" s="41">
        <f>M7*1.1</f>
        <v>36.707000000000001</v>
      </c>
      <c r="O7" s="41">
        <f t="shared" si="0"/>
        <v>70.076999999999998</v>
      </c>
    </row>
    <row r="8" spans="1:18" ht="15.75" thickBot="1" x14ac:dyDescent="0.3">
      <c r="A8" s="2" t="s">
        <v>37</v>
      </c>
      <c r="B8" s="3"/>
      <c r="C8" s="3"/>
      <c r="D8" s="3"/>
      <c r="E8" s="3"/>
      <c r="F8" s="3"/>
      <c r="G8" s="3"/>
      <c r="H8" s="3"/>
      <c r="I8" s="4"/>
      <c r="K8" s="24" t="s">
        <v>38</v>
      </c>
      <c r="L8" s="24" t="s">
        <v>39</v>
      </c>
      <c r="M8" s="24">
        <v>25.55</v>
      </c>
      <c r="N8" s="41">
        <f t="shared" ref="N8" si="1">M8*1.1</f>
        <v>28.105000000000004</v>
      </c>
      <c r="O8" s="41">
        <f t="shared" si="0"/>
        <v>53.655000000000001</v>
      </c>
    </row>
    <row r="9" spans="1:18" ht="15.75" customHeight="1" thickBot="1" x14ac:dyDescent="0.3">
      <c r="A9" s="57" t="s">
        <v>40</v>
      </c>
      <c r="B9" s="3">
        <v>1</v>
      </c>
      <c r="C9" s="3">
        <v>1</v>
      </c>
      <c r="D9" s="3">
        <f>B9*C9</f>
        <v>1</v>
      </c>
      <c r="E9" s="3">
        <f>R30+R41+R51</f>
        <v>294</v>
      </c>
      <c r="F9" s="3">
        <f>D9*E9</f>
        <v>294</v>
      </c>
      <c r="G9" s="3">
        <f>0.05*F9</f>
        <v>14.700000000000001</v>
      </c>
      <c r="H9" s="3">
        <f>0.1*F9</f>
        <v>29.400000000000002</v>
      </c>
      <c r="I9" s="5">
        <f>F9*F$2+G9*G$2+H9*H$2</f>
        <v>30546.012000000002</v>
      </c>
      <c r="K9" s="24"/>
      <c r="L9" s="90" t="s">
        <v>41</v>
      </c>
      <c r="M9" s="24">
        <f>0.2*M6+0.8*M7</f>
        <v>38.537999999999997</v>
      </c>
      <c r="N9" s="24">
        <f t="shared" ref="N9" si="2">0.2*N6+0.8*N7</f>
        <v>42.391800000000003</v>
      </c>
      <c r="O9" s="41">
        <f t="shared" si="0"/>
        <v>80.9298</v>
      </c>
    </row>
    <row r="10" spans="1:18" ht="15.75" thickBot="1" x14ac:dyDescent="0.3">
      <c r="A10" s="97" t="s">
        <v>42</v>
      </c>
      <c r="B10" s="3"/>
      <c r="C10" s="3"/>
      <c r="D10" s="3"/>
      <c r="E10" s="3"/>
      <c r="F10" s="3"/>
      <c r="G10" s="3"/>
      <c r="H10" s="3"/>
      <c r="I10" s="5"/>
      <c r="K10" s="8" t="s">
        <v>43</v>
      </c>
      <c r="L10" s="87"/>
      <c r="M10" s="58"/>
      <c r="N10" s="58"/>
      <c r="O10" s="58"/>
    </row>
    <row r="11" spans="1:18" ht="15.75" thickBot="1" x14ac:dyDescent="0.3">
      <c r="A11" s="98" t="s">
        <v>138</v>
      </c>
      <c r="B11" s="99"/>
      <c r="C11" s="99"/>
      <c r="D11" s="99"/>
      <c r="E11" s="99"/>
      <c r="F11" s="99"/>
      <c r="G11" s="99"/>
      <c r="H11" s="99"/>
      <c r="I11" s="99"/>
      <c r="K11" s="42" t="s">
        <v>20</v>
      </c>
      <c r="L11" s="42" t="s">
        <v>21</v>
      </c>
      <c r="M11" s="42" t="s">
        <v>22</v>
      </c>
      <c r="N11" s="42" t="s">
        <v>23</v>
      </c>
      <c r="O11" s="42" t="s">
        <v>24</v>
      </c>
      <c r="R11" s="87"/>
    </row>
    <row r="12" spans="1:18" ht="15.75" thickBot="1" x14ac:dyDescent="0.3">
      <c r="A12" s="100" t="s">
        <v>44</v>
      </c>
      <c r="B12" s="101">
        <v>2</v>
      </c>
      <c r="C12" s="101">
        <v>1</v>
      </c>
      <c r="D12" s="3">
        <f>B12*C12</f>
        <v>2</v>
      </c>
      <c r="E12" s="3">
        <f>R28+R40</f>
        <v>288</v>
      </c>
      <c r="F12" s="3">
        <f>D12*E12</f>
        <v>576</v>
      </c>
      <c r="G12" s="3">
        <f>0.05*F12</f>
        <v>28.8</v>
      </c>
      <c r="H12" s="3">
        <f>0.1*F12</f>
        <v>57.6</v>
      </c>
      <c r="I12" s="5">
        <f>F12*F$2+G12*G$2+H12*H$2</f>
        <v>59845.248</v>
      </c>
      <c r="K12" s="24" t="s">
        <v>28</v>
      </c>
      <c r="L12" s="24" t="s">
        <v>29</v>
      </c>
      <c r="M12" s="24">
        <v>76.87</v>
      </c>
      <c r="N12" s="41">
        <f>M12*1.1</f>
        <v>84.557000000000016</v>
      </c>
      <c r="O12" s="41">
        <f>M12+N12</f>
        <v>161.42700000000002</v>
      </c>
      <c r="R12" s="87"/>
    </row>
    <row r="13" spans="1:18" ht="15.75" thickBot="1" x14ac:dyDescent="0.3">
      <c r="A13" s="100" t="s">
        <v>45</v>
      </c>
      <c r="B13" s="101">
        <v>2</v>
      </c>
      <c r="C13" s="101">
        <v>1</v>
      </c>
      <c r="D13" s="3">
        <f>B13*C13</f>
        <v>2</v>
      </c>
      <c r="E13" s="3">
        <f>R28+R40</f>
        <v>288</v>
      </c>
      <c r="F13" s="3">
        <f>D13*E13</f>
        <v>576</v>
      </c>
      <c r="G13" s="3">
        <f>0.05*F13</f>
        <v>28.8</v>
      </c>
      <c r="H13" s="3">
        <f>0.1*F13</f>
        <v>57.6</v>
      </c>
      <c r="I13" s="5">
        <f>F13*F$2+G13*G$2+H13*H$2</f>
        <v>59845.248</v>
      </c>
      <c r="K13" s="24" t="s">
        <v>32</v>
      </c>
      <c r="L13" s="24" t="s">
        <v>33</v>
      </c>
      <c r="M13" s="24">
        <v>61.84</v>
      </c>
      <c r="N13" s="41">
        <f t="shared" ref="N13:N15" si="3">M13*1.1</f>
        <v>68.024000000000015</v>
      </c>
      <c r="O13" s="41">
        <f t="shared" ref="O13:O16" si="4">M13+N13</f>
        <v>129.86400000000003</v>
      </c>
      <c r="R13" s="87"/>
    </row>
    <row r="14" spans="1:18" ht="15.75" thickBot="1" x14ac:dyDescent="0.3">
      <c r="A14" s="100" t="s">
        <v>46</v>
      </c>
      <c r="B14" s="101" t="s">
        <v>31</v>
      </c>
      <c r="C14" s="101"/>
      <c r="D14" s="101"/>
      <c r="E14" s="101"/>
      <c r="F14" s="101"/>
      <c r="G14" s="101"/>
      <c r="H14" s="101"/>
      <c r="I14" s="102"/>
      <c r="K14" s="90" t="s">
        <v>35</v>
      </c>
      <c r="L14" s="24" t="s">
        <v>36</v>
      </c>
      <c r="M14" s="24">
        <v>43.64</v>
      </c>
      <c r="N14" s="41">
        <f t="shared" si="3"/>
        <v>48.004000000000005</v>
      </c>
      <c r="O14" s="41">
        <f t="shared" si="4"/>
        <v>91.644000000000005</v>
      </c>
      <c r="R14" s="87"/>
    </row>
    <row r="15" spans="1:18" ht="15.75" thickBot="1" x14ac:dyDescent="0.3">
      <c r="A15" s="100" t="s">
        <v>47</v>
      </c>
      <c r="B15" s="101" t="s">
        <v>31</v>
      </c>
      <c r="C15" s="101"/>
      <c r="D15" s="101"/>
      <c r="E15" s="101"/>
      <c r="F15" s="101"/>
      <c r="G15" s="101"/>
      <c r="H15" s="101"/>
      <c r="I15" s="102"/>
      <c r="K15" s="24" t="s">
        <v>38</v>
      </c>
      <c r="L15" s="24" t="s">
        <v>39</v>
      </c>
      <c r="M15" s="24">
        <v>28.95</v>
      </c>
      <c r="N15" s="41">
        <f t="shared" si="3"/>
        <v>31.845000000000002</v>
      </c>
      <c r="O15" s="41">
        <f t="shared" si="4"/>
        <v>60.795000000000002</v>
      </c>
    </row>
    <row r="16" spans="1:18" ht="15.75" thickBot="1" x14ac:dyDescent="0.3">
      <c r="A16" s="100" t="s">
        <v>139</v>
      </c>
      <c r="B16" s="101">
        <v>2</v>
      </c>
      <c r="C16" s="101">
        <v>1</v>
      </c>
      <c r="D16" s="3">
        <f>B16*C16</f>
        <v>2</v>
      </c>
      <c r="E16" s="101">
        <f>R44+R45</f>
        <v>17.28</v>
      </c>
      <c r="F16" s="3">
        <f>D16*E16</f>
        <v>34.56</v>
      </c>
      <c r="G16" s="3">
        <f>0.05*F16</f>
        <v>1.7280000000000002</v>
      </c>
      <c r="H16" s="3">
        <f>0.1*F16</f>
        <v>3.4560000000000004</v>
      </c>
      <c r="I16" s="5">
        <f>F16*F$2+G16*G$2+H16*H$2</f>
        <v>3590.7148800000004</v>
      </c>
      <c r="K16" s="24"/>
      <c r="L16" s="90" t="s">
        <v>41</v>
      </c>
      <c r="M16" s="24">
        <f>0.2*M13+0.8*M14</f>
        <v>47.28</v>
      </c>
      <c r="N16" s="24">
        <f>0.2*N13+0.8*N14</f>
        <v>52.00800000000001</v>
      </c>
      <c r="O16" s="41">
        <f t="shared" si="4"/>
        <v>99.288000000000011</v>
      </c>
    </row>
    <row r="17" spans="1:18" ht="15.75" thickBot="1" x14ac:dyDescent="0.3">
      <c r="A17" s="100" t="s">
        <v>125</v>
      </c>
      <c r="B17" s="101">
        <v>4</v>
      </c>
      <c r="C17" s="101">
        <v>1</v>
      </c>
      <c r="D17" s="3">
        <f t="shared" ref="D17:D19" si="5">B17*C17</f>
        <v>4</v>
      </c>
      <c r="E17" s="3">
        <f>0.1*(R35+R37)</f>
        <v>2.7420000000000009</v>
      </c>
      <c r="F17" s="3">
        <f t="shared" ref="F17:F19" si="6">D17*E17</f>
        <v>10.968000000000004</v>
      </c>
      <c r="G17" s="3">
        <f t="shared" ref="G17:G19" si="7">0.05*F17</f>
        <v>0.54840000000000022</v>
      </c>
      <c r="H17" s="3">
        <f t="shared" ref="H17:H19" si="8">0.1*F17</f>
        <v>1.0968000000000004</v>
      </c>
      <c r="I17" s="5">
        <f t="shared" ref="I17:I19" si="9">F17*F$2+G17*G$2+H17*H$2</f>
        <v>1139.5532640000004</v>
      </c>
    </row>
    <row r="18" spans="1:18" ht="15.75" thickBot="1" x14ac:dyDescent="0.3">
      <c r="A18" s="100" t="s">
        <v>176</v>
      </c>
      <c r="B18" s="125">
        <v>4</v>
      </c>
      <c r="C18" s="124">
        <v>1</v>
      </c>
      <c r="D18" s="3">
        <f t="shared" si="5"/>
        <v>4</v>
      </c>
      <c r="E18" s="48">
        <f>0.1*(R46)</f>
        <v>2.8800000000000006E-2</v>
      </c>
      <c r="F18" s="3">
        <f t="shared" si="6"/>
        <v>0.11520000000000002</v>
      </c>
      <c r="G18" s="3">
        <f t="shared" si="7"/>
        <v>5.7600000000000012E-3</v>
      </c>
      <c r="H18" s="3">
        <f t="shared" si="8"/>
        <v>1.1520000000000002E-2</v>
      </c>
      <c r="I18" s="5">
        <f t="shared" si="9"/>
        <v>11.969049600000002</v>
      </c>
      <c r="K18" t="s">
        <v>50</v>
      </c>
    </row>
    <row r="19" spans="1:18" ht="15.75" thickBot="1" x14ac:dyDescent="0.3">
      <c r="A19" s="100" t="s">
        <v>141</v>
      </c>
      <c r="B19" s="125">
        <v>2</v>
      </c>
      <c r="C19" s="124">
        <v>1</v>
      </c>
      <c r="D19" s="3">
        <f t="shared" si="5"/>
        <v>2</v>
      </c>
      <c r="E19" s="48">
        <f>R30+R41+R35+R36+R46+R51</f>
        <v>346.38600000000002</v>
      </c>
      <c r="F19" s="3">
        <f t="shared" si="6"/>
        <v>692.77200000000005</v>
      </c>
      <c r="G19" s="3">
        <f t="shared" si="7"/>
        <v>34.638600000000004</v>
      </c>
      <c r="H19" s="3">
        <f t="shared" si="8"/>
        <v>69.277200000000008</v>
      </c>
      <c r="I19" s="5">
        <f t="shared" si="9"/>
        <v>71977.625256000014</v>
      </c>
      <c r="K19" s="42" t="s">
        <v>20</v>
      </c>
      <c r="L19" s="42" t="s">
        <v>21</v>
      </c>
      <c r="M19" s="42" t="s">
        <v>22</v>
      </c>
      <c r="N19" s="42" t="s">
        <v>23</v>
      </c>
      <c r="O19" s="42" t="s">
        <v>24</v>
      </c>
    </row>
    <row r="20" spans="1:18" ht="18" customHeight="1" thickBot="1" x14ac:dyDescent="0.3">
      <c r="A20" s="98" t="s">
        <v>142</v>
      </c>
      <c r="B20" s="126"/>
      <c r="C20" s="101"/>
      <c r="D20" s="101"/>
      <c r="E20" s="101"/>
      <c r="F20" s="101"/>
      <c r="G20" s="101"/>
      <c r="H20" s="101"/>
      <c r="I20" s="102"/>
      <c r="K20" s="24" t="s">
        <v>28</v>
      </c>
      <c r="L20" s="24" t="s">
        <v>29</v>
      </c>
      <c r="M20" s="24">
        <f>ROUND(AVERAGE(M5,M12),2)</f>
        <v>76.81</v>
      </c>
      <c r="N20" s="41">
        <f>ROUND(M20*1.1,2)</f>
        <v>84.49</v>
      </c>
      <c r="O20" s="41">
        <f>M20+N20</f>
        <v>161.30000000000001</v>
      </c>
    </row>
    <row r="21" spans="1:18" ht="15.75" thickBot="1" x14ac:dyDescent="0.3">
      <c r="A21" s="100" t="s">
        <v>165</v>
      </c>
      <c r="B21" s="101">
        <v>4</v>
      </c>
      <c r="C21" s="101">
        <v>2</v>
      </c>
      <c r="D21" s="3">
        <f t="shared" ref="D21:D27" si="10">B21*C21</f>
        <v>8</v>
      </c>
      <c r="E21" s="112">
        <f>R32+R43+R53</f>
        <v>588</v>
      </c>
      <c r="F21" s="3">
        <f>D21*E21</f>
        <v>4704</v>
      </c>
      <c r="G21" s="3">
        <f>0.05*F21</f>
        <v>235.20000000000002</v>
      </c>
      <c r="H21" s="3">
        <f>0.1*F21</f>
        <v>470.40000000000003</v>
      </c>
      <c r="I21" s="5">
        <f t="shared" ref="I21:I27" si="11">F21*F$2+G21*G$2+H21*H$2</f>
        <v>488736.19200000004</v>
      </c>
      <c r="K21" s="24" t="s">
        <v>32</v>
      </c>
      <c r="L21" s="24" t="s">
        <v>33</v>
      </c>
      <c r="M21" s="24">
        <f t="shared" ref="M21:M24" si="12">ROUND(AVERAGE(M6,M13),2)</f>
        <v>60.53</v>
      </c>
      <c r="N21" s="41">
        <f t="shared" ref="N21:N24" si="13">ROUND(M21*1.1,2)</f>
        <v>66.58</v>
      </c>
      <c r="O21" s="41">
        <f t="shared" ref="O21:O24" si="14">M21+N21</f>
        <v>127.11</v>
      </c>
    </row>
    <row r="22" spans="1:18" ht="15.75" thickBot="1" x14ac:dyDescent="0.3">
      <c r="A22" s="100" t="s">
        <v>134</v>
      </c>
      <c r="B22" s="126">
        <v>2</v>
      </c>
      <c r="C22" s="101">
        <v>1</v>
      </c>
      <c r="D22" s="3">
        <f t="shared" si="10"/>
        <v>2</v>
      </c>
      <c r="E22" s="112">
        <f>R35+R37</f>
        <v>27.420000000000009</v>
      </c>
      <c r="F22" s="3">
        <f t="shared" ref="F22" si="15">D22*E22</f>
        <v>54.840000000000018</v>
      </c>
      <c r="G22" s="3">
        <f>0.05*F22</f>
        <v>2.7420000000000009</v>
      </c>
      <c r="H22" s="3">
        <f t="shared" ref="H22" si="16">0.1*F22</f>
        <v>5.4840000000000018</v>
      </c>
      <c r="I22" s="5">
        <f t="shared" si="11"/>
        <v>5697.7663200000015</v>
      </c>
      <c r="K22" s="90" t="s">
        <v>53</v>
      </c>
      <c r="L22" s="24" t="s">
        <v>36</v>
      </c>
      <c r="M22" s="24">
        <f t="shared" si="12"/>
        <v>38.51</v>
      </c>
      <c r="N22" s="41">
        <f t="shared" si="13"/>
        <v>42.36</v>
      </c>
      <c r="O22" s="41">
        <f t="shared" si="14"/>
        <v>80.87</v>
      </c>
    </row>
    <row r="23" spans="1:18" ht="15.75" thickBot="1" x14ac:dyDescent="0.3">
      <c r="A23" s="100" t="s">
        <v>140</v>
      </c>
      <c r="B23" s="126">
        <v>2</v>
      </c>
      <c r="C23" s="101">
        <v>1</v>
      </c>
      <c r="D23" s="3">
        <f t="shared" si="10"/>
        <v>2</v>
      </c>
      <c r="E23" s="112">
        <f>R46</f>
        <v>0.28800000000000003</v>
      </c>
      <c r="F23" s="3">
        <f t="shared" ref="F23" si="17">D23*E23</f>
        <v>0.57600000000000007</v>
      </c>
      <c r="G23" s="3">
        <f t="shared" ref="G23" si="18">0.05*F23</f>
        <v>2.8800000000000006E-2</v>
      </c>
      <c r="H23" s="3">
        <f t="shared" ref="H23" si="19">0.1*F23</f>
        <v>5.7600000000000012E-2</v>
      </c>
      <c r="I23" s="5">
        <f t="shared" si="11"/>
        <v>59.845248000000005</v>
      </c>
      <c r="K23" s="24" t="s">
        <v>38</v>
      </c>
      <c r="L23" s="24" t="s">
        <v>39</v>
      </c>
      <c r="M23" s="24">
        <f t="shared" si="12"/>
        <v>27.25</v>
      </c>
      <c r="N23" s="41">
        <f t="shared" si="13"/>
        <v>29.98</v>
      </c>
      <c r="O23" s="41">
        <f t="shared" si="14"/>
        <v>57.230000000000004</v>
      </c>
    </row>
    <row r="24" spans="1:18" ht="15.75" thickBot="1" x14ac:dyDescent="0.3">
      <c r="A24" s="100" t="s">
        <v>51</v>
      </c>
      <c r="B24" s="101">
        <v>4</v>
      </c>
      <c r="C24" s="101">
        <v>1</v>
      </c>
      <c r="D24" s="3">
        <f t="shared" si="10"/>
        <v>4</v>
      </c>
      <c r="E24" s="101">
        <f>R41</f>
        <v>14.4</v>
      </c>
      <c r="F24" s="3">
        <f>D24*E24</f>
        <v>57.6</v>
      </c>
      <c r="G24" s="3">
        <f>0.05*F24</f>
        <v>2.8800000000000003</v>
      </c>
      <c r="H24" s="3">
        <f>0.1*F24</f>
        <v>5.7600000000000007</v>
      </c>
      <c r="I24" s="5">
        <f t="shared" si="11"/>
        <v>5984.5248000000001</v>
      </c>
      <c r="K24" s="24"/>
      <c r="L24" s="90" t="s">
        <v>41</v>
      </c>
      <c r="M24" s="24">
        <f t="shared" si="12"/>
        <v>42.91</v>
      </c>
      <c r="N24" s="41">
        <f t="shared" si="13"/>
        <v>47.2</v>
      </c>
      <c r="O24" s="41">
        <f t="shared" si="14"/>
        <v>90.11</v>
      </c>
    </row>
    <row r="25" spans="1:18" ht="15.75" thickBot="1" x14ac:dyDescent="0.3">
      <c r="A25" s="100" t="s">
        <v>52</v>
      </c>
      <c r="B25" s="101">
        <v>2</v>
      </c>
      <c r="C25" s="101">
        <v>1</v>
      </c>
      <c r="D25" s="3">
        <f t="shared" si="10"/>
        <v>2</v>
      </c>
      <c r="E25" s="101">
        <f>R41</f>
        <v>14.4</v>
      </c>
      <c r="F25" s="3">
        <f>D25*E25</f>
        <v>28.8</v>
      </c>
      <c r="G25" s="3">
        <f>0.05*F25</f>
        <v>1.4400000000000002</v>
      </c>
      <c r="H25" s="3">
        <f>0.1*F25</f>
        <v>2.8800000000000003</v>
      </c>
      <c r="I25" s="5">
        <f t="shared" si="11"/>
        <v>2992.2624000000001</v>
      </c>
      <c r="K25" s="58"/>
      <c r="L25" s="87"/>
      <c r="M25" s="58"/>
      <c r="N25" s="58"/>
      <c r="O25" s="58"/>
    </row>
    <row r="26" spans="1:18" ht="15.75" thickBot="1" x14ac:dyDescent="0.3">
      <c r="A26" s="100" t="s">
        <v>143</v>
      </c>
      <c r="B26" s="101">
        <v>2</v>
      </c>
      <c r="C26" s="131">
        <v>10</v>
      </c>
      <c r="D26" s="3">
        <f t="shared" si="10"/>
        <v>20</v>
      </c>
      <c r="E26" s="112">
        <f>R55</f>
        <v>10.800000000000002</v>
      </c>
      <c r="F26" s="3">
        <f t="shared" ref="F26" si="20">D26*E26</f>
        <v>216.00000000000006</v>
      </c>
      <c r="G26" s="3">
        <f>0.05*F26</f>
        <v>10.800000000000004</v>
      </c>
      <c r="H26" s="3">
        <f t="shared" ref="H26" si="21">0.1*F26</f>
        <v>21.600000000000009</v>
      </c>
      <c r="I26" s="5">
        <f t="shared" si="11"/>
        <v>22441.968000000008</v>
      </c>
      <c r="K26" s="58"/>
      <c r="L26" s="87"/>
      <c r="M26" s="58"/>
      <c r="N26" s="58"/>
      <c r="O26" s="58"/>
    </row>
    <row r="27" spans="1:18" ht="15.75" thickBot="1" x14ac:dyDescent="0.3">
      <c r="A27" s="100" t="s">
        <v>144</v>
      </c>
      <c r="B27" s="101">
        <v>2</v>
      </c>
      <c r="C27" s="131">
        <v>10</v>
      </c>
      <c r="D27" s="3">
        <f t="shared" si="10"/>
        <v>20</v>
      </c>
      <c r="E27" s="112">
        <f>R56</f>
        <v>0</v>
      </c>
      <c r="F27" s="3">
        <f>D27*E27</f>
        <v>0</v>
      </c>
      <c r="G27" s="3">
        <f>0.05*F27</f>
        <v>0</v>
      </c>
      <c r="H27" s="3">
        <f>0.1*F27</f>
        <v>0</v>
      </c>
      <c r="I27" s="5">
        <f t="shared" si="11"/>
        <v>0</v>
      </c>
      <c r="K27" s="108" t="s">
        <v>54</v>
      </c>
      <c r="L27" s="43" t="s">
        <v>55</v>
      </c>
      <c r="M27" s="43" t="s">
        <v>56</v>
      </c>
      <c r="N27" s="43" t="s">
        <v>57</v>
      </c>
      <c r="O27" s="43" t="s">
        <v>58</v>
      </c>
      <c r="P27" s="43" t="s">
        <v>59</v>
      </c>
      <c r="Q27" s="43" t="s">
        <v>60</v>
      </c>
      <c r="R27" s="43" t="s">
        <v>136</v>
      </c>
    </row>
    <row r="28" spans="1:18" ht="15.75" thickBot="1" x14ac:dyDescent="0.3">
      <c r="A28" s="118"/>
      <c r="B28" s="51"/>
      <c r="C28" s="51"/>
      <c r="D28" s="51"/>
      <c r="E28" s="119"/>
      <c r="F28" s="51"/>
      <c r="G28" s="119"/>
      <c r="H28" s="51"/>
      <c r="I28" s="120"/>
      <c r="K28" s="24" t="s">
        <v>61</v>
      </c>
      <c r="L28" s="24">
        <f>0.95*1440</f>
        <v>1368</v>
      </c>
      <c r="M28" s="24">
        <f>0.2*$L$28</f>
        <v>273.60000000000002</v>
      </c>
      <c r="N28" s="24">
        <f>0.2*$L$28</f>
        <v>273.60000000000002</v>
      </c>
      <c r="O28" s="24">
        <f>0.2*$L$28</f>
        <v>273.60000000000002</v>
      </c>
      <c r="P28" s="24">
        <f>0.2*$L$28</f>
        <v>273.60000000000002</v>
      </c>
      <c r="Q28" s="24">
        <f>0.2*$L$28</f>
        <v>273.60000000000002</v>
      </c>
      <c r="R28" s="90">
        <f>AVERAGE(M28:O28)</f>
        <v>273.60000000000002</v>
      </c>
    </row>
    <row r="29" spans="1:18" ht="15.75" thickBot="1" x14ac:dyDescent="0.3">
      <c r="A29" s="137" t="s">
        <v>67</v>
      </c>
      <c r="B29" s="59"/>
      <c r="C29" s="59"/>
      <c r="D29" s="59"/>
      <c r="E29" s="59"/>
      <c r="F29" s="123">
        <f>SUM(F$6:F$27)</f>
        <v>7246.2312000000002</v>
      </c>
      <c r="G29" s="123">
        <f>SUM(G$6:G$27)</f>
        <v>362.31155999999999</v>
      </c>
      <c r="H29" s="123">
        <f>SUM(H$6:H$27)</f>
        <v>724.62311999999997</v>
      </c>
      <c r="I29" s="138">
        <f>SUM(I$6:I$27)</f>
        <v>752868.92921760015</v>
      </c>
      <c r="K29" s="24" t="s">
        <v>62</v>
      </c>
      <c r="L29" s="24">
        <v>3</v>
      </c>
      <c r="M29" s="24">
        <f>0.2*$L$29</f>
        <v>0.60000000000000009</v>
      </c>
      <c r="N29" s="24">
        <f>0.2*$L$29</f>
        <v>0.60000000000000009</v>
      </c>
      <c r="O29" s="24">
        <f>0.2*$L$29</f>
        <v>0.60000000000000009</v>
      </c>
      <c r="P29" s="24">
        <f>0.2*$L$29</f>
        <v>0.60000000000000009</v>
      </c>
      <c r="Q29" s="24">
        <f>0.2*$L$29</f>
        <v>0.60000000000000009</v>
      </c>
      <c r="R29" s="90">
        <f t="shared" ref="R29:R34" si="22">AVERAGE(M29:O29)</f>
        <v>0.60000000000000009</v>
      </c>
    </row>
    <row r="30" spans="1:18" ht="15.75" thickBot="1" x14ac:dyDescent="0.3">
      <c r="A30" s="103" t="s">
        <v>69</v>
      </c>
      <c r="B30" s="48"/>
      <c r="C30" s="48"/>
      <c r="D30" s="48"/>
      <c r="E30" s="48"/>
      <c r="F30" s="49"/>
      <c r="G30" s="49"/>
      <c r="H30" s="49"/>
      <c r="I30" s="50"/>
      <c r="K30" s="24" t="s">
        <v>63</v>
      </c>
      <c r="L30" s="24">
        <f>SUM(L28:L29)</f>
        <v>1371</v>
      </c>
      <c r="M30" s="24">
        <f t="shared" ref="M30:P30" si="23">SUM(M28:M29)</f>
        <v>274.20000000000005</v>
      </c>
      <c r="N30" s="24">
        <f t="shared" si="23"/>
        <v>274.20000000000005</v>
      </c>
      <c r="O30" s="24">
        <f t="shared" si="23"/>
        <v>274.20000000000005</v>
      </c>
      <c r="P30" s="24">
        <f t="shared" si="23"/>
        <v>274.20000000000005</v>
      </c>
      <c r="Q30" s="24">
        <f>SUM(Q28:Q29)</f>
        <v>274.20000000000005</v>
      </c>
      <c r="R30" s="90">
        <f t="shared" si="22"/>
        <v>274.20000000000005</v>
      </c>
    </row>
    <row r="31" spans="1:18" ht="15.75" thickBot="1" x14ac:dyDescent="0.3">
      <c r="A31" s="104" t="s">
        <v>70</v>
      </c>
      <c r="B31" s="48">
        <v>1</v>
      </c>
      <c r="C31" s="48">
        <v>1</v>
      </c>
      <c r="D31" s="3">
        <f>B31*C31</f>
        <v>1</v>
      </c>
      <c r="E31" s="48">
        <f>R30+R41+R51</f>
        <v>294</v>
      </c>
      <c r="F31" s="3">
        <f t="shared" ref="F31:F39" si="24">D31*E31</f>
        <v>294</v>
      </c>
      <c r="G31" s="3">
        <f t="shared" ref="G31:G39" si="25">0.05*F31</f>
        <v>14.700000000000001</v>
      </c>
      <c r="H31" s="3">
        <f t="shared" ref="H31:H39" si="26">0.1*F31</f>
        <v>29.400000000000002</v>
      </c>
      <c r="I31" s="5">
        <f t="shared" ref="I31:I39" si="27">F31*F$2+G31*G$2+H31*H$2</f>
        <v>30546.012000000002</v>
      </c>
      <c r="K31" s="24" t="s">
        <v>64</v>
      </c>
      <c r="L31" s="24">
        <v>0</v>
      </c>
      <c r="M31" s="24">
        <v>0</v>
      </c>
      <c r="N31" s="24">
        <f>SUM($M30:M30)</f>
        <v>274.20000000000005</v>
      </c>
      <c r="O31" s="24">
        <f>SUM($M30:N30)</f>
        <v>548.40000000000009</v>
      </c>
      <c r="P31" s="24">
        <f>SUM($M30:O30)</f>
        <v>822.60000000000014</v>
      </c>
      <c r="Q31" s="24">
        <f>SUM($M30:P30)</f>
        <v>1096.8000000000002</v>
      </c>
      <c r="R31" s="90">
        <f t="shared" si="22"/>
        <v>274.20000000000005</v>
      </c>
    </row>
    <row r="32" spans="1:18" ht="15.75" thickBot="1" x14ac:dyDescent="0.3">
      <c r="A32" s="104" t="s">
        <v>71</v>
      </c>
      <c r="B32" s="52"/>
      <c r="C32" s="53"/>
      <c r="D32" s="3"/>
      <c r="E32" s="48"/>
      <c r="F32" s="3">
        <f t="shared" si="24"/>
        <v>0</v>
      </c>
      <c r="G32" s="3">
        <f t="shared" si="25"/>
        <v>0</v>
      </c>
      <c r="H32" s="48">
        <f t="shared" si="26"/>
        <v>0</v>
      </c>
      <c r="I32" s="5">
        <f t="shared" si="27"/>
        <v>0</v>
      </c>
      <c r="K32" s="24" t="s">
        <v>66</v>
      </c>
      <c r="L32" s="24">
        <f t="shared" ref="L32:Q32" si="28">L30+L31</f>
        <v>1371</v>
      </c>
      <c r="M32" s="24">
        <f t="shared" si="28"/>
        <v>274.20000000000005</v>
      </c>
      <c r="N32" s="24">
        <f t="shared" si="28"/>
        <v>548.40000000000009</v>
      </c>
      <c r="O32" s="24">
        <f t="shared" si="28"/>
        <v>822.60000000000014</v>
      </c>
      <c r="P32" s="24">
        <f t="shared" si="28"/>
        <v>1096.8000000000002</v>
      </c>
      <c r="Q32" s="24">
        <f t="shared" si="28"/>
        <v>1371.0000000000002</v>
      </c>
      <c r="R32" s="90">
        <f t="shared" si="22"/>
        <v>548.40000000000009</v>
      </c>
    </row>
    <row r="33" spans="1:19" ht="15.75" customHeight="1" thickBot="1" x14ac:dyDescent="0.3">
      <c r="A33" s="98" t="s">
        <v>72</v>
      </c>
      <c r="B33" s="52">
        <v>1</v>
      </c>
      <c r="C33" s="53">
        <v>1</v>
      </c>
      <c r="D33" s="3">
        <f t="shared" ref="D33:D39" si="29">B33*C33</f>
        <v>1</v>
      </c>
      <c r="E33" s="114">
        <f>R32+R43+R53</f>
        <v>588</v>
      </c>
      <c r="F33" s="113">
        <f t="shared" si="24"/>
        <v>588</v>
      </c>
      <c r="G33" s="113">
        <f t="shared" si="25"/>
        <v>29.400000000000002</v>
      </c>
      <c r="H33" s="113">
        <f t="shared" si="26"/>
        <v>58.800000000000004</v>
      </c>
      <c r="I33" s="5">
        <f t="shared" si="27"/>
        <v>61092.024000000005</v>
      </c>
      <c r="K33" s="24" t="s">
        <v>68</v>
      </c>
      <c r="L33" s="24">
        <f>SUM(M33:Q33)</f>
        <v>1371.0000000000002</v>
      </c>
      <c r="M33" s="24">
        <f>M30</f>
        <v>274.20000000000005</v>
      </c>
      <c r="N33" s="24">
        <f>N30</f>
        <v>274.20000000000005</v>
      </c>
      <c r="O33" s="24">
        <f>O30</f>
        <v>274.20000000000005</v>
      </c>
      <c r="P33" s="24">
        <f>P30</f>
        <v>274.20000000000005</v>
      </c>
      <c r="Q33" s="24">
        <f>Q30</f>
        <v>274.20000000000005</v>
      </c>
      <c r="R33" s="90">
        <f t="shared" si="22"/>
        <v>274.20000000000005</v>
      </c>
    </row>
    <row r="34" spans="1:19" ht="15.75" customHeight="1" thickBot="1" x14ac:dyDescent="0.3">
      <c r="A34" s="98" t="s">
        <v>48</v>
      </c>
      <c r="B34" s="52">
        <v>12</v>
      </c>
      <c r="C34" s="53">
        <v>1</v>
      </c>
      <c r="D34" s="3">
        <f t="shared" si="29"/>
        <v>12</v>
      </c>
      <c r="E34" s="114">
        <f>R33+R36</f>
        <v>301.62000000000006</v>
      </c>
      <c r="F34" s="113">
        <f t="shared" si="24"/>
        <v>3619.4400000000005</v>
      </c>
      <c r="G34" s="113">
        <f t="shared" si="25"/>
        <v>180.97200000000004</v>
      </c>
      <c r="H34" s="113">
        <f t="shared" si="26"/>
        <v>361.94400000000007</v>
      </c>
      <c r="I34" s="5">
        <f t="shared" si="27"/>
        <v>376052.57712000003</v>
      </c>
      <c r="K34" s="24" t="s">
        <v>163</v>
      </c>
      <c r="L34" s="130">
        <f>SUM(M34:Q34)</f>
        <v>2467.8000000000002</v>
      </c>
      <c r="M34" s="130">
        <f>M32-M33-M36</f>
        <v>0</v>
      </c>
      <c r="N34" s="130">
        <f>N32-N33-N36</f>
        <v>246.78000000000003</v>
      </c>
      <c r="O34" s="130">
        <f>O32-O33-O36</f>
        <v>493.56000000000006</v>
      </c>
      <c r="P34" s="130">
        <f>P32-P33-P36</f>
        <v>740.34000000000015</v>
      </c>
      <c r="Q34" s="130">
        <f>Q32-Q33-Q36</f>
        <v>987.12000000000012</v>
      </c>
      <c r="R34" s="90">
        <f t="shared" si="22"/>
        <v>246.78000000000006</v>
      </c>
    </row>
    <row r="35" spans="1:19" ht="15.75" thickBot="1" x14ac:dyDescent="0.3">
      <c r="A35" s="98" t="s">
        <v>156</v>
      </c>
      <c r="B35" s="52">
        <v>4</v>
      </c>
      <c r="C35" s="53">
        <v>1</v>
      </c>
      <c r="D35" s="3">
        <f t="shared" si="29"/>
        <v>4</v>
      </c>
      <c r="E35" s="114">
        <f>R34</f>
        <v>246.78000000000006</v>
      </c>
      <c r="F35" s="113">
        <f t="shared" si="24"/>
        <v>987.12000000000023</v>
      </c>
      <c r="G35" s="113">
        <f t="shared" si="25"/>
        <v>49.356000000000016</v>
      </c>
      <c r="H35" s="113">
        <f t="shared" si="26"/>
        <v>98.712000000000032</v>
      </c>
      <c r="I35" s="5">
        <f t="shared" si="27"/>
        <v>102559.79376000003</v>
      </c>
      <c r="K35" s="128" t="s">
        <v>162</v>
      </c>
      <c r="L35" s="24">
        <f>SUM(M35:Q35)</f>
        <v>246.78000000000006</v>
      </c>
      <c r="M35" s="24">
        <f t="shared" ref="M35:Q35" si="30">0.1*M34</f>
        <v>0</v>
      </c>
      <c r="N35" s="24">
        <f t="shared" si="30"/>
        <v>24.678000000000004</v>
      </c>
      <c r="O35" s="24">
        <f t="shared" si="30"/>
        <v>49.356000000000009</v>
      </c>
      <c r="P35" s="24">
        <f t="shared" si="30"/>
        <v>74.03400000000002</v>
      </c>
      <c r="Q35" s="24">
        <f t="shared" si="30"/>
        <v>98.712000000000018</v>
      </c>
      <c r="R35" s="129">
        <f>AVERAGE(M35:O35)</f>
        <v>24.678000000000008</v>
      </c>
      <c r="S35" t="s">
        <v>151</v>
      </c>
    </row>
    <row r="36" spans="1:19" ht="15.75" thickBot="1" x14ac:dyDescent="0.3">
      <c r="A36" s="98" t="s">
        <v>49</v>
      </c>
      <c r="B36" s="52">
        <v>12</v>
      </c>
      <c r="C36" s="53">
        <v>1</v>
      </c>
      <c r="D36" s="48">
        <f t="shared" si="29"/>
        <v>12</v>
      </c>
      <c r="E36" s="114">
        <f>R45+R44</f>
        <v>17.28</v>
      </c>
      <c r="F36" s="114">
        <f t="shared" si="24"/>
        <v>207.36</v>
      </c>
      <c r="G36" s="113">
        <f t="shared" si="25"/>
        <v>10.368000000000002</v>
      </c>
      <c r="H36" s="113">
        <f t="shared" si="26"/>
        <v>20.736000000000004</v>
      </c>
      <c r="I36" s="5">
        <f t="shared" si="27"/>
        <v>21544.289280000005</v>
      </c>
      <c r="K36" s="24" t="s">
        <v>164</v>
      </c>
      <c r="L36" s="122">
        <f>SUM(M36:Q36)</f>
        <v>274.20000000000005</v>
      </c>
      <c r="M36" s="122">
        <f>0.1*M31</f>
        <v>0</v>
      </c>
      <c r="N36" s="122">
        <f>0.1*N31</f>
        <v>27.420000000000005</v>
      </c>
      <c r="O36" s="122">
        <f>0.1*O31</f>
        <v>54.840000000000011</v>
      </c>
      <c r="P36" s="122">
        <f>0.1*P31</f>
        <v>82.260000000000019</v>
      </c>
      <c r="Q36" s="122">
        <f>0.1*Q31</f>
        <v>109.68000000000002</v>
      </c>
      <c r="R36" s="90">
        <f>AVERAGE(M36:O36)</f>
        <v>27.420000000000005</v>
      </c>
    </row>
    <row r="37" spans="1:19" ht="15.75" thickBot="1" x14ac:dyDescent="0.3">
      <c r="A37" s="98" t="s">
        <v>155</v>
      </c>
      <c r="B37" s="52">
        <v>12</v>
      </c>
      <c r="C37" s="53">
        <v>1</v>
      </c>
      <c r="D37" s="48">
        <f t="shared" si="29"/>
        <v>12</v>
      </c>
      <c r="E37" s="114">
        <f>R47</f>
        <v>0.28800000000000003</v>
      </c>
      <c r="F37" s="114">
        <f t="shared" si="24"/>
        <v>3.4560000000000004</v>
      </c>
      <c r="G37" s="113">
        <f t="shared" si="25"/>
        <v>0.17280000000000004</v>
      </c>
      <c r="H37" s="113">
        <f t="shared" si="26"/>
        <v>0.34560000000000007</v>
      </c>
      <c r="I37" s="5">
        <f t="shared" si="27"/>
        <v>359.07148799999999</v>
      </c>
      <c r="K37" s="90" t="s">
        <v>160</v>
      </c>
      <c r="L37" s="24">
        <f>SUM(M37:Q37)</f>
        <v>27.420000000000009</v>
      </c>
      <c r="M37" s="24">
        <f t="shared" ref="M37" si="31">0.1*M36</f>
        <v>0</v>
      </c>
      <c r="N37" s="24">
        <f t="shared" ref="N37" si="32">0.1*N36</f>
        <v>2.7420000000000009</v>
      </c>
      <c r="O37" s="24">
        <f>0.1*O36</f>
        <v>5.4840000000000018</v>
      </c>
      <c r="P37" s="24">
        <f t="shared" ref="P37" si="33">0.1*P36</f>
        <v>8.2260000000000026</v>
      </c>
      <c r="Q37" s="24">
        <f t="shared" ref="Q37" si="34">0.1*Q36</f>
        <v>10.968000000000004</v>
      </c>
      <c r="R37" s="129">
        <f>AVERAGE(M37:O37)</f>
        <v>2.7420000000000009</v>
      </c>
      <c r="S37" t="s">
        <v>151</v>
      </c>
    </row>
    <row r="38" spans="1:19" ht="15.75" thickBot="1" x14ac:dyDescent="0.3">
      <c r="A38" s="98" t="s">
        <v>65</v>
      </c>
      <c r="B38" s="105">
        <v>0.75</v>
      </c>
      <c r="C38" s="53">
        <v>1</v>
      </c>
      <c r="D38" s="3">
        <f t="shared" si="29"/>
        <v>0.75</v>
      </c>
      <c r="E38" s="127">
        <f>R32</f>
        <v>548.40000000000009</v>
      </c>
      <c r="F38" s="113">
        <f t="shared" si="24"/>
        <v>411.30000000000007</v>
      </c>
      <c r="G38" s="113">
        <f t="shared" si="25"/>
        <v>20.565000000000005</v>
      </c>
      <c r="H38" s="113">
        <f t="shared" si="26"/>
        <v>41.13000000000001</v>
      </c>
      <c r="I38" s="5">
        <f t="shared" si="27"/>
        <v>42733.247400000007</v>
      </c>
    </row>
    <row r="39" spans="1:19" ht="15.75" thickBot="1" x14ac:dyDescent="0.3">
      <c r="A39" s="98" t="s">
        <v>145</v>
      </c>
      <c r="B39" s="52">
        <v>4</v>
      </c>
      <c r="C39" s="53">
        <v>1</v>
      </c>
      <c r="D39" s="3">
        <f t="shared" si="29"/>
        <v>4</v>
      </c>
      <c r="E39" s="127">
        <f>R54</f>
        <v>5.4000000000000012</v>
      </c>
      <c r="F39" s="113">
        <f t="shared" si="24"/>
        <v>21.600000000000005</v>
      </c>
      <c r="G39" s="113">
        <f t="shared" si="25"/>
        <v>1.0800000000000003</v>
      </c>
      <c r="H39" s="113">
        <f t="shared" si="26"/>
        <v>2.1600000000000006</v>
      </c>
      <c r="I39" s="5">
        <f t="shared" si="27"/>
        <v>2244.1968000000006</v>
      </c>
      <c r="K39" s="108" t="s">
        <v>73</v>
      </c>
      <c r="L39" s="43" t="s">
        <v>55</v>
      </c>
      <c r="M39" s="43" t="s">
        <v>56</v>
      </c>
      <c r="N39" s="43" t="s">
        <v>57</v>
      </c>
      <c r="O39" s="43" t="s">
        <v>58</v>
      </c>
      <c r="P39" s="43" t="s">
        <v>59</v>
      </c>
      <c r="Q39" s="43" t="s">
        <v>60</v>
      </c>
      <c r="R39" s="43" t="s">
        <v>137</v>
      </c>
    </row>
    <row r="40" spans="1:19" ht="15.75" thickBot="1" x14ac:dyDescent="0.3">
      <c r="A40" s="121" t="s">
        <v>146</v>
      </c>
      <c r="B40" s="52">
        <v>2</v>
      </c>
      <c r="C40" s="53">
        <v>52</v>
      </c>
      <c r="D40" s="3">
        <f t="shared" ref="D40:D42" si="35">B40*C40</f>
        <v>104</v>
      </c>
      <c r="E40" s="127">
        <f>R56</f>
        <v>0</v>
      </c>
      <c r="F40" s="113">
        <f t="shared" ref="F40:F43" si="36">D40*E40</f>
        <v>0</v>
      </c>
      <c r="G40" s="113">
        <f t="shared" ref="G40:G43" si="37">0.05*F40</f>
        <v>0</v>
      </c>
      <c r="H40" s="113">
        <f t="shared" ref="H40:H43" si="38">0.1*F40</f>
        <v>0</v>
      </c>
      <c r="I40" s="5">
        <f t="shared" ref="I40:I43" si="39">F40*F$2+G40*G$2+H40*H$2</f>
        <v>0</v>
      </c>
      <c r="K40" s="24" t="s">
        <v>74</v>
      </c>
      <c r="L40" s="24">
        <f>0.05*1440</f>
        <v>72</v>
      </c>
      <c r="M40" s="24">
        <f>0.2*$L$40</f>
        <v>14.4</v>
      </c>
      <c r="N40" s="24">
        <f>0.2*$L$40</f>
        <v>14.4</v>
      </c>
      <c r="O40" s="24">
        <f>0.2*$L$40</f>
        <v>14.4</v>
      </c>
      <c r="P40" s="24">
        <f>0.2*$L$40</f>
        <v>14.4</v>
      </c>
      <c r="Q40" s="24">
        <f>0.2*$L$40</f>
        <v>14.4</v>
      </c>
      <c r="R40" s="90">
        <f>AVERAGE(M40:O40)</f>
        <v>14.4</v>
      </c>
    </row>
    <row r="41" spans="1:19" ht="15.75" thickBot="1" x14ac:dyDescent="0.3">
      <c r="A41" s="121" t="s">
        <v>147</v>
      </c>
      <c r="B41" s="52">
        <v>2</v>
      </c>
      <c r="C41" s="53">
        <v>1</v>
      </c>
      <c r="D41" s="3">
        <f t="shared" si="35"/>
        <v>2</v>
      </c>
      <c r="E41" s="127">
        <f>R56</f>
        <v>0</v>
      </c>
      <c r="F41" s="113">
        <f t="shared" si="36"/>
        <v>0</v>
      </c>
      <c r="G41" s="113">
        <f t="shared" si="37"/>
        <v>0</v>
      </c>
      <c r="H41" s="113">
        <f t="shared" si="38"/>
        <v>0</v>
      </c>
      <c r="I41" s="5">
        <f t="shared" si="39"/>
        <v>0</v>
      </c>
      <c r="K41" s="24" t="s">
        <v>75</v>
      </c>
      <c r="L41" s="24">
        <f t="shared" ref="L41:Q41" si="40">SUM(L40:L40)</f>
        <v>72</v>
      </c>
      <c r="M41" s="24">
        <f t="shared" si="40"/>
        <v>14.4</v>
      </c>
      <c r="N41" s="24">
        <f t="shared" si="40"/>
        <v>14.4</v>
      </c>
      <c r="O41" s="24">
        <f t="shared" si="40"/>
        <v>14.4</v>
      </c>
      <c r="P41" s="24">
        <f t="shared" si="40"/>
        <v>14.4</v>
      </c>
      <c r="Q41" s="24">
        <f t="shared" si="40"/>
        <v>14.4</v>
      </c>
      <c r="R41" s="90">
        <f t="shared" ref="R41:R44" si="41">AVERAGE(M41:O41)</f>
        <v>14.4</v>
      </c>
    </row>
    <row r="42" spans="1:19" ht="15.75" thickBot="1" x14ac:dyDescent="0.3">
      <c r="A42" s="121" t="s">
        <v>148</v>
      </c>
      <c r="B42" s="52">
        <v>2</v>
      </c>
      <c r="C42" s="53">
        <v>1</v>
      </c>
      <c r="D42" s="3">
        <f t="shared" si="35"/>
        <v>2</v>
      </c>
      <c r="E42" s="127">
        <f>R56</f>
        <v>0</v>
      </c>
      <c r="F42" s="113">
        <f t="shared" si="36"/>
        <v>0</v>
      </c>
      <c r="G42" s="113">
        <f t="shared" si="37"/>
        <v>0</v>
      </c>
      <c r="H42" s="113">
        <f t="shared" si="38"/>
        <v>0</v>
      </c>
      <c r="I42" s="5">
        <f t="shared" si="39"/>
        <v>0</v>
      </c>
      <c r="K42" s="24" t="s">
        <v>76</v>
      </c>
      <c r="L42" s="24">
        <v>0</v>
      </c>
      <c r="M42" s="24">
        <v>0</v>
      </c>
      <c r="N42" s="24">
        <f>SUM($M41:M41)</f>
        <v>14.4</v>
      </c>
      <c r="O42" s="24">
        <f>SUM($M41:N41)</f>
        <v>28.8</v>
      </c>
      <c r="P42" s="24">
        <f>SUM($M41:O41)</f>
        <v>43.2</v>
      </c>
      <c r="Q42" s="24">
        <f>SUM($M41:P41)</f>
        <v>57.6</v>
      </c>
      <c r="R42" s="90">
        <f t="shared" si="41"/>
        <v>14.4</v>
      </c>
    </row>
    <row r="43" spans="1:19" ht="15.75" thickBot="1" x14ac:dyDescent="0.3">
      <c r="A43" s="121" t="s">
        <v>149</v>
      </c>
      <c r="B43" s="52">
        <v>2</v>
      </c>
      <c r="C43" s="53">
        <v>1</v>
      </c>
      <c r="D43" s="3">
        <f t="shared" ref="D43" si="42">B43*C43</f>
        <v>2</v>
      </c>
      <c r="E43" s="127">
        <f>R35+R36+R46</f>
        <v>52.38600000000001</v>
      </c>
      <c r="F43" s="113">
        <f t="shared" si="36"/>
        <v>104.77200000000002</v>
      </c>
      <c r="G43" s="113">
        <f t="shared" si="37"/>
        <v>5.2386000000000017</v>
      </c>
      <c r="H43" s="113">
        <f t="shared" si="38"/>
        <v>10.477200000000003</v>
      </c>
      <c r="I43" s="5">
        <f t="shared" si="39"/>
        <v>10885.601256000002</v>
      </c>
      <c r="K43" s="24" t="s">
        <v>78</v>
      </c>
      <c r="L43" s="24">
        <f t="shared" ref="L43:Q43" si="43">L41+L42</f>
        <v>72</v>
      </c>
      <c r="M43" s="24">
        <f t="shared" si="43"/>
        <v>14.4</v>
      </c>
      <c r="N43" s="24">
        <f t="shared" si="43"/>
        <v>28.8</v>
      </c>
      <c r="O43" s="24">
        <f t="shared" si="43"/>
        <v>43.2</v>
      </c>
      <c r="P43" s="24">
        <f t="shared" si="43"/>
        <v>57.6</v>
      </c>
      <c r="Q43" s="24">
        <f t="shared" si="43"/>
        <v>72</v>
      </c>
      <c r="R43" s="90">
        <f t="shared" si="41"/>
        <v>28.8</v>
      </c>
    </row>
    <row r="44" spans="1:19" ht="15.75" thickBot="1" x14ac:dyDescent="0.3">
      <c r="A44" s="104" t="s">
        <v>150</v>
      </c>
      <c r="B44" s="105">
        <v>10</v>
      </c>
      <c r="C44" s="106">
        <v>1</v>
      </c>
      <c r="D44" s="3">
        <f>B44*C44</f>
        <v>10</v>
      </c>
      <c r="E44" s="113">
        <f>R51</f>
        <v>5.4000000000000012</v>
      </c>
      <c r="F44" s="113">
        <f>D44*E44</f>
        <v>54.000000000000014</v>
      </c>
      <c r="G44" s="113">
        <f>0.05*F44</f>
        <v>2.7000000000000011</v>
      </c>
      <c r="H44" s="113">
        <f>0.1*F44</f>
        <v>5.4000000000000021</v>
      </c>
      <c r="I44" s="5">
        <f>F44*F$2+G44*G$2+H44*H$2</f>
        <v>5610.492000000002</v>
      </c>
      <c r="K44" s="24" t="s">
        <v>157</v>
      </c>
      <c r="L44" s="24">
        <f>SUM(M44:Q44)</f>
        <v>72</v>
      </c>
      <c r="M44" s="24">
        <f>M41</f>
        <v>14.4</v>
      </c>
      <c r="N44" s="24">
        <f>N41</f>
        <v>14.4</v>
      </c>
      <c r="O44" s="24">
        <f>O41</f>
        <v>14.4</v>
      </c>
      <c r="P44" s="24">
        <f>P41</f>
        <v>14.4</v>
      </c>
      <c r="Q44" s="24">
        <f>Q41</f>
        <v>14.4</v>
      </c>
      <c r="R44" s="90">
        <f t="shared" si="41"/>
        <v>14.4</v>
      </c>
    </row>
    <row r="45" spans="1:19" ht="15.75" thickBot="1" x14ac:dyDescent="0.3">
      <c r="A45" s="104" t="s">
        <v>77</v>
      </c>
      <c r="B45" s="52"/>
      <c r="C45" s="53"/>
      <c r="D45" s="3"/>
      <c r="E45" s="48"/>
      <c r="F45" s="3">
        <f>D45*E45</f>
        <v>0</v>
      </c>
      <c r="G45" s="3">
        <f>0.05*F45</f>
        <v>0</v>
      </c>
      <c r="H45" s="3">
        <f>0.1*F45</f>
        <v>0</v>
      </c>
      <c r="I45" s="5">
        <f>F45*F$2+G45*G$2+H45*H$2</f>
        <v>0</v>
      </c>
      <c r="K45" s="24" t="s">
        <v>158</v>
      </c>
      <c r="L45" s="24">
        <f>SUM(M45:Q45)</f>
        <v>28.800000000000004</v>
      </c>
      <c r="M45" s="24">
        <f>0.2*M42</f>
        <v>0</v>
      </c>
      <c r="N45" s="24">
        <f>0.2*N42</f>
        <v>2.8800000000000003</v>
      </c>
      <c r="O45" s="24">
        <f>0.2*O42</f>
        <v>5.7600000000000007</v>
      </c>
      <c r="P45" s="24">
        <f>0.2*P42</f>
        <v>8.64</v>
      </c>
      <c r="Q45" s="24">
        <f>0.2*Q42</f>
        <v>11.520000000000001</v>
      </c>
      <c r="R45" s="90">
        <f>AVERAGE(M45:O45)</f>
        <v>2.8800000000000003</v>
      </c>
    </row>
    <row r="46" spans="1:19" ht="15.75" thickBot="1" x14ac:dyDescent="0.3">
      <c r="A46" s="107" t="s">
        <v>79</v>
      </c>
      <c r="B46" s="52">
        <v>2</v>
      </c>
      <c r="C46" s="53">
        <v>52</v>
      </c>
      <c r="D46" s="3">
        <f>B46*C46</f>
        <v>104</v>
      </c>
      <c r="E46" s="48">
        <f>R55</f>
        <v>10.800000000000002</v>
      </c>
      <c r="F46" s="3">
        <f>D46*E46</f>
        <v>1123.2000000000003</v>
      </c>
      <c r="G46" s="3">
        <f>0.05*F46</f>
        <v>56.160000000000018</v>
      </c>
      <c r="H46" s="3">
        <f>0.1*F46</f>
        <v>112.32000000000004</v>
      </c>
      <c r="I46" s="5">
        <f>F46*F$2+G46*G$2+H46*H$2</f>
        <v>116698.23360000004</v>
      </c>
      <c r="K46" s="128" t="s">
        <v>161</v>
      </c>
      <c r="L46" s="24">
        <f>SUM(M46:Q46)</f>
        <v>2.8800000000000003</v>
      </c>
      <c r="M46" s="24">
        <f t="shared" ref="M46" si="44">0.1*M45</f>
        <v>0</v>
      </c>
      <c r="N46" s="24">
        <f>0.1*N45</f>
        <v>0.28800000000000003</v>
      </c>
      <c r="O46" s="24">
        <f t="shared" ref="O46" si="45">0.1*O45</f>
        <v>0.57600000000000007</v>
      </c>
      <c r="P46" s="24">
        <f t="shared" ref="P46" si="46">0.1*P45</f>
        <v>0.8640000000000001</v>
      </c>
      <c r="Q46" s="24">
        <f t="shared" ref="Q46" si="47">0.1*Q45</f>
        <v>1.1520000000000001</v>
      </c>
      <c r="R46" s="129">
        <f>AVERAGE(M46:O46)</f>
        <v>0.28800000000000003</v>
      </c>
      <c r="S46" t="s">
        <v>151</v>
      </c>
    </row>
    <row r="47" spans="1:19" ht="15.75" thickBot="1" x14ac:dyDescent="0.3">
      <c r="A47" s="104" t="s">
        <v>80</v>
      </c>
      <c r="B47" s="52" t="s">
        <v>31</v>
      </c>
      <c r="C47" s="53"/>
      <c r="D47" s="3"/>
      <c r="E47" s="48"/>
      <c r="F47" s="3">
        <f>D47*E47</f>
        <v>0</v>
      </c>
      <c r="G47" s="3">
        <f>0.05*F47</f>
        <v>0</v>
      </c>
      <c r="H47" s="3">
        <f>0.1*F47</f>
        <v>0</v>
      </c>
      <c r="I47" s="5">
        <f>F47*F$2+G47*G$2+H47*H$2</f>
        <v>0</v>
      </c>
      <c r="K47" s="24" t="s">
        <v>159</v>
      </c>
      <c r="L47" s="24">
        <f>L46</f>
        <v>2.8800000000000003</v>
      </c>
      <c r="M47" s="24">
        <f t="shared" ref="M47:R47" si="48">M46</f>
        <v>0</v>
      </c>
      <c r="N47" s="24">
        <f t="shared" si="48"/>
        <v>0.28800000000000003</v>
      </c>
      <c r="O47" s="24">
        <f t="shared" si="48"/>
        <v>0.57600000000000007</v>
      </c>
      <c r="P47" s="24">
        <f t="shared" si="48"/>
        <v>0.8640000000000001</v>
      </c>
      <c r="Q47" s="24">
        <f t="shared" si="48"/>
        <v>1.1520000000000001</v>
      </c>
      <c r="R47" s="24">
        <f t="shared" si="48"/>
        <v>0.28800000000000003</v>
      </c>
    </row>
    <row r="48" spans="1:19" ht="15.75" thickBot="1" x14ac:dyDescent="0.3">
      <c r="A48" s="104" t="s">
        <v>81</v>
      </c>
      <c r="B48" s="52" t="s">
        <v>31</v>
      </c>
      <c r="C48" s="53"/>
      <c r="D48" s="3"/>
      <c r="E48" s="48"/>
      <c r="F48" s="3">
        <f>D48*E48</f>
        <v>0</v>
      </c>
      <c r="G48" s="3">
        <f>0.05*F48</f>
        <v>0</v>
      </c>
      <c r="H48" s="3">
        <f>0.1*F48</f>
        <v>0</v>
      </c>
      <c r="I48" s="5">
        <f>F48*F$2+G48*G$2+H48*H$2</f>
        <v>0</v>
      </c>
    </row>
    <row r="49" spans="1:18" ht="15.75" thickBot="1" x14ac:dyDescent="0.3">
      <c r="A49" s="60" t="s">
        <v>82</v>
      </c>
      <c r="B49" s="61"/>
      <c r="C49" s="62"/>
      <c r="D49" s="62"/>
      <c r="E49" s="62"/>
      <c r="F49" s="94">
        <f>SUM(F$31:F$48)</f>
        <v>7414.2480000000014</v>
      </c>
      <c r="G49" s="94">
        <f>SUM(G$31:G$48)</f>
        <v>370.71240000000006</v>
      </c>
      <c r="H49" s="94">
        <f>SUM(H$31:H$48)</f>
        <v>741.42480000000012</v>
      </c>
      <c r="I49" s="63">
        <f>SUM(I$31:I$48)</f>
        <v>770325.53870400018</v>
      </c>
      <c r="K49" s="108" t="s">
        <v>83</v>
      </c>
      <c r="L49" s="43" t="s">
        <v>55</v>
      </c>
      <c r="M49" s="43" t="s">
        <v>56</v>
      </c>
      <c r="N49" s="43" t="s">
        <v>57</v>
      </c>
      <c r="O49" s="43" t="s">
        <v>58</v>
      </c>
      <c r="P49" s="43" t="s">
        <v>59</v>
      </c>
      <c r="Q49" s="43" t="s">
        <v>60</v>
      </c>
      <c r="R49" s="43" t="s">
        <v>137</v>
      </c>
    </row>
    <row r="50" spans="1:18" ht="15.75" thickBot="1" x14ac:dyDescent="0.3">
      <c r="A50" s="64" t="s">
        <v>84</v>
      </c>
      <c r="B50" s="66"/>
      <c r="C50" s="3"/>
      <c r="D50" s="3"/>
      <c r="E50" s="66"/>
      <c r="F50" s="115">
        <f>SUM(F29:H29)+SUM(F49:H49)</f>
        <v>16859.551080000005</v>
      </c>
      <c r="G50" s="116"/>
      <c r="H50" s="117"/>
      <c r="I50" s="54">
        <f>I29+I49</f>
        <v>1523194.4679216002</v>
      </c>
      <c r="K50" s="24" t="s">
        <v>85</v>
      </c>
      <c r="L50" s="24">
        <v>27</v>
      </c>
      <c r="M50" s="24">
        <f>0.2*$L$50</f>
        <v>5.4</v>
      </c>
      <c r="N50" s="24">
        <f>0.2*$L$50</f>
        <v>5.4</v>
      </c>
      <c r="O50" s="24">
        <f>0.2*$L$50</f>
        <v>5.4</v>
      </c>
      <c r="P50" s="24">
        <f>0.2*$L$50</f>
        <v>5.4</v>
      </c>
      <c r="Q50" s="24">
        <f>0.2*$L$50</f>
        <v>5.4</v>
      </c>
      <c r="R50" s="90">
        <f>AVERAGE(M50:O50)</f>
        <v>5.4000000000000012</v>
      </c>
    </row>
    <row r="51" spans="1:18" ht="15.75" thickBot="1" x14ac:dyDescent="0.3">
      <c r="A51" s="65" t="s">
        <v>86</v>
      </c>
      <c r="B51" s="67"/>
      <c r="C51" s="51"/>
      <c r="D51" s="68"/>
      <c r="E51" s="51"/>
      <c r="F51" s="51"/>
      <c r="G51" s="68"/>
      <c r="H51" s="51"/>
      <c r="I51" s="69">
        <f>G63</f>
        <v>0</v>
      </c>
      <c r="K51" s="24" t="s">
        <v>87</v>
      </c>
      <c r="L51" s="24">
        <f t="shared" ref="L51:Q51" si="49">SUM(L50:L50)</f>
        <v>27</v>
      </c>
      <c r="M51" s="24">
        <f t="shared" si="49"/>
        <v>5.4</v>
      </c>
      <c r="N51" s="24">
        <f t="shared" si="49"/>
        <v>5.4</v>
      </c>
      <c r="O51" s="24">
        <f t="shared" si="49"/>
        <v>5.4</v>
      </c>
      <c r="P51" s="24">
        <f t="shared" si="49"/>
        <v>5.4</v>
      </c>
      <c r="Q51" s="24">
        <f t="shared" si="49"/>
        <v>5.4</v>
      </c>
      <c r="R51" s="90">
        <f>AVERAGE(M51:O51)</f>
        <v>5.4000000000000012</v>
      </c>
    </row>
    <row r="52" spans="1:18" ht="15.75" thickBot="1" x14ac:dyDescent="0.3">
      <c r="A52" s="65" t="s">
        <v>88</v>
      </c>
      <c r="B52" s="51"/>
      <c r="C52" s="51"/>
      <c r="D52" s="51"/>
      <c r="E52" s="51"/>
      <c r="F52" s="84"/>
      <c r="G52" s="86"/>
      <c r="H52" s="85"/>
      <c r="I52" s="83">
        <f>I50+I51</f>
        <v>1523194.4679216002</v>
      </c>
      <c r="K52" s="24" t="s">
        <v>89</v>
      </c>
      <c r="L52" s="24">
        <v>0</v>
      </c>
      <c r="M52" s="24">
        <v>0</v>
      </c>
      <c r="N52" s="24">
        <f>SUM($M51:M51)</f>
        <v>5.4</v>
      </c>
      <c r="O52" s="24">
        <f>SUM($M51:N51)</f>
        <v>10.8</v>
      </c>
      <c r="P52" s="24">
        <f>SUM($M51:O51)</f>
        <v>16.200000000000003</v>
      </c>
      <c r="Q52" s="24">
        <f>SUM($M51:P51)</f>
        <v>21.6</v>
      </c>
      <c r="R52" s="90">
        <f>AVERAGE(M52:O52)</f>
        <v>5.4000000000000012</v>
      </c>
    </row>
    <row r="53" spans="1:18" x14ac:dyDescent="0.25">
      <c r="A53" s="6" t="s">
        <v>90</v>
      </c>
      <c r="B53" s="6"/>
      <c r="K53" s="24" t="s">
        <v>91</v>
      </c>
      <c r="L53" s="24">
        <f>L51+L52</f>
        <v>27</v>
      </c>
      <c r="M53" s="24">
        <f t="shared" ref="M53:P53" si="50">M51+M52</f>
        <v>5.4</v>
      </c>
      <c r="N53" s="24">
        <f t="shared" si="50"/>
        <v>10.8</v>
      </c>
      <c r="O53" s="24">
        <f t="shared" si="50"/>
        <v>16.200000000000003</v>
      </c>
      <c r="P53" s="24">
        <f t="shared" si="50"/>
        <v>21.6</v>
      </c>
      <c r="Q53" s="24">
        <f>Q51+Q52</f>
        <v>27</v>
      </c>
      <c r="R53" s="90">
        <f>AVERAGE(M53:O53)</f>
        <v>10.800000000000002</v>
      </c>
    </row>
    <row r="54" spans="1:18" ht="15.75" x14ac:dyDescent="0.25">
      <c r="A54" s="7" t="s">
        <v>92</v>
      </c>
      <c r="B54" s="7"/>
      <c r="K54" s="90" t="s">
        <v>154</v>
      </c>
      <c r="L54" s="24">
        <f>L51</f>
        <v>27</v>
      </c>
      <c r="M54" s="24">
        <f t="shared" ref="M54:R54" si="51">M51</f>
        <v>5.4</v>
      </c>
      <c r="N54" s="24">
        <f t="shared" si="51"/>
        <v>5.4</v>
      </c>
      <c r="O54" s="24">
        <f t="shared" si="51"/>
        <v>5.4</v>
      </c>
      <c r="P54" s="24">
        <f t="shared" si="51"/>
        <v>5.4</v>
      </c>
      <c r="Q54" s="24">
        <f t="shared" si="51"/>
        <v>5.4</v>
      </c>
      <c r="R54" s="24">
        <f t="shared" si="51"/>
        <v>5.4000000000000012</v>
      </c>
    </row>
    <row r="55" spans="1:18" ht="15.75" x14ac:dyDescent="0.25">
      <c r="A55" s="96" t="s">
        <v>93</v>
      </c>
      <c r="B55" s="7"/>
      <c r="J55" s="19"/>
      <c r="K55" s="90" t="s">
        <v>152</v>
      </c>
      <c r="L55" s="24">
        <f t="shared" ref="L55:R55" si="52">L53</f>
        <v>27</v>
      </c>
      <c r="M55" s="24">
        <f t="shared" si="52"/>
        <v>5.4</v>
      </c>
      <c r="N55" s="24">
        <f t="shared" si="52"/>
        <v>10.8</v>
      </c>
      <c r="O55" s="24">
        <f t="shared" si="52"/>
        <v>16.200000000000003</v>
      </c>
      <c r="P55" s="24">
        <f t="shared" si="52"/>
        <v>21.6</v>
      </c>
      <c r="Q55" s="24">
        <f t="shared" si="52"/>
        <v>27</v>
      </c>
      <c r="R55" s="24">
        <f t="shared" si="52"/>
        <v>10.800000000000002</v>
      </c>
    </row>
    <row r="56" spans="1:18" ht="15.75" x14ac:dyDescent="0.25">
      <c r="A56" s="7"/>
      <c r="B56" s="7"/>
      <c r="J56" s="19"/>
      <c r="K56" s="90" t="s">
        <v>153</v>
      </c>
      <c r="L56" s="24">
        <v>0</v>
      </c>
      <c r="M56" s="24">
        <v>0</v>
      </c>
      <c r="N56" s="24">
        <v>0</v>
      </c>
      <c r="O56" s="24">
        <v>0</v>
      </c>
      <c r="P56" s="24">
        <v>0</v>
      </c>
      <c r="Q56" s="24">
        <v>0</v>
      </c>
      <c r="R56" s="24">
        <v>0</v>
      </c>
    </row>
    <row r="57" spans="1:18" ht="15.75" x14ac:dyDescent="0.25">
      <c r="A57" s="7"/>
      <c r="B57" s="7"/>
      <c r="J57" s="19"/>
    </row>
    <row r="58" spans="1:18" ht="15.75" x14ac:dyDescent="0.25">
      <c r="A58" s="7"/>
      <c r="B58" s="7"/>
      <c r="D58" s="95"/>
      <c r="E58" s="95"/>
      <c r="J58" s="19"/>
    </row>
    <row r="59" spans="1:18" ht="15.75" x14ac:dyDescent="0.25">
      <c r="A59" s="7"/>
      <c r="B59" s="7"/>
      <c r="K59" s="150" t="s">
        <v>166</v>
      </c>
      <c r="L59" s="149" t="s">
        <v>129</v>
      </c>
      <c r="M59" s="149"/>
      <c r="N59" s="149"/>
      <c r="O59" s="149"/>
      <c r="P59" s="149"/>
    </row>
    <row r="60" spans="1:18" ht="30" x14ac:dyDescent="0.25">
      <c r="A60" s="75" t="s">
        <v>3</v>
      </c>
      <c r="B60" s="81" t="s">
        <v>4</v>
      </c>
      <c r="C60" s="76" t="s">
        <v>5</v>
      </c>
      <c r="D60" s="81" t="s">
        <v>6</v>
      </c>
      <c r="E60" s="76" t="s">
        <v>7</v>
      </c>
      <c r="F60" s="81" t="s">
        <v>8</v>
      </c>
      <c r="G60" s="77" t="s">
        <v>9</v>
      </c>
      <c r="K60" s="150"/>
      <c r="L60" s="149" t="s">
        <v>168</v>
      </c>
      <c r="M60" s="149"/>
      <c r="N60" s="140" t="s">
        <v>169</v>
      </c>
      <c r="O60" s="139"/>
      <c r="P60" s="139"/>
    </row>
    <row r="61" spans="1:18" ht="60" x14ac:dyDescent="0.25">
      <c r="A61" s="78" t="s">
        <v>94</v>
      </c>
      <c r="B61" s="82" t="s">
        <v>95</v>
      </c>
      <c r="C61" s="79" t="s">
        <v>96</v>
      </c>
      <c r="D61" s="82" t="s">
        <v>97</v>
      </c>
      <c r="E61" s="79" t="s">
        <v>98</v>
      </c>
      <c r="F61" s="82" t="s">
        <v>99</v>
      </c>
      <c r="G61" s="80" t="s">
        <v>100</v>
      </c>
      <c r="K61" s="150"/>
      <c r="L61" s="140" t="s">
        <v>170</v>
      </c>
      <c r="M61" s="140" t="s">
        <v>171</v>
      </c>
      <c r="N61" s="140" t="s">
        <v>172</v>
      </c>
      <c r="O61" s="140" t="s">
        <v>173</v>
      </c>
      <c r="P61" s="140" t="s">
        <v>174</v>
      </c>
    </row>
    <row r="62" spans="1:18" x14ac:dyDescent="0.25">
      <c r="A62" s="72" t="s">
        <v>101</v>
      </c>
      <c r="B62" s="73">
        <v>750</v>
      </c>
      <c r="C62" s="74">
        <v>0</v>
      </c>
      <c r="D62" s="73">
        <f>B62*C62</f>
        <v>0</v>
      </c>
      <c r="E62" s="88">
        <v>100</v>
      </c>
      <c r="F62" s="89">
        <v>0</v>
      </c>
      <c r="G62" s="73">
        <f>E62*F62</f>
        <v>0</v>
      </c>
      <c r="K62" s="141">
        <v>1</v>
      </c>
      <c r="L62" s="139">
        <f>M30+M41+M51</f>
        <v>294</v>
      </c>
      <c r="M62" s="139">
        <f>M31+M42+M52</f>
        <v>0</v>
      </c>
      <c r="N62" s="139">
        <v>0</v>
      </c>
      <c r="O62" s="139">
        <v>0</v>
      </c>
      <c r="P62" s="139">
        <f>SUM(L62:N62)-O62</f>
        <v>294</v>
      </c>
    </row>
    <row r="63" spans="1:18" x14ac:dyDescent="0.25">
      <c r="A63" s="11" t="s">
        <v>102</v>
      </c>
      <c r="B63" s="13"/>
      <c r="C63" s="13"/>
      <c r="D63" s="12">
        <f>SUM(D62)</f>
        <v>0</v>
      </c>
      <c r="E63" s="13"/>
      <c r="F63" s="13"/>
      <c r="G63" s="12">
        <f>SUM(G62)</f>
        <v>0</v>
      </c>
      <c r="K63" s="141">
        <v>2</v>
      </c>
      <c r="L63" s="139">
        <f>N30+N41+N51</f>
        <v>294</v>
      </c>
      <c r="M63" s="139">
        <f>N31+N42+N52</f>
        <v>294</v>
      </c>
      <c r="N63" s="139">
        <v>0</v>
      </c>
      <c r="O63" s="139">
        <v>0</v>
      </c>
      <c r="P63" s="139">
        <f t="shared" ref="P63:P64" si="53">SUM(L63:N63)-O63</f>
        <v>588</v>
      </c>
    </row>
    <row r="64" spans="1:18" x14ac:dyDescent="0.25">
      <c r="K64" s="141">
        <v>3</v>
      </c>
      <c r="L64" s="139">
        <f>O30+O41+O51</f>
        <v>294</v>
      </c>
      <c r="M64" s="139">
        <f>O31+O42+O52</f>
        <v>588</v>
      </c>
      <c r="N64" s="139">
        <v>0</v>
      </c>
      <c r="O64" s="139">
        <v>0</v>
      </c>
      <c r="P64" s="139">
        <f t="shared" si="53"/>
        <v>882</v>
      </c>
    </row>
    <row r="65" spans="1:16" ht="15.75" x14ac:dyDescent="0.25">
      <c r="A65" s="7"/>
      <c r="B65" s="7"/>
      <c r="J65" s="19"/>
      <c r="K65" s="142" t="s">
        <v>167</v>
      </c>
      <c r="L65" s="139">
        <f t="shared" ref="L65:O65" si="54">AVERAGE(L62:L64)</f>
        <v>294</v>
      </c>
      <c r="M65" s="139">
        <f t="shared" si="54"/>
        <v>294</v>
      </c>
      <c r="N65" s="139">
        <f t="shared" si="54"/>
        <v>0</v>
      </c>
      <c r="O65" s="139">
        <f t="shared" si="54"/>
        <v>0</v>
      </c>
      <c r="P65" s="139">
        <f>AVERAGE(P62:P64)</f>
        <v>588</v>
      </c>
    </row>
    <row r="66" spans="1:16" ht="15.75" x14ac:dyDescent="0.25">
      <c r="A66" s="55" t="s">
        <v>103</v>
      </c>
      <c r="B66" s="19"/>
      <c r="C66" s="19"/>
      <c r="D66" s="19"/>
      <c r="E66" s="19"/>
      <c r="F66" s="19"/>
      <c r="J66" s="19"/>
    </row>
    <row r="67" spans="1:16" ht="15.75" thickBot="1" x14ac:dyDescent="0.3">
      <c r="A67" s="19"/>
      <c r="B67" s="19"/>
      <c r="C67" s="19"/>
      <c r="D67" s="19"/>
      <c r="E67" s="20" t="s">
        <v>104</v>
      </c>
      <c r="F67" s="21">
        <f>Burden_NSPSKc!N70</f>
        <v>52.367999999999995</v>
      </c>
      <c r="G67" s="21">
        <f>Burden_NSPSKc!N69</f>
        <v>70.56</v>
      </c>
      <c r="H67" s="21">
        <f>Burden_NSPSKc!N71</f>
        <v>28.335999999999999</v>
      </c>
      <c r="I67" s="19"/>
      <c r="J67" s="19"/>
    </row>
    <row r="68" spans="1:16" ht="60.75" thickBot="1" x14ac:dyDescent="0.3">
      <c r="A68" s="22" t="s">
        <v>105</v>
      </c>
      <c r="B68" s="22" t="s">
        <v>106</v>
      </c>
      <c r="C68" s="22" t="s">
        <v>107</v>
      </c>
      <c r="D68" s="22" t="s">
        <v>108</v>
      </c>
      <c r="E68" s="22" t="s">
        <v>109</v>
      </c>
      <c r="F68" s="22" t="s">
        <v>110</v>
      </c>
      <c r="G68" s="22" t="s">
        <v>111</v>
      </c>
      <c r="H68" s="22" t="s">
        <v>112</v>
      </c>
      <c r="I68" s="22" t="s">
        <v>113</v>
      </c>
      <c r="J68" s="19"/>
      <c r="K68" s="71" t="s">
        <v>114</v>
      </c>
      <c r="L68" s="56" t="s">
        <v>115</v>
      </c>
      <c r="M68" s="56" t="s">
        <v>116</v>
      </c>
      <c r="N68" s="56" t="s">
        <v>117</v>
      </c>
    </row>
    <row r="69" spans="1:16" ht="16.5" thickBot="1" x14ac:dyDescent="0.3">
      <c r="A69" s="10" t="s">
        <v>118</v>
      </c>
      <c r="B69" s="9"/>
      <c r="C69" s="9"/>
      <c r="D69" s="9"/>
      <c r="E69" s="9"/>
      <c r="F69" s="32"/>
      <c r="G69" s="32"/>
      <c r="H69" s="32"/>
      <c r="I69" s="33"/>
      <c r="J69" s="19"/>
      <c r="K69" s="14" t="s">
        <v>119</v>
      </c>
      <c r="L69" s="15">
        <v>44.1</v>
      </c>
      <c r="M69" s="16">
        <f>0.6*L69</f>
        <v>26.46</v>
      </c>
      <c r="N69" s="16">
        <f>L69+M69</f>
        <v>70.56</v>
      </c>
    </row>
    <row r="70" spans="1:16" ht="16.5" thickBot="1" x14ac:dyDescent="0.3">
      <c r="A70" s="38" t="s">
        <v>44</v>
      </c>
      <c r="B70" s="9">
        <v>2</v>
      </c>
      <c r="C70" s="9">
        <v>1</v>
      </c>
      <c r="D70" s="9">
        <f>B70*C70</f>
        <v>2</v>
      </c>
      <c r="E70" s="9">
        <f>E12</f>
        <v>288</v>
      </c>
      <c r="F70" s="110">
        <f>D70*E70</f>
        <v>576</v>
      </c>
      <c r="G70" s="110">
        <f>F70*0.05</f>
        <v>28.8</v>
      </c>
      <c r="H70" s="110">
        <f>F70*0.1</f>
        <v>57.6</v>
      </c>
      <c r="I70" s="111">
        <f>F70*F$67+G70*G$67+H70*H$67</f>
        <v>33828.249599999996</v>
      </c>
      <c r="J70" s="19"/>
      <c r="K70" s="14" t="s">
        <v>120</v>
      </c>
      <c r="L70" s="15">
        <v>32.729999999999997</v>
      </c>
      <c r="M70" s="16">
        <f>0.6*L70</f>
        <v>19.637999999999998</v>
      </c>
      <c r="N70" s="16">
        <f>L70+M70</f>
        <v>52.367999999999995</v>
      </c>
    </row>
    <row r="71" spans="1:16" ht="16.5" thickBot="1" x14ac:dyDescent="0.3">
      <c r="A71" s="38" t="s">
        <v>45</v>
      </c>
      <c r="B71" s="26">
        <v>1</v>
      </c>
      <c r="C71" s="9">
        <v>1</v>
      </c>
      <c r="D71" s="9">
        <f t="shared" ref="D71:D73" si="55">B71*C71</f>
        <v>1</v>
      </c>
      <c r="E71" s="9">
        <f>E13</f>
        <v>288</v>
      </c>
      <c r="F71" s="110">
        <f>D71*E71</f>
        <v>288</v>
      </c>
      <c r="G71" s="110">
        <f>F71*0.05</f>
        <v>14.4</v>
      </c>
      <c r="H71" s="110">
        <f>F71*0.1</f>
        <v>28.8</v>
      </c>
      <c r="I71" s="111">
        <f>F71*F$67+G71*G$67+H71*H$67</f>
        <v>16914.124799999998</v>
      </c>
      <c r="J71" s="19"/>
      <c r="K71" s="14" t="s">
        <v>121</v>
      </c>
      <c r="L71" s="15">
        <v>17.71</v>
      </c>
      <c r="M71" s="16">
        <f>0.6*L71</f>
        <v>10.625999999999999</v>
      </c>
      <c r="N71" s="16">
        <f>L71+M71</f>
        <v>28.335999999999999</v>
      </c>
    </row>
    <row r="72" spans="1:16" x14ac:dyDescent="0.25">
      <c r="A72" s="38" t="s">
        <v>139</v>
      </c>
      <c r="B72" s="26">
        <v>1</v>
      </c>
      <c r="C72" s="9">
        <v>1</v>
      </c>
      <c r="D72" s="9">
        <f t="shared" si="55"/>
        <v>1</v>
      </c>
      <c r="E72" s="9">
        <f>R44</f>
        <v>14.4</v>
      </c>
      <c r="F72" s="24"/>
      <c r="G72" s="24"/>
      <c r="H72" s="24"/>
      <c r="I72" s="24"/>
      <c r="J72" s="19"/>
      <c r="K72" s="17" t="s">
        <v>122</v>
      </c>
    </row>
    <row r="73" spans="1:16" ht="15.75" x14ac:dyDescent="0.25">
      <c r="A73" s="38" t="s">
        <v>141</v>
      </c>
      <c r="B73" s="26">
        <v>1</v>
      </c>
      <c r="C73" s="9">
        <v>1</v>
      </c>
      <c r="D73" s="9">
        <f t="shared" si="55"/>
        <v>1</v>
      </c>
      <c r="E73" s="109">
        <f>R30+R41+R51</f>
        <v>294</v>
      </c>
      <c r="F73" s="110">
        <f t="shared" ref="F73:F77" si="56">D73*E73</f>
        <v>294</v>
      </c>
      <c r="G73" s="110">
        <f t="shared" ref="G73:G77" si="57">F73*0.05</f>
        <v>14.700000000000001</v>
      </c>
      <c r="H73" s="110">
        <f t="shared" ref="H73:H77" si="58">F73*0.1</f>
        <v>29.400000000000002</v>
      </c>
      <c r="I73" s="111">
        <f t="shared" ref="I73:I77" si="59">F73*F$67+G73*G$67+H73*H$67</f>
        <v>17266.502399999998</v>
      </c>
      <c r="J73" s="19"/>
      <c r="K73" s="18" t="s">
        <v>123</v>
      </c>
    </row>
    <row r="74" spans="1:16" ht="15.75" x14ac:dyDescent="0.25">
      <c r="A74" s="10" t="s">
        <v>124</v>
      </c>
      <c r="B74" s="26"/>
      <c r="C74" s="26"/>
      <c r="D74" s="9"/>
      <c r="E74" s="9"/>
      <c r="F74" s="110"/>
      <c r="G74" s="110"/>
      <c r="H74" s="110"/>
      <c r="I74" s="111"/>
      <c r="J74" s="19"/>
      <c r="K74" s="18"/>
    </row>
    <row r="75" spans="1:16" ht="15.75" x14ac:dyDescent="0.25">
      <c r="A75" s="38" t="s">
        <v>46</v>
      </c>
      <c r="B75" s="26">
        <v>1</v>
      </c>
      <c r="C75" s="9">
        <v>1</v>
      </c>
      <c r="D75" s="9">
        <f t="shared" ref="D75:D81" si="60">B75*C75</f>
        <v>1</v>
      </c>
      <c r="E75" s="9">
        <f>E14</f>
        <v>0</v>
      </c>
      <c r="F75" s="110">
        <f t="shared" si="56"/>
        <v>0</v>
      </c>
      <c r="G75" s="110">
        <f t="shared" si="57"/>
        <v>0</v>
      </c>
      <c r="H75" s="110">
        <f t="shared" si="58"/>
        <v>0</v>
      </c>
      <c r="I75" s="111">
        <f t="shared" si="59"/>
        <v>0</v>
      </c>
      <c r="J75" s="19"/>
      <c r="K75" s="18"/>
    </row>
    <row r="76" spans="1:16" ht="15.75" x14ac:dyDescent="0.25">
      <c r="A76" s="38" t="s">
        <v>47</v>
      </c>
      <c r="B76" s="26">
        <v>1</v>
      </c>
      <c r="C76" s="9">
        <v>1</v>
      </c>
      <c r="D76" s="9">
        <f t="shared" si="60"/>
        <v>1</v>
      </c>
      <c r="E76" s="9">
        <f t="shared" ref="E76" si="61">E15</f>
        <v>0</v>
      </c>
      <c r="F76" s="110">
        <f t="shared" si="56"/>
        <v>0</v>
      </c>
      <c r="G76" s="110">
        <f t="shared" si="57"/>
        <v>0</v>
      </c>
      <c r="H76" s="110">
        <f t="shared" si="58"/>
        <v>0</v>
      </c>
      <c r="I76" s="111">
        <f t="shared" si="59"/>
        <v>0</v>
      </c>
      <c r="J76" s="19"/>
      <c r="K76" s="18"/>
    </row>
    <row r="77" spans="1:16" ht="15.75" x14ac:dyDescent="0.25">
      <c r="A77" s="38" t="s">
        <v>139</v>
      </c>
      <c r="B77" s="26">
        <v>1</v>
      </c>
      <c r="C77" s="9">
        <v>1</v>
      </c>
      <c r="D77" s="9">
        <f t="shared" si="60"/>
        <v>1</v>
      </c>
      <c r="E77" s="9">
        <f>R45</f>
        <v>2.8800000000000003</v>
      </c>
      <c r="F77" s="110">
        <f t="shared" si="56"/>
        <v>2.8800000000000003</v>
      </c>
      <c r="G77" s="110">
        <f t="shared" si="57"/>
        <v>0.14400000000000002</v>
      </c>
      <c r="H77" s="110">
        <f t="shared" si="58"/>
        <v>0.28800000000000003</v>
      </c>
      <c r="I77" s="111">
        <f t="shared" si="59"/>
        <v>169.14124799999999</v>
      </c>
      <c r="J77" s="19"/>
      <c r="K77" s="18"/>
    </row>
    <row r="78" spans="1:16" ht="15.75" x14ac:dyDescent="0.25">
      <c r="A78" s="132" t="s">
        <v>125</v>
      </c>
      <c r="B78" s="26">
        <v>1</v>
      </c>
      <c r="C78" s="9">
        <v>1</v>
      </c>
      <c r="D78" s="9">
        <f t="shared" si="60"/>
        <v>1</v>
      </c>
      <c r="E78" s="9">
        <f>E17</f>
        <v>2.7420000000000009</v>
      </c>
      <c r="F78" s="110">
        <f t="shared" ref="F78:F81" si="62">D78*E78</f>
        <v>2.7420000000000009</v>
      </c>
      <c r="G78" s="110">
        <f t="shared" ref="G78:G81" si="63">F78*0.05</f>
        <v>0.13710000000000006</v>
      </c>
      <c r="H78" s="110">
        <f t="shared" ref="H78:H81" si="64">F78*0.1</f>
        <v>0.27420000000000011</v>
      </c>
      <c r="I78" s="111">
        <f t="shared" ref="I78:I81" si="65">F78*F$67+G78*G$67+H78*H$67</f>
        <v>161.03656320000002</v>
      </c>
      <c r="J78" s="19"/>
      <c r="K78" s="18"/>
    </row>
    <row r="79" spans="1:16" ht="15.75" x14ac:dyDescent="0.25">
      <c r="A79" s="132" t="s">
        <v>176</v>
      </c>
      <c r="B79" s="26">
        <v>1</v>
      </c>
      <c r="C79" s="9">
        <v>1</v>
      </c>
      <c r="D79" s="9">
        <f t="shared" si="60"/>
        <v>1</v>
      </c>
      <c r="E79" s="9">
        <f>E18</f>
        <v>2.8800000000000006E-2</v>
      </c>
      <c r="F79" s="110">
        <f t="shared" si="62"/>
        <v>2.8800000000000006E-2</v>
      </c>
      <c r="G79" s="110">
        <f t="shared" si="63"/>
        <v>1.4400000000000003E-3</v>
      </c>
      <c r="H79" s="110">
        <f t="shared" si="64"/>
        <v>2.8800000000000006E-3</v>
      </c>
      <c r="I79" s="111">
        <f t="shared" si="65"/>
        <v>1.6914124800000003</v>
      </c>
      <c r="J79" s="19"/>
      <c r="K79" s="18"/>
    </row>
    <row r="80" spans="1:16" ht="15.75" x14ac:dyDescent="0.25">
      <c r="A80" s="38" t="s">
        <v>141</v>
      </c>
      <c r="B80" s="26">
        <v>1</v>
      </c>
      <c r="C80" s="9">
        <v>1</v>
      </c>
      <c r="D80" s="9">
        <f t="shared" si="60"/>
        <v>1</v>
      </c>
      <c r="E80" s="134">
        <f>R35+R36+R46</f>
        <v>52.38600000000001</v>
      </c>
      <c r="F80" s="110">
        <f t="shared" si="62"/>
        <v>52.38600000000001</v>
      </c>
      <c r="G80" s="110">
        <f t="shared" si="63"/>
        <v>2.6193000000000008</v>
      </c>
      <c r="H80" s="110">
        <f t="shared" si="64"/>
        <v>5.2386000000000017</v>
      </c>
      <c r="I80" s="111">
        <f t="shared" si="65"/>
        <v>3076.6088256000007</v>
      </c>
      <c r="J80" s="19"/>
      <c r="K80" s="18"/>
    </row>
    <row r="81" spans="1:11" ht="15.75" x14ac:dyDescent="0.25">
      <c r="A81" s="132" t="s">
        <v>142</v>
      </c>
      <c r="B81" s="133">
        <v>2</v>
      </c>
      <c r="C81" s="134">
        <v>2</v>
      </c>
      <c r="D81" s="9">
        <f t="shared" si="60"/>
        <v>4</v>
      </c>
      <c r="E81" s="135">
        <f>E21</f>
        <v>588</v>
      </c>
      <c r="F81" s="110">
        <f t="shared" si="62"/>
        <v>2352</v>
      </c>
      <c r="G81" s="110">
        <f t="shared" si="63"/>
        <v>117.60000000000001</v>
      </c>
      <c r="H81" s="110">
        <f t="shared" si="64"/>
        <v>235.20000000000002</v>
      </c>
      <c r="I81" s="111">
        <f t="shared" si="65"/>
        <v>138132.01919999998</v>
      </c>
      <c r="J81" s="19"/>
      <c r="K81" s="18"/>
    </row>
    <row r="82" spans="1:11" x14ac:dyDescent="0.25">
      <c r="A82" s="70" t="s">
        <v>126</v>
      </c>
      <c r="B82" s="34"/>
      <c r="C82" s="34"/>
      <c r="D82" s="34"/>
      <c r="E82" s="34"/>
      <c r="F82" s="143">
        <f>SUM(F70:H77)</f>
        <v>1335.0120000000002</v>
      </c>
      <c r="G82" s="144"/>
      <c r="H82" s="145"/>
      <c r="I82" s="35">
        <f>SUM(I70:I81)</f>
        <v>209549.37404927998</v>
      </c>
      <c r="J82" s="19"/>
    </row>
    <row r="83" spans="1:11" x14ac:dyDescent="0.25">
      <c r="A83" s="19"/>
      <c r="B83" s="19"/>
      <c r="C83" s="19"/>
      <c r="D83" s="19"/>
      <c r="E83" s="19"/>
      <c r="F83" s="19"/>
      <c r="J83" s="19"/>
    </row>
    <row r="84" spans="1:11" x14ac:dyDescent="0.25">
      <c r="A84" s="36" t="s">
        <v>90</v>
      </c>
      <c r="B84" s="19"/>
      <c r="C84" s="19"/>
      <c r="D84" s="19"/>
      <c r="E84" s="19"/>
      <c r="F84" s="19"/>
      <c r="G84" s="19"/>
      <c r="H84" s="19"/>
      <c r="I84" s="19"/>
      <c r="J84" s="19"/>
    </row>
    <row r="85" spans="1:11" ht="15.75" x14ac:dyDescent="0.25">
      <c r="A85" s="96" t="s">
        <v>127</v>
      </c>
      <c r="B85" s="19"/>
      <c r="C85" s="19"/>
      <c r="D85" s="19"/>
      <c r="E85" s="19"/>
      <c r="F85" s="19"/>
      <c r="G85" s="19"/>
      <c r="H85" s="19"/>
      <c r="I85" s="19"/>
      <c r="J85" s="19"/>
    </row>
    <row r="86" spans="1:11" ht="15.75" x14ac:dyDescent="0.25">
      <c r="A86" s="37"/>
      <c r="B86" s="19"/>
      <c r="C86" s="19"/>
      <c r="D86" s="19"/>
      <c r="E86" s="19"/>
      <c r="F86" s="19"/>
      <c r="G86" s="19"/>
      <c r="H86" s="19"/>
      <c r="I86" s="19"/>
      <c r="J86" s="19"/>
    </row>
    <row r="87" spans="1:11" ht="15.75" x14ac:dyDescent="0.25">
      <c r="A87" s="7"/>
      <c r="B87" s="19"/>
      <c r="C87" s="19"/>
      <c r="D87" s="19"/>
      <c r="E87" s="19"/>
      <c r="F87" s="19"/>
      <c r="G87" s="19"/>
      <c r="H87" s="19"/>
      <c r="I87" s="19"/>
    </row>
    <row r="88" spans="1:11" ht="96" x14ac:dyDescent="0.25">
      <c r="A88" s="23" t="s">
        <v>128</v>
      </c>
      <c r="B88" s="23" t="s">
        <v>129</v>
      </c>
      <c r="C88" s="23" t="s">
        <v>130</v>
      </c>
      <c r="D88" s="23" t="s">
        <v>131</v>
      </c>
      <c r="E88" s="23" t="s">
        <v>132</v>
      </c>
      <c r="G88" s="19"/>
      <c r="H88" s="19"/>
      <c r="I88" s="19"/>
    </row>
    <row r="89" spans="1:11" x14ac:dyDescent="0.25">
      <c r="A89" s="24"/>
      <c r="B89" s="24"/>
      <c r="C89" s="24"/>
      <c r="D89" s="25"/>
      <c r="E89" s="26" t="s">
        <v>133</v>
      </c>
    </row>
    <row r="90" spans="1:11" x14ac:dyDescent="0.25">
      <c r="A90" s="92" t="s">
        <v>44</v>
      </c>
      <c r="B90" s="91">
        <f t="shared" ref="B90:B97" si="66">E12</f>
        <v>288</v>
      </c>
      <c r="C90" s="91">
        <v>1</v>
      </c>
      <c r="D90" s="93">
        <v>0</v>
      </c>
      <c r="E90" s="26">
        <f>B90*C90+D90</f>
        <v>288</v>
      </c>
    </row>
    <row r="91" spans="1:11" x14ac:dyDescent="0.25">
      <c r="A91" s="92" t="s">
        <v>45</v>
      </c>
      <c r="B91" s="91">
        <f t="shared" si="66"/>
        <v>288</v>
      </c>
      <c r="C91" s="26">
        <v>1</v>
      </c>
      <c r="D91" s="26">
        <v>0</v>
      </c>
      <c r="E91" s="26">
        <f>B91*C91+D91</f>
        <v>288</v>
      </c>
    </row>
    <row r="92" spans="1:11" x14ac:dyDescent="0.25">
      <c r="A92" s="92" t="s">
        <v>46</v>
      </c>
      <c r="B92" s="91">
        <f t="shared" si="66"/>
        <v>0</v>
      </c>
      <c r="C92" s="26">
        <v>1</v>
      </c>
      <c r="D92" s="26">
        <v>0</v>
      </c>
      <c r="E92" s="26">
        <f t="shared" ref="E92:E95" si="67">B92*C92+D92</f>
        <v>0</v>
      </c>
    </row>
    <row r="93" spans="1:11" x14ac:dyDescent="0.25">
      <c r="A93" s="92" t="s">
        <v>47</v>
      </c>
      <c r="B93" s="91">
        <f t="shared" si="66"/>
        <v>0</v>
      </c>
      <c r="C93" s="26">
        <v>1</v>
      </c>
      <c r="D93" s="26">
        <v>0</v>
      </c>
      <c r="E93" s="26">
        <f t="shared" si="67"/>
        <v>0</v>
      </c>
    </row>
    <row r="94" spans="1:11" x14ac:dyDescent="0.25">
      <c r="A94" s="92" t="s">
        <v>139</v>
      </c>
      <c r="B94" s="91">
        <f t="shared" si="66"/>
        <v>17.28</v>
      </c>
      <c r="C94" s="26">
        <v>1</v>
      </c>
      <c r="D94" s="26">
        <v>0</v>
      </c>
      <c r="E94" s="26">
        <f t="shared" si="67"/>
        <v>17.28</v>
      </c>
    </row>
    <row r="95" spans="1:11" x14ac:dyDescent="0.25">
      <c r="A95" s="92" t="s">
        <v>125</v>
      </c>
      <c r="B95" s="91">
        <f t="shared" si="66"/>
        <v>2.7420000000000009</v>
      </c>
      <c r="C95" s="26">
        <v>1</v>
      </c>
      <c r="D95" s="26">
        <v>0</v>
      </c>
      <c r="E95" s="26">
        <f t="shared" si="67"/>
        <v>2.7420000000000009</v>
      </c>
    </row>
    <row r="96" spans="1:11" x14ac:dyDescent="0.25">
      <c r="A96" s="92" t="s">
        <v>176</v>
      </c>
      <c r="B96" s="91">
        <f t="shared" si="66"/>
        <v>2.8800000000000006E-2</v>
      </c>
      <c r="C96" s="26">
        <v>1</v>
      </c>
      <c r="D96" s="26">
        <v>0</v>
      </c>
      <c r="E96" s="26">
        <f>B96*C96+D96</f>
        <v>2.8800000000000006E-2</v>
      </c>
    </row>
    <row r="97" spans="1:5" x14ac:dyDescent="0.25">
      <c r="A97" s="27" t="s">
        <v>141</v>
      </c>
      <c r="B97" s="91">
        <f t="shared" si="66"/>
        <v>346.38600000000002</v>
      </c>
      <c r="C97" s="26">
        <v>1</v>
      </c>
      <c r="D97" s="26">
        <v>0</v>
      </c>
      <c r="E97" s="26">
        <f t="shared" ref="E97:E98" si="68">B97*C97+D97</f>
        <v>346.38600000000002</v>
      </c>
    </row>
    <row r="98" spans="1:5" x14ac:dyDescent="0.25">
      <c r="A98" s="27" t="s">
        <v>142</v>
      </c>
      <c r="B98" s="136">
        <f>E21</f>
        <v>588</v>
      </c>
      <c r="C98" s="26">
        <v>2</v>
      </c>
      <c r="D98" s="26">
        <v>0</v>
      </c>
      <c r="E98" s="26">
        <f t="shared" si="68"/>
        <v>1176</v>
      </c>
    </row>
    <row r="99" spans="1:5" x14ac:dyDescent="0.25">
      <c r="A99" s="28"/>
      <c r="B99" s="28"/>
      <c r="C99" s="28"/>
      <c r="D99" s="23" t="s">
        <v>102</v>
      </c>
      <c r="E99" s="29">
        <f>SUM(E90:E98)</f>
        <v>2118.4367999999999</v>
      </c>
    </row>
    <row r="102" spans="1:5" x14ac:dyDescent="0.25">
      <c r="D102" s="31" t="s">
        <v>135</v>
      </c>
      <c r="E102" s="30">
        <f>F50/E99</f>
        <v>7.9584866916964456</v>
      </c>
    </row>
  </sheetData>
  <mergeCells count="5">
    <mergeCell ref="F82:H82"/>
    <mergeCell ref="A3:A5"/>
    <mergeCell ref="L60:M60"/>
    <mergeCell ref="L59:P59"/>
    <mergeCell ref="K59:K61"/>
  </mergeCells>
  <phoneticPr fontId="25" type="noConversion"/>
  <hyperlinks>
    <hyperlink ref="K72" r:id="rId1" xr:uid="{C9007B09-4392-44C4-AD6B-3968F6408C42}"/>
    <hyperlink ref="K10" r:id="rId2" display="https://www.bls.gov/oes/current/naics3_324000.htm" xr:uid="{F9CBA15A-B82C-4D0C-BBEC-0C380132C919}"/>
    <hyperlink ref="K3" r:id="rId3" display="https://www.bls.gov/oes/current/naics3_325000.htm" xr:uid="{C4757851-F320-4F6C-8EE5-E7A343707AE2}"/>
  </hyperlink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Creation_x0020_Date xmlns="4ffa91fb-a0ff-4ac5-b2db-65c790d184a4">2022-03-16T21:11:35+00:00</Document_x0020_Creation_x0020_Date>
    <TaxCatchAll xmlns="4ffa91fb-a0ff-4ac5-b2db-65c790d184a4" xsi:nil="true"/>
    <ProjectID xmlns="3541802f-c9a7-4423-ad70-861189f520b0" xsi:nil="true"/>
    <Action_x0020_Type xmlns="3541802f-c9a7-4423-ad70-861189f520b0">Proposal</Action_x0020_Type>
    <Lead xmlns="3541802f-c9a7-4423-ad70-861189f520b0">
      <UserInfo>
        <DisplayName>Cantoni, Michael (he/him/his)</DisplayName>
        <AccountId>119</AccountId>
        <AccountType/>
      </UserInfo>
    </Lead>
    <AlternateLead xmlns="3541802f-c9a7-4423-ad70-861189f520b0">
      <UserInfo>
        <DisplayName/>
        <AccountId xsi:nil="true"/>
        <AccountType/>
      </UserInfo>
    </AlternateLead>
    <Review_x0020_Type xmlns="3541802f-c9a7-4423-ad70-861189f520b0">111</Review_x0020_Type>
    <Court_x0020_Order xmlns="3541802f-c9a7-4423-ad70-861189f520b0">true</Court_x0020_Order>
    <DocumentSetDescription xmlns="http://schemas.microsoft.com/sharepoint/v3">New source storage controls for VOC liquids update of 1980 NSPS.</DocumentSetDescription>
    <Package_x0020_Type xmlns="3541802f-c9a7-4423-ad70-861189f520b0">Signature Package</Package_x0020_Type>
    <Group xmlns="3541802f-c9a7-4423-ad70-861189f520b0">RCG</Group>
    <SPPDPhase xmlns="3541802f-c9a7-4423-ad70-861189f520b0">2- Consistency Review</SPPDPhase>
    <Signature_x0020_Date xmlns="3541802f-c9a7-4423-ad70-861189f520b0">2023-09-29T07:00:00+00:00</Signature_x0020_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2CA672D8D94254FADDAEF98B91C497A" ma:contentTypeVersion="51" ma:contentTypeDescription="Create a new document." ma:contentTypeScope="" ma:versionID="bb2a5f6d024f6adabe0a58decadc0630">
  <xsd:schema xmlns:xsd="http://www.w3.org/2001/XMLSchema" xmlns:xs="http://www.w3.org/2001/XMLSchema" xmlns:p="http://schemas.microsoft.com/office/2006/metadata/properties" xmlns:ns1="http://schemas.microsoft.com/sharepoint/v3" xmlns:ns2="4ffa91fb-a0ff-4ac5-b2db-65c790d184a4" xmlns:ns3="3541802f-c9a7-4423-ad70-861189f520b0" xmlns:ns4="8cbedb01-7036-4fa4-9d83-78abe0166c2f" targetNamespace="http://schemas.microsoft.com/office/2006/metadata/properties" ma:root="true" ma:fieldsID="61294822966919677169573cd3aed0b4" ns1:_="" ns2:_="" ns3:_="" ns4:_="">
    <xsd:import namespace="http://schemas.microsoft.com/sharepoint/v3"/>
    <xsd:import namespace="4ffa91fb-a0ff-4ac5-b2db-65c790d184a4"/>
    <xsd:import namespace="3541802f-c9a7-4423-ad70-861189f520b0"/>
    <xsd:import namespace="8cbedb01-7036-4fa4-9d83-78abe0166c2f"/>
    <xsd:element name="properties">
      <xsd:complexType>
        <xsd:sequence>
          <xsd:element name="documentManagement">
            <xsd:complexType>
              <xsd:all>
                <xsd:element ref="ns2:Document_x0020_Creation_x0020_Date" minOccurs="0"/>
                <xsd:element ref="ns2:TaxCatchAllLabel" minOccurs="0"/>
                <xsd:element ref="ns2:TaxCatchAll" minOccurs="0"/>
                <xsd:element ref="ns3:Package_x0020_Type" minOccurs="0"/>
                <xsd:element ref="ns3:Group" minOccurs="0"/>
                <xsd:element ref="ns3:Lead" minOccurs="0"/>
                <xsd:element ref="ns3:MediaServiceMetadata" minOccurs="0"/>
                <xsd:element ref="ns3:MediaServiceFastMetadata" minOccurs="0"/>
                <xsd:element ref="ns3:Action_x0020_Type" minOccurs="0"/>
                <xsd:element ref="ns3:SPPDPhase" minOccurs="0"/>
                <xsd:element ref="ns3:ProjectID" minOccurs="0"/>
                <xsd:element ref="ns4:SharedWithUsers" minOccurs="0"/>
                <xsd:element ref="ns4:SharedWithDetails" minOccurs="0"/>
                <xsd:element ref="ns1:DocumentSetDescription" minOccurs="0"/>
                <xsd:element ref="ns3:Review_x0020_Type" minOccurs="0"/>
                <xsd:element ref="ns3:Signature_x0020_Date" minOccurs="0"/>
                <xsd:element ref="ns3:Court_x0020_Order" minOccurs="0"/>
                <xsd:element ref="ns3:MediaServiceObjectDetectorVersions" minOccurs="0"/>
                <xsd:element ref="ns3:AlternateLea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1" nillable="true" ma:displayName="Description" ma:description="A short description of the action being reviewed."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8"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TaxCatchAllLabel" ma:index="9" nillable="true" ma:displayName="Taxonomy Catch All Column1" ma:hidden="true" ma:list="{7056f0a4-3cfe-45f7-9d52-1f31398461bf}" ma:internalName="TaxCatchAllLabel" ma:readOnly="true" ma:showField="CatchAllDataLabel" ma:web="8cbedb01-7036-4fa4-9d83-78abe0166c2f">
      <xsd:complexType>
        <xsd:complexContent>
          <xsd:extension base="dms:MultiChoiceLookup">
            <xsd:sequence>
              <xsd:element name="Value" type="dms:Lookup" maxOccurs="unbounded" minOccurs="0" nillable="true"/>
            </xsd:sequence>
          </xsd:extension>
        </xsd:complexContent>
      </xsd:complexType>
    </xsd:element>
    <xsd:element name="TaxCatchAll" ma:index="10" nillable="true" ma:displayName="Taxonomy Catch All Column" ma:hidden="true" ma:list="{7056f0a4-3cfe-45f7-9d52-1f31398461bf}" ma:internalName="TaxCatchAll" ma:showField="CatchAllData" ma:web="8cbedb01-7036-4fa4-9d83-78abe0166c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41802f-c9a7-4423-ad70-861189f520b0" elementFormDefault="qualified">
    <xsd:import namespace="http://schemas.microsoft.com/office/2006/documentManagement/types"/>
    <xsd:import namespace="http://schemas.microsoft.com/office/infopath/2007/PartnerControls"/>
    <xsd:element name="Package_x0020_Type" ma:index="11" nillable="true" ma:displayName="Package Type" ma:default="OMB" ma:description="Select the type of package (OMB, Signature, or Notice)" ma:format="Dropdown" ma:internalName="Package_x0020_Type">
      <xsd:simpleType>
        <xsd:restriction base="dms:Choice">
          <xsd:enumeration value="OMB"/>
          <xsd:enumeration value="Signature Package"/>
          <xsd:enumeration value="Notice"/>
        </xsd:restriction>
      </xsd:simpleType>
    </xsd:element>
    <xsd:element name="Group" ma:index="12" nillable="true" ma:displayName="Group" ma:default="TDST" ma:description="Select responsible SPPD Group from dropdown list." ma:format="Dropdown" ma:internalName="Group">
      <xsd:simpleType>
        <xsd:restriction base="dms:Choice">
          <xsd:enumeration value="ESG"/>
          <xsd:enumeration value="FIG"/>
          <xsd:enumeration value="MICG"/>
          <xsd:enumeration value="MMG"/>
          <xsd:enumeration value="MPG"/>
          <xsd:enumeration value="NRG"/>
          <xsd:enumeration value="PSG"/>
          <xsd:enumeration value="RCG"/>
          <xsd:enumeration value="SPPD/IO"/>
          <xsd:enumeration value="TDST"/>
          <xsd:enumeration value="Other"/>
        </xsd:restriction>
      </xsd:simpleType>
    </xsd:element>
    <xsd:element name="Lead" ma:index="13" nillable="true" ma:displayName="Lead" ma:description="Primary project lead (one lead only)" ma:list="UserInfo" ma:SharePointGroup="0" ma:internalName="Lead"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Action_x0020_Type" ma:index="16" nillable="true" ma:displayName="Action Type" ma:default="ANPR" ma:description="Select the type of action, ANPR, Proposal, Final, Exceptional Issue, or Other." ma:format="Dropdown" ma:internalName="Action_x0020_Type">
      <xsd:simpleType>
        <xsd:restriction base="dms:Choice">
          <xsd:enumeration value="ANPR"/>
          <xsd:enumeration value="Proposal"/>
          <xsd:enumeration value="Final"/>
          <xsd:enumeration value="Exceptional Issue"/>
          <xsd:enumeration value="Other"/>
        </xsd:restriction>
      </xsd:simpleType>
    </xsd:element>
    <xsd:element name="SPPDPhase" ma:index="17" nillable="true" ma:displayName="SPPDPhase" ma:default="0- New" ma:description="Review phase for SPPD rules, assignment of the phase is done through the Blue Folder routing system." ma:format="Dropdown" ma:internalName="SPPDPhase">
      <xsd:simpleType>
        <xsd:restriction base="dms:Choice">
          <xsd:enumeration value="0- New"/>
          <xsd:enumeration value="1- Group Review"/>
          <xsd:enumeration value="2- Consistency Review"/>
          <xsd:enumeration value="3- Admin Review"/>
          <xsd:enumeration value="4- RL Review"/>
          <xsd:enumeration value="5- Secondary Review"/>
          <xsd:enumeration value="6- SPPD Management Review"/>
          <xsd:enumeration value="7- OAQPS Management Review"/>
          <xsd:enumeration value="8- Out of eBF (OAR/OP/OMB)"/>
          <xsd:enumeration value="9- Archive"/>
        </xsd:restriction>
      </xsd:simpleType>
    </xsd:element>
    <xsd:element name="ProjectID" ma:index="18" nillable="true" ma:displayName="ProjectID" ma:description="Unique identifier for the rule/project" ma:internalName="ProjectID">
      <xsd:simpleType>
        <xsd:restriction base="dms:Text">
          <xsd:maxLength value="255"/>
        </xsd:restriction>
      </xsd:simpleType>
    </xsd:element>
    <xsd:element name="Review_x0020_Type" ma:index="22" nillable="true" ma:displayName="Review Type" ma:default="112-TR" ma:description="Select the rule review type that best describes your action. (112 = NESHAP; 111 = NSPS; 129 = Waste Incineration Rules; 183e = VOC Rules; TR = technology review; RTR = Residual Risk and Technology Review)" ma:format="Dropdown" ma:internalName="Review_x0020_Type">
      <xsd:simpleType>
        <xsd:restriction base="dms:Choice">
          <xsd:enumeration value="112-TR"/>
          <xsd:enumeration value="112-RTR"/>
          <xsd:enumeration value="111"/>
          <xsd:enumeration value="129-TR"/>
          <xsd:enumeration value="129-RTR"/>
          <xsd:enumeration value="183e"/>
          <xsd:enumeration value="Other/Multiple"/>
        </xsd:restriction>
      </xsd:simpleType>
    </xsd:element>
    <xsd:element name="Signature_x0020_Date" ma:index="23" nillable="true" ma:displayName="Due Date" ma:description="Court ordered or desired signature date, for OMB packages this is the date the package should be sent to OMB." ma:format="DateOnly" ma:internalName="Signature_x0020_Date">
      <xsd:simpleType>
        <xsd:restriction base="dms:DateTime"/>
      </xsd:simpleType>
    </xsd:element>
    <xsd:element name="Court_x0020_Order" ma:index="24" nillable="true" ma:displayName="Court Order" ma:default="1" ma:description="Does the package have a court ordered signature deadline?" ma:internalName="Court_x0020_Order">
      <xsd:simpleType>
        <xsd:restriction base="dms:Boolea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lternateLead" ma:index="26" nillable="true" ma:displayName="AlternateLead" ma:description="Please enter a secondary rule lead/alternate contact for the rule making in case the rule lead is absent. (GL is already cc'ed)" ma:list="UserInfo" ma:SharePointGroup="0" ma:internalName="AlternateLea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bedb01-7036-4fa4-9d83-78abe0166c2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LastSyncTimeStamp="2016-08-25T00:16:07.24Z"/>
</file>

<file path=customXml/itemProps1.xml><?xml version="1.0" encoding="utf-8"?>
<ds:datastoreItem xmlns:ds="http://schemas.openxmlformats.org/officeDocument/2006/customXml" ds:itemID="{64FA0241-E84B-4663-8281-47B73F2B4F87}">
  <ds:schemaRefs>
    <ds:schemaRef ds:uri="http://purl.org/dc/dcmitype/"/>
    <ds:schemaRef ds:uri="http://schemas.microsoft.com/office/2006/metadata/properties"/>
    <ds:schemaRef ds:uri="855531ad-76a3-4f8c-8865-43f06c89b29e"/>
    <ds:schemaRef ds:uri="http://schemas.microsoft.com/sharepoint/v3"/>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http://purl.org/dc/elements/1.1/"/>
    <ds:schemaRef ds:uri="a5311e16-7bf1-497a-9fbc-97dc46da0b7f"/>
    <ds:schemaRef ds:uri="http://schemas.microsoft.com/sharepoint/v3/fields"/>
    <ds:schemaRef ds:uri="http://schemas.microsoft.com/sharepoint.v3"/>
    <ds:schemaRef ds:uri="4ffa91fb-a0ff-4ac5-b2db-65c790d184a4"/>
    <ds:schemaRef ds:uri="http://purl.org/dc/terms/"/>
    <ds:schemaRef ds:uri="3541802f-c9a7-4423-ad70-861189f520b0"/>
  </ds:schemaRefs>
</ds:datastoreItem>
</file>

<file path=customXml/itemProps2.xml><?xml version="1.0" encoding="utf-8"?>
<ds:datastoreItem xmlns:ds="http://schemas.openxmlformats.org/officeDocument/2006/customXml" ds:itemID="{7A22EBAA-18EF-4892-B012-C96351413445}">
  <ds:schemaRefs>
    <ds:schemaRef ds:uri="http://schemas.microsoft.com/sharepoint/v3/contenttype/forms"/>
  </ds:schemaRefs>
</ds:datastoreItem>
</file>

<file path=customXml/itemProps3.xml><?xml version="1.0" encoding="utf-8"?>
<ds:datastoreItem xmlns:ds="http://schemas.openxmlformats.org/officeDocument/2006/customXml" ds:itemID="{0B209B20-6B22-4ADE-9507-D6FE1D197E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3541802f-c9a7-4423-ad70-861189f520b0"/>
    <ds:schemaRef ds:uri="8cbedb01-7036-4fa4-9d83-78abe0166c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58D64A0-FFD1-475B-BE39-496CA15973F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Burden_NSPSKc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Coburn, Jeff</dc:creator>
  <cp:keywords/>
  <dc:description/>
  <cp:lastModifiedBy>Schultz, Eric</cp:lastModifiedBy>
  <cp:revision/>
  <dcterms:created xsi:type="dcterms:W3CDTF">2019-08-12T22:39:09Z</dcterms:created>
  <dcterms:modified xsi:type="dcterms:W3CDTF">2023-10-05T01:57:39Z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0x01010072CA672D8D94254FADDAEF98B91C497A</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