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usepa-my.sharepoint.com/personal/schultz_eric_epa_gov/Documents/03 ICR materials/"/>
    </mc:Choice>
  </mc:AlternateContent>
  <xr:revisionPtr revIDLastSave="0" documentId="8_{D39AF359-C1BD-4259-9AD8-F8AB420CD336}" xr6:coauthVersionLast="47" xr6:coauthVersionMax="47" xr10:uidLastSave="{00000000-0000-0000-0000-000000000000}"/>
  <bookViews>
    <workbookView xWindow="-28905" yWindow="0" windowWidth="14610" windowHeight="15585" xr2:uid="{02A0D13C-4B9B-447F-B4B0-B2EC18F917FB}"/>
  </bookViews>
  <sheets>
    <sheet name="Respondent Burden" sheetId="51" r:id="rId1"/>
    <sheet name="Respondent Burden Summary" sheetId="58" r:id="rId2"/>
    <sheet name="Agency Burden" sheetId="55" r:id="rId3"/>
    <sheet name="Tables for Supporting Statement" sheetId="56" r:id="rId4"/>
    <sheet name="ICR 1626.18 9-6-2022" sheetId="48" r:id="rId5"/>
    <sheet name="Labeling Burden Estimates" sheetId="57" r:id="rId6"/>
  </sheets>
  <definedNames>
    <definedName name="_Ref136355734" localSheetId="1">'Respondent Burden Summary'!#REF!</definedName>
    <definedName name="df" localSheetId="2">#REF!</definedName>
    <definedName name="df" localSheetId="0">#REF!</definedName>
    <definedName name="df">#REF!</definedName>
    <definedName name="ed" localSheetId="2">#REF!</definedName>
    <definedName name="ed" localSheetId="0">#REF!</definedName>
    <definedName name="ed">#REF!</definedName>
    <definedName name="er" localSheetId="2">#REF!</definedName>
    <definedName name="er" localSheetId="0">#REF!</definedName>
    <definedName name="er">#REF!</definedName>
    <definedName name="f" localSheetId="2">#REF!</definedName>
    <definedName name="f" localSheetId="0">#REF!</definedName>
    <definedName name="f">#REF!</definedName>
    <definedName name="INTERNET" localSheetId="2">#REF!</definedName>
    <definedName name="INTERNET" localSheetId="0">#REF!</definedName>
    <definedName name="INTERNET">#REF!</definedName>
    <definedName name="ku" localSheetId="2">#REF!</definedName>
    <definedName name="ku" localSheetId="0">#REF!</definedName>
    <definedName name="ku">#REF!</definedName>
    <definedName name="SOURCE" localSheetId="2">#REF!</definedName>
    <definedName name="SOURCE" localSheetId="0">#REF!</definedName>
    <definedName name="SOURCE">#REF!</definedName>
    <definedName name="TITLE" localSheetId="2">#REF!</definedName>
    <definedName name="TITLE" localSheetId="0">#REF!</definedName>
    <definedName name="TIT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0" i="51" l="1"/>
  <c r="AO38" i="51"/>
  <c r="AP38" i="51"/>
  <c r="AO39" i="51"/>
  <c r="AO41" i="51" s="1"/>
  <c r="AP39" i="51"/>
  <c r="AP41" i="51" s="1"/>
  <c r="AO40" i="51"/>
  <c r="AP40" i="51"/>
  <c r="AN40" i="51"/>
  <c r="AN39" i="51"/>
  <c r="AN41" i="51" s="1"/>
  <c r="AN38" i="51"/>
  <c r="F23" i="58"/>
  <c r="F26" i="58" s="1"/>
  <c r="F28" i="58" s="1"/>
  <c r="F24" i="58"/>
  <c r="F25" i="58"/>
  <c r="P31" i="48"/>
  <c r="P26" i="48"/>
  <c r="J56" i="48"/>
  <c r="C60" i="48" s="1"/>
  <c r="C56" i="48"/>
  <c r="B60" i="48"/>
  <c r="D14" i="51" l="1"/>
  <c r="D13" i="51"/>
  <c r="H74" i="51" l="1"/>
  <c r="I74" i="51" s="1"/>
  <c r="G73" i="51"/>
  <c r="I84" i="51"/>
  <c r="G84" i="51"/>
  <c r="G83" i="51"/>
  <c r="H83" i="51" s="1"/>
  <c r="G76" i="51"/>
  <c r="G75" i="51"/>
  <c r="H75" i="51" s="1"/>
  <c r="G86" i="51"/>
  <c r="G85" i="51"/>
  <c r="H85" i="51" s="1"/>
  <c r="G81" i="51"/>
  <c r="H81" i="51" s="1"/>
  <c r="G82" i="51"/>
  <c r="J47" i="51" l="1"/>
  <c r="J48" i="51" l="1"/>
  <c r="G55" i="51"/>
  <c r="G45" i="51" l="1"/>
  <c r="G47" i="51"/>
  <c r="F17" i="58"/>
  <c r="F8" i="58"/>
  <c r="G42" i="56" l="1"/>
  <c r="H42" i="56"/>
  <c r="F43" i="56"/>
  <c r="J86" i="51"/>
  <c r="G80" i="51"/>
  <c r="G78" i="51"/>
  <c r="P73" i="51"/>
  <c r="Q73" i="51" s="1"/>
  <c r="AC44" i="51" s="1"/>
  <c r="R73" i="51"/>
  <c r="AB44" i="51" s="1"/>
  <c r="S73" i="51"/>
  <c r="T73" i="51" s="1"/>
  <c r="AF44" i="51" s="1"/>
  <c r="U73" i="51"/>
  <c r="AE44" i="51" s="1"/>
  <c r="M74" i="51"/>
  <c r="N74" i="51" s="1"/>
  <c r="Z45" i="51" s="1"/>
  <c r="O74" i="51"/>
  <c r="Y45" i="51" s="1"/>
  <c r="O73" i="51"/>
  <c r="Y44" i="51" s="1"/>
  <c r="S74" i="51"/>
  <c r="T74" i="51" s="1"/>
  <c r="AF45" i="51" s="1"/>
  <c r="R74" i="51"/>
  <c r="AB45" i="51" s="1"/>
  <c r="AJ44" i="51" l="1"/>
  <c r="L73" i="51"/>
  <c r="AD60" i="51"/>
  <c r="Z61" i="51"/>
  <c r="AA45" i="51"/>
  <c r="N43" i="56"/>
  <c r="L43" i="56"/>
  <c r="AB60" i="51"/>
  <c r="K43" i="56"/>
  <c r="F42" i="56"/>
  <c r="J42" i="56"/>
  <c r="M42" i="56"/>
  <c r="I43" i="56"/>
  <c r="H43" i="56"/>
  <c r="K42" i="56"/>
  <c r="G43" i="56"/>
  <c r="N42" i="56"/>
  <c r="AD44" i="51"/>
  <c r="AA60" i="51" s="1"/>
  <c r="AG45" i="51"/>
  <c r="AG44" i="51"/>
  <c r="AC60" i="51" s="1"/>
  <c r="P74" i="51"/>
  <c r="J43" i="56" s="1"/>
  <c r="M73" i="51"/>
  <c r="I42" i="56" s="1"/>
  <c r="U74" i="51"/>
  <c r="AE45" i="51" s="1"/>
  <c r="AD61" i="51" s="1"/>
  <c r="Y61" i="51" l="1"/>
  <c r="AJ45" i="51"/>
  <c r="AC61" i="51"/>
  <c r="N73" i="51"/>
  <c r="AA44" i="51"/>
  <c r="AL44" i="51" s="1"/>
  <c r="Q74" i="51"/>
  <c r="AD45" i="51"/>
  <c r="AA61" i="51" s="1"/>
  <c r="AL45" i="51" l="1"/>
  <c r="Z44" i="51"/>
  <c r="L42" i="56"/>
  <c r="AC45" i="51"/>
  <c r="AK45" i="51" s="1"/>
  <c r="M43" i="56"/>
  <c r="Y60" i="51"/>
  <c r="Z60" i="51" l="1"/>
  <c r="AK44" i="51"/>
  <c r="AB61" i="51"/>
  <c r="W34" i="55" l="1"/>
  <c r="W27" i="55"/>
  <c r="Q24" i="55"/>
  <c r="AE20" i="55" s="1"/>
  <c r="J30" i="55"/>
  <c r="J17" i="55"/>
  <c r="D11" i="55"/>
  <c r="S24" i="55"/>
  <c r="AC20" i="55" s="1"/>
  <c r="P24" i="55"/>
  <c r="Z20" i="55" s="1"/>
  <c r="M24" i="55"/>
  <c r="W20" i="55" s="1"/>
  <c r="N24" i="55"/>
  <c r="AB20" i="55" s="1"/>
  <c r="Y33" i="55" s="1"/>
  <c r="K24" i="55"/>
  <c r="Y20" i="55" s="1"/>
  <c r="W33" i="55" s="1"/>
  <c r="J34" i="55"/>
  <c r="K33" i="55"/>
  <c r="K32" i="55"/>
  <c r="K31" i="55"/>
  <c r="F25" i="55"/>
  <c r="G25" i="55"/>
  <c r="I25" i="55"/>
  <c r="AA33" i="55" l="1"/>
  <c r="G40" i="56"/>
  <c r="H40" i="56"/>
  <c r="G41" i="56"/>
  <c r="H41" i="56"/>
  <c r="G44" i="56"/>
  <c r="H44" i="56"/>
  <c r="G45" i="56"/>
  <c r="H45" i="56"/>
  <c r="G46" i="56"/>
  <c r="H46" i="56"/>
  <c r="G47" i="56"/>
  <c r="H47" i="56"/>
  <c r="H48" i="56"/>
  <c r="G49" i="56"/>
  <c r="H49" i="56"/>
  <c r="G50" i="56"/>
  <c r="H50" i="56"/>
  <c r="G51" i="56"/>
  <c r="H51" i="56"/>
  <c r="G52" i="56"/>
  <c r="H52" i="56"/>
  <c r="G53" i="56"/>
  <c r="H53" i="56"/>
  <c r="F53" i="56"/>
  <c r="F52" i="56"/>
  <c r="F51" i="56"/>
  <c r="F50" i="56"/>
  <c r="F38" i="56"/>
  <c r="F40" i="56"/>
  <c r="F41" i="56"/>
  <c r="F44" i="56"/>
  <c r="F45" i="56"/>
  <c r="F46" i="56"/>
  <c r="F47" i="56"/>
  <c r="F49" i="56"/>
  <c r="G56" i="51"/>
  <c r="F23" i="56" s="1"/>
  <c r="K40" i="51" l="1"/>
  <c r="K39" i="51"/>
  <c r="K38" i="51"/>
  <c r="K37" i="51"/>
  <c r="K46" i="51"/>
  <c r="K45" i="51"/>
  <c r="O84" i="51"/>
  <c r="R84" i="51"/>
  <c r="K84" i="51"/>
  <c r="H55" i="51" l="1"/>
  <c r="I55" i="51" s="1"/>
  <c r="H47" i="51"/>
  <c r="I47" i="51" s="1"/>
  <c r="H45" i="51"/>
  <c r="I45" i="51" s="1"/>
  <c r="M84" i="51"/>
  <c r="N84" i="51" s="1"/>
  <c r="L53" i="56" s="1"/>
  <c r="G57" i="51"/>
  <c r="H57" i="51" s="1"/>
  <c r="I57" i="51" s="1"/>
  <c r="G60" i="51"/>
  <c r="H60" i="51" s="1"/>
  <c r="I60" i="51" s="1"/>
  <c r="G51" i="51"/>
  <c r="H51" i="51" s="1"/>
  <c r="I51" i="51" s="1"/>
  <c r="P84" i="51"/>
  <c r="S84" i="51"/>
  <c r="U84" i="51"/>
  <c r="I51" i="56" l="1"/>
  <c r="T84" i="51"/>
  <c r="N53" i="56" s="1"/>
  <c r="K53" i="56"/>
  <c r="Q84" i="51"/>
  <c r="M53" i="56" s="1"/>
  <c r="J53" i="56"/>
  <c r="H18" i="56"/>
  <c r="H24" i="56"/>
  <c r="G41" i="51"/>
  <c r="H41" i="51" s="1"/>
  <c r="I41" i="51" s="1"/>
  <c r="F18" i="56"/>
  <c r="G53" i="51"/>
  <c r="H53" i="51" s="1"/>
  <c r="I53" i="51" s="1"/>
  <c r="G24" i="56"/>
  <c r="F27" i="56"/>
  <c r="G18" i="56"/>
  <c r="F24" i="56"/>
  <c r="F20" i="56" l="1"/>
  <c r="H20" i="56"/>
  <c r="G20" i="56"/>
  <c r="G8" i="56"/>
  <c r="H8" i="56"/>
  <c r="F8" i="56"/>
  <c r="G50" i="51"/>
  <c r="R75" i="51"/>
  <c r="M83" i="51"/>
  <c r="O83" i="51"/>
  <c r="P83" i="51"/>
  <c r="R83" i="51"/>
  <c r="S83" i="51"/>
  <c r="U83" i="51"/>
  <c r="K50" i="51"/>
  <c r="K49" i="51"/>
  <c r="Q83" i="51" l="1"/>
  <c r="M52" i="56" s="1"/>
  <c r="J52" i="56"/>
  <c r="T83" i="51"/>
  <c r="N52" i="56" s="1"/>
  <c r="K52" i="56"/>
  <c r="N83" i="51"/>
  <c r="L52" i="56" s="1"/>
  <c r="I50" i="56"/>
  <c r="F17" i="56"/>
  <c r="R76" i="51"/>
  <c r="U76" i="51"/>
  <c r="U75" i="51" l="1"/>
  <c r="C23" i="55" l="1"/>
  <c r="Y41" i="51"/>
  <c r="K81" i="51"/>
  <c r="K82" i="51"/>
  <c r="K86" i="51"/>
  <c r="K85" i="51"/>
  <c r="K76" i="51"/>
  <c r="K75" i="51"/>
  <c r="O71" i="51"/>
  <c r="I71" i="51"/>
  <c r="S71" i="51" s="1"/>
  <c r="H71" i="51"/>
  <c r="P71" i="51" s="1"/>
  <c r="G72" i="51"/>
  <c r="F39" i="56" s="1"/>
  <c r="M71" i="51"/>
  <c r="N71" i="51" l="1"/>
  <c r="I38" i="56"/>
  <c r="G38" i="56"/>
  <c r="U71" i="51"/>
  <c r="AE41" i="51" s="1"/>
  <c r="H38" i="56"/>
  <c r="K23" i="55"/>
  <c r="M23" i="55"/>
  <c r="P75" i="51"/>
  <c r="S75" i="51"/>
  <c r="P76" i="51"/>
  <c r="S76" i="51"/>
  <c r="H72" i="51"/>
  <c r="E23" i="55"/>
  <c r="S23" i="55" s="1"/>
  <c r="D23" i="55"/>
  <c r="AA41" i="51"/>
  <c r="I72" i="51"/>
  <c r="H39" i="56" s="1"/>
  <c r="O72" i="51"/>
  <c r="Y42" i="51" s="1"/>
  <c r="R71" i="51"/>
  <c r="AB41" i="51" s="1"/>
  <c r="K38" i="56"/>
  <c r="M72" i="51"/>
  <c r="I39" i="56" s="1"/>
  <c r="AJ41" i="51" l="1"/>
  <c r="Y57" i="51"/>
  <c r="N23" i="55"/>
  <c r="P23" i="55"/>
  <c r="P72" i="51"/>
  <c r="J39" i="56" s="1"/>
  <c r="G39" i="56"/>
  <c r="AD41" i="51"/>
  <c r="AA57" i="51" s="1"/>
  <c r="J38" i="56"/>
  <c r="Q71" i="51"/>
  <c r="Z41" i="51"/>
  <c r="L38" i="56"/>
  <c r="T76" i="51"/>
  <c r="N41" i="56" s="1"/>
  <c r="K41" i="56"/>
  <c r="Q76" i="51"/>
  <c r="M41" i="56" s="1"/>
  <c r="J41" i="56"/>
  <c r="T75" i="51"/>
  <c r="N40" i="56" s="1"/>
  <c r="K40" i="56"/>
  <c r="Q75" i="51"/>
  <c r="M40" i="56" s="1"/>
  <c r="J40" i="56"/>
  <c r="O76" i="51"/>
  <c r="M76" i="51"/>
  <c r="O75" i="51"/>
  <c r="M75" i="51"/>
  <c r="R72" i="51"/>
  <c r="AB42" i="51" s="1"/>
  <c r="AJ42" i="51" s="1"/>
  <c r="M50" i="51"/>
  <c r="O50" i="51"/>
  <c r="T71" i="51"/>
  <c r="AG41" i="51"/>
  <c r="AC57" i="51" s="1"/>
  <c r="Q72" i="51"/>
  <c r="AD42" i="51"/>
  <c r="N72" i="51"/>
  <c r="AA42" i="51"/>
  <c r="U72" i="51"/>
  <c r="AE42" i="51" s="1"/>
  <c r="S72" i="51"/>
  <c r="K39" i="56" s="1"/>
  <c r="Z57" i="51" l="1"/>
  <c r="AL41" i="51"/>
  <c r="Y58" i="51"/>
  <c r="AA58" i="51"/>
  <c r="AC41" i="51"/>
  <c r="AB57" i="51" s="1"/>
  <c r="M38" i="56"/>
  <c r="Z42" i="51"/>
  <c r="L39" i="56"/>
  <c r="AC42" i="51"/>
  <c r="AB58" i="51" s="1"/>
  <c r="M39" i="56"/>
  <c r="AF41" i="51"/>
  <c r="AD57" i="51" s="1"/>
  <c r="N38" i="56"/>
  <c r="N75" i="51"/>
  <c r="L40" i="56" s="1"/>
  <c r="I40" i="56"/>
  <c r="N76" i="51"/>
  <c r="L41" i="56" s="1"/>
  <c r="I41" i="56"/>
  <c r="I17" i="56"/>
  <c r="T72" i="51"/>
  <c r="AG42" i="51"/>
  <c r="AC58" i="51" s="1"/>
  <c r="M78" i="51"/>
  <c r="O78" i="51"/>
  <c r="O77" i="51"/>
  <c r="M77" i="51"/>
  <c r="P78" i="51"/>
  <c r="R78" i="51"/>
  <c r="R77" i="51"/>
  <c r="P77" i="51"/>
  <c r="AL42" i="51" l="1"/>
  <c r="AK41" i="51"/>
  <c r="Z58" i="51"/>
  <c r="AF42" i="51"/>
  <c r="AD58" i="51" s="1"/>
  <c r="N39" i="56"/>
  <c r="N77" i="51"/>
  <c r="L44" i="56" s="1"/>
  <c r="I44" i="56"/>
  <c r="Q77" i="51"/>
  <c r="M44" i="56" s="1"/>
  <c r="J44" i="56"/>
  <c r="N78" i="51"/>
  <c r="L45" i="56" s="1"/>
  <c r="I45" i="56"/>
  <c r="Q78" i="51"/>
  <c r="M45" i="56" s="1"/>
  <c r="J45" i="56"/>
  <c r="R80" i="51"/>
  <c r="P80" i="51"/>
  <c r="R79" i="51"/>
  <c r="P79" i="51"/>
  <c r="M80" i="51"/>
  <c r="O80" i="51"/>
  <c r="O79" i="51"/>
  <c r="M79" i="51"/>
  <c r="I46" i="56" s="1"/>
  <c r="U77" i="51"/>
  <c r="S77" i="51"/>
  <c r="U78" i="51"/>
  <c r="S78" i="51"/>
  <c r="AK42" i="51" l="1"/>
  <c r="Q79" i="51"/>
  <c r="M46" i="56" s="1"/>
  <c r="J46" i="56"/>
  <c r="N80" i="51"/>
  <c r="L47" i="56" s="1"/>
  <c r="I47" i="56"/>
  <c r="T78" i="51"/>
  <c r="N45" i="56" s="1"/>
  <c r="K45" i="56"/>
  <c r="T77" i="51"/>
  <c r="N44" i="56" s="1"/>
  <c r="K44" i="56"/>
  <c r="Q80" i="51"/>
  <c r="M47" i="56" s="1"/>
  <c r="J47" i="56"/>
  <c r="N79" i="51"/>
  <c r="L46" i="56" s="1"/>
  <c r="M82" i="51"/>
  <c r="O82" i="51"/>
  <c r="R82" i="51"/>
  <c r="P82" i="51"/>
  <c r="S79" i="51"/>
  <c r="U79" i="51"/>
  <c r="U80" i="51"/>
  <c r="S80" i="51"/>
  <c r="T79" i="51" l="1"/>
  <c r="N46" i="56" s="1"/>
  <c r="K46" i="56"/>
  <c r="T80" i="51"/>
  <c r="N47" i="56" s="1"/>
  <c r="K47" i="56"/>
  <c r="N82" i="51"/>
  <c r="L49" i="56" s="1"/>
  <c r="I49" i="56"/>
  <c r="Q82" i="51"/>
  <c r="M49" i="56" s="1"/>
  <c r="J49" i="56"/>
  <c r="R86" i="51"/>
  <c r="P86" i="51"/>
  <c r="M86" i="51"/>
  <c r="O86" i="51"/>
  <c r="R85" i="51"/>
  <c r="P85" i="51"/>
  <c r="M85" i="51"/>
  <c r="O85" i="51"/>
  <c r="U82" i="51"/>
  <c r="S82" i="51"/>
  <c r="S81" i="51"/>
  <c r="U81" i="51"/>
  <c r="T81" i="51" l="1"/>
  <c r="N48" i="56" s="1"/>
  <c r="K48" i="56"/>
  <c r="N86" i="51"/>
  <c r="L51" i="56" s="1"/>
  <c r="I53" i="56"/>
  <c r="Q86" i="51"/>
  <c r="M51" i="56" s="1"/>
  <c r="J51" i="56"/>
  <c r="T82" i="51"/>
  <c r="N49" i="56" s="1"/>
  <c r="K49" i="56"/>
  <c r="N85" i="51"/>
  <c r="L50" i="56" s="1"/>
  <c r="I52" i="56"/>
  <c r="Q85" i="51"/>
  <c r="M50" i="56" s="1"/>
  <c r="J50" i="56"/>
  <c r="S85" i="51"/>
  <c r="U85" i="51"/>
  <c r="U86" i="51"/>
  <c r="AE43" i="51" s="1"/>
  <c r="S86" i="51"/>
  <c r="T86" i="51" l="1"/>
  <c r="N51" i="56" s="1"/>
  <c r="K51" i="56"/>
  <c r="T85" i="51"/>
  <c r="N50" i="56" s="1"/>
  <c r="K50" i="56"/>
  <c r="AF43" i="51"/>
  <c r="AD59" i="51" s="1"/>
  <c r="AG43" i="51"/>
  <c r="AC59" i="51" s="1"/>
  <c r="Q23" i="55" l="1"/>
  <c r="AE19" i="55" s="1"/>
  <c r="Z19" i="55"/>
  <c r="Y19" i="55"/>
  <c r="AC19" i="55" l="1"/>
  <c r="AA32" i="55" s="1"/>
  <c r="AB19" i="55"/>
  <c r="Y32" i="55" s="1"/>
  <c r="W19" i="55"/>
  <c r="W32" i="55" s="1"/>
  <c r="E47" i="48" l="1"/>
  <c r="K44" i="51" l="1"/>
  <c r="K64" i="51" l="1"/>
  <c r="D12" i="51" l="1"/>
  <c r="L74" i="51" s="1"/>
  <c r="D7" i="51" l="1"/>
  <c r="D9" i="55" l="1"/>
  <c r="H17" i="55" s="1"/>
  <c r="D10" i="55"/>
  <c r="D8" i="55"/>
  <c r="G30" i="55" l="1"/>
  <c r="G17" i="55"/>
  <c r="I30" i="55"/>
  <c r="I17" i="55"/>
  <c r="H30" i="55"/>
  <c r="L33" i="55" s="1"/>
  <c r="R23" i="55"/>
  <c r="AD19" i="55" s="1"/>
  <c r="AB32" i="55" s="1"/>
  <c r="L23" i="55"/>
  <c r="X19" i="55" s="1"/>
  <c r="X32" i="55" s="1"/>
  <c r="O23" i="55"/>
  <c r="AA19" i="55" s="1"/>
  <c r="Z32" i="55" s="1"/>
  <c r="D8" i="51"/>
  <c r="L71" i="51" s="1"/>
  <c r="D9" i="51"/>
  <c r="F94" i="51" s="1"/>
  <c r="D10" i="51"/>
  <c r="D11" i="51"/>
  <c r="E94" i="51" s="1"/>
  <c r="H94" i="51"/>
  <c r="R24" i="55" l="1"/>
  <c r="AD20" i="55" s="1"/>
  <c r="AB33" i="55" s="1"/>
  <c r="O24" i="55"/>
  <c r="AA20" i="55" s="1"/>
  <c r="Z33" i="55" s="1"/>
  <c r="L24" i="55"/>
  <c r="X20" i="55" s="1"/>
  <c r="X33" i="55" s="1"/>
  <c r="L38" i="51"/>
  <c r="L37" i="51"/>
  <c r="G94" i="51"/>
  <c r="J98" i="51" s="1"/>
  <c r="O98" i="51" s="1"/>
  <c r="L80" i="51"/>
  <c r="L79" i="51"/>
  <c r="L83" i="51"/>
  <c r="L78" i="51"/>
  <c r="L77" i="51"/>
  <c r="L84" i="51"/>
  <c r="L85" i="51"/>
  <c r="L82" i="51"/>
  <c r="L76" i="51"/>
  <c r="L81" i="51"/>
  <c r="L86" i="51"/>
  <c r="L75" i="51"/>
  <c r="L31" i="55"/>
  <c r="L32" i="55"/>
  <c r="Q32" i="55" s="1"/>
  <c r="N50" i="51"/>
  <c r="L45" i="51"/>
  <c r="L46" i="51"/>
  <c r="L72" i="51"/>
  <c r="L49" i="51"/>
  <c r="L50" i="51"/>
  <c r="L44" i="51"/>
  <c r="L64" i="51"/>
  <c r="G34" i="55"/>
  <c r="H34" i="55"/>
  <c r="I34" i="55"/>
  <c r="M34" i="55"/>
  <c r="N34" i="55"/>
  <c r="O34" i="55"/>
  <c r="W22" i="55" s="1"/>
  <c r="Q33" i="55"/>
  <c r="Q31" i="55"/>
  <c r="P33" i="55"/>
  <c r="P32" i="55"/>
  <c r="P31" i="55"/>
  <c r="M112" i="51"/>
  <c r="Y47" i="51" s="1"/>
  <c r="L112" i="51"/>
  <c r="I96" i="51"/>
  <c r="N96" i="51" s="1"/>
  <c r="I97" i="51"/>
  <c r="N97" i="51" s="1"/>
  <c r="I98" i="51"/>
  <c r="N98" i="51" s="1"/>
  <c r="I99" i="51"/>
  <c r="N99" i="51" s="1"/>
  <c r="I100" i="51"/>
  <c r="N100" i="51" s="1"/>
  <c r="I101" i="51"/>
  <c r="N101" i="51" s="1"/>
  <c r="I102" i="51"/>
  <c r="N102" i="51" s="1"/>
  <c r="I103" i="51"/>
  <c r="N103" i="51" s="1"/>
  <c r="I104" i="51"/>
  <c r="N104" i="51" s="1"/>
  <c r="I105" i="51"/>
  <c r="N105" i="51" s="1"/>
  <c r="I106" i="51"/>
  <c r="N106" i="51" s="1"/>
  <c r="I107" i="51"/>
  <c r="N107" i="51" s="1"/>
  <c r="I108" i="51"/>
  <c r="N108" i="51" s="1"/>
  <c r="I109" i="51"/>
  <c r="N109" i="51" s="1"/>
  <c r="I110" i="51"/>
  <c r="N110" i="51" s="1"/>
  <c r="I111" i="51"/>
  <c r="N111" i="51" s="1"/>
  <c r="I95" i="51"/>
  <c r="N95" i="51" s="1"/>
  <c r="J111" i="51" l="1"/>
  <c r="O111" i="51" s="1"/>
  <c r="J103" i="51"/>
  <c r="O103" i="51" s="1"/>
  <c r="J101" i="51"/>
  <c r="O101" i="51" s="1"/>
  <c r="J109" i="51"/>
  <c r="O109" i="51" s="1"/>
  <c r="J110" i="51"/>
  <c r="O110" i="51" s="1"/>
  <c r="J102" i="51"/>
  <c r="O102" i="51" s="1"/>
  <c r="J108" i="51"/>
  <c r="O108" i="51" s="1"/>
  <c r="J100" i="51"/>
  <c r="O100" i="51" s="1"/>
  <c r="J99" i="51"/>
  <c r="O99" i="51" s="1"/>
  <c r="J107" i="51"/>
  <c r="O107" i="51" s="1"/>
  <c r="J106" i="51"/>
  <c r="O106" i="51" s="1"/>
  <c r="J97" i="51"/>
  <c r="O97" i="51" s="1"/>
  <c r="J105" i="51"/>
  <c r="O105" i="51" s="1"/>
  <c r="J96" i="51"/>
  <c r="O96" i="51" s="1"/>
  <c r="J95" i="51"/>
  <c r="O95" i="51" s="1"/>
  <c r="J104" i="51"/>
  <c r="O104" i="51" s="1"/>
  <c r="L17" i="56"/>
  <c r="AC22" i="55"/>
  <c r="Z22" i="55"/>
  <c r="P34" i="55"/>
  <c r="Y22" i="55" s="1"/>
  <c r="Q34" i="55"/>
  <c r="X22" i="55" s="1"/>
  <c r="K34" i="55"/>
  <c r="L34" i="55"/>
  <c r="AB47" i="51"/>
  <c r="AJ47" i="51" s="1"/>
  <c r="AE47" i="51"/>
  <c r="N112" i="51"/>
  <c r="G20" i="51"/>
  <c r="G19" i="51"/>
  <c r="O112" i="51" l="1"/>
  <c r="Z47" i="51" s="1"/>
  <c r="G38" i="51"/>
  <c r="G37" i="51"/>
  <c r="G39" i="51"/>
  <c r="H39" i="51" s="1"/>
  <c r="I39" i="51" s="1"/>
  <c r="S8" i="56"/>
  <c r="Z63" i="51"/>
  <c r="G40" i="51"/>
  <c r="Y7" i="56"/>
  <c r="AE22" i="55"/>
  <c r="AA34" i="55" s="1"/>
  <c r="AB22" i="55"/>
  <c r="Y34" i="55" s="1"/>
  <c r="AD22" i="55"/>
  <c r="AB34" i="55" s="1"/>
  <c r="X34" i="55"/>
  <c r="AA22" i="55"/>
  <c r="Z34" i="55" s="1"/>
  <c r="AC47" i="51"/>
  <c r="AB63" i="51" s="1"/>
  <c r="AF47" i="51"/>
  <c r="AD63" i="51" s="1"/>
  <c r="AD47" i="51"/>
  <c r="AA63" i="51" s="1"/>
  <c r="AA47" i="51"/>
  <c r="AG47" i="51"/>
  <c r="AC63" i="51" s="1"/>
  <c r="AL47" i="51" l="1"/>
  <c r="AK47" i="51"/>
  <c r="M37" i="51"/>
  <c r="N37" i="51" s="1"/>
  <c r="H37" i="51"/>
  <c r="I37" i="51" s="1"/>
  <c r="T8" i="56"/>
  <c r="Y63" i="51"/>
  <c r="U8" i="56"/>
  <c r="X27" i="55"/>
  <c r="Y27" i="55"/>
  <c r="F7" i="56"/>
  <c r="F5" i="56"/>
  <c r="Z7" i="56"/>
  <c r="C15" i="48" l="1"/>
  <c r="K43" i="51" l="1"/>
  <c r="L43" i="51" s="1"/>
  <c r="K41" i="51"/>
  <c r="L41" i="51" s="1"/>
  <c r="K42" i="51"/>
  <c r="L42" i="51" s="1"/>
  <c r="G65" i="51"/>
  <c r="G66" i="51"/>
  <c r="F33" i="56" s="1"/>
  <c r="K61" i="51"/>
  <c r="L61" i="51" s="1"/>
  <c r="K59" i="51"/>
  <c r="L59" i="51" s="1"/>
  <c r="K52" i="51"/>
  <c r="L52" i="51" s="1"/>
  <c r="L40" i="51"/>
  <c r="O38" i="51"/>
  <c r="H21" i="55"/>
  <c r="H20" i="55"/>
  <c r="H18" i="55"/>
  <c r="H25" i="55" s="1"/>
  <c r="F32" i="56" l="1"/>
  <c r="H65" i="51"/>
  <c r="J65" i="51"/>
  <c r="G69" i="51"/>
  <c r="G67" i="51"/>
  <c r="G70" i="51"/>
  <c r="F37" i="56" s="1"/>
  <c r="G68" i="51"/>
  <c r="F35" i="56" s="1"/>
  <c r="O56" i="51"/>
  <c r="G46" i="51"/>
  <c r="F13" i="56" s="1"/>
  <c r="K63" i="51"/>
  <c r="L63" i="51" s="1"/>
  <c r="H69" i="51" l="1"/>
  <c r="J69" i="51"/>
  <c r="O69" i="51" s="1"/>
  <c r="F34" i="56"/>
  <c r="H67" i="51"/>
  <c r="J67" i="51"/>
  <c r="I65" i="51"/>
  <c r="G32" i="56"/>
  <c r="G36" i="56"/>
  <c r="F36" i="56"/>
  <c r="O40" i="51"/>
  <c r="M46" i="51"/>
  <c r="O46" i="51"/>
  <c r="M38" i="51"/>
  <c r="M40" i="51"/>
  <c r="I67" i="51" l="1"/>
  <c r="G34" i="56"/>
  <c r="H32" i="56"/>
  <c r="I69" i="51"/>
  <c r="N46" i="51"/>
  <c r="I13" i="56"/>
  <c r="N40" i="51"/>
  <c r="I7" i="56"/>
  <c r="N38" i="51"/>
  <c r="I5" i="56"/>
  <c r="K51" i="51"/>
  <c r="L51" i="51" s="1"/>
  <c r="L39" i="51"/>
  <c r="H34" i="56" l="1"/>
  <c r="H36" i="56"/>
  <c r="L13" i="56"/>
  <c r="L5" i="56"/>
  <c r="L7" i="56"/>
  <c r="K60" i="51" l="1"/>
  <c r="L60" i="51" s="1"/>
  <c r="K62" i="51" l="1"/>
  <c r="L62" i="51" s="1"/>
  <c r="C16" i="48"/>
  <c r="C53" i="48" l="1"/>
  <c r="J53" i="48" s="1"/>
  <c r="J55" i="48"/>
  <c r="E55" i="48"/>
  <c r="H55" i="48" s="1"/>
  <c r="J54" i="48"/>
  <c r="E54" i="48"/>
  <c r="E53" i="48"/>
  <c r="J52" i="48"/>
  <c r="H52" i="48"/>
  <c r="F52" i="48"/>
  <c r="J51" i="48"/>
  <c r="E51" i="48"/>
  <c r="E50" i="48"/>
  <c r="J49" i="48"/>
  <c r="E49" i="48"/>
  <c r="H49" i="48" s="1"/>
  <c r="J48" i="48"/>
  <c r="E48" i="48"/>
  <c r="F48" i="48" s="1"/>
  <c r="J47" i="48"/>
  <c r="J46" i="48"/>
  <c r="H46" i="48"/>
  <c r="F46" i="48"/>
  <c r="J45" i="48"/>
  <c r="H45" i="48"/>
  <c r="F45" i="48"/>
  <c r="J44" i="48"/>
  <c r="H44" i="48"/>
  <c r="F44" i="48"/>
  <c r="J43" i="48"/>
  <c r="H43" i="48"/>
  <c r="I43" i="48" s="1"/>
  <c r="F43" i="48"/>
  <c r="J42" i="48"/>
  <c r="E42" i="48"/>
  <c r="H42" i="48" s="1"/>
  <c r="I42" i="48" s="1"/>
  <c r="E41" i="48"/>
  <c r="D41" i="48"/>
  <c r="J41" i="48" s="1"/>
  <c r="J50" i="48" s="1"/>
  <c r="J40" i="48"/>
  <c r="E40" i="48"/>
  <c r="H40" i="48" s="1"/>
  <c r="J39" i="48"/>
  <c r="E39" i="48"/>
  <c r="H39" i="48" s="1"/>
  <c r="I39" i="48" s="1"/>
  <c r="J38" i="48"/>
  <c r="E38" i="48"/>
  <c r="H38" i="48" s="1"/>
  <c r="E37" i="48"/>
  <c r="F37" i="48" s="1"/>
  <c r="G37" i="48" s="1"/>
  <c r="C37" i="48"/>
  <c r="J37" i="48" s="1"/>
  <c r="E36" i="48"/>
  <c r="D36" i="48"/>
  <c r="F36" i="48" s="1"/>
  <c r="J35" i="48"/>
  <c r="H35" i="48"/>
  <c r="F35" i="48"/>
  <c r="J34" i="48"/>
  <c r="H34" i="48"/>
  <c r="F34" i="48"/>
  <c r="J33" i="48"/>
  <c r="H33" i="48"/>
  <c r="F33" i="48"/>
  <c r="J32" i="48"/>
  <c r="E32" i="48"/>
  <c r="F32" i="48" s="1"/>
  <c r="J31" i="48"/>
  <c r="H31" i="48"/>
  <c r="F31" i="48"/>
  <c r="E30" i="48"/>
  <c r="D30" i="48"/>
  <c r="J30" i="48" s="1"/>
  <c r="E29" i="48"/>
  <c r="D29" i="48"/>
  <c r="C29" i="48"/>
  <c r="E28" i="48"/>
  <c r="C28" i="48"/>
  <c r="J28" i="48" s="1"/>
  <c r="J27" i="48"/>
  <c r="H27" i="48"/>
  <c r="F27" i="48"/>
  <c r="J26" i="48"/>
  <c r="H26" i="48"/>
  <c r="F26" i="48"/>
  <c r="J25" i="48"/>
  <c r="H25" i="48"/>
  <c r="F25" i="48"/>
  <c r="Q24" i="48"/>
  <c r="J24" i="48"/>
  <c r="H24" i="48"/>
  <c r="F24" i="48"/>
  <c r="J23" i="48"/>
  <c r="H23" i="48"/>
  <c r="F23" i="48"/>
  <c r="J22" i="48"/>
  <c r="H22" i="48"/>
  <c r="F22" i="48"/>
  <c r="C17" i="48"/>
  <c r="C14" i="48"/>
  <c r="C13" i="48"/>
  <c r="C12" i="48"/>
  <c r="C11" i="48"/>
  <c r="C10" i="48"/>
  <c r="I25" i="48" s="1"/>
  <c r="F38" i="48" l="1"/>
  <c r="G38" i="48" s="1"/>
  <c r="H29" i="48"/>
  <c r="I29" i="48"/>
  <c r="H53" i="48"/>
  <c r="G25" i="48"/>
  <c r="G23" i="48"/>
  <c r="H36" i="48"/>
  <c r="I36" i="48" s="1"/>
  <c r="E64" i="48"/>
  <c r="I31" i="48"/>
  <c r="I23" i="48"/>
  <c r="G26" i="48"/>
  <c r="I33" i="48"/>
  <c r="F29" i="48"/>
  <c r="G29" i="48" s="1"/>
  <c r="G32" i="48"/>
  <c r="H47" i="48"/>
  <c r="I47" i="48" s="1"/>
  <c r="K54" i="51"/>
  <c r="L54" i="51" s="1"/>
  <c r="K53" i="51"/>
  <c r="L53" i="51" s="1"/>
  <c r="H32" i="48"/>
  <c r="I32" i="48" s="1"/>
  <c r="F39" i="48"/>
  <c r="G39" i="48" s="1"/>
  <c r="F42" i="48"/>
  <c r="G42" i="48" s="1"/>
  <c r="H50" i="48"/>
  <c r="I50" i="48" s="1"/>
  <c r="K66" i="51"/>
  <c r="K65" i="51"/>
  <c r="F53" i="48"/>
  <c r="G53" i="48" s="1"/>
  <c r="E63" i="48"/>
  <c r="F63" i="48" s="1"/>
  <c r="F30" i="48"/>
  <c r="G30" i="48" s="1"/>
  <c r="G35" i="48"/>
  <c r="H51" i="48"/>
  <c r="I51" i="48" s="1"/>
  <c r="K58" i="51"/>
  <c r="L58" i="51" s="1"/>
  <c r="K57" i="51"/>
  <c r="L57" i="51" s="1"/>
  <c r="G34" i="48"/>
  <c r="O26" i="48"/>
  <c r="H54" i="48"/>
  <c r="I54" i="48" s="1"/>
  <c r="K56" i="51"/>
  <c r="L56" i="51" s="1"/>
  <c r="K55" i="51"/>
  <c r="L55" i="51" s="1"/>
  <c r="H30" i="48"/>
  <c r="I30" i="48" s="1"/>
  <c r="H37" i="48"/>
  <c r="I37" i="48" s="1"/>
  <c r="G24" i="48"/>
  <c r="J29" i="48"/>
  <c r="G33" i="48"/>
  <c r="H48" i="48"/>
  <c r="I48" i="48" s="1"/>
  <c r="K70" i="51"/>
  <c r="L70" i="51" s="1"/>
  <c r="K69" i="51"/>
  <c r="I27" i="48"/>
  <c r="G22" i="48"/>
  <c r="G36" i="48"/>
  <c r="I38" i="48"/>
  <c r="I55" i="48"/>
  <c r="O24" i="48"/>
  <c r="O31" i="48" s="1"/>
  <c r="I35" i="48"/>
  <c r="G27" i="48"/>
  <c r="F49" i="48"/>
  <c r="G49" i="48" s="1"/>
  <c r="K48" i="51"/>
  <c r="L48" i="51" s="1"/>
  <c r="K47" i="51"/>
  <c r="L47" i="51" s="1"/>
  <c r="I45" i="48"/>
  <c r="G48" i="48"/>
  <c r="G52" i="48"/>
  <c r="I52" i="48"/>
  <c r="G44" i="48"/>
  <c r="I46" i="48"/>
  <c r="I53" i="48"/>
  <c r="G46" i="48"/>
  <c r="G43" i="48"/>
  <c r="G45" i="48"/>
  <c r="I40" i="48"/>
  <c r="F51" i="48"/>
  <c r="G51" i="48" s="1"/>
  <c r="F55" i="48"/>
  <c r="G55" i="48" s="1"/>
  <c r="I22" i="48"/>
  <c r="F41" i="48"/>
  <c r="G41" i="48" s="1"/>
  <c r="F47" i="48"/>
  <c r="G47" i="48" s="1"/>
  <c r="F28" i="48"/>
  <c r="G28" i="48" s="1"/>
  <c r="J36" i="48"/>
  <c r="O37" i="48"/>
  <c r="F40" i="48"/>
  <c r="G40" i="48" s="1"/>
  <c r="F50" i="48"/>
  <c r="G50" i="48" s="1"/>
  <c r="F54" i="48"/>
  <c r="G54" i="48" s="1"/>
  <c r="I24" i="48"/>
  <c r="I26" i="48"/>
  <c r="G31" i="48"/>
  <c r="I34" i="48"/>
  <c r="H41" i="48"/>
  <c r="I41" i="48" s="1"/>
  <c r="H28" i="48"/>
  <c r="I44" i="48"/>
  <c r="P65" i="51" l="1"/>
  <c r="S65" i="51"/>
  <c r="L69" i="51"/>
  <c r="P69" i="51"/>
  <c r="S69" i="51"/>
  <c r="L65" i="51"/>
  <c r="K67" i="51"/>
  <c r="L66" i="51"/>
  <c r="K68" i="51"/>
  <c r="L68" i="51" s="1"/>
  <c r="M56" i="51"/>
  <c r="O25" i="48"/>
  <c r="O27" i="48" s="1"/>
  <c r="O28" i="48" s="1"/>
  <c r="P33" i="48"/>
  <c r="H56" i="48"/>
  <c r="D60" i="48" s="1"/>
  <c r="P24" i="48"/>
  <c r="Q26" i="48"/>
  <c r="I28" i="48"/>
  <c r="P25" i="48" s="1"/>
  <c r="Q25" i="48"/>
  <c r="M67" i="51" l="1"/>
  <c r="P67" i="51"/>
  <c r="S67" i="51"/>
  <c r="N56" i="51"/>
  <c r="I23" i="56"/>
  <c r="K87" i="51"/>
  <c r="L67" i="51"/>
  <c r="O29" i="48"/>
  <c r="P27" i="48"/>
  <c r="P32" i="48"/>
  <c r="O38" i="48"/>
  <c r="O32" i="48"/>
  <c r="Q27" i="48"/>
  <c r="O33" i="48"/>
  <c r="O39" i="48"/>
  <c r="I56" i="48"/>
  <c r="E60" i="48" s="1"/>
  <c r="L23" i="56" l="1"/>
  <c r="P34" i="48"/>
  <c r="P28" i="48"/>
  <c r="O34" i="48"/>
  <c r="Q28" i="48"/>
  <c r="G49" i="51" l="1"/>
  <c r="H49" i="51" s="1"/>
  <c r="I49" i="51" s="1"/>
  <c r="H16" i="56" l="1"/>
  <c r="G16" i="56"/>
  <c r="F16" i="56"/>
  <c r="O49" i="51"/>
  <c r="M49" i="51"/>
  <c r="S49" i="51"/>
  <c r="U49" i="51"/>
  <c r="P49" i="51"/>
  <c r="R49" i="51"/>
  <c r="T49" i="51" l="1"/>
  <c r="K16" i="56"/>
  <c r="Q49" i="51"/>
  <c r="J16" i="56"/>
  <c r="N49" i="51"/>
  <c r="I16" i="56"/>
  <c r="G64" i="51"/>
  <c r="F31" i="56" l="1"/>
  <c r="N16" i="56"/>
  <c r="L16" i="56"/>
  <c r="M16" i="56"/>
  <c r="O64" i="51"/>
  <c r="M64" i="51"/>
  <c r="N64" i="51" l="1"/>
  <c r="I31" i="56"/>
  <c r="L31" i="56" l="1"/>
  <c r="U57" i="51"/>
  <c r="S57" i="51"/>
  <c r="G21" i="51"/>
  <c r="R57" i="51"/>
  <c r="P57" i="51"/>
  <c r="G43" i="51" l="1"/>
  <c r="H43" i="51" s="1"/>
  <c r="I43" i="51" s="1"/>
  <c r="Q57" i="51"/>
  <c r="J24" i="56"/>
  <c r="T57" i="51"/>
  <c r="K24" i="56"/>
  <c r="O57" i="51"/>
  <c r="M57" i="51"/>
  <c r="O60" i="51"/>
  <c r="M60" i="51"/>
  <c r="O51" i="51"/>
  <c r="M51" i="51"/>
  <c r="O65" i="51"/>
  <c r="U65" i="51"/>
  <c r="R65" i="51"/>
  <c r="M65" i="51"/>
  <c r="G10" i="56" l="1"/>
  <c r="H22" i="56"/>
  <c r="F10" i="56"/>
  <c r="G4" i="56"/>
  <c r="G22" i="56"/>
  <c r="N24" i="56"/>
  <c r="F4" i="56"/>
  <c r="H10" i="56"/>
  <c r="N51" i="51"/>
  <c r="I18" i="56"/>
  <c r="K32" i="56"/>
  <c r="N60" i="51"/>
  <c r="I27" i="56"/>
  <c r="H4" i="56"/>
  <c r="J32" i="56"/>
  <c r="F22" i="56"/>
  <c r="I32" i="56"/>
  <c r="N57" i="51"/>
  <c r="I24" i="56"/>
  <c r="M24" i="56"/>
  <c r="F6" i="56"/>
  <c r="T65" i="51"/>
  <c r="Q65" i="51"/>
  <c r="N65" i="51"/>
  <c r="R37" i="51"/>
  <c r="P37" i="51"/>
  <c r="S37" i="51"/>
  <c r="U37" i="51"/>
  <c r="U55" i="51"/>
  <c r="S55" i="51"/>
  <c r="P43" i="51"/>
  <c r="R43" i="51"/>
  <c r="O55" i="51"/>
  <c r="M55" i="51"/>
  <c r="C19" i="55"/>
  <c r="O39" i="51"/>
  <c r="M39" i="51"/>
  <c r="R55" i="51"/>
  <c r="P55" i="51"/>
  <c r="O67" i="51"/>
  <c r="R67" i="51"/>
  <c r="U67" i="51"/>
  <c r="C18" i="55"/>
  <c r="O37" i="51"/>
  <c r="S43" i="51"/>
  <c r="U43" i="51"/>
  <c r="O53" i="51"/>
  <c r="M53" i="51"/>
  <c r="M43" i="51"/>
  <c r="O43" i="51"/>
  <c r="O41" i="51"/>
  <c r="M41" i="51"/>
  <c r="K18" i="55" l="1"/>
  <c r="L18" i="55" s="1"/>
  <c r="M18" i="55"/>
  <c r="M19" i="55"/>
  <c r="K19" i="55"/>
  <c r="L19" i="55" s="1"/>
  <c r="F12" i="56"/>
  <c r="T43" i="51"/>
  <c r="K10" i="56"/>
  <c r="N41" i="51"/>
  <c r="I8" i="56"/>
  <c r="Q55" i="51"/>
  <c r="J22" i="56"/>
  <c r="Q43" i="51"/>
  <c r="J10" i="56"/>
  <c r="N43" i="51"/>
  <c r="I10" i="56"/>
  <c r="N39" i="51"/>
  <c r="I6" i="56"/>
  <c r="T55" i="51"/>
  <c r="K22" i="56"/>
  <c r="L32" i="56"/>
  <c r="N53" i="51"/>
  <c r="I20" i="56"/>
  <c r="M32" i="56"/>
  <c r="N67" i="51"/>
  <c r="I34" i="56"/>
  <c r="N32" i="56"/>
  <c r="Q37" i="51"/>
  <c r="J4" i="56"/>
  <c r="I4" i="56"/>
  <c r="L27" i="56"/>
  <c r="N55" i="51"/>
  <c r="I22" i="56"/>
  <c r="T37" i="51"/>
  <c r="K4" i="56"/>
  <c r="L24" i="56"/>
  <c r="L18" i="56"/>
  <c r="G62" i="51"/>
  <c r="H62" i="51" s="1"/>
  <c r="I62" i="51" s="1"/>
  <c r="M45" i="51"/>
  <c r="O45" i="51"/>
  <c r="C22" i="55"/>
  <c r="K22" i="55" l="1"/>
  <c r="M22" i="55"/>
  <c r="M10" i="56"/>
  <c r="M4" i="56"/>
  <c r="L8" i="56"/>
  <c r="N22" i="56"/>
  <c r="G12" i="56"/>
  <c r="N10" i="56"/>
  <c r="L22" i="56"/>
  <c r="L10" i="56"/>
  <c r="N45" i="51"/>
  <c r="I12" i="56"/>
  <c r="N4" i="56"/>
  <c r="L4" i="56"/>
  <c r="L34" i="56"/>
  <c r="L20" i="56"/>
  <c r="L6" i="56"/>
  <c r="F29" i="56"/>
  <c r="M22" i="56"/>
  <c r="L22" i="55"/>
  <c r="R45" i="51"/>
  <c r="P45" i="51"/>
  <c r="O62" i="51"/>
  <c r="M62" i="51"/>
  <c r="H12" i="56" l="1"/>
  <c r="L12" i="56"/>
  <c r="N62" i="51"/>
  <c r="I29" i="56"/>
  <c r="Q45" i="51"/>
  <c r="J12" i="56"/>
  <c r="S45" i="51"/>
  <c r="U45" i="51"/>
  <c r="M12" i="56" l="1"/>
  <c r="T45" i="51"/>
  <c r="K12" i="56"/>
  <c r="L29" i="56"/>
  <c r="N12" i="56" l="1"/>
  <c r="F14" i="56" l="1"/>
  <c r="H14" i="56"/>
  <c r="G14" i="56"/>
  <c r="U47" i="51"/>
  <c r="S47" i="51"/>
  <c r="R47" i="51"/>
  <c r="P47" i="51"/>
  <c r="T47" i="51" l="1"/>
  <c r="K14" i="56"/>
  <c r="Q47" i="51"/>
  <c r="J14" i="56"/>
  <c r="R69" i="51"/>
  <c r="U69" i="51"/>
  <c r="M69" i="51"/>
  <c r="O47" i="51"/>
  <c r="M47" i="51"/>
  <c r="M14" i="56" l="1"/>
  <c r="N14" i="56"/>
  <c r="T69" i="51"/>
  <c r="K36" i="56"/>
  <c r="N69" i="51"/>
  <c r="I36" i="56"/>
  <c r="Q69" i="51"/>
  <c r="J36" i="56"/>
  <c r="N47" i="51"/>
  <c r="I14" i="56"/>
  <c r="G48" i="51" l="1"/>
  <c r="F15" i="56" s="1"/>
  <c r="J70" i="51"/>
  <c r="M70" i="51" s="1"/>
  <c r="L36" i="56"/>
  <c r="N36" i="56"/>
  <c r="L14" i="56"/>
  <c r="M36" i="56"/>
  <c r="M48" i="51" l="1"/>
  <c r="O48" i="51"/>
  <c r="N48" i="51" l="1"/>
  <c r="I15" i="56"/>
  <c r="O70" i="51"/>
  <c r="L15" i="56" l="1"/>
  <c r="N70" i="51"/>
  <c r="I37" i="56"/>
  <c r="L37" i="56" l="1"/>
  <c r="P51" i="51"/>
  <c r="R51" i="51"/>
  <c r="S51" i="51"/>
  <c r="U51" i="51"/>
  <c r="T51" i="51" l="1"/>
  <c r="K18" i="56"/>
  <c r="Q51" i="51"/>
  <c r="J18" i="56"/>
  <c r="U53" i="51"/>
  <c r="S53" i="51"/>
  <c r="S41" i="51"/>
  <c r="U41" i="51"/>
  <c r="R53" i="51"/>
  <c r="P53" i="51"/>
  <c r="P41" i="51"/>
  <c r="R41" i="51"/>
  <c r="T41" i="51" l="1"/>
  <c r="K8" i="56"/>
  <c r="Q53" i="51"/>
  <c r="J20" i="56"/>
  <c r="T53" i="51"/>
  <c r="K20" i="56"/>
  <c r="M18" i="56"/>
  <c r="Q41" i="51"/>
  <c r="J8" i="56"/>
  <c r="N18" i="56"/>
  <c r="N20" i="56" l="1"/>
  <c r="M8" i="56"/>
  <c r="M20" i="56"/>
  <c r="N8" i="56"/>
  <c r="P39" i="51" l="1"/>
  <c r="U39" i="51" l="1"/>
  <c r="R39" i="51"/>
  <c r="H6" i="56"/>
  <c r="G6" i="56"/>
  <c r="S39" i="51"/>
  <c r="K6" i="56" s="1"/>
  <c r="J6" i="56"/>
  <c r="Q39" i="51"/>
  <c r="T39" i="51" l="1"/>
  <c r="N6" i="56" s="1"/>
  <c r="M6" i="56"/>
  <c r="J66" i="51" l="1"/>
  <c r="H68" i="51" l="1"/>
  <c r="H70" i="51"/>
  <c r="H66" i="51"/>
  <c r="H64" i="51"/>
  <c r="H56" i="51"/>
  <c r="H48" i="51"/>
  <c r="H50" i="51"/>
  <c r="H40" i="51"/>
  <c r="H46" i="51"/>
  <c r="H38" i="51"/>
  <c r="G22" i="51"/>
  <c r="G44" i="51" s="1"/>
  <c r="H44" i="51" s="1"/>
  <c r="G52" i="51"/>
  <c r="H52" i="51" s="1"/>
  <c r="G58" i="51"/>
  <c r="H58" i="51" s="1"/>
  <c r="O66" i="51"/>
  <c r="M66" i="51"/>
  <c r="G59" i="51"/>
  <c r="H59" i="51" s="1"/>
  <c r="G61" i="51"/>
  <c r="H61" i="51" s="1"/>
  <c r="I58" i="51" l="1"/>
  <c r="H90" i="51"/>
  <c r="I56" i="51"/>
  <c r="I70" i="51"/>
  <c r="I64" i="51"/>
  <c r="I61" i="51"/>
  <c r="I46" i="51"/>
  <c r="I68" i="51"/>
  <c r="I44" i="51"/>
  <c r="I59" i="51"/>
  <c r="I40" i="51"/>
  <c r="R62" i="51"/>
  <c r="I66" i="51"/>
  <c r="P70" i="51"/>
  <c r="P62" i="51"/>
  <c r="Q62" i="51" s="1"/>
  <c r="R66" i="51"/>
  <c r="G33" i="56"/>
  <c r="P66" i="51"/>
  <c r="G35" i="56"/>
  <c r="G29" i="56"/>
  <c r="G37" i="56"/>
  <c r="R70" i="51"/>
  <c r="I50" i="51"/>
  <c r="I48" i="51"/>
  <c r="I52" i="51"/>
  <c r="I38" i="51"/>
  <c r="G19" i="56"/>
  <c r="G31" i="56"/>
  <c r="R64" i="51"/>
  <c r="P64" i="51"/>
  <c r="G27" i="56"/>
  <c r="R60" i="51"/>
  <c r="P60" i="51"/>
  <c r="J68" i="51"/>
  <c r="R58" i="51"/>
  <c r="G54" i="51"/>
  <c r="G42" i="51"/>
  <c r="F19" i="56"/>
  <c r="M52" i="51"/>
  <c r="O52" i="51"/>
  <c r="P48" i="51"/>
  <c r="R48" i="51"/>
  <c r="G15" i="56"/>
  <c r="G17" i="56"/>
  <c r="P50" i="51"/>
  <c r="R50" i="51"/>
  <c r="D19" i="55"/>
  <c r="P19" i="55" s="1"/>
  <c r="P40" i="51"/>
  <c r="G7" i="56"/>
  <c r="R40" i="51"/>
  <c r="P52" i="51"/>
  <c r="O58" i="51"/>
  <c r="G23" i="56"/>
  <c r="R56" i="51"/>
  <c r="P56" i="51"/>
  <c r="D18" i="55"/>
  <c r="N18" i="55" s="1"/>
  <c r="P38" i="51"/>
  <c r="R38" i="51"/>
  <c r="R52" i="51"/>
  <c r="M58" i="51"/>
  <c r="F25" i="56"/>
  <c r="G5" i="56"/>
  <c r="G13" i="56"/>
  <c r="P46" i="51"/>
  <c r="R46" i="51"/>
  <c r="D22" i="55"/>
  <c r="P22" i="55" s="1"/>
  <c r="O44" i="51"/>
  <c r="M44" i="51"/>
  <c r="F11" i="56"/>
  <c r="C21" i="55"/>
  <c r="I33" i="56"/>
  <c r="N66" i="51"/>
  <c r="F28" i="56"/>
  <c r="M61" i="51"/>
  <c r="O61" i="51"/>
  <c r="F26" i="56"/>
  <c r="O59" i="51"/>
  <c r="M59" i="51"/>
  <c r="G28" i="56"/>
  <c r="R61" i="51"/>
  <c r="P61" i="51"/>
  <c r="P59" i="51"/>
  <c r="R59" i="51"/>
  <c r="G26" i="56"/>
  <c r="O42" i="51" l="1"/>
  <c r="U58" i="51"/>
  <c r="H19" i="56"/>
  <c r="E22" i="55"/>
  <c r="S22" i="55" s="1"/>
  <c r="S40" i="51"/>
  <c r="T40" i="51" s="1"/>
  <c r="H26" i="56"/>
  <c r="E18" i="55"/>
  <c r="Q18" i="55" s="1"/>
  <c r="S66" i="51"/>
  <c r="S70" i="51"/>
  <c r="H23" i="56"/>
  <c r="S46" i="51"/>
  <c r="H13" i="56"/>
  <c r="U46" i="51"/>
  <c r="H33" i="56"/>
  <c r="U66" i="51"/>
  <c r="U68" i="51"/>
  <c r="P68" i="51"/>
  <c r="Q67" i="51"/>
  <c r="S52" i="51"/>
  <c r="U52" i="51"/>
  <c r="M29" i="56"/>
  <c r="J33" i="56"/>
  <c r="J15" i="56"/>
  <c r="J29" i="56"/>
  <c r="Q66" i="51"/>
  <c r="S61" i="51"/>
  <c r="H28" i="56"/>
  <c r="U61" i="51"/>
  <c r="H37" i="56"/>
  <c r="U70" i="51"/>
  <c r="U59" i="51"/>
  <c r="J37" i="56"/>
  <c r="Q70" i="51"/>
  <c r="S59" i="51"/>
  <c r="U64" i="51"/>
  <c r="H31" i="56"/>
  <c r="S64" i="51"/>
  <c r="H27" i="56"/>
  <c r="U60" i="51"/>
  <c r="S60" i="51"/>
  <c r="S62" i="51"/>
  <c r="U62" i="51"/>
  <c r="H29" i="56"/>
  <c r="I90" i="51"/>
  <c r="H15" i="56"/>
  <c r="S48" i="51"/>
  <c r="U48" i="51"/>
  <c r="S58" i="51"/>
  <c r="H25" i="56"/>
  <c r="H17" i="56"/>
  <c r="S50" i="51"/>
  <c r="U50" i="51"/>
  <c r="H7" i="56"/>
  <c r="H54" i="51"/>
  <c r="E19" i="55"/>
  <c r="Q19" i="55" s="1"/>
  <c r="R19" i="55" s="1"/>
  <c r="H42" i="51"/>
  <c r="U40" i="51"/>
  <c r="S56" i="51"/>
  <c r="U56" i="51"/>
  <c r="S44" i="51"/>
  <c r="O54" i="51"/>
  <c r="U38" i="51"/>
  <c r="S38" i="51"/>
  <c r="J87" i="51"/>
  <c r="M68" i="51"/>
  <c r="I19" i="56"/>
  <c r="M54" i="51"/>
  <c r="N54" i="51" s="1"/>
  <c r="C20" i="55"/>
  <c r="K20" i="55" s="1"/>
  <c r="M42" i="51"/>
  <c r="G63" i="51"/>
  <c r="G87" i="51" s="1"/>
  <c r="F9" i="56"/>
  <c r="H5" i="56"/>
  <c r="F21" i="56"/>
  <c r="R68" i="51"/>
  <c r="AB40" i="51" s="1"/>
  <c r="O68" i="51"/>
  <c r="R44" i="51"/>
  <c r="Q46" i="51"/>
  <c r="Q38" i="51"/>
  <c r="J19" i="56"/>
  <c r="Q40" i="51"/>
  <c r="J13" i="56"/>
  <c r="N52" i="51"/>
  <c r="N19" i="55"/>
  <c r="O19" i="55" s="1"/>
  <c r="J7" i="56"/>
  <c r="Q48" i="51"/>
  <c r="Q64" i="51"/>
  <c r="J31" i="56"/>
  <c r="G25" i="56"/>
  <c r="Q60" i="51"/>
  <c r="J27" i="56"/>
  <c r="P44" i="51"/>
  <c r="G11" i="56"/>
  <c r="P58" i="51"/>
  <c r="D21" i="55"/>
  <c r="P21" i="55" s="1"/>
  <c r="J34" i="56"/>
  <c r="N22" i="55"/>
  <c r="O22" i="55" s="1"/>
  <c r="J17" i="56"/>
  <c r="Q50" i="51"/>
  <c r="N58" i="51"/>
  <c r="I25" i="56"/>
  <c r="Q52" i="51"/>
  <c r="P18" i="55"/>
  <c r="J5" i="56"/>
  <c r="Q56" i="51"/>
  <c r="J23" i="56"/>
  <c r="O18" i="55"/>
  <c r="K21" i="55"/>
  <c r="L21" i="55" s="1"/>
  <c r="M21" i="55"/>
  <c r="L33" i="56"/>
  <c r="N44" i="51"/>
  <c r="I11" i="56"/>
  <c r="Y38" i="51"/>
  <c r="I26" i="56"/>
  <c r="N59" i="51"/>
  <c r="J26" i="56"/>
  <c r="Q59" i="51"/>
  <c r="J28" i="56"/>
  <c r="Q61" i="51"/>
  <c r="I28" i="56"/>
  <c r="N61" i="51"/>
  <c r="S18" i="55" l="1"/>
  <c r="Q22" i="55"/>
  <c r="R22" i="55" s="1"/>
  <c r="K13" i="56"/>
  <c r="T46" i="51"/>
  <c r="T66" i="51"/>
  <c r="K33" i="56"/>
  <c r="N7" i="56"/>
  <c r="T44" i="51"/>
  <c r="T56" i="51"/>
  <c r="K26" i="56"/>
  <c r="K28" i="56"/>
  <c r="K7" i="56"/>
  <c r="T58" i="51"/>
  <c r="K5" i="56"/>
  <c r="T52" i="51"/>
  <c r="I42" i="51"/>
  <c r="G21" i="56"/>
  <c r="H63" i="51"/>
  <c r="K19" i="56"/>
  <c r="T61" i="51"/>
  <c r="T38" i="51"/>
  <c r="H35" i="56"/>
  <c r="S68" i="51"/>
  <c r="M33" i="56"/>
  <c r="AE40" i="51"/>
  <c r="M27" i="56"/>
  <c r="M28" i="56"/>
  <c r="M34" i="56"/>
  <c r="M31" i="56"/>
  <c r="M7" i="56"/>
  <c r="M15" i="56"/>
  <c r="M37" i="56"/>
  <c r="M19" i="56"/>
  <c r="M17" i="56"/>
  <c r="M5" i="56"/>
  <c r="M23" i="56"/>
  <c r="M13" i="56"/>
  <c r="J35" i="56"/>
  <c r="T59" i="51"/>
  <c r="K37" i="56"/>
  <c r="T70" i="51"/>
  <c r="T48" i="51"/>
  <c r="K15" i="56"/>
  <c r="T67" i="51"/>
  <c r="N34" i="56" s="1"/>
  <c r="K34" i="56"/>
  <c r="T64" i="51"/>
  <c r="K31" i="56"/>
  <c r="T60" i="51"/>
  <c r="N27" i="56" s="1"/>
  <c r="K27" i="56"/>
  <c r="K17" i="56"/>
  <c r="T50" i="51"/>
  <c r="I54" i="51"/>
  <c r="K25" i="56"/>
  <c r="K29" i="56"/>
  <c r="T62" i="51"/>
  <c r="N29" i="56" s="1"/>
  <c r="P54" i="51"/>
  <c r="R54" i="51"/>
  <c r="S19" i="55"/>
  <c r="K23" i="56"/>
  <c r="H11" i="56"/>
  <c r="U44" i="51"/>
  <c r="E21" i="55"/>
  <c r="S21" i="55" s="1"/>
  <c r="P42" i="51"/>
  <c r="I35" i="56"/>
  <c r="I21" i="56"/>
  <c r="G9" i="56"/>
  <c r="R42" i="51"/>
  <c r="AB38" i="51" s="1"/>
  <c r="D20" i="55"/>
  <c r="P20" i="55" s="1"/>
  <c r="Z18" i="55" s="1"/>
  <c r="Z21" i="55" s="1"/>
  <c r="N68" i="51"/>
  <c r="O63" i="51"/>
  <c r="Q68" i="51"/>
  <c r="AA40" i="51"/>
  <c r="AD40" i="51"/>
  <c r="AA56" i="51" s="1"/>
  <c r="M20" i="55"/>
  <c r="W18" i="55" s="1"/>
  <c r="C25" i="55"/>
  <c r="M63" i="51"/>
  <c r="F30" i="56"/>
  <c r="L25" i="56"/>
  <c r="N42" i="51"/>
  <c r="I9" i="56"/>
  <c r="AA38" i="51"/>
  <c r="Y40" i="51"/>
  <c r="AJ40" i="51" s="1"/>
  <c r="Q58" i="51"/>
  <c r="J11" i="56"/>
  <c r="L19" i="56"/>
  <c r="N21" i="55"/>
  <c r="O21" i="55" s="1"/>
  <c r="Q44" i="51"/>
  <c r="J25" i="56"/>
  <c r="K11" i="56"/>
  <c r="L21" i="56"/>
  <c r="L11" i="56"/>
  <c r="R18" i="55"/>
  <c r="Y18" i="55"/>
  <c r="L20" i="55"/>
  <c r="K25" i="55"/>
  <c r="Y3" i="56" s="1"/>
  <c r="L28" i="56"/>
  <c r="M26" i="56"/>
  <c r="L26" i="56"/>
  <c r="Y54" i="51" l="1"/>
  <c r="N33" i="56"/>
  <c r="N13" i="56"/>
  <c r="G30" i="56"/>
  <c r="N11" i="56"/>
  <c r="N19" i="56"/>
  <c r="N17" i="56"/>
  <c r="N15" i="56"/>
  <c r="N37" i="56"/>
  <c r="N5" i="56"/>
  <c r="N25" i="56"/>
  <c r="N31" i="56"/>
  <c r="N26" i="56"/>
  <c r="N28" i="56"/>
  <c r="N23" i="56"/>
  <c r="AG40" i="51"/>
  <c r="AL40" i="51" s="1"/>
  <c r="P63" i="51"/>
  <c r="Q63" i="51" s="1"/>
  <c r="R63" i="51"/>
  <c r="AB39" i="51" s="1"/>
  <c r="I63" i="51"/>
  <c r="H30" i="56" s="1"/>
  <c r="T68" i="51"/>
  <c r="K35" i="56"/>
  <c r="M35" i="56"/>
  <c r="M25" i="56"/>
  <c r="M11" i="56"/>
  <c r="Q54" i="51"/>
  <c r="AD38" i="51"/>
  <c r="AA54" i="51" s="1"/>
  <c r="S54" i="51"/>
  <c r="U54" i="51"/>
  <c r="H21" i="56"/>
  <c r="J21" i="56"/>
  <c r="Q21" i="55"/>
  <c r="R21" i="55" s="1"/>
  <c r="J9" i="56"/>
  <c r="E20" i="55"/>
  <c r="S20" i="55" s="1"/>
  <c r="S25" i="55" s="1"/>
  <c r="Q42" i="51"/>
  <c r="Y39" i="51"/>
  <c r="Z40" i="51"/>
  <c r="U42" i="51"/>
  <c r="S42" i="51"/>
  <c r="H9" i="56"/>
  <c r="P25" i="55"/>
  <c r="D25" i="55"/>
  <c r="L35" i="56"/>
  <c r="N20" i="55"/>
  <c r="O20" i="55" s="1"/>
  <c r="AA18" i="55" s="1"/>
  <c r="Z31" i="55" s="1"/>
  <c r="Y56" i="51"/>
  <c r="N63" i="51"/>
  <c r="I30" i="56"/>
  <c r="AC40" i="51"/>
  <c r="AB56" i="51" s="1"/>
  <c r="AA39" i="51"/>
  <c r="M25" i="55"/>
  <c r="L9" i="56"/>
  <c r="Z38" i="51"/>
  <c r="Z23" i="55"/>
  <c r="L25" i="55"/>
  <c r="Z3" i="56" s="1"/>
  <c r="X18" i="55"/>
  <c r="W31" i="55"/>
  <c r="Y23" i="55"/>
  <c r="Y21" i="55"/>
  <c r="W23" i="55"/>
  <c r="W21" i="55"/>
  <c r="Z56" i="51" l="1"/>
  <c r="AC56" i="51"/>
  <c r="Z54" i="51"/>
  <c r="J30" i="56"/>
  <c r="AD39" i="51"/>
  <c r="I87" i="51"/>
  <c r="U63" i="51"/>
  <c r="AE38" i="51"/>
  <c r="AJ38" i="51" s="1"/>
  <c r="N35" i="56"/>
  <c r="S63" i="51"/>
  <c r="AF40" i="51"/>
  <c r="AK40" i="51" s="1"/>
  <c r="AC39" i="51"/>
  <c r="AB55" i="51" s="1"/>
  <c r="M30" i="56"/>
  <c r="M9" i="56"/>
  <c r="M21" i="56"/>
  <c r="AC38" i="51"/>
  <c r="AB54" i="51" s="1"/>
  <c r="E25" i="55"/>
  <c r="AC18" i="55"/>
  <c r="AC21" i="55" s="1"/>
  <c r="T54" i="51"/>
  <c r="K21" i="56"/>
  <c r="Y55" i="51"/>
  <c r="Q20" i="55"/>
  <c r="R20" i="55" s="1"/>
  <c r="R25" i="55" s="1"/>
  <c r="Z5" i="56" s="1"/>
  <c r="T42" i="51"/>
  <c r="K9" i="56"/>
  <c r="AG38" i="51"/>
  <c r="N25" i="55"/>
  <c r="Y4" i="56" s="1"/>
  <c r="O25" i="55"/>
  <c r="Z4" i="56" s="1"/>
  <c r="AB18" i="55"/>
  <c r="AB21" i="55" s="1"/>
  <c r="L30" i="56"/>
  <c r="Z39" i="51"/>
  <c r="AA21" i="55"/>
  <c r="AA23" i="55"/>
  <c r="Z35" i="55" s="1"/>
  <c r="X21" i="55"/>
  <c r="X31" i="55"/>
  <c r="X23" i="55"/>
  <c r="W35" i="55"/>
  <c r="Z34" i="51" l="1"/>
  <c r="AL38" i="51"/>
  <c r="AD56" i="51"/>
  <c r="AA55" i="51"/>
  <c r="U87" i="51"/>
  <c r="AE39" i="51"/>
  <c r="AG39" i="51"/>
  <c r="AC54" i="51"/>
  <c r="S87" i="51"/>
  <c r="N9" i="56"/>
  <c r="K30" i="56"/>
  <c r="T63" i="51"/>
  <c r="T87" i="51" s="1"/>
  <c r="AC23" i="55"/>
  <c r="AC34" i="51"/>
  <c r="Z6" i="56"/>
  <c r="N21" i="56"/>
  <c r="AF38" i="51"/>
  <c r="AK38" i="51" s="1"/>
  <c r="Q25" i="55"/>
  <c r="Y5" i="56" s="1"/>
  <c r="Y6" i="56" s="1"/>
  <c r="AE18" i="55"/>
  <c r="AE23" i="55" s="1"/>
  <c r="AD18" i="55"/>
  <c r="AD23" i="55" s="1"/>
  <c r="X24" i="55" s="1"/>
  <c r="X26" i="55" s="1"/>
  <c r="AB23" i="55"/>
  <c r="Y35" i="55" s="1"/>
  <c r="Y31" i="55"/>
  <c r="Z55" i="51"/>
  <c r="X35" i="55"/>
  <c r="AE46" i="51" l="1"/>
  <c r="AE48" i="51" s="1"/>
  <c r="C16" i="58" s="1"/>
  <c r="AJ39" i="51"/>
  <c r="AL39" i="51"/>
  <c r="AD54" i="51"/>
  <c r="AC55" i="51"/>
  <c r="AG46" i="51"/>
  <c r="S91" i="51" s="1"/>
  <c r="AF39" i="51"/>
  <c r="AK39" i="51" s="1"/>
  <c r="N30" i="56"/>
  <c r="C7" i="58"/>
  <c r="C25" i="58" s="1"/>
  <c r="X19" i="51"/>
  <c r="AA35" i="55"/>
  <c r="S6" i="56"/>
  <c r="U91" i="51"/>
  <c r="AA31" i="55"/>
  <c r="Z8" i="56"/>
  <c r="AE21" i="55"/>
  <c r="AB35" i="55"/>
  <c r="AH22" i="55"/>
  <c r="AD21" i="55"/>
  <c r="Y24" i="55"/>
  <c r="Y8" i="56"/>
  <c r="AB31" i="55"/>
  <c r="AD55" i="51" l="1"/>
  <c r="AC62" i="51"/>
  <c r="Y19" i="51"/>
  <c r="AG48" i="51"/>
  <c r="D16" i="58" s="1"/>
  <c r="D7" i="58"/>
  <c r="D25" i="58" s="1"/>
  <c r="T6" i="56"/>
  <c r="AH23" i="55"/>
  <c r="AF34" i="51"/>
  <c r="AF46" i="51"/>
  <c r="U6" i="56" s="1"/>
  <c r="AC64" i="51" l="1"/>
  <c r="T91" i="51"/>
  <c r="E7" i="58"/>
  <c r="AD62" i="51"/>
  <c r="Z19" i="51"/>
  <c r="AF48" i="51"/>
  <c r="E16" i="58" s="1"/>
  <c r="G7" i="58" l="1"/>
  <c r="G25" i="58" s="1"/>
  <c r="E25" i="58"/>
  <c r="G16" i="58"/>
  <c r="AD64" i="51"/>
  <c r="AB43" i="51" l="1"/>
  <c r="AB46" i="51" s="1"/>
  <c r="R81" i="51"/>
  <c r="R87" i="51"/>
  <c r="M81" i="51"/>
  <c r="M87" i="51" s="1"/>
  <c r="P81" i="51"/>
  <c r="Q81" i="51" s="1"/>
  <c r="AC43" i="51" s="1"/>
  <c r="H87" i="51"/>
  <c r="G48" i="56"/>
  <c r="F48" i="56"/>
  <c r="AD43" i="51" l="1"/>
  <c r="AD46" i="51" s="1"/>
  <c r="AA43" i="51"/>
  <c r="AA46" i="51" s="1"/>
  <c r="I48" i="56"/>
  <c r="J48" i="56"/>
  <c r="N81" i="51"/>
  <c r="AA59" i="51"/>
  <c r="P87" i="51"/>
  <c r="O90" i="51" s="1"/>
  <c r="X18" i="51"/>
  <c r="C6" i="58"/>
  <c r="C24" i="58" s="1"/>
  <c r="S5" i="56"/>
  <c r="AB48" i="51"/>
  <c r="C15" i="58" s="1"/>
  <c r="R91" i="51"/>
  <c r="G88" i="51"/>
  <c r="G89" i="51"/>
  <c r="AB59" i="51"/>
  <c r="AC46" i="51"/>
  <c r="N87" i="51"/>
  <c r="G90" i="51"/>
  <c r="Q87" i="51"/>
  <c r="M48" i="56"/>
  <c r="O81" i="51"/>
  <c r="D5" i="58" l="1"/>
  <c r="D23" i="58" s="1"/>
  <c r="AA48" i="51"/>
  <c r="Y17" i="51"/>
  <c r="M91" i="51"/>
  <c r="T4" i="56"/>
  <c r="AL43" i="51"/>
  <c r="AL46" i="51" s="1"/>
  <c r="AL48" i="51" s="1"/>
  <c r="P91" i="51"/>
  <c r="L48" i="56"/>
  <c r="Z43" i="51"/>
  <c r="AK43" i="51" s="1"/>
  <c r="AK46" i="51" s="1"/>
  <c r="AK48" i="51" s="1"/>
  <c r="Q91" i="51"/>
  <c r="O87" i="51"/>
  <c r="N90" i="51" s="1"/>
  <c r="Y43" i="51"/>
  <c r="AJ43" i="51" s="1"/>
  <c r="AJ46" i="51" s="1"/>
  <c r="AJ48" i="51" s="1"/>
  <c r="D6" i="58"/>
  <c r="AD48" i="51"/>
  <c r="T9" i="56" s="1"/>
  <c r="AA62" i="51"/>
  <c r="Y18" i="51"/>
  <c r="Y20" i="51" s="1"/>
  <c r="T5" i="56"/>
  <c r="M90" i="51"/>
  <c r="D14" i="58"/>
  <c r="AC48" i="51"/>
  <c r="Z18" i="51"/>
  <c r="U5" i="56"/>
  <c r="E6" i="58"/>
  <c r="AB62" i="51"/>
  <c r="T7" i="56" l="1"/>
  <c r="Z46" i="51"/>
  <c r="G6" i="58"/>
  <c r="G24" i="58" s="1"/>
  <c r="E24" i="58"/>
  <c r="D8" i="58"/>
  <c r="D24" i="58"/>
  <c r="D26" i="58" s="1"/>
  <c r="D28" i="58" s="1"/>
  <c r="AB64" i="51"/>
  <c r="E15" i="58"/>
  <c r="AA64" i="51"/>
  <c r="D15" i="58"/>
  <c r="Y46" i="51"/>
  <c r="Z59" i="51"/>
  <c r="Y59" i="51"/>
  <c r="E5" i="58" l="1"/>
  <c r="U4" i="56"/>
  <c r="U7" i="56" s="1"/>
  <c r="Z17" i="51"/>
  <c r="Z20" i="51" s="1"/>
  <c r="Z48" i="51"/>
  <c r="N91" i="51"/>
  <c r="D17" i="58"/>
  <c r="G15" i="58"/>
  <c r="S4" i="56"/>
  <c r="S7" i="56" s="1"/>
  <c r="Y48" i="51"/>
  <c r="C5" i="58"/>
  <c r="X17" i="51"/>
  <c r="X20" i="51" s="1"/>
  <c r="Y62" i="51"/>
  <c r="Z62" i="51"/>
  <c r="O91" i="51"/>
  <c r="E14" i="58" l="1"/>
  <c r="U9" i="56"/>
  <c r="E23" i="58"/>
  <c r="E26" i="58" s="1"/>
  <c r="E28" i="58" s="1"/>
  <c r="G5" i="58"/>
  <c r="E8" i="58"/>
  <c r="C8" i="58"/>
  <c r="C23" i="58"/>
  <c r="C26" i="58" s="1"/>
  <c r="C28" i="58" s="1"/>
  <c r="C14" i="58"/>
  <c r="S9" i="56"/>
  <c r="Y64" i="51"/>
  <c r="Z64" i="51"/>
  <c r="G8" i="58" l="1"/>
  <c r="G23" i="58"/>
  <c r="G26" i="58" s="1"/>
  <c r="G28" i="58" s="1"/>
  <c r="E17" i="58"/>
  <c r="G14" i="58"/>
  <c r="G17" i="58" s="1"/>
  <c r="C17"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Garfinkel, Johanna</author>
    <author>Schultz, Eric</author>
    <author>tc={FC5DEB2B-DCF3-4165-8961-95BA4FD287B2}</author>
    <author>tc={E29C4E1D-52AB-40ED-AF80-89D0BE7294B1}</author>
    <author>tc={FA717C4C-A291-452D-B4A8-ACDC1A29EBA4}</author>
    <author>tc={04F32012-7F80-4E41-B2B9-2FE289FF4251}</author>
    <author>tc={EAB357CD-BFC3-4E0F-8D00-703FE8972856}</author>
    <author>tc={B6EAE95A-15AD-428A-B014-6AEF43505CCD}</author>
    <author>tc={4573290C-4F20-4ADB-9971-7A17D1B2168F}</author>
    <author>tc={313D928F-4698-4267-9343-70BC8B61E0F5}</author>
    <author>tc={FAD98953-9EED-48AF-B545-6E1763E4FFD3}</author>
    <author>tc={BCFD6203-FAF1-4439-8E19-4EE27C219545}</author>
    <author>tc={22FF3D32-0424-47BD-A9FB-111003331A5B}</author>
    <author>tc={7DB79E5F-22E6-4780-A300-5A5840411AC9}</author>
    <author>tc={20ECA0FD-D807-4C90-95BE-22167C5F7615}</author>
    <author>tc={5F52FA5C-8A30-4196-9B37-E78790FC0A0F}</author>
    <author>tc={8ED22243-DFB6-4722-94C4-1FE0977AB430}</author>
    <author>tc={FB3BF226-CD90-4FBC-90C4-C2B283066DCB}</author>
    <author>tc={8B608C0E-C6C6-44F7-9572-8DAA2F25BA73}</author>
    <author>tc={607DD503-ACC9-4B17-B0FF-FA343199FA0C}</author>
    <author>tc={1F0EAE4F-F7FF-48B5-BE93-73B675C3906C}</author>
    <author>tc={6A703414-7625-4936-B95A-47BA1039C074}</author>
    <author>tc={A391E129-F5C9-4D3D-AE2D-5FC27E9872FC}</author>
    <author>tc={9A86E494-E8B2-4AD6-8FE5-D0BDEB4B8BF7}</author>
    <author>tc={96A856E9-EE82-45D8-888D-FEEAE7DDEBF6}</author>
    <author>tc={CA840783-D303-42F7-8AF5-DA0C21D6B461}</author>
    <author>tc={7D4B3CCC-8709-4751-A560-7B89370F3673}</author>
    <author>tc={2FA51086-6EDD-4C86-9CD6-05439ED1F864}</author>
    <author>tc={038C3AF1-A2FD-4326-A99E-BC39F31D07AF}</author>
    <author>tc={3FDEE9B2-3ADC-447D-B3B7-B6E95D10C423}</author>
    <author>tc={48E05308-3839-427D-89B6-061A14894703}</author>
    <author>tc={ADE2F6CE-1AF9-4E33-82AD-3C27A45E779F}</author>
    <author>tc={2741A473-BF99-4667-BC69-7AE9F1D99AB3}</author>
    <author>tc={26D00EFA-43BF-4733-94B1-89818B7392A6}</author>
    <author>tc={2FA7BDB3-74A5-4844-8E93-4EA2B89DCE18}</author>
    <author>tc={25BEB40B-51B5-48DF-AAC3-0DB8EF26380F}</author>
    <author>tc={AA731D4B-531A-4EB2-83D8-A893F0DBF68C}</author>
    <author>tc={EF4CA544-7764-43C5-8EBB-07FF2808CBB4}</author>
    <author>tc={1F38A5FA-62E9-44CA-9D00-DBDCDE82F040}</author>
  </authors>
  <commentList>
    <comment ref="D13" authorId="0" shapeId="0" xr:uid="{360054D3-20BF-4CF8-A588-E40B29EE21BF}">
      <text>
        <r>
          <rPr>
            <b/>
            <sz val="9"/>
            <color indexed="81"/>
            <rFont val="Tahoma"/>
            <family val="2"/>
          </rPr>
          <t>Garfinkel, Johanna:</t>
        </r>
        <r>
          <rPr>
            <sz val="9"/>
            <color indexed="81"/>
            <rFont val="Tahoma"/>
            <family val="2"/>
          </rPr>
          <t xml:space="preserve">
Includes fringe rate of 31.2% - https://www.bls.gov/news.release/archives/ecec_06162022.pdf (June 2022)</t>
        </r>
      </text>
    </comment>
    <comment ref="D14" authorId="0" shapeId="0" xr:uid="{E3149673-0A5B-40D3-A069-AB9E3C83C78C}">
      <text>
        <r>
          <rPr>
            <b/>
            <sz val="9"/>
            <color indexed="81"/>
            <rFont val="Tahoma"/>
            <family val="2"/>
          </rPr>
          <t>Garfinkel, Johanna:</t>
        </r>
        <r>
          <rPr>
            <sz val="9"/>
            <color indexed="81"/>
            <rFont val="Tahoma"/>
            <family val="2"/>
          </rPr>
          <t xml:space="preserve">
Includes fringe rate of 31.2% - https://www.bls.gov/news.release/archives/ecec_06162022.pdf (June 2022)</t>
        </r>
      </text>
    </comment>
    <comment ref="AN36" authorId="1" shapeId="0" xr:uid="{A03A523B-4B86-4B56-B98D-C1089546A5B9}">
      <text>
        <r>
          <rPr>
            <b/>
            <sz val="9"/>
            <color indexed="81"/>
            <rFont val="Tahoma"/>
            <charset val="1"/>
          </rPr>
          <t>Schultz, Eric:</t>
        </r>
        <r>
          <rPr>
            <sz val="9"/>
            <color indexed="81"/>
            <rFont val="Tahoma"/>
            <charset val="1"/>
          </rPr>
          <t xml:space="preserve">
assumes Reclaimer Reporting and Recordkeeping is split between reporting and recordkeeping categories</t>
        </r>
      </text>
    </comment>
    <comment ref="G37" authorId="2" shapeId="0" xr:uid="{FC5DEB2B-DCF3-4165-8961-95BA4FD287B2}">
      <text>
        <t>[Threaded comment]
Your version of Excel allows you to read this threaded comment; however, any edits to it will get removed if the file is opened in a newer version of Excel. Learn more: https://go.microsoft.com/fwlink/?linkid=870924
Comment:
    Proportionally increased current ICR assumption by ratio of ODS to HFC equipment assumed subject to leak repair requirements.</t>
      </text>
    </comment>
    <comment ref="G38" authorId="3" shapeId="0" xr:uid="{E29C4E1D-52AB-40ED-AF80-89D0BE7294B1}">
      <text>
        <t>[Threaded comment]
Your version of Excel allows you to read this threaded comment; however, any edits to it will get removed if the file is opened in a newer version of Excel. Learn more: https://go.microsoft.com/fwlink/?linkid=870924
Comment:
    Proportionally increased current ICR assumption by ratio of ODS to HFC equipment assumed subject to leak repair requirements.</t>
      </text>
    </comment>
    <comment ref="G39" authorId="4" shapeId="0" xr:uid="{FA717C4C-A291-452D-B4A8-ACDC1A29EBA4}">
      <text>
        <t>[Threaded comment]
Your version of Excel allows you to read this threaded comment; however, any edits to it will get removed if the file is opened in a newer version of Excel. Learn more: https://go.microsoft.com/fwlink/?linkid=870924
Comment:
    Proportionally increased current ICR assumption by ratio of ODS to HFC equipment assumed subject to leak repair requirements.</t>
      </text>
    </comment>
    <comment ref="G40" authorId="5" shapeId="0" xr:uid="{04F32012-7F80-4E41-B2B9-2FE289FF4251}">
      <text>
        <t>[Threaded comment]
Your version of Excel allows you to read this threaded comment; however, any edits to it will get removed if the file is opened in a newer version of Excel. Learn more: https://go.microsoft.com/fwlink/?linkid=870924
Comment:
    Proportionally increased current ICR assumption by ratio of ODS to HFC equipment assumed subject to leak repair requirements.</t>
      </text>
    </comment>
    <comment ref="G41" authorId="6" shapeId="0" xr:uid="{EAB357CD-BFC3-4E0F-8D00-703FE8972856}">
      <text>
        <t>[Threaded comment]
Your version of Excel allows you to read this threaded comment; however, any edits to it will get removed if the file is opened in a newer version of Excel. Learn more: https://go.microsoft.com/fwlink/?linkid=870924
Comment:
    Assumes 5% of planned requests are able to repair leaks</t>
      </text>
    </comment>
    <comment ref="G42" authorId="7" shapeId="0" xr:uid="{B6EAE95A-15AD-428A-B014-6AEF43505CCD}">
      <text>
        <t>[Threaded comment]
Your version of Excel allows you to read this threaded comment; however, any edits to it will get removed if the file is opened in a newer version of Excel. Learn more: https://go.microsoft.com/fwlink/?linkid=870924
Comment:
    Assumes 5% of planned requests are able to repair leaks</t>
      </text>
    </comment>
    <comment ref="G43" authorId="8" shapeId="0" xr:uid="{4573290C-4F20-4ADB-9971-7A17D1B2168F}">
      <text>
        <t>[Threaded comment]
Your version of Excel allows you to read this threaded comment; however, any edits to it will get removed if the file is opened in a newer version of Excel. Learn more: https://go.microsoft.com/fwlink/?linkid=870924
Comment:
    Estimated number of "worst leakers" of affected HFC equipment</t>
      </text>
    </comment>
    <comment ref="G44" authorId="9" shapeId="0" xr:uid="{313D928F-4698-4267-9343-70BC8B61E0F5}">
      <text>
        <t>[Threaded comment]
Your version of Excel allows you to read this threaded comment; however, any edits to it will get removed if the file is opened in a newer version of Excel. Learn more: https://go.microsoft.com/fwlink/?linkid=870924
Comment:
    Estimated number of "worst leakers" of affected HFC equipment</t>
      </text>
    </comment>
    <comment ref="G51" authorId="10" shapeId="0" xr:uid="{FAD98953-9EED-48AF-B545-6E1763E4FFD3}">
      <text>
        <t>[Threaded comment]
Your version of Excel allows you to read this threaded comment; however, any edits to it will get removed if the file is opened in a newer version of Excel. Learn more: https://go.microsoft.com/fwlink/?linkid=870924
Comment:
    Analysis assumes 1% of equipment experiences retrofit outcome</t>
      </text>
    </comment>
    <comment ref="G52" authorId="11" shapeId="0" xr:uid="{BCFD6203-FAF1-4439-8E19-4EE27C219545}">
      <text>
        <t>[Threaded comment]
Your version of Excel allows you to read this threaded comment; however, any edits to it will get removed if the file is opened in a newer version of Excel. Learn more: https://go.microsoft.com/fwlink/?linkid=870924
Comment:
    Analysis assumes 1% of equipment experiences retrofit outcome</t>
      </text>
    </comment>
    <comment ref="G53" authorId="12" shapeId="0" xr:uid="{22FF3D32-0424-47BD-A9FB-111003331A5B}">
      <text>
        <t>[Threaded comment]
Your version of Excel allows you to read this threaded comment; however, any edits to it will get removed if the file is opened in a newer version of Excel. Learn more: https://go.microsoft.com/fwlink/?linkid=870924
Comment:
    Assumed 2% of systems with retire/replace or retrofit plan</t>
      </text>
    </comment>
    <comment ref="G54" authorId="13" shapeId="0" xr:uid="{7DB79E5F-22E6-4780-A300-5A5840411AC9}">
      <text>
        <t>[Threaded comment]
Your version of Excel allows you to read this threaded comment; however, any edits to it will get removed if the file is opened in a newer version of Excel. Learn more: https://go.microsoft.com/fwlink/?linkid=870924
Comment:
    Assumed 2% of systems with retire/replace or retrofit plan</t>
      </text>
    </comment>
    <comment ref="J64" authorId="14" shapeId="0" xr:uid="{20ECA0FD-D807-4C90-95BE-22167C5F7615}">
      <text>
        <t>[Threaded comment]
Your version of Excel allows you to read this threaded comment; however, any edits to it will get removed if the file is opened in a newer version of Excel. Learn more: https://go.microsoft.com/fwlink/?linkid=870924
Comment:
    Assuming 50% of ALD systems are direct with leak calculation and data storage capabilities, so burden only assumed for equipment with indirect ALD.</t>
      </text>
    </comment>
    <comment ref="K64" authorId="15" shapeId="0" xr:uid="{5F52FA5C-8A30-4196-9B37-E78790FC0A0F}">
      <text>
        <t>[Threaded comment]
Your version of Excel allows you to read this threaded comment; however, any edits to it will get removed if the file is opened in a newer version of Excel. Learn more: https://go.microsoft.com/fwlink/?linkid=870924
Comment:
    Assuming 50% of ALD systems are direct with leak calculation and data storage capabilities, so burden only assumed for equipment with indirect ALD.</t>
      </text>
    </comment>
    <comment ref="G71" authorId="16" shapeId="0" xr:uid="{8ED22243-DFB6-4722-94C4-1FE0977AB430}">
      <text>
        <t>[Threaded comment]
Your version of Excel allows you to read this threaded comment; however, any edits to it will get removed if the file is opened in a newer version of Excel. Learn more: https://go.microsoft.com/fwlink/?linkid=870924
Comment:
    15 HEEP reporters + 5 additional companies that do not have to report to HEEP (e.g., OEMs that do not also refill equipment)</t>
      </text>
    </comment>
    <comment ref="K71" authorId="17" shapeId="0" xr:uid="{FB3BF226-CD90-4FBC-90C4-C2B283066DCB}">
      <text>
        <t>[Threaded comment]
Your version of Excel allows you to read this threaded comment; however, any edits to it will get removed if the file is opened in a newer version of Excel. Learn more: https://go.microsoft.com/fwlink/?linkid=870924
Comment:
    Based off 2024 Allocation Rule assumption for quarterly report - assumed that the amount of time will be the same because they'll already have the data</t>
      </text>
    </comment>
    <comment ref="L73" authorId="0" shapeId="0" xr:uid="{00DDD2CA-0690-4F3A-8753-AE5CF17EF1AC}">
      <text>
        <r>
          <rPr>
            <b/>
            <sz val="9"/>
            <color indexed="81"/>
            <rFont val="Tahoma"/>
            <family val="2"/>
          </rPr>
          <t>Garfinkel, Johanna:</t>
        </r>
        <r>
          <rPr>
            <sz val="9"/>
            <color indexed="81"/>
            <rFont val="Tahoma"/>
            <family val="2"/>
          </rPr>
          <t xml:space="preserve">
Assumed 3.5 hours for administrative activities (marketing managers) and 5.5 hours for graphic design</t>
        </r>
      </text>
    </comment>
    <comment ref="G75" authorId="18" shapeId="0" xr:uid="{8B608C0E-C6C6-44F7-9572-8DAA2F25BA73}">
      <text>
        <t>[Threaded comment]
Your version of Excel allows you to read this threaded comment; however, any edits to it will get removed if the file is opened in a newer version of Excel. Learn more: https://go.microsoft.com/fwlink/?linkid=870924
Comment:
    Assumed that 25% of respondents start registering and reporting before the required start date</t>
      </text>
    </comment>
    <comment ref="H75" authorId="19" shapeId="0" xr:uid="{607DD503-ACC9-4B17-B0FF-FA343199FA0C}">
      <text>
        <t>[Threaded comment]
Your version of Excel allows you to read this threaded comment; however, any edits to it will get removed if the file is opened in a newer version of Excel. Learn more: https://go.microsoft.com/fwlink/?linkid=870924
Comment:
    Assumptions based on 2024 HFC Allocation Rule</t>
      </text>
    </comment>
    <comment ref="I75" authorId="20" shapeId="0" xr:uid="{1F0EAE4F-F7FF-48B5-BE93-73B675C3906C}">
      <text>
        <t>[Threaded comment]
Your version of Excel allows you to read this threaded comment; however, any edits to it will get removed if the file is opened in a newer version of Excel. Learn more: https://go.microsoft.com/fwlink/?linkid=870924
Comment:
    Assumptions based on 2024 HFC Allocation Rule</t>
      </text>
    </comment>
    <comment ref="L75" authorId="0" shapeId="0" xr:uid="{2E90E7BE-2A18-466A-9064-2309857814E0}">
      <text>
        <r>
          <rPr>
            <b/>
            <sz val="9"/>
            <color indexed="81"/>
            <rFont val="Tahoma"/>
            <family val="2"/>
          </rPr>
          <t>Garfinkel, Johanna:</t>
        </r>
        <r>
          <rPr>
            <sz val="9"/>
            <color indexed="81"/>
            <rFont val="Tahoma"/>
            <family val="2"/>
          </rPr>
          <t xml:space="preserve">
Assumed burden for "environmental engineers" for tracking ID system activities</t>
        </r>
      </text>
    </comment>
    <comment ref="G76" authorId="21" shapeId="0" xr:uid="{6A703414-7625-4936-B95A-47BA1039C074}">
      <text>
        <t>[Threaded comment]
Your version of Excel allows you to read this threaded comment; however, any edits to it will get removed if the file is opened in a newer version of Excel. Learn more: https://go.microsoft.com/fwlink/?linkid=870924
Comment:
    Assumed that 25% of respondents start registering and reporting before the required start date</t>
      </text>
    </comment>
    <comment ref="J76" authorId="22" shapeId="0" xr:uid="{A391E129-F5C9-4D3D-AE2D-5FC27E9872FC}">
      <text>
        <t>[Threaded comment]
Your version of Excel allows you to read this threaded comment; however, any edits to it will get removed if the file is opened in a newer version of Excel. Learn more: https://go.microsoft.com/fwlink/?linkid=870924
Comment:
    Assumes fire suppression agent recyclers scan cylinders upon return also (2X)</t>
      </text>
    </comment>
    <comment ref="H77" authorId="23" shapeId="0" xr:uid="{9A86E494-E8B2-4AD6-8FE5-D0BDEB4B8BF7}">
      <text>
        <t>[Threaded comment]
Your version of Excel allows you to read this threaded comment; however, any edits to it will get removed if the file is opened in a newer version of Excel. Learn more: https://go.microsoft.com/fwlink/?linkid=870924
Comment:
    Assumptions based on 2024 HFC Allocation Rule</t>
      </text>
    </comment>
    <comment ref="H79" authorId="24" shapeId="0" xr:uid="{96A856E9-EE82-45D8-888D-FEEAE7DDEBF6}">
      <text>
        <t>[Threaded comment]
Your version of Excel allows you to read this threaded comment; however, any edits to it will get removed if the file is opened in a newer version of Excel. Learn more: https://go.microsoft.com/fwlink/?linkid=870924
Comment:
    Assumptions based on 2024 HFC Allocation Rule</t>
      </text>
    </comment>
    <comment ref="G81" authorId="25" shapeId="0" xr:uid="{CA840783-D303-42F7-8AF5-DA0C21D6B461}">
      <text>
        <t>[Threaded comment]
Your version of Excel allows you to read this threaded comment; however, any edits to it will get removed if the file is opened in a newer version of Excel. Learn more: https://go.microsoft.com/fwlink/?linkid=870924
Comment:
    Assumed that 25% of respondents start registering and reporting before the required start date</t>
      </text>
    </comment>
    <comment ref="H81" authorId="26" shapeId="0" xr:uid="{7D4B3CCC-8709-4751-A560-7B89370F3673}">
      <text>
        <t>[Threaded comment]
Your version of Excel allows you to read this threaded comment; however, any edits to it will get removed if the file is opened in a newer version of Excel. Learn more: https://go.microsoft.com/fwlink/?linkid=870924
Comment:
    Assumptions based on 2024 HFC Allocation Rule</t>
      </text>
    </comment>
    <comment ref="I81" authorId="27" shapeId="0" xr:uid="{2FA51086-6EDD-4C86-9CD6-05439ED1F864}">
      <text>
        <t>[Threaded comment]
Your version of Excel allows you to read this threaded comment; however, any edits to it will get removed if the file is opened in a newer version of Excel. Learn more: https://go.microsoft.com/fwlink/?linkid=870924
Comment:
    Assumptions based on 2024 HFC Allocation Rule</t>
      </text>
    </comment>
    <comment ref="G82" authorId="28" shapeId="0" xr:uid="{038C3AF1-A2FD-4326-A99E-BC39F31D07AF}">
      <text>
        <t>[Threaded comment]
Your version of Excel allows you to read this threaded comment; however, any edits to it will get removed if the file is opened in a newer version of Excel. Learn more: https://go.microsoft.com/fwlink/?linkid=870924
Comment:
    Assumed that 25% of respondents start registering and reporting before the required start date</t>
      </text>
    </comment>
    <comment ref="G83" authorId="29" shapeId="0" xr:uid="{3FDEE9B2-3ADC-447D-B3B7-B6E95D10C423}">
      <text>
        <t>[Threaded comment]
Your version of Excel allows you to read this threaded comment; however, any edits to it will get removed if the file is opened in a newer version of Excel. Learn more: https://go.microsoft.com/fwlink/?linkid=870924
Comment:
    Assumed that 25% of respondents start registering and reporting before the required start date</t>
      </text>
    </comment>
    <comment ref="H83" authorId="30" shapeId="0" xr:uid="{48E05308-3839-427D-89B6-061A14894703}">
      <text>
        <t>[Threaded comment]
Your version of Excel allows you to read this threaded comment; however, any edits to it will get removed if the file is opened in a newer version of Excel. Learn more: https://go.microsoft.com/fwlink/?linkid=870924
Comment:
    Assumptions based on 2024 HFC Allocation Rule</t>
      </text>
    </comment>
    <comment ref="G84" authorId="31" shapeId="0" xr:uid="{ADE2F6CE-1AF9-4E33-82AD-3C27A45E779F}">
      <text>
        <t>[Threaded comment]
Your version of Excel allows you to read this threaded comment; however, any edits to it will get removed if the file is opened in a newer version of Excel. Learn more: https://go.microsoft.com/fwlink/?linkid=870924
Comment:
    Assumed that 25% of respondents start registering and reporting before the required start date</t>
      </text>
    </comment>
    <comment ref="H84" authorId="32" shapeId="0" xr:uid="{2741A473-BF99-4667-BC69-7AE9F1D99AB3}">
      <text>
        <t>[Threaded comment]
Your version of Excel allows you to read this threaded comment; however, any edits to it will get removed if the file is opened in a newer version of Excel. Learn more: https://go.microsoft.com/fwlink/?linkid=870924
Comment:
    Assumptions based on 2024 HFC Allocation Rule</t>
      </text>
    </comment>
    <comment ref="J84" authorId="33" shapeId="0" xr:uid="{26D00EFA-43BF-4733-94B1-89818B7392A6}">
      <text>
        <t>[Threaded comment]
Your version of Excel allows you to read this threaded comment; however, any edits to it will get removed if the file is opened in a newer version of Excel. Learn more: https://go.microsoft.com/fwlink/?linkid=870924
Comment:
    Assumes suppliers receive and scan half cylinders upon return also (1.5X)</t>
      </text>
    </comment>
    <comment ref="G85" authorId="34" shapeId="0" xr:uid="{2FA7BDB3-74A5-4844-8E93-4EA2B89DCE18}">
      <text>
        <t>[Threaded comment]
Your version of Excel allows you to read this threaded comment; however, any edits to it will get removed if the file is opened in a newer version of Excel. Learn more: https://go.microsoft.com/fwlink/?linkid=870924
Comment:
    Assumed that 25% of respondents start registering and reporting before the required start date</t>
      </text>
    </comment>
    <comment ref="H85" authorId="35" shapeId="0" xr:uid="{25BEB40B-51B5-48DF-AAC3-0DB8EF26380F}">
      <text>
        <t>[Threaded comment]
Your version of Excel allows you to read this threaded comment; however, any edits to it will get removed if the file is opened in a newer version of Excel. Learn more: https://go.microsoft.com/fwlink/?linkid=870924
Comment:
    Assumptions based on 2024 HFC Allocation Rule</t>
      </text>
    </comment>
    <comment ref="G86" authorId="36" shapeId="0" xr:uid="{AA731D4B-531A-4EB2-83D8-A893F0DBF68C}">
      <text>
        <t>[Threaded comment]
Your version of Excel allows you to read this threaded comment; however, any edits to it will get removed if the file is opened in a newer version of Excel. Learn more: https://go.microsoft.com/fwlink/?linkid=870924
Comment:
    Assumed that 25% of respondents start registering and reporting before the required start date</t>
      </text>
    </comment>
    <comment ref="H86" authorId="37" shapeId="0" xr:uid="{EF4CA544-7764-43C5-8EBB-07FF2808CBB4}">
      <text>
        <t>[Threaded comment]
Your version of Excel allows you to read this threaded comment; however, any edits to it will get removed if the file is opened in a newer version of Excel. Learn more: https://go.microsoft.com/fwlink/?linkid=870924
Comment:
    Assumptions based on 2024 HFC Allocation Rule</t>
      </text>
    </comment>
    <comment ref="J86" authorId="38" shapeId="0" xr:uid="{1F38A5FA-62E9-44CA-9D00-DBDCDE82F040}">
      <text>
        <t>[Threaded comment]
Your version of Excel allows you to read this threaded comment; however, any edits to it will get removed if the file is opened in a newer version of Excel. Learn more: https://go.microsoft.com/fwlink/?linkid=870924
Comment:
    Assumes reclaimers scan cylinders upon return also (2X)</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Golla, Emily</author>
  </authors>
  <commentList>
    <comment ref="C26" authorId="0" shapeId="0" xr:uid="{78CFB5D1-9512-49F5-9A00-EDD6D4080A24}">
      <text>
        <r>
          <rPr>
            <b/>
            <sz val="9"/>
            <color indexed="81"/>
            <rFont val="Tahoma"/>
            <family val="2"/>
          </rPr>
          <t>Golla, Emily:</t>
        </r>
        <r>
          <rPr>
            <sz val="9"/>
            <color indexed="81"/>
            <rFont val="Tahoma"/>
            <family val="2"/>
          </rPr>
          <t xml:space="preserve">
Updated to reflect 2021 report submissions and new reporters expected for 2022</t>
        </r>
      </text>
    </comment>
    <comment ref="C27" authorId="0" shapeId="0" xr:uid="{482365E2-FC10-4672-A024-8C2DDACB9EE6}">
      <text>
        <r>
          <rPr>
            <b/>
            <sz val="9"/>
            <color indexed="81"/>
            <rFont val="Tahoma"/>
            <family val="2"/>
          </rPr>
          <t>Golla, Emily:</t>
        </r>
        <r>
          <rPr>
            <sz val="9"/>
            <color indexed="81"/>
            <rFont val="Tahoma"/>
            <family val="2"/>
          </rPr>
          <t xml:space="preserve">
Updated based on input from EPA</t>
        </r>
      </text>
    </comment>
    <comment ref="C30" authorId="0" shapeId="0" xr:uid="{8654E13D-5882-4A78-8DA3-1779C61BB0D7}">
      <text>
        <r>
          <rPr>
            <b/>
            <sz val="9"/>
            <color indexed="81"/>
            <rFont val="Tahoma"/>
            <family val="2"/>
          </rPr>
          <t>Golla, Emily:</t>
        </r>
        <r>
          <rPr>
            <sz val="9"/>
            <color indexed="81"/>
            <rFont val="Tahoma"/>
            <family val="2"/>
          </rPr>
          <t xml:space="preserve">
Based on data on the number of wholesaler locations from Heating, Air-conditioning &amp; Refrigeration Distributors International (HARDI) and  consistent with assumptions used in the HFC Allocation Rule ICR (Recordkeeping and Reporting of the Hydrofluorocarbon Allowance Allocation and Trading Program).</t>
        </r>
      </text>
    </comment>
    <comment ref="C32" authorId="0" shapeId="0" xr:uid="{E2E530A2-EF2D-4FED-B834-08FFBCED7DE1}">
      <text>
        <r>
          <rPr>
            <b/>
            <sz val="9"/>
            <color indexed="81"/>
            <rFont val="Tahoma"/>
            <family val="2"/>
          </rPr>
          <t>Golla, Emily:</t>
        </r>
        <r>
          <rPr>
            <sz val="9"/>
            <color indexed="81"/>
            <rFont val="Tahoma"/>
            <family val="2"/>
          </rPr>
          <t xml:space="preserve">
Updated to reflect 2021 report submissions</t>
        </r>
      </text>
    </comment>
    <comment ref="C33" authorId="0" shapeId="0" xr:uid="{EFCF32AF-0726-4221-8E1E-EB6B19A3FF55}">
      <text>
        <r>
          <rPr>
            <b/>
            <sz val="9"/>
            <color indexed="81"/>
            <rFont val="Tahoma"/>
            <family val="2"/>
          </rPr>
          <t>Golla, Emily:</t>
        </r>
        <r>
          <rPr>
            <sz val="9"/>
            <color indexed="81"/>
            <rFont val="Tahoma"/>
            <family val="2"/>
          </rPr>
          <t xml:space="preserve">
Updated to reflect 2021 report submissions</t>
        </r>
      </text>
    </comment>
    <comment ref="D39" authorId="0" shapeId="0" xr:uid="{1D2B9E61-77F6-448A-A43A-777627C33B07}">
      <text>
        <r>
          <rPr>
            <b/>
            <sz val="9"/>
            <color indexed="81"/>
            <rFont val="Tahoma"/>
            <family val="2"/>
          </rPr>
          <t>Golla, Emily:</t>
        </r>
        <r>
          <rPr>
            <sz val="9"/>
            <color indexed="81"/>
            <rFont val="Tahoma"/>
            <family val="2"/>
          </rPr>
          <t xml:space="preserve">
Based on # of ODS equipment needing general servicing (i.e., topups) from 2016. Assumes 1 invoices.</t>
        </r>
      </text>
    </comment>
    <comment ref="D40" authorId="0" shapeId="0" xr:uid="{B13193BE-4E96-442A-AE93-54BDA4A9D382}">
      <text>
        <r>
          <rPr>
            <b/>
            <sz val="9"/>
            <color indexed="81"/>
            <rFont val="Tahoma"/>
            <family val="2"/>
          </rPr>
          <t>Golla, Emily:</t>
        </r>
        <r>
          <rPr>
            <sz val="9"/>
            <color indexed="81"/>
            <rFont val="Tahoma"/>
            <family val="2"/>
          </rPr>
          <t xml:space="preserve">
Based on # of ODS equipment needing general servicing (i.e., topups) from 2016. Assumes 4 invoices.</t>
        </r>
      </text>
    </comment>
    <comment ref="C43" authorId="0" shapeId="0" xr:uid="{8187BBD3-7D66-4990-A61B-9BDA438AACF9}">
      <text>
        <r>
          <rPr>
            <b/>
            <sz val="9"/>
            <color indexed="81"/>
            <rFont val="Tahoma"/>
            <family val="2"/>
          </rPr>
          <t>Golla, Emily:</t>
        </r>
        <r>
          <rPr>
            <sz val="9"/>
            <color indexed="81"/>
            <rFont val="Tahoma"/>
            <family val="2"/>
          </rPr>
          <t xml:space="preserve">
Updated based on input from EPA on the number received annually</t>
        </r>
      </text>
    </comment>
    <comment ref="C44" authorId="0" shapeId="0" xr:uid="{3EA0A9AF-ED14-4B13-B688-C16C64213955}">
      <text>
        <r>
          <rPr>
            <b/>
            <sz val="9"/>
            <color indexed="81"/>
            <rFont val="Tahoma"/>
            <family val="2"/>
          </rPr>
          <t>Golla, Emily:</t>
        </r>
        <r>
          <rPr>
            <sz val="9"/>
            <color indexed="81"/>
            <rFont val="Tahoma"/>
            <family val="2"/>
          </rPr>
          <t xml:space="preserve">
Updated based on input from EPA on the number received annually</t>
        </r>
      </text>
    </comment>
    <comment ref="C45" authorId="0" shapeId="0" xr:uid="{B3A0C085-42E7-46D3-8045-7D46B424D9AF}">
      <text>
        <r>
          <rPr>
            <b/>
            <sz val="9"/>
            <color indexed="81"/>
            <rFont val="Tahoma"/>
            <family val="2"/>
          </rPr>
          <t>Golla, Emily:</t>
        </r>
        <r>
          <rPr>
            <sz val="9"/>
            <color indexed="81"/>
            <rFont val="Tahoma"/>
            <family val="2"/>
          </rPr>
          <t xml:space="preserve">
Updated based on input from EPA on the number received annually</t>
        </r>
      </text>
    </comment>
    <comment ref="C46" authorId="0" shapeId="0" xr:uid="{31BDBFBC-B950-430B-9D43-BB6AFFD6230D}">
      <text>
        <r>
          <rPr>
            <b/>
            <sz val="9"/>
            <color indexed="81"/>
            <rFont val="Tahoma"/>
            <family val="2"/>
          </rPr>
          <t>Golla, Emily:</t>
        </r>
        <r>
          <rPr>
            <sz val="9"/>
            <color indexed="81"/>
            <rFont val="Tahoma"/>
            <family val="2"/>
          </rPr>
          <t xml:space="preserve">
based on 2019 and 2020 reports</t>
        </r>
      </text>
    </comment>
    <comment ref="C55" authorId="0" shapeId="0" xr:uid="{934491E5-0129-4A82-BA52-713466285EB3}">
      <text>
        <r>
          <rPr>
            <b/>
            <sz val="9"/>
            <color indexed="81"/>
            <rFont val="Tahoma"/>
            <family val="2"/>
          </rPr>
          <t>Golla, Emily:</t>
        </r>
        <r>
          <rPr>
            <sz val="9"/>
            <color indexed="81"/>
            <rFont val="Tahoma"/>
            <family val="2"/>
          </rPr>
          <t xml:space="preserve">
This number is assumed to include: IDQ, FLC, Inc., A-Gas Americas, National Refrigerants Inc., Car Quest (Advance Auto Parts Inc.), DuPont, Johnsen’s, USA Refrigerants, TSI Supercool, Honeywell, Chemours, and Icool USA.
This assumption is based on the following source: ReferenceUSA.  ReferenceUSA Online Database. Retrieved May 27, 2015 from
http://www.referenceusa.com.
Updated in 2022 to include Chemours, and Icool USA based on additional research online.</t>
        </r>
      </text>
    </comment>
  </commentList>
</comments>
</file>

<file path=xl/sharedStrings.xml><?xml version="1.0" encoding="utf-8"?>
<sst xmlns="http://schemas.openxmlformats.org/spreadsheetml/2006/main" count="932" uniqueCount="352">
  <si>
    <t>Subsection H Leak Repair, Inspection, ALD, and Reclamation Requirements</t>
  </si>
  <si>
    <t>*** E.O. 12866 Review – Draft – Do Not Cite, Quote, or Release During Review ***</t>
  </si>
  <si>
    <t>Leak repair 15+ pound threshold (plus school bus AC); ALD for 1500+ pound CR and IPR equipment (50/50 direct and indirect ALD)</t>
  </si>
  <si>
    <t>Assumptions</t>
  </si>
  <si>
    <t>Median Wage (2021)</t>
  </si>
  <si>
    <t>Total (+ Overhead)</t>
  </si>
  <si>
    <t>Overhead</t>
  </si>
  <si>
    <t>Ref/AC Technicians</t>
  </si>
  <si>
    <t xml:space="preserve">Mean hourly earnings for heating, air-conditioning, and refrigeration mechanics and installers (49-9021) from the Bureau of Labor Statistics (https://www.bls.gov/oes/2021/may/oes499021.htm).  </t>
  </si>
  <si>
    <t>Owners/Operators</t>
  </si>
  <si>
    <t xml:space="preserve">Mean hourly earnings for health and safety engineers (17-2111) from the Bureau of Labor Statistics (https://www.bls.gov/oes/2021/may/oes172111.htm).  </t>
  </si>
  <si>
    <t>Manager</t>
  </si>
  <si>
    <t xml:space="preserve">Median hourly earnings for management occupations (11-0000) from the Bureau of Labor Statistics (https://www.bls.gov/oes/2021/may/oes110000.htm).  </t>
  </si>
  <si>
    <t>Technician (Reclaimer)</t>
  </si>
  <si>
    <t xml:space="preserve">Median hourly earnings for environmental engineers (17-2081) from the Bureau of Labor Statistics (https://www.bls.gov/oes/2021/may/oes172081.htm).  </t>
  </si>
  <si>
    <t>Lawyer</t>
  </si>
  <si>
    <t xml:space="preserve">Median hourly earnings for lawyers (23-1011) from the Bureau of Labor Statistics (https://www.bls.gov/oes/2021/may/oes231011.htm).  </t>
  </si>
  <si>
    <t>Office Clerk, General Administration</t>
  </si>
  <si>
    <t xml:space="preserve">Median hourly earnings for office clerks, general (43-9061) from the Bureau of Labor Statistics (https://www.bls.gov/oes/2021/may/oes439061.htm).  </t>
  </si>
  <si>
    <t>Marketing Manager</t>
  </si>
  <si>
    <t xml:space="preserve">Median hourly earnings for marketing managers (11-2021) from the Bureau of Labor Statistics (https://www.bls.gov/oes/2021/may/oes112021.htm).  </t>
  </si>
  <si>
    <t>Graphic Designer</t>
  </si>
  <si>
    <t xml:space="preserve">Median hourly earnings for graphic designers (27-1024) from the Bureau of Labor Statistics (https://www.bls.gov/oes/2021/may/oes271024.htm).  </t>
  </si>
  <si>
    <t>Year</t>
  </si>
  <si>
    <t>Total Responses</t>
  </si>
  <si>
    <t>Total Hours</t>
  </si>
  <si>
    <t>Total Costs</t>
  </si>
  <si>
    <t>Affected Equipment (above LR threshold)</t>
  </si>
  <si>
    <t>Year 1</t>
  </si>
  <si>
    <t>Year 2</t>
  </si>
  <si>
    <t>Year 3</t>
  </si>
  <si>
    <t>Total ODS equipment, VM, 2025</t>
  </si>
  <si>
    <t>15-50 pounds (including school buses above 15 pounds)</t>
  </si>
  <si>
    <t>Total HFC equipment, VM, 2025</t>
  </si>
  <si>
    <t>50+ pounds</t>
  </si>
  <si>
    <t>Proportion of ODS equipment, VM, 2025</t>
  </si>
  <si>
    <t>50+ pound appliances with quarterly reporting</t>
  </si>
  <si>
    <t>Proportion of HFC equipment, VM, 2025</t>
  </si>
  <si>
    <t>Annual Average</t>
  </si>
  <si>
    <t>CR and IPR Appliances above LR with charge size &gt; 1500 pounds (direct ALD)</t>
  </si>
  <si>
    <t>15-50 (plus school buses above 15 pounds) Affected Equipment relative to total HFC equipment, VM, 2025</t>
  </si>
  <si>
    <t>CR and IPR Appliances above LR with charge size &gt; 1500 pounds (indirect ALD)</t>
  </si>
  <si>
    <t>50+ Affected Equipment relative to total HFC equipment, VM, 2025</t>
  </si>
  <si>
    <t>Assumed equipment per facility (from CARB data/2016 TSD)</t>
  </si>
  <si>
    <t>New Equipment Installations</t>
  </si>
  <si>
    <t>CR and IPR Appliances with charge size &gt; 1500 pounds (direct ALD)</t>
  </si>
  <si>
    <t>CR and IPR Appliances with charge size &gt; 1500 pounds (indirect ALD)</t>
  </si>
  <si>
    <t>Existing Equipment Installations</t>
  </si>
  <si>
    <t>RR TSD</t>
  </si>
  <si>
    <t>Leak Repair Total</t>
  </si>
  <si>
    <t>Requirement Type</t>
  </si>
  <si>
    <t>Respondent type</t>
  </si>
  <si>
    <t>Activity</t>
  </si>
  <si>
    <t>Reg Text Citation</t>
  </si>
  <si>
    <t>Affected Equipment</t>
  </si>
  <si>
    <t>Number of Responses per Respondent</t>
  </si>
  <si>
    <t>Burden Hours (Time) per Response</t>
  </si>
  <si>
    <t>Labor Cost per Response</t>
  </si>
  <si>
    <t>Number of Respondents</t>
  </si>
  <si>
    <t xml:space="preserve">Annual Burden Hours </t>
  </si>
  <si>
    <t xml:space="preserve">Annual Labor Costs </t>
  </si>
  <si>
    <t>Number of Annual Responses</t>
  </si>
  <si>
    <t>Fire Suppression</t>
  </si>
  <si>
    <t>Cylinder Tracking</t>
  </si>
  <si>
    <t>Reclamation</t>
  </si>
  <si>
    <t>Leak</t>
  </si>
  <si>
    <t>Reporting</t>
  </si>
  <si>
    <t>Owners/operators</t>
  </si>
  <si>
    <t>Prepare and submit requests for extensions to 30-day repair timeline</t>
  </si>
  <si>
    <t>84.106(m)(1)</t>
  </si>
  <si>
    <t>IPR, CC, and CR 15-50 pounds</t>
  </si>
  <si>
    <t>Total/Yr All Respondents</t>
  </si>
  <si>
    <t>Responses</t>
  </si>
  <si>
    <t>Costs</t>
  </si>
  <si>
    <t>Hours</t>
  </si>
  <si>
    <t>IPR, CC, and CR &gt;50 pounds</t>
  </si>
  <si>
    <t>Leak Repair/Inspection Reporting</t>
  </si>
  <si>
    <t xml:space="preserve">Prepare and submit requests for extensions to 1 yr retrofit/retire timeline </t>
  </si>
  <si>
    <t>84.106(m)(3)</t>
  </si>
  <si>
    <t>Recordkeeping</t>
  </si>
  <si>
    <t>Leak Repair/Inspection Recordkeeping</t>
  </si>
  <si>
    <t>Third-party Reporting</t>
  </si>
  <si>
    <t>Leak Repair/Inspection Third-party Reporting</t>
  </si>
  <si>
    <t>Prepare and submit request to cease a retrofit if all leaks are repaired</t>
  </si>
  <si>
    <t>84.106(m)(2)</t>
  </si>
  <si>
    <t>Fire Suppression Reporting</t>
  </si>
  <si>
    <t>Fire Suppression Recordkeeping</t>
  </si>
  <si>
    <t>Prepare and submit a report to EPA if appliance leaks 125% or more of the full charge in a 365 day period to describe efforts to identify leaks and repair the appliance</t>
  </si>
  <si>
    <t>84.106(m)(4)</t>
  </si>
  <si>
    <t>Prepare and submit a report to EPA if excluding purged refrigerants that are destroyed from annual leak rate calculations for the first time</t>
  </si>
  <si>
    <t>84.106(m)(5)</t>
  </si>
  <si>
    <t>Total Reporting and Recordkeeping Recordkeeping</t>
  </si>
  <si>
    <t xml:space="preserve">Maintain purchase and service records. For each refrigerant addition, equipment owner has to have records of: 
(i) The identity and location of the appliance; 
(ii) The date of the installation, service, repair, or disposal performed; 
(iii) The part(s) of the appliance being serviced, repaired, or disposed; 
(iv) The type of service, repair, or disposal performed for each part; 
(v) The name of the person performing the installation, service, repair, or disposal; 
(vi) The amount and type of refrigerant added to, or in the case of disposal removed from, the appliance; 
(vii) The full charge of the appliance; and 
(viii) The leak rate and the method used to determine the leak rate (not applicable when disposing of the appliance, following a retrofit, installing a new appliance, or if the refrigerant addition qualifies as a seasonal variance). </t>
  </si>
  <si>
    <t>84.106(l)(2); 84.106(l)(11)</t>
  </si>
  <si>
    <t>Reclaimer Reporting and Recordkeeping</t>
  </si>
  <si>
    <t>Total with Avoided Costs</t>
  </si>
  <si>
    <t>Maintain equipment installation records:
(i) The identification of the owner or operator of the appliance; 
(ii) The address where the appliance is located; 
(iii) The full charge of the appliance and the method for how the full charge was determined; 
(iv) If using method 4 (using an established range) for determining full charge, records must include the range for the full charge of the appliance, its midpoint, and how the range was determined; 
(v) Any revisions of the full charge, how they were determined, and the dates such revisions occurred; and
(vi) The date of installation.</t>
  </si>
  <si>
    <t>84.106(l)(1)</t>
  </si>
  <si>
    <t>Maintain retrofit and/or retirement plans</t>
  </si>
  <si>
    <t>84.106(l)(7)</t>
  </si>
  <si>
    <t>Total Annual Responses:</t>
  </si>
  <si>
    <t>Maintain records documenting when the system was mothballed and when it was brought back on-line (i.e., when refrigerant was added back into the appliance or isolated component of the appliance)</t>
  </si>
  <si>
    <t>84.106(l)(9)</t>
  </si>
  <si>
    <t>Burden Per Response</t>
  </si>
  <si>
    <t>Hours Per Response</t>
  </si>
  <si>
    <t>Cost Per Response (including non-labor)</t>
  </si>
  <si>
    <t>Maintain records of purged and destroyed refrigerant if excluding such refrigerant from the leak rate</t>
  </si>
  <si>
    <t>84.106(l)(10)</t>
  </si>
  <si>
    <t>Maintain reports on the results of verification tests any time leak rate threshold is exceeded</t>
  </si>
  <si>
    <t>84.106(l)(6)</t>
  </si>
  <si>
    <t>Maintain quarterly leak inspection records</t>
  </si>
  <si>
    <t>84.106(l)(4)</t>
  </si>
  <si>
    <t>IPR and CR &gt;500 pounds</t>
  </si>
  <si>
    <t>Maintain annual leak inspection records</t>
  </si>
  <si>
    <t>Maintain copies of any reports submitted to EPA under the proposed reporting requirements in this action</t>
  </si>
  <si>
    <t>84.106(l)(8);84.106(l)(12)</t>
  </si>
  <si>
    <t>Average for Reporting and Recordkeeping</t>
  </si>
  <si>
    <t xml:space="preserve">Maintain records regarding the installation and annual calibration or audit of the ALD system, a record of each date the monitoring system identified a leak, and the location of the leak. Records must be maintained each time an ALD system detects a leak, whether that be based on the applicable ppm threshold for a direct ALD system or the indicated loss of refrigerant measured in an indirect ALD system. </t>
  </si>
  <si>
    <t>84.106(l)(5); 84.108(j)</t>
  </si>
  <si>
    <t>IPR and CR &gt;1500 pounds with indirect ALD</t>
  </si>
  <si>
    <t>Overall Average (including avoided Reclaimer)</t>
  </si>
  <si>
    <t>Tehnicians</t>
  </si>
  <si>
    <t>Persons servicing HFC appliances provide leak inspection records to owners/operators</t>
  </si>
  <si>
    <t>Persons servicing HFC appliances provide reports on the results of verification tests any time leak rate threshold is exceeded to owners/operators</t>
  </si>
  <si>
    <t>Technicians</t>
  </si>
  <si>
    <t xml:space="preserve">Persons servicing appliances w/charge sizes &gt;15 lbs provide invoices to appliance owners/operators containing the following information: 
(i) The identity and location of the appliance; 
(ii) The date of the installation, service, repair, or disposal performed; 
(iii) The part(s) of the appliance being serviced, repaired, or disposed; 
(iv) The type of service, repair, or disposal performed for each part; 
(v) The name of the person performing the installation, service, repair, or disposal; 
(vi) The amount and type of refrigerant added to, or in the case of disposal removed from, the appliance; 
(vii) The full charge of the appliance; and 
(viii) The leak rate and the method used to determine the leak rate (not applicable when disposing of the appliance, following a retrofit, installing a new appliance, or if the refrigerant addition qualifies as a seasonal variance). </t>
  </si>
  <si>
    <t>84.106(l)(3)</t>
  </si>
  <si>
    <t>Fire</t>
  </si>
  <si>
    <t>Fire Suppression System OEMs/Servicers/Recyclers</t>
  </si>
  <si>
    <t>Must report annually:
(i) The quantity of material (combined mass of regulated substance and contaminants) by regulated substance sold, recovered, recycled, and virgin for the purpose of installation of new equipment and servicing of fire suppression equipment
(ii) The total mass of each regulated substance sold, recovered, recycled, and virgin and;
(iii)  The total mass of waste products sent for disposal, along with information about the disposal facility if waste is not processed by the reporting entity</t>
  </si>
  <si>
    <t>84.110(g)</t>
  </si>
  <si>
    <t>HFC Fire Suppression Equipment</t>
  </si>
  <si>
    <t>Maintain records on:
- Data submitted to EPA annually
- Fire suppression technican training provided to personnel
- HFCs recovered from fire suppression equipment before it's sent for disposal (i.e., recovering themselves or leaving HFC in and sending to disposal facility)</t>
  </si>
  <si>
    <t>84.110(g)(1)-(3)</t>
  </si>
  <si>
    <t>HFC Reclaimers</t>
  </si>
  <si>
    <t>One-time label redesign</t>
  </si>
  <si>
    <t>84.112(c)</t>
  </si>
  <si>
    <t>Cylinders</t>
  </si>
  <si>
    <t>Maintain records on:
- the name, address, contact person, email address, and phone number of the certified reclaimer, 
- the date the container was filled with reclaimed HFCs, the amount and name of the HFC(s) in the container, 
- percent of virgin HFCs in the container, 
- certification that the contents do not exceed 15 percent virgin HFCs, 
- the serial number of the container, and 
- identification of the batch of reclaimed HFCs used to fill the container</t>
  </si>
  <si>
    <t>84.112(d)(3)</t>
  </si>
  <si>
    <t>QR</t>
  </si>
  <si>
    <t>Fire Suppression Agent Recyclers</t>
  </si>
  <si>
    <t>Register with tracking ID system</t>
  </si>
  <si>
    <t>Enter data into tracking ID system</t>
  </si>
  <si>
    <t>HFC Producers</t>
  </si>
  <si>
    <t>HFC Importers</t>
  </si>
  <si>
    <t>HFC Fillers and Packagers</t>
  </si>
  <si>
    <t>HFC Suppliers</t>
  </si>
  <si>
    <t>ANNUAL TOTAL</t>
  </si>
  <si>
    <t>3 YEAR TOTAL</t>
  </si>
  <si>
    <t>ANNUAL AVERAGE</t>
  </si>
  <si>
    <t>Unique Respondents</t>
  </si>
  <si>
    <t>AVOIDED Hours per Activity per Respondent and Loaded Hourly Wages</t>
  </si>
  <si>
    <t>Burden Hours/Activity</t>
  </si>
  <si>
    <t>AVOIDED Labor Costs/Activity</t>
  </si>
  <si>
    <t>AVOIDED Capital Costs</t>
  </si>
  <si>
    <t>AVOIDED O&amp;M Costs</t>
  </si>
  <si>
    <t>Total Hours and Costs</t>
  </si>
  <si>
    <t>Legal</t>
  </si>
  <si>
    <t>Technical</t>
  </si>
  <si>
    <t>Clerical</t>
  </si>
  <si>
    <t>Number of Respondents/Activity</t>
  </si>
  <si>
    <t>Total Cost/Year</t>
  </si>
  <si>
    <t>Contingency Planning</t>
  </si>
  <si>
    <t>Reclaimer</t>
  </si>
  <si>
    <t>Collect data required in contingency plan</t>
  </si>
  <si>
    <t>Document whether authorities decline arrangement</t>
  </si>
  <si>
    <t>Write contingency plan</t>
  </si>
  <si>
    <t>Maintain contingency plan</t>
  </si>
  <si>
    <t>Submit contingency plan to relevant emergency centers</t>
  </si>
  <si>
    <t>Amend contingency plan when appropriate</t>
  </si>
  <si>
    <t>Emergency Procedures</t>
  </si>
  <si>
    <t>Collect information</t>
  </si>
  <si>
    <t>Emergency reporting</t>
  </si>
  <si>
    <t>Notifying/coordination with authorities</t>
  </si>
  <si>
    <t>Personnel Training</t>
  </si>
  <si>
    <t>Collect job-related data</t>
  </si>
  <si>
    <t>Maintain information at facility</t>
  </si>
  <si>
    <t>Observe scene of hazardous waste discharge</t>
  </si>
  <si>
    <t>Report by phone requested data items to NRC</t>
  </si>
  <si>
    <t>Document that local officials decline to enter into arrangements for coordinating response</t>
  </si>
  <si>
    <t>Post emergency information by phone</t>
  </si>
  <si>
    <t>No Speculative Accumulation 40 CFR 266.602(a)(2) and (b)(3)</t>
  </si>
  <si>
    <t>Label containers in accumulation area with start date</t>
  </si>
  <si>
    <t>Inventory logs must demonstrate that at least 75% by weight or volume of material being recycled is transferred to a different site for recycling in a calendar year.</t>
  </si>
  <si>
    <t>Without Avoided Reclaimer Burden</t>
  </si>
  <si>
    <t>Total Labor Costs</t>
  </si>
  <si>
    <t>Total O&amp;M Costs</t>
  </si>
  <si>
    <t>Year 1 (2025)</t>
  </si>
  <si>
    <t>Year 2 (2026)</t>
  </si>
  <si>
    <t>Year 3 (2027)</t>
  </si>
  <si>
    <t>3yr ICR Annual Average</t>
  </si>
  <si>
    <t>With Avoided Reclaimer Burden</t>
  </si>
  <si>
    <t>Table V</t>
  </si>
  <si>
    <t>Table VI - Respondent Burdent</t>
  </si>
  <si>
    <t>Agency Burden</t>
  </si>
  <si>
    <t xml:space="preserve">Respondent Sector </t>
  </si>
  <si>
    <t>Respondent Type</t>
  </si>
  <si>
    <t>Number of Respondents per Year</t>
  </si>
  <si>
    <t>Total Hours per Year</t>
  </si>
  <si>
    <t>Total Cost per Year</t>
  </si>
  <si>
    <t>Total</t>
  </si>
  <si>
    <t>Total Labor</t>
  </si>
  <si>
    <t>Y1</t>
  </si>
  <si>
    <t>Y2</t>
  </si>
  <si>
    <t>Y3</t>
  </si>
  <si>
    <t>Refrigeration and Air Conditioning</t>
  </si>
  <si>
    <t>HFC Equipment Owners &amp; Operators</t>
  </si>
  <si>
    <t>15-50 pounds</t>
  </si>
  <si>
    <t>&gt;50 pounds</t>
  </si>
  <si>
    <t>Average Avoided Reclaimer Burden and Costs</t>
  </si>
  <si>
    <t>Avoided Reclaimer Burden</t>
  </si>
  <si>
    <t>Annual Average with Avoided Burden and Costs</t>
  </si>
  <si>
    <t>Incremental ICR Costs</t>
  </si>
  <si>
    <t>Maintain purchase and service records</t>
  </si>
  <si>
    <t>Maintain equipment installation records</t>
  </si>
  <si>
    <t>Maintain reports on the  results of verification tests any time leak rate threshold is exceeded</t>
  </si>
  <si>
    <t>Maintain records regarding the installation and annual calibration or audit of the ALD system, a record of each date the monitoring system identified a leak, and the location of the leak. Records must be maintained each time an ALD system detects a leak, whether that be based on the applicable ppm threshold for a direct ALD system or the indicated loss of refrigerant measured in an indirect ALD system.</t>
  </si>
  <si>
    <t>HFC Equipment Technicians</t>
  </si>
  <si>
    <t>Persons servicing appliances w/charge sizes &gt;15 lbs provide invoices to appliance owners/operators</t>
  </si>
  <si>
    <t>OEMs, Servicers, &amp; Recyclers</t>
  </si>
  <si>
    <t>Annual report</t>
  </si>
  <si>
    <t>HFC Fire Suppression</t>
  </si>
  <si>
    <t>Maintain records</t>
  </si>
  <si>
    <t>HFC OEMs, Servicers, &amp; Recyclers</t>
  </si>
  <si>
    <t>Tracking ID System</t>
  </si>
  <si>
    <t>HFC Packagers</t>
  </si>
  <si>
    <t>Leak repair 15+ pound threshold; ALD for 1500+ pound CR and IPR equipment</t>
  </si>
  <si>
    <t>Annual Agency Burden and Cost</t>
  </si>
  <si>
    <t>Standard Government Benefits Multiplier</t>
  </si>
  <si>
    <t>Managerial Rate (GS 15 Step 1)</t>
  </si>
  <si>
    <t>From 2022 OPM hourly base pay table for DC region: https://www.opm.gov/policy-data-oversight/pay-leave/salaries-wages/salary-tables/pdf/2021/DCB_h.pdf</t>
  </si>
  <si>
    <t>Technical Rate (GS 13 Step 1)</t>
  </si>
  <si>
    <t>Clerical Rate (GS 11 Step 1)</t>
  </si>
  <si>
    <t>Extramural Rate</t>
  </si>
  <si>
    <t>Source: Based on OYI average hourly rate for Senior Technical Analyst III and Consultant I under EPA contract 68HERH19D0029, TO 10</t>
  </si>
  <si>
    <t>Agency Tally</t>
  </si>
  <si>
    <t>Reviewing and Responding</t>
  </si>
  <si>
    <t>Agency Hours per Activity per Respondent and Loaded Hourly Wages</t>
  </si>
  <si>
    <t>Manag.</t>
  </si>
  <si>
    <t>Contractor</t>
  </si>
  <si>
    <t>Total Annual Agency Hours</t>
  </si>
  <si>
    <t xml:space="preserve">Total Agency Labor Costs </t>
  </si>
  <si>
    <t xml:space="preserve">Owners/operators of appliances with 15 or more pounds of HFC refrigerant prepare &amp; submit requests for extensions to the 30-day repair timeline </t>
  </si>
  <si>
    <t xml:space="preserve">Owners/operators of appliances with 15 or more pounds of HFC refrigerant prepare &amp; submit requests for extensions to 1 year retrofit timeline </t>
  </si>
  <si>
    <t>Owners/operators of appliances with 15 or more pounds of HFC refrigerant prepare &amp; submit requests to cease a retrofit if all leaks are repaired</t>
  </si>
  <si>
    <t>Owners/operators of appliances with 15 or more pounds of HFC refrigerant that leak 125 percent or more of the full charge in a calendar year to submit report on leak and intended repair</t>
  </si>
  <si>
    <t>Owners/operators of appliances with 15 or more pounds of HFC refrigerant notify EPA that purged refrigerants that are destroyed were excluded from annual leak rate calculations for the first time</t>
  </si>
  <si>
    <t xml:space="preserve">Average cost </t>
  </si>
  <si>
    <t>HFC fire suppression equipment OEMs/servicers/recyclers prepare &amp; submit annual reports</t>
  </si>
  <si>
    <t>Total with Avoided</t>
  </si>
  <si>
    <t>Total cost</t>
  </si>
  <si>
    <t>Develop and Maintain a Tracking ID System</t>
  </si>
  <si>
    <t>SUBTOTAL</t>
  </si>
  <si>
    <t>Respondents + EPA</t>
  </si>
  <si>
    <t>Labor Costs/Activity</t>
  </si>
  <si>
    <t>Capital Costs</t>
  </si>
  <si>
    <t>O&amp;M Costs</t>
  </si>
  <si>
    <t>Number of Respondents/
Activity</t>
  </si>
  <si>
    <t>Cost Per Response</t>
  </si>
  <si>
    <t>Review submitted release report information</t>
  </si>
  <si>
    <t>Enter information into database tracking all releases</t>
  </si>
  <si>
    <t>Transmit information to respective response authorities</t>
  </si>
  <si>
    <t>Average</t>
  </si>
  <si>
    <t>Section 608 ICR assumptions used as the basis for burden estimates for R&amp;R associated with leak repair and leak inspection under Subsection H</t>
  </si>
  <si>
    <t>National Refrigerant Recycling and Emissions Reduction Program, EPA ICR Number: 1626.18, OMB Control Number:  2060-0256</t>
  </si>
  <si>
    <t>Annual Respondent Burden and Cost</t>
  </si>
  <si>
    <t>Refrigerant Recovery/Recycling Equipment Testing Organization</t>
  </si>
  <si>
    <t>Median hourly earnings for environmental engineers (17-2081) from the Bureau of Labor Statistics (http://www.bls.gov/oes/current/oes172081.htm)</t>
  </si>
  <si>
    <t>Refrigerant Reclaimers</t>
  </si>
  <si>
    <t>Median hourly earnings for chemical plant and system operators (51-8091) from the Bureau of Labor Statistics (http://www.bls.gov/oes/current/oes518091.htm)</t>
  </si>
  <si>
    <t>Refrigerant Wholesalers</t>
  </si>
  <si>
    <t>Median hourly earnings for sales representatives, wholesale (41-4012) from the Bureau of Labor Statistics (http://www.bls.gov/oes/current/oes414012.htm)</t>
  </si>
  <si>
    <t>Technician Certification Programs</t>
  </si>
  <si>
    <t xml:space="preserve">Median hourly earnings for instructional coordinators (25-9031) from the Bureau of Labor Statistics (http://www.bls.gov/oes/current/oes259031.htm).  </t>
  </si>
  <si>
    <t>Disposal Establishments</t>
  </si>
  <si>
    <t xml:space="preserve">Assumes a technician is needed for disposal of equipment. Median hourly earnings for heating, air-conditioning, and refrigeration mechanics and installers from the Bureau of Labor Statistics (http://www.bls.gov/oes/current/oes499021.htm).  </t>
  </si>
  <si>
    <t xml:space="preserve">Median hourly earnings for heating, air-conditioning, and refrigeration mechanics and installers from the Bureau of Labor Statistics (http://www.bls.gov/oes/current/oes499021.htm).  </t>
  </si>
  <si>
    <t xml:space="preserve">Median hourly earnings for health and safety engineers (17-2111) from the Bureau of Labor Statistics (http://www.bls.gov/oes/current/oes172111.htm).  </t>
  </si>
  <si>
    <t>Small Can Manufacturers</t>
  </si>
  <si>
    <t xml:space="preserve">Median hourly earnings for Weighers, Measurers, Checkers, and Samplers, Recordkeeping occupational workers from the Bureau of Labor Statistics (http://www.bls.gov/oes/current/oes435111.htm). </t>
  </si>
  <si>
    <t>Respondent Tally</t>
  </si>
  <si>
    <t>Respondent</t>
  </si>
  <si>
    <t>Per Respondent</t>
  </si>
  <si>
    <t>All Respondents</t>
  </si>
  <si>
    <t>Annual Burden Hours</t>
  </si>
  <si>
    <t>Annual Labor Cost</t>
  </si>
  <si>
    <t>Annual Labor Costs</t>
  </si>
  <si>
    <t>Refrigerant Recovery/ Recycling Equipment Testing Organization</t>
  </si>
  <si>
    <t>Apply for approval</t>
  </si>
  <si>
    <t>Provide notice when equipment fails recertification</t>
  </si>
  <si>
    <t>Publish online list of all certified equipment</t>
  </si>
  <si>
    <t>Maintain records of equipment tested and its performance</t>
  </si>
  <si>
    <t>Submit annual activity report</t>
  </si>
  <si>
    <t>Third Party</t>
  </si>
  <si>
    <t>Provide certification when changing ownership or entering the market</t>
  </si>
  <si>
    <t>Maintain records of refrigerant sales transactions</t>
  </si>
  <si>
    <t>Maintain records that analysis conducted to verify that reclaimed refrigerant meets the necessary specifications</t>
  </si>
  <si>
    <t>Maintain records for refrigerant sales, including technician certification cards from purchasers employing at least one certified technician</t>
  </si>
  <si>
    <t>Maintain list/database of technicians certified</t>
  </si>
  <si>
    <t>Submit biannual report</t>
  </si>
  <si>
    <t>Transfer records when no longer operational</t>
  </si>
  <si>
    <t>Recordkeeping by existing Technician Certification Programs</t>
  </si>
  <si>
    <t> </t>
  </si>
  <si>
    <t>Maintain copies of signed statements of previous refrigerant recovery by disposal establishments</t>
  </si>
  <si>
    <t>Annual Burden</t>
  </si>
  <si>
    <t>Annual Time Burden (Hours)</t>
  </si>
  <si>
    <t>Annual non-labor costs</t>
  </si>
  <si>
    <t>Acquire certification cards</t>
  </si>
  <si>
    <t>N/A</t>
  </si>
  <si>
    <t xml:space="preserve">Maintain certification cards </t>
  </si>
  <si>
    <t>Provide invoices for serviced ODS appliances with charge sizes 50 to 500 lbs.</t>
  </si>
  <si>
    <t>Provide invoices for serviced ODS appliances with charge sizes &gt;500 lbs.</t>
  </si>
  <si>
    <t>Provide leak inspection records to owner/operator</t>
  </si>
  <si>
    <t>Maintain disposal records for appliances with charge sizes of 5 - 50 lbs.</t>
  </si>
  <si>
    <t xml:space="preserve">Prepare &amp; submit requests for extensions to 1 yr retrofit/retire timeline </t>
  </si>
  <si>
    <t>Prepare and submit request to cease a retrofit/retirement if all leaks are repaired</t>
  </si>
  <si>
    <t>Prepare and submit report on efforts to repair chronically leaking appliances</t>
  </si>
  <si>
    <t>Maintain records of the full charge of an appliance</t>
  </si>
  <si>
    <t>Maintain records of the leak rate calculation</t>
  </si>
  <si>
    <t>Maintain leak inspection records</t>
  </si>
  <si>
    <t>Maintain reports on the results of verification tests</t>
  </si>
  <si>
    <t>Develop/maintain plan to retire/replace or retrofit equipment, as applicable</t>
  </si>
  <si>
    <t>Maintain records on mothballed equipment</t>
  </si>
  <si>
    <t>Maintain information on purged/destroyed refrigerant</t>
  </si>
  <si>
    <t>Maintain records of self-sealing valve test data and log forms for 3 years</t>
  </si>
  <si>
    <t>varies</t>
  </si>
  <si>
    <t>Total Number of Respondents</t>
  </si>
  <si>
    <t>Total Number of Annual Responses</t>
  </si>
  <si>
    <t>Total Annual Hour Burden</t>
  </si>
  <si>
    <t>Total Annual Labor Costs</t>
  </si>
  <si>
    <t>Labeling and Packaging Burden Assumptions</t>
  </si>
  <si>
    <t>Hours per Response</t>
  </si>
  <si>
    <t>Basis for Assumptions</t>
  </si>
  <si>
    <t>Administrative (Redesign)</t>
  </si>
  <si>
    <t>Redesign costs only applies when new label or packaging needs to be desgined.</t>
  </si>
  <si>
    <t>Graphic Design (Redesign)</t>
  </si>
  <si>
    <t>Average Labor Costs</t>
  </si>
  <si>
    <t>Average Number of Responses</t>
  </si>
  <si>
    <t>Average Burden Hours</t>
  </si>
  <si>
    <t>84.118(d)(6)</t>
  </si>
  <si>
    <t>84.118(d)(5)</t>
  </si>
  <si>
    <t>84.118(d)(3)</t>
  </si>
  <si>
    <t>84.118(d)(4)</t>
  </si>
  <si>
    <t>84.118(d)(1)</t>
  </si>
  <si>
    <t>84.118(c)(4)</t>
  </si>
  <si>
    <t>84.118(d)(2)</t>
  </si>
  <si>
    <t>Average Annual Avoided Reclaimer Burden and Costs</t>
  </si>
  <si>
    <t>Incremental ICR Burden and Costs</t>
  </si>
  <si>
    <t>With Avoided Reclaimer Burden removed from average (for supporting statement)</t>
  </si>
  <si>
    <t>Average Annual</t>
  </si>
  <si>
    <t>Average Annual Per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</si>
</sst>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4" formatCode="_(&quot;$&quot;* #,##0.00_);_(&quot;$&quot;* \(#,##0.00\);_(&quot;$&quot;* &quot;-&quot;??_);_(@_)"/>
    <numFmt numFmtId="43" formatCode="_(* #,##0.00_);_(* \(#,##0.00\);_(* &quot;-&quot;??_);_(@_)"/>
    <numFmt numFmtId="164" formatCode="&quot;$&quot;#,##0.00"/>
    <numFmt numFmtId="165" formatCode="_(* #,##0_);_(* \(#,##0\);_(* &quot;-&quot;??_);_(@_)"/>
    <numFmt numFmtId="166" formatCode="_(* #,##0.000_);_(* \(#,##0.000\);_(* &quot;-&quot;??_);_(@_)"/>
    <numFmt numFmtId="167" formatCode="&quot;$&quot;#,##0"/>
    <numFmt numFmtId="168" formatCode="0.0000%"/>
    <numFmt numFmtId="169" formatCode="_(&quot;$&quot;* #,##0_);_(&quot;$&quot;* \(#,##0\);_(&quot;$&quot;* &quot;-&quot;??_);_(@_)"/>
    <numFmt numFmtId="170" formatCode="_(* #,##0.0_);_(* \(#,##0.0\);_(* &quot;-&quot;??_);_(@_)"/>
    <numFmt numFmtId="171" formatCode="0.000"/>
    <numFmt numFmtId="172" formatCode="0.0"/>
    <numFmt numFmtId="173" formatCode="0_);[Red]\(0\)"/>
    <numFmt numFmtId="174" formatCode="0.00_);[Red]\(0.00\)"/>
    <numFmt numFmtId="175" formatCode="&quot;$&quot;#,##0.000"/>
    <numFmt numFmtId="184" formatCode="_(* #,##0.000000000000_);_(* \(#,##0.000000000000\);_(* &quot;-&quot;??_);_(@_)"/>
  </numFmts>
  <fonts count="47">
    <font>
      <sz val="11"/>
      <color theme="1"/>
      <name val="Calibri"/>
      <family val="2"/>
      <scheme val="minor"/>
    </font>
    <font>
      <b/>
      <sz val="11"/>
      <color theme="0"/>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b/>
      <sz val="18"/>
      <color rgb="FF0070C0"/>
      <name val="Calibri"/>
      <family val="2"/>
      <scheme val="minor"/>
    </font>
    <font>
      <b/>
      <sz val="14"/>
      <color rgb="FF0070C0"/>
      <name val="Calibri"/>
      <family val="2"/>
      <scheme val="minor"/>
    </font>
    <font>
      <b/>
      <sz val="11"/>
      <name val="Calibri"/>
      <family val="2"/>
      <scheme val="minor"/>
    </font>
    <font>
      <sz val="11"/>
      <name val="Calibri"/>
      <family val="2"/>
      <scheme val="minor"/>
    </font>
    <font>
      <sz val="9"/>
      <color indexed="81"/>
      <name val="Tahoma"/>
      <family val="2"/>
    </font>
    <font>
      <b/>
      <sz val="9"/>
      <color indexed="81"/>
      <name val="Tahoma"/>
      <family val="2"/>
    </font>
    <font>
      <sz val="10"/>
      <name val="SWISS"/>
    </font>
    <font>
      <sz val="12"/>
      <name val="Courier New"/>
      <family val="3"/>
    </font>
    <font>
      <u/>
      <sz val="10.45"/>
      <color indexed="12"/>
      <name val="Courier New"/>
      <family val="3"/>
    </font>
    <font>
      <sz val="11"/>
      <color rgb="FF000000"/>
      <name val="Calibri"/>
      <family val="2"/>
    </font>
    <font>
      <b/>
      <sz val="11"/>
      <color rgb="FF000000"/>
      <name val="Calibri"/>
      <family val="2"/>
    </font>
    <font>
      <b/>
      <sz val="14"/>
      <color theme="1"/>
      <name val="Calibri"/>
      <family val="2"/>
      <scheme val="minor"/>
    </font>
    <font>
      <sz val="11"/>
      <color rgb="FFFF0000"/>
      <name val="Calibri"/>
      <family val="2"/>
      <scheme val="minor"/>
    </font>
    <font>
      <sz val="11"/>
      <color theme="0"/>
      <name val="Calibri"/>
      <family val="2"/>
      <scheme val="minor"/>
    </font>
    <font>
      <sz val="10"/>
      <color theme="1"/>
      <name val="Calibri"/>
      <family val="2"/>
      <scheme val="minor"/>
    </font>
    <font>
      <b/>
      <sz val="11"/>
      <color rgb="FFFF0000"/>
      <name val="Calibri"/>
      <family val="2"/>
      <scheme val="minor"/>
    </font>
    <font>
      <sz val="11"/>
      <color rgb="FFBFBFBF"/>
      <name val="Calibri"/>
      <family val="2"/>
      <scheme val="minor"/>
    </font>
    <font>
      <b/>
      <sz val="11"/>
      <color theme="1"/>
      <name val="Calibri"/>
      <family val="2"/>
      <charset val="1"/>
    </font>
    <font>
      <sz val="11"/>
      <color theme="1"/>
      <name val="Calibri"/>
      <family val="2"/>
      <charset val="1"/>
    </font>
    <font>
      <b/>
      <sz val="11"/>
      <color theme="1"/>
      <name val="Calibri"/>
      <family val="2"/>
    </font>
    <font>
      <b/>
      <sz val="11"/>
      <color rgb="FFBFBFBF"/>
      <name val="Calibri"/>
      <family val="2"/>
      <scheme val="minor"/>
    </font>
    <font>
      <sz val="10"/>
      <color rgb="FF000000"/>
      <name val="Calibri"/>
      <family val="2"/>
      <scheme val="minor"/>
    </font>
    <font>
      <b/>
      <sz val="12"/>
      <name val="Calibri"/>
      <family val="2"/>
      <scheme val="minor"/>
    </font>
    <font>
      <i/>
      <sz val="11"/>
      <color theme="1"/>
      <name val="Calibri"/>
      <family val="2"/>
      <scheme val="minor"/>
    </font>
    <font>
      <sz val="11"/>
      <color theme="6"/>
      <name val="Calibri"/>
      <family val="2"/>
      <charset val="1"/>
    </font>
    <font>
      <sz val="11"/>
      <color theme="0" tint="-0.14999847407452621"/>
      <name val="Calibri"/>
      <family val="2"/>
      <scheme val="minor"/>
    </font>
    <font>
      <b/>
      <sz val="9"/>
      <color rgb="FF000000"/>
      <name val="Times New Roman"/>
      <family val="1"/>
    </font>
    <font>
      <sz val="9"/>
      <color theme="1"/>
      <name val="Times New Roman"/>
      <family val="1"/>
    </font>
    <font>
      <b/>
      <sz val="10"/>
      <color rgb="FF000000"/>
      <name val="Times New Roman"/>
      <family val="1"/>
    </font>
    <font>
      <sz val="10"/>
      <color theme="1"/>
      <name val="Times New Roman"/>
      <family val="1"/>
    </font>
    <font>
      <sz val="10"/>
      <color rgb="FF000000"/>
      <name val="Times New Roman"/>
      <family val="1"/>
    </font>
    <font>
      <b/>
      <sz val="10"/>
      <color theme="1"/>
      <name val="Times New Roman"/>
      <family val="1"/>
    </font>
    <font>
      <sz val="11"/>
      <color theme="1"/>
      <name val="Calibri"/>
      <family val="2"/>
    </font>
    <font>
      <b/>
      <sz val="9"/>
      <color theme="1"/>
      <name val="Times New Roman"/>
      <family val="1"/>
    </font>
    <font>
      <sz val="9"/>
      <name val="Times New Roman"/>
      <family val="1"/>
    </font>
    <font>
      <b/>
      <sz val="10"/>
      <color theme="1"/>
      <name val="Arial Narrow"/>
      <family val="2"/>
    </font>
    <font>
      <b/>
      <sz val="11"/>
      <color theme="1"/>
      <name val="Arial Narrow"/>
      <family val="2"/>
    </font>
    <font>
      <sz val="11"/>
      <color theme="1"/>
      <name val="Arial Narrow"/>
      <family val="2"/>
    </font>
    <font>
      <sz val="12"/>
      <color theme="1"/>
      <name val="Times New Roman"/>
      <family val="1"/>
    </font>
    <font>
      <sz val="11"/>
      <name val="Calibri"/>
      <family val="2"/>
      <charset val="1"/>
    </font>
    <font>
      <sz val="9"/>
      <color indexed="81"/>
      <name val="Tahoma"/>
      <charset val="1"/>
    </font>
    <font>
      <b/>
      <sz val="9"/>
      <color indexed="81"/>
      <name val="Tahoma"/>
      <charset val="1"/>
    </font>
  </fonts>
  <fills count="16">
    <fill>
      <patternFill patternType="none"/>
    </fill>
    <fill>
      <patternFill patternType="gray125"/>
    </fill>
    <fill>
      <patternFill patternType="solid">
        <fgColor rgb="FF0070C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99"/>
        <bgColor indexed="64"/>
      </patternFill>
    </fill>
    <fill>
      <patternFill patternType="solid">
        <fgColor rgb="FFD9D9D9"/>
        <bgColor indexed="64"/>
      </patternFill>
    </fill>
    <fill>
      <patternFill patternType="solid">
        <fgColor theme="0"/>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9"/>
        <bgColor indexed="64"/>
      </patternFill>
    </fill>
    <fill>
      <patternFill patternType="solid">
        <fgColor rgb="FFF2F2F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diagonal/>
    </border>
    <border>
      <left/>
      <right/>
      <top style="thin">
        <color theme="0" tint="-0.499984740745262"/>
      </top>
      <bottom/>
      <diagonal/>
    </border>
    <border>
      <left style="thin">
        <color theme="0" tint="-0.34998626667073579"/>
      </left>
      <right style="thin">
        <color theme="0" tint="-0.34998626667073579"/>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thin">
        <color indexed="64"/>
      </bottom>
      <diagonal/>
    </border>
    <border>
      <left/>
      <right style="thin">
        <color theme="0" tint="-0.34998626667073579"/>
      </right>
      <top/>
      <bottom style="thin">
        <color indexed="64"/>
      </bottom>
      <diagonal/>
    </border>
    <border>
      <left style="medium">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indexed="64"/>
      </right>
      <top style="thin">
        <color theme="0" tint="-0.34998626667073579"/>
      </top>
      <bottom/>
      <diagonal/>
    </border>
    <border>
      <left/>
      <right/>
      <top style="thin">
        <color indexed="64"/>
      </top>
      <bottom/>
      <diagonal/>
    </border>
    <border>
      <left style="thin">
        <color indexed="64"/>
      </left>
      <right style="thin">
        <color indexed="64"/>
      </right>
      <top style="thin">
        <color indexed="64"/>
      </top>
      <bottom style="double">
        <color indexed="64"/>
      </bottom>
      <diagonal/>
    </border>
  </borders>
  <cellStyleXfs count="7">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cellStyleXfs>
  <cellXfs count="424">
    <xf numFmtId="0" fontId="0" fillId="0" borderId="0" xfId="0"/>
    <xf numFmtId="0" fontId="4" fillId="0" borderId="0" xfId="0" applyFont="1"/>
    <xf numFmtId="0" fontId="0" fillId="0" borderId="0" xfId="0" applyAlignment="1">
      <alignment wrapText="1"/>
    </xf>
    <xf numFmtId="0" fontId="5" fillId="0" borderId="0" xfId="0" applyFont="1"/>
    <xf numFmtId="0" fontId="6" fillId="0" borderId="0" xfId="0" applyFont="1"/>
    <xf numFmtId="0" fontId="8" fillId="0" borderId="0" xfId="0" applyFont="1"/>
    <xf numFmtId="0" fontId="1" fillId="0" borderId="0" xfId="0" applyFont="1" applyAlignment="1">
      <alignment horizontal="center" wrapText="1"/>
    </xf>
    <xf numFmtId="0" fontId="0" fillId="0" borderId="0" xfId="0" applyAlignment="1">
      <alignment horizontal="center"/>
    </xf>
    <xf numFmtId="43" fontId="0" fillId="0" borderId="0" xfId="0" applyNumberFormat="1"/>
    <xf numFmtId="165" fontId="0" fillId="0" borderId="0" xfId="0" applyNumberFormat="1"/>
    <xf numFmtId="167" fontId="0" fillId="0" borderId="0" xfId="0" applyNumberFormat="1"/>
    <xf numFmtId="168" fontId="0" fillId="0" borderId="0" xfId="3" applyNumberFormat="1" applyFont="1"/>
    <xf numFmtId="0" fontId="0" fillId="0" borderId="0" xfId="0" applyAlignment="1">
      <alignment vertical="center"/>
    </xf>
    <xf numFmtId="165" fontId="3" fillId="0" borderId="1" xfId="1" applyNumberFormat="1" applyFont="1" applyBorder="1" applyAlignment="1">
      <alignment horizontal="right"/>
    </xf>
    <xf numFmtId="0" fontId="8" fillId="0" borderId="1" xfId="0" applyFont="1" applyBorder="1" applyAlignment="1">
      <alignment horizontal="left" vertical="center" wrapText="1"/>
    </xf>
    <xf numFmtId="164" fontId="0" fillId="0" borderId="0" xfId="0" applyNumberFormat="1"/>
    <xf numFmtId="9" fontId="0" fillId="0" borderId="0" xfId="3" applyFont="1"/>
    <xf numFmtId="0" fontId="16" fillId="0" borderId="0" xfId="0" applyFont="1"/>
    <xf numFmtId="3" fontId="0" fillId="0" borderId="0" xfId="0" applyNumberFormat="1"/>
    <xf numFmtId="0" fontId="17" fillId="0" borderId="0" xfId="0" applyFont="1"/>
    <xf numFmtId="165" fontId="0" fillId="0" borderId="1" xfId="1" applyNumberFormat="1" applyFont="1" applyFill="1" applyBorder="1" applyAlignment="1">
      <alignment horizontal="right" vertical="center"/>
    </xf>
    <xf numFmtId="0" fontId="3" fillId="0" borderId="5" xfId="0" applyFont="1" applyBorder="1" applyAlignment="1">
      <alignment wrapText="1"/>
    </xf>
    <xf numFmtId="0" fontId="3" fillId="0" borderId="6" xfId="0" applyFont="1" applyBorder="1" applyAlignment="1">
      <alignment wrapText="1"/>
    </xf>
    <xf numFmtId="169" fontId="3" fillId="0" borderId="1" xfId="2" applyNumberFormat="1" applyFont="1" applyBorder="1" applyAlignment="1">
      <alignment horizontal="right"/>
    </xf>
    <xf numFmtId="0" fontId="18" fillId="0" borderId="0" xfId="0" applyFont="1"/>
    <xf numFmtId="3" fontId="17" fillId="0" borderId="0" xfId="0" applyNumberFormat="1" applyFont="1"/>
    <xf numFmtId="165" fontId="8" fillId="0" borderId="0" xfId="0" applyNumberFormat="1" applyFont="1"/>
    <xf numFmtId="0" fontId="3" fillId="0" borderId="0" xfId="0" applyFont="1"/>
    <xf numFmtId="169" fontId="0" fillId="0" borderId="1" xfId="2" applyNumberFormat="1" applyFont="1" applyFill="1" applyBorder="1" applyAlignment="1">
      <alignment horizontal="right" vertical="center"/>
    </xf>
    <xf numFmtId="0" fontId="20" fillId="0" borderId="0" xfId="0" applyFont="1" applyAlignment="1">
      <alignment vertical="center"/>
    </xf>
    <xf numFmtId="165" fontId="20" fillId="0" borderId="0" xfId="1" applyNumberFormat="1" applyFont="1" applyAlignment="1">
      <alignment vertical="center"/>
    </xf>
    <xf numFmtId="0" fontId="21" fillId="0" borderId="0" xfId="0" applyFont="1"/>
    <xf numFmtId="0" fontId="3" fillId="0" borderId="9" xfId="0" applyFont="1" applyBorder="1" applyAlignment="1">
      <alignment horizontal="center" vertical="center"/>
    </xf>
    <xf numFmtId="0" fontId="0" fillId="0" borderId="9" xfId="0" applyBorder="1" applyAlignment="1">
      <alignment vertical="center" wrapText="1"/>
    </xf>
    <xf numFmtId="164" fontId="0" fillId="0" borderId="9" xfId="0" applyNumberFormat="1" applyBorder="1"/>
    <xf numFmtId="9" fontId="0" fillId="5" borderId="9" xfId="3" applyFont="1" applyFill="1" applyBorder="1"/>
    <xf numFmtId="164" fontId="0" fillId="5" borderId="9" xfId="0" applyNumberFormat="1" applyFill="1" applyBorder="1" applyAlignment="1">
      <alignment vertical="center"/>
    </xf>
    <xf numFmtId="164" fontId="7" fillId="0" borderId="9" xfId="2" applyNumberFormat="1" applyFont="1" applyFill="1" applyBorder="1" applyAlignment="1">
      <alignment vertical="center"/>
    </xf>
    <xf numFmtId="43" fontId="0" fillId="0" borderId="0" xfId="1" applyFont="1"/>
    <xf numFmtId="0" fontId="21" fillId="0" borderId="0" xfId="0" applyFont="1" applyAlignment="1">
      <alignment horizontal="left"/>
    </xf>
    <xf numFmtId="165" fontId="1" fillId="2" borderId="9" xfId="0" applyNumberFormat="1" applyFont="1" applyFill="1" applyBorder="1" applyAlignment="1">
      <alignment horizontal="center" vertical="center" wrapText="1"/>
    </xf>
    <xf numFmtId="0" fontId="8" fillId="0" borderId="9" xfId="0" applyFont="1" applyBorder="1" applyAlignment="1">
      <alignment vertical="center" wrapText="1"/>
    </xf>
    <xf numFmtId="165" fontId="8" fillId="0" borderId="9" xfId="1" applyNumberFormat="1" applyFont="1" applyFill="1" applyBorder="1" applyAlignment="1">
      <alignment vertical="center"/>
    </xf>
    <xf numFmtId="43" fontId="8" fillId="0" borderId="9" xfId="1" applyFont="1" applyFill="1" applyBorder="1" applyAlignment="1">
      <alignment vertical="center"/>
    </xf>
    <xf numFmtId="172" fontId="8" fillId="0" borderId="9" xfId="0" applyNumberFormat="1" applyFont="1" applyBorder="1" applyAlignment="1">
      <alignment vertical="center"/>
    </xf>
    <xf numFmtId="164" fontId="8" fillId="0" borderId="9" xfId="1" applyNumberFormat="1" applyFont="1" applyFill="1" applyBorder="1" applyAlignment="1">
      <alignment vertical="center"/>
    </xf>
    <xf numFmtId="167" fontId="8" fillId="0" borderId="9" xfId="1" applyNumberFormat="1" applyFont="1" applyFill="1" applyBorder="1" applyAlignment="1">
      <alignment vertical="center"/>
    </xf>
    <xf numFmtId="0" fontId="22" fillId="6" borderId="1" xfId="0" applyFont="1" applyFill="1" applyBorder="1"/>
    <xf numFmtId="0" fontId="23" fillId="0" borderId="1" xfId="0" applyFont="1" applyBorder="1"/>
    <xf numFmtId="43" fontId="14" fillId="0" borderId="1" xfId="0" quotePrefix="1" applyNumberFormat="1" applyFont="1" applyBorder="1"/>
    <xf numFmtId="164" fontId="14" fillId="0" borderId="1" xfId="0" quotePrefix="1" applyNumberFormat="1" applyFont="1" applyBorder="1"/>
    <xf numFmtId="43" fontId="23" fillId="0" borderId="1" xfId="0" applyNumberFormat="1" applyFont="1" applyBorder="1"/>
    <xf numFmtId="0" fontId="8" fillId="0" borderId="9" xfId="0" applyFont="1" applyBorder="1" applyAlignment="1">
      <alignment vertical="top" wrapText="1"/>
    </xf>
    <xf numFmtId="165" fontId="8" fillId="0" borderId="9" xfId="1" applyNumberFormat="1" applyFont="1" applyFill="1" applyBorder="1" applyAlignment="1">
      <alignment horizontal="right" vertical="center"/>
    </xf>
    <xf numFmtId="43" fontId="8" fillId="0" borderId="9" xfId="1" applyFont="1" applyFill="1" applyBorder="1" applyAlignment="1">
      <alignment horizontal="right" vertical="center"/>
    </xf>
    <xf numFmtId="166" fontId="8" fillId="0" borderId="9" xfId="1" applyNumberFormat="1" applyFont="1" applyFill="1" applyBorder="1" applyAlignment="1">
      <alignment horizontal="right" vertical="center"/>
    </xf>
    <xf numFmtId="165" fontId="8" fillId="0" borderId="9" xfId="0" applyNumberFormat="1" applyFont="1" applyBorder="1" applyAlignment="1">
      <alignment vertical="center"/>
    </xf>
    <xf numFmtId="0" fontId="24" fillId="0" borderId="1" xfId="0" applyFont="1" applyBorder="1"/>
    <xf numFmtId="165" fontId="15" fillId="0" borderId="1" xfId="0" quotePrefix="1" applyNumberFormat="1" applyFont="1" applyBorder="1"/>
    <xf numFmtId="43" fontId="15" fillId="0" borderId="1" xfId="0" quotePrefix="1" applyNumberFormat="1" applyFont="1" applyBorder="1" applyAlignment="1">
      <alignment horizontal="left" indent="1"/>
    </xf>
    <xf numFmtId="0" fontId="0" fillId="0" borderId="2" xfId="0" applyBorder="1" applyAlignment="1">
      <alignment horizontal="left" vertical="center" wrapText="1"/>
    </xf>
    <xf numFmtId="165" fontId="8" fillId="0" borderId="9" xfId="1" applyNumberFormat="1" applyFont="1" applyBorder="1" applyAlignment="1">
      <alignment vertical="center"/>
    </xf>
    <xf numFmtId="167" fontId="8" fillId="0" borderId="9" xfId="1" applyNumberFormat="1" applyFont="1" applyFill="1" applyBorder="1" applyAlignment="1">
      <alignment horizontal="right" vertical="center"/>
    </xf>
    <xf numFmtId="2" fontId="23" fillId="0" borderId="1" xfId="0" applyNumberFormat="1" applyFont="1" applyBorder="1"/>
    <xf numFmtId="164" fontId="23" fillId="0" borderId="1" xfId="0" applyNumberFormat="1" applyFont="1" applyBorder="1"/>
    <xf numFmtId="0" fontId="23" fillId="0" borderId="0" xfId="0" applyFont="1"/>
    <xf numFmtId="2" fontId="8" fillId="0" borderId="9" xfId="0" applyNumberFormat="1" applyFont="1" applyBorder="1" applyAlignment="1">
      <alignment vertical="center"/>
    </xf>
    <xf numFmtId="165" fontId="23" fillId="0" borderId="1" xfId="0" applyNumberFormat="1" applyFont="1" applyBorder="1"/>
    <xf numFmtId="6" fontId="23" fillId="0" borderId="1" xfId="0" applyNumberFormat="1" applyFont="1" applyBorder="1" applyAlignment="1">
      <alignment horizontal="right"/>
    </xf>
    <xf numFmtId="170" fontId="8" fillId="4" borderId="9" xfId="1" applyNumberFormat="1" applyFont="1" applyFill="1" applyBorder="1" applyAlignment="1">
      <alignment horizontal="right" vertical="center"/>
    </xf>
    <xf numFmtId="171" fontId="8" fillId="0" borderId="0" xfId="0" applyNumberFormat="1" applyFont="1"/>
    <xf numFmtId="43" fontId="8" fillId="0" borderId="0" xfId="0" applyNumberFormat="1" applyFont="1"/>
    <xf numFmtId="43" fontId="8" fillId="4" borderId="9" xfId="1" applyFont="1" applyFill="1" applyBorder="1" applyAlignment="1">
      <alignment horizontal="right" vertical="center"/>
    </xf>
    <xf numFmtId="43" fontId="8" fillId="0" borderId="9" xfId="1" applyFont="1" applyBorder="1" applyAlignment="1">
      <alignment horizontal="right" vertical="center"/>
    </xf>
    <xf numFmtId="0" fontId="21" fillId="7" borderId="0" xfId="0" applyFont="1" applyFill="1"/>
    <xf numFmtId="0" fontId="8" fillId="7" borderId="0" xfId="0" applyFont="1" applyFill="1"/>
    <xf numFmtId="0" fontId="25" fillId="0" borderId="0" xfId="0" applyFont="1"/>
    <xf numFmtId="0" fontId="7" fillId="0" borderId="0" xfId="0" applyFont="1"/>
    <xf numFmtId="170" fontId="8" fillId="0" borderId="9" xfId="1" applyNumberFormat="1" applyFont="1" applyFill="1" applyBorder="1" applyAlignment="1">
      <alignment horizontal="right" vertical="center"/>
    </xf>
    <xf numFmtId="0" fontId="0" fillId="0" borderId="9" xfId="0" applyBorder="1" applyAlignment="1">
      <alignment horizontal="left" vertical="center" wrapText="1"/>
    </xf>
    <xf numFmtId="0" fontId="3" fillId="3" borderId="9" xfId="0" applyFont="1" applyFill="1" applyBorder="1" applyAlignment="1">
      <alignment vertical="center" wrapText="1"/>
    </xf>
    <xf numFmtId="0" fontId="0" fillId="3" borderId="9" xfId="0" applyFill="1" applyBorder="1" applyAlignment="1">
      <alignment vertical="center" wrapText="1"/>
    </xf>
    <xf numFmtId="165" fontId="3" fillId="3" borderId="9" xfId="1" applyNumberFormat="1" applyFont="1" applyFill="1" applyBorder="1" applyAlignment="1">
      <alignment vertical="center"/>
    </xf>
    <xf numFmtId="43" fontId="3" fillId="3" borderId="9" xfId="1" applyFont="1" applyFill="1" applyBorder="1" applyAlignment="1">
      <alignment horizontal="center" vertical="center"/>
    </xf>
    <xf numFmtId="165" fontId="3" fillId="3" borderId="9" xfId="1" applyNumberFormat="1" applyFont="1" applyFill="1" applyBorder="1" applyAlignment="1">
      <alignment horizontal="center" vertical="center"/>
    </xf>
    <xf numFmtId="167" fontId="3" fillId="3" borderId="9" xfId="1" applyNumberFormat="1" applyFont="1" applyFill="1" applyBorder="1" applyAlignment="1">
      <alignment vertical="center"/>
    </xf>
    <xf numFmtId="0" fontId="0" fillId="0" borderId="0" xfId="0" applyAlignment="1">
      <alignment vertical="center" wrapText="1"/>
    </xf>
    <xf numFmtId="165" fontId="0" fillId="0" borderId="0" xfId="0" applyNumberFormat="1" applyAlignment="1">
      <alignment vertical="center"/>
    </xf>
    <xf numFmtId="167" fontId="0" fillId="0" borderId="0" xfId="0" applyNumberFormat="1" applyAlignment="1">
      <alignment vertical="center"/>
    </xf>
    <xf numFmtId="43" fontId="0" fillId="0" borderId="0" xfId="0" applyNumberFormat="1" applyAlignment="1">
      <alignment wrapText="1"/>
    </xf>
    <xf numFmtId="0" fontId="1" fillId="2" borderId="9" xfId="0" applyFont="1" applyFill="1" applyBorder="1" applyAlignment="1">
      <alignment horizontal="center" wrapText="1"/>
    </xf>
    <xf numFmtId="165" fontId="1" fillId="2" borderId="9" xfId="0" applyNumberFormat="1" applyFont="1" applyFill="1" applyBorder="1" applyAlignment="1">
      <alignment horizontal="center" wrapText="1"/>
    </xf>
    <xf numFmtId="165" fontId="0" fillId="0" borderId="9" xfId="0" applyNumberFormat="1" applyBorder="1"/>
    <xf numFmtId="167" fontId="0" fillId="0" borderId="9" xfId="2" applyNumberFormat="1" applyFont="1" applyBorder="1"/>
    <xf numFmtId="170" fontId="0" fillId="0" borderId="0" xfId="0" applyNumberFormat="1"/>
    <xf numFmtId="0" fontId="19" fillId="0" borderId="0" xfId="0" applyFont="1" applyAlignment="1">
      <alignment horizontal="center" vertical="center"/>
    </xf>
    <xf numFmtId="0" fontId="19" fillId="0" borderId="0" xfId="0" applyFont="1" applyAlignment="1">
      <alignment vertical="center" wrapText="1"/>
    </xf>
    <xf numFmtId="0" fontId="26" fillId="0" borderId="0" xfId="0" applyFont="1" applyAlignment="1">
      <alignment horizontal="center" vertical="center"/>
    </xf>
    <xf numFmtId="3" fontId="26" fillId="0" borderId="0" xfId="0" applyNumberFormat="1" applyFont="1" applyAlignment="1">
      <alignment horizontal="center" vertical="center"/>
    </xf>
    <xf numFmtId="0" fontId="19" fillId="0" borderId="0" xfId="0" applyFont="1" applyAlignment="1">
      <alignment horizontal="center" vertical="center" wrapText="1"/>
    </xf>
    <xf numFmtId="165" fontId="8" fillId="0" borderId="1" xfId="1" applyNumberFormat="1" applyFont="1" applyFill="1" applyBorder="1" applyAlignment="1">
      <alignment horizontal="right" vertical="center"/>
    </xf>
    <xf numFmtId="43" fontId="8" fillId="0" borderId="1" xfId="1" applyFont="1" applyFill="1" applyBorder="1" applyAlignment="1">
      <alignment horizontal="right" vertical="center"/>
    </xf>
    <xf numFmtId="166" fontId="8" fillId="0" borderId="1" xfId="1" applyNumberFormat="1" applyFont="1" applyFill="1" applyBorder="1" applyAlignment="1">
      <alignment horizontal="right" vertical="center"/>
    </xf>
    <xf numFmtId="165" fontId="8" fillId="0" borderId="1" xfId="1" applyNumberFormat="1" applyFont="1" applyFill="1" applyBorder="1" applyAlignment="1">
      <alignment horizontal="right" vertical="center" wrapText="1"/>
    </xf>
    <xf numFmtId="0" fontId="8" fillId="0" borderId="1" xfId="0" applyFont="1" applyBorder="1" applyAlignment="1">
      <alignment horizontal="right" vertical="center" wrapText="1"/>
    </xf>
    <xf numFmtId="3" fontId="8" fillId="0" borderId="1" xfId="0" applyNumberFormat="1" applyFont="1" applyBorder="1" applyAlignment="1">
      <alignment horizontal="right" vertical="center" wrapText="1"/>
    </xf>
    <xf numFmtId="164" fontId="0" fillId="9" borderId="9" xfId="0" applyNumberFormat="1" applyFill="1" applyBorder="1" applyAlignment="1">
      <alignment vertical="center"/>
    </xf>
    <xf numFmtId="164" fontId="7" fillId="9" borderId="9" xfId="2" applyNumberFormat="1" applyFont="1" applyFill="1" applyBorder="1" applyAlignment="1">
      <alignment vertical="center"/>
    </xf>
    <xf numFmtId="169" fontId="0" fillId="0" borderId="0" xfId="0" applyNumberFormat="1"/>
    <xf numFmtId="165" fontId="8" fillId="0" borderId="0" xfId="1" applyNumberFormat="1" applyFont="1"/>
    <xf numFmtId="170" fontId="8" fillId="0" borderId="1" xfId="1" applyNumberFormat="1" applyFont="1" applyFill="1" applyBorder="1" applyAlignment="1">
      <alignment horizontal="right" vertical="center" wrapText="1"/>
    </xf>
    <xf numFmtId="43" fontId="8" fillId="0" borderId="1" xfId="0" applyNumberFormat="1" applyFont="1" applyBorder="1" applyAlignment="1">
      <alignment horizontal="right" vertical="center" wrapText="1"/>
    </xf>
    <xf numFmtId="0" fontId="27" fillId="0" borderId="0" xfId="0" applyFont="1" applyAlignment="1">
      <alignment horizontal="left"/>
    </xf>
    <xf numFmtId="167" fontId="0" fillId="0" borderId="9" xfId="1" applyNumberFormat="1" applyFont="1" applyBorder="1" applyAlignment="1">
      <alignment horizontal="right"/>
    </xf>
    <xf numFmtId="165" fontId="0" fillId="0" borderId="9" xfId="1" applyNumberFormat="1" applyFont="1" applyBorder="1"/>
    <xf numFmtId="1" fontId="0" fillId="0" borderId="0" xfId="0" applyNumberFormat="1"/>
    <xf numFmtId="0" fontId="3" fillId="3" borderId="15" xfId="0" applyFont="1" applyFill="1" applyBorder="1" applyAlignment="1">
      <alignment wrapText="1"/>
    </xf>
    <xf numFmtId="165" fontId="3" fillId="3" borderId="15" xfId="1" applyNumberFormat="1" applyFont="1" applyFill="1" applyBorder="1" applyAlignment="1">
      <alignment horizontal="right"/>
    </xf>
    <xf numFmtId="167" fontId="3" fillId="3" borderId="15" xfId="1" applyNumberFormat="1" applyFont="1" applyFill="1" applyBorder="1" applyAlignment="1">
      <alignment horizontal="right"/>
    </xf>
    <xf numFmtId="0" fontId="3" fillId="0" borderId="17" xfId="0" applyFont="1" applyBorder="1"/>
    <xf numFmtId="0" fontId="3" fillId="0" borderId="1" xfId="0" applyFont="1" applyBorder="1" applyAlignment="1">
      <alignment wrapText="1"/>
    </xf>
    <xf numFmtId="164" fontId="0" fillId="0" borderId="0" xfId="0" applyNumberFormat="1" applyAlignment="1">
      <alignment vertical="center"/>
    </xf>
    <xf numFmtId="164" fontId="7" fillId="0" borderId="0" xfId="2" applyNumberFormat="1" applyFont="1" applyFill="1" applyBorder="1" applyAlignment="1">
      <alignment vertical="center"/>
    </xf>
    <xf numFmtId="0" fontId="8" fillId="0" borderId="0" xfId="0" applyFont="1" applyAlignment="1">
      <alignment horizontal="left" vertical="center"/>
    </xf>
    <xf numFmtId="9" fontId="0" fillId="8" borderId="8" xfId="3" applyFont="1" applyFill="1" applyBorder="1"/>
    <xf numFmtId="9" fontId="2" fillId="8" borderId="8" xfId="3" applyFont="1" applyFill="1" applyBorder="1"/>
    <xf numFmtId="9" fontId="0" fillId="0" borderId="0" xfId="3" applyFont="1" applyFill="1" applyBorder="1"/>
    <xf numFmtId="17" fontId="0" fillId="0" borderId="0" xfId="0" applyNumberFormat="1"/>
    <xf numFmtId="165" fontId="8" fillId="0" borderId="0" xfId="1" applyNumberFormat="1" applyFont="1" applyFill="1"/>
    <xf numFmtId="0" fontId="1" fillId="2" borderId="3" xfId="0" applyFont="1" applyFill="1" applyBorder="1" applyAlignment="1">
      <alignment vertical="center" wrapText="1"/>
    </xf>
    <xf numFmtId="0" fontId="1" fillId="2" borderId="1" xfId="0" applyFont="1" applyFill="1" applyBorder="1" applyAlignment="1">
      <alignment vertical="center" wrapText="1"/>
    </xf>
    <xf numFmtId="0" fontId="28" fillId="0" borderId="0" xfId="0" applyFont="1"/>
    <xf numFmtId="165" fontId="0" fillId="10" borderId="1" xfId="1" applyNumberFormat="1" applyFont="1" applyFill="1" applyBorder="1" applyAlignment="1">
      <alignment horizontal="right" vertical="center"/>
    </xf>
    <xf numFmtId="169" fontId="0" fillId="10" borderId="1" xfId="2" applyNumberFormat="1" applyFont="1" applyFill="1" applyBorder="1" applyAlignment="1">
      <alignment horizontal="right" vertical="center"/>
    </xf>
    <xf numFmtId="44" fontId="0" fillId="10" borderId="1" xfId="2" applyFont="1" applyFill="1" applyBorder="1" applyAlignment="1">
      <alignment vertical="center"/>
    </xf>
    <xf numFmtId="169" fontId="0" fillId="10" borderId="1" xfId="2" applyNumberFormat="1" applyFont="1" applyFill="1" applyBorder="1" applyAlignment="1">
      <alignment vertical="center"/>
    </xf>
    <xf numFmtId="165" fontId="3" fillId="10" borderId="1" xfId="1" applyNumberFormat="1" applyFont="1" applyFill="1" applyBorder="1" applyAlignment="1">
      <alignment horizontal="right"/>
    </xf>
    <xf numFmtId="169" fontId="3" fillId="10" borderId="1" xfId="2" applyNumberFormat="1" applyFont="1" applyFill="1" applyBorder="1" applyAlignment="1">
      <alignment horizontal="right"/>
    </xf>
    <xf numFmtId="165" fontId="0" fillId="10" borderId="9" xfId="1" applyNumberFormat="1" applyFont="1" applyFill="1" applyBorder="1" applyAlignment="1">
      <alignment horizontal="right"/>
    </xf>
    <xf numFmtId="167" fontId="0" fillId="10" borderId="9" xfId="1" applyNumberFormat="1" applyFont="1" applyFill="1" applyBorder="1" applyAlignment="1">
      <alignment horizontal="right"/>
    </xf>
    <xf numFmtId="165" fontId="0" fillId="10" borderId="9" xfId="1" applyNumberFormat="1" applyFont="1" applyFill="1" applyBorder="1"/>
    <xf numFmtId="0" fontId="8" fillId="0" borderId="27" xfId="0" applyFont="1" applyBorder="1" applyAlignment="1">
      <alignment horizontal="left" vertical="center"/>
    </xf>
    <xf numFmtId="0" fontId="6" fillId="0" borderId="17" xfId="0" applyFont="1" applyBorder="1"/>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0" fillId="0" borderId="30" xfId="0" applyBorder="1" applyAlignment="1">
      <alignment vertical="center" wrapText="1"/>
    </xf>
    <xf numFmtId="9" fontId="0" fillId="5" borderId="31" xfId="3" applyFont="1" applyFill="1" applyBorder="1"/>
    <xf numFmtId="164" fontId="8" fillId="5" borderId="31" xfId="2" applyNumberFormat="1" applyFont="1" applyFill="1" applyBorder="1" applyAlignment="1">
      <alignment vertical="center"/>
    </xf>
    <xf numFmtId="165" fontId="14" fillId="0" borderId="1" xfId="0" quotePrefix="1" applyNumberFormat="1" applyFont="1" applyBorder="1"/>
    <xf numFmtId="0" fontId="22" fillId="6" borderId="1" xfId="0" applyFont="1" applyFill="1" applyBorder="1" applyAlignment="1">
      <alignment wrapText="1"/>
    </xf>
    <xf numFmtId="0" fontId="0" fillId="0" borderId="7" xfId="0" applyBorder="1"/>
    <xf numFmtId="0" fontId="8" fillId="0" borderId="7" xfId="0" applyFont="1" applyBorder="1"/>
    <xf numFmtId="0" fontId="8" fillId="0" borderId="21" xfId="0" applyFont="1" applyBorder="1"/>
    <xf numFmtId="0" fontId="1" fillId="0" borderId="0" xfId="0" applyFont="1" applyAlignment="1">
      <alignment vertical="center" wrapText="1"/>
    </xf>
    <xf numFmtId="174" fontId="0" fillId="0" borderId="1" xfId="0" applyNumberFormat="1" applyBorder="1" applyAlignment="1">
      <alignment horizontal="right" vertical="center"/>
    </xf>
    <xf numFmtId="44" fontId="0" fillId="0" borderId="1" xfId="2" applyFont="1" applyFill="1" applyBorder="1" applyAlignment="1">
      <alignment horizontal="right" vertical="center"/>
    </xf>
    <xf numFmtId="0" fontId="3" fillId="0" borderId="1" xfId="2" applyNumberFormat="1" applyFont="1" applyFill="1" applyBorder="1" applyAlignment="1">
      <alignment horizontal="right" vertical="center"/>
    </xf>
    <xf numFmtId="169" fontId="3" fillId="0" borderId="1" xfId="2" applyNumberFormat="1" applyFont="1" applyFill="1" applyBorder="1" applyAlignment="1">
      <alignment horizontal="right" vertical="center"/>
    </xf>
    <xf numFmtId="173"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11" borderId="1" xfId="0" applyFill="1" applyBorder="1" applyAlignment="1">
      <alignment horizontal="left" vertical="center"/>
    </xf>
    <xf numFmtId="165" fontId="3" fillId="12" borderId="1" xfId="1" applyNumberFormat="1" applyFont="1" applyFill="1" applyBorder="1" applyAlignment="1">
      <alignment horizontal="right"/>
    </xf>
    <xf numFmtId="169" fontId="3" fillId="12" borderId="1" xfId="2" applyNumberFormat="1" applyFont="1" applyFill="1" applyBorder="1" applyAlignment="1">
      <alignment horizontal="right"/>
    </xf>
    <xf numFmtId="0" fontId="29" fillId="0" borderId="0" xfId="0" applyFont="1"/>
    <xf numFmtId="165" fontId="14" fillId="0" borderId="32" xfId="0" quotePrefix="1" applyNumberFormat="1" applyFont="1" applyBorder="1"/>
    <xf numFmtId="0" fontId="0" fillId="0" borderId="1" xfId="0" applyBorder="1" applyAlignment="1">
      <alignment wrapText="1"/>
    </xf>
    <xf numFmtId="0" fontId="3" fillId="0" borderId="18" xfId="0" applyFont="1" applyBorder="1" applyAlignment="1">
      <alignment horizontal="right"/>
    </xf>
    <xf numFmtId="0" fontId="3" fillId="0" borderId="19" xfId="0" applyFont="1" applyBorder="1" applyAlignment="1">
      <alignment horizontal="right"/>
    </xf>
    <xf numFmtId="165" fontId="0" fillId="0" borderId="0" xfId="1" applyNumberFormat="1" applyFont="1" applyBorder="1" applyAlignment="1">
      <alignment horizontal="right"/>
    </xf>
    <xf numFmtId="165" fontId="8" fillId="0" borderId="0" xfId="1" applyNumberFormat="1" applyFont="1" applyFill="1" applyBorder="1" applyAlignment="1">
      <alignment horizontal="right"/>
    </xf>
    <xf numFmtId="165" fontId="8" fillId="0" borderId="20" xfId="1" applyNumberFormat="1" applyFont="1" applyFill="1" applyBorder="1" applyAlignment="1">
      <alignment horizontal="right"/>
    </xf>
    <xf numFmtId="170" fontId="8" fillId="0" borderId="22" xfId="1" applyNumberFormat="1" applyFont="1" applyFill="1" applyBorder="1" applyAlignment="1">
      <alignment horizontal="right"/>
    </xf>
    <xf numFmtId="0" fontId="0" fillId="0" borderId="22" xfId="0" applyBorder="1" applyAlignment="1">
      <alignment horizontal="right"/>
    </xf>
    <xf numFmtId="0" fontId="0" fillId="0" borderId="23" xfId="0" applyBorder="1" applyAlignment="1">
      <alignment horizontal="right"/>
    </xf>
    <xf numFmtId="164" fontId="1" fillId="2" borderId="1" xfId="0" applyNumberFormat="1" applyFont="1" applyFill="1" applyBorder="1" applyAlignment="1">
      <alignment horizontal="center" vertical="center" wrapText="1"/>
    </xf>
    <xf numFmtId="0" fontId="8" fillId="0" borderId="0" xfId="0" applyFont="1" applyAlignment="1">
      <alignment horizontal="left" wrapText="1"/>
    </xf>
    <xf numFmtId="43" fontId="0" fillId="5" borderId="31" xfId="1" applyFont="1" applyFill="1" applyBorder="1"/>
    <xf numFmtId="0" fontId="22" fillId="6" borderId="1" xfId="0" applyFont="1" applyFill="1" applyBorder="1" applyAlignment="1">
      <alignment horizontal="left" vertical="center"/>
    </xf>
    <xf numFmtId="0" fontId="22" fillId="6" borderId="1" xfId="0" applyFont="1" applyFill="1" applyBorder="1" applyAlignment="1">
      <alignment horizontal="left" vertical="center" wrapText="1"/>
    </xf>
    <xf numFmtId="0" fontId="16" fillId="4" borderId="0" xfId="0" applyFont="1" applyFill="1"/>
    <xf numFmtId="0" fontId="0" fillId="4" borderId="0" xfId="0" applyFill="1"/>
    <xf numFmtId="165" fontId="0" fillId="4" borderId="0" xfId="0" applyNumberFormat="1" applyFill="1"/>
    <xf numFmtId="0" fontId="0" fillId="4" borderId="0" xfId="0" applyFill="1" applyAlignment="1">
      <alignment wrapText="1"/>
    </xf>
    <xf numFmtId="165" fontId="8" fillId="0" borderId="20" xfId="1" applyNumberFormat="1" applyFont="1" applyBorder="1" applyAlignment="1">
      <alignment horizontal="right"/>
    </xf>
    <xf numFmtId="0" fontId="3" fillId="13" borderId="1" xfId="0" applyFont="1" applyFill="1" applyBorder="1" applyAlignment="1">
      <alignment wrapText="1"/>
    </xf>
    <xf numFmtId="165" fontId="3" fillId="13" borderId="1" xfId="0" applyNumberFormat="1" applyFont="1" applyFill="1" applyBorder="1"/>
    <xf numFmtId="0" fontId="8" fillId="0" borderId="0" xfId="0" applyFont="1" applyAlignment="1">
      <alignment horizontal="left" vertical="center" wrapText="1"/>
    </xf>
    <xf numFmtId="44" fontId="0" fillId="0" borderId="0" xfId="2" applyFont="1" applyBorder="1"/>
    <xf numFmtId="43" fontId="3" fillId="13" borderId="1" xfId="0" applyNumberFormat="1" applyFont="1" applyFill="1" applyBorder="1"/>
    <xf numFmtId="0" fontId="0" fillId="0" borderId="34" xfId="0" applyBorder="1" applyAlignment="1">
      <alignment vertical="center" wrapText="1"/>
    </xf>
    <xf numFmtId="164" fontId="0" fillId="5" borderId="35" xfId="0" applyNumberFormat="1" applyFill="1" applyBorder="1" applyAlignment="1">
      <alignment vertical="center"/>
    </xf>
    <xf numFmtId="164" fontId="8" fillId="5" borderId="36" xfId="2" applyNumberFormat="1" applyFont="1" applyFill="1" applyBorder="1" applyAlignment="1">
      <alignment vertical="center"/>
    </xf>
    <xf numFmtId="0" fontId="22" fillId="0" borderId="1" xfId="0" applyFont="1" applyBorder="1"/>
    <xf numFmtId="0" fontId="22" fillId="0" borderId="1" xfId="0" applyFont="1" applyBorder="1" applyAlignment="1">
      <alignment wrapText="1"/>
    </xf>
    <xf numFmtId="165" fontId="23" fillId="0" borderId="0" xfId="0" applyNumberFormat="1" applyFont="1"/>
    <xf numFmtId="6" fontId="23" fillId="0" borderId="0" xfId="0" applyNumberFormat="1" applyFont="1" applyAlignment="1">
      <alignment horizontal="right"/>
    </xf>
    <xf numFmtId="0" fontId="30" fillId="0" borderId="0" xfId="0" applyFont="1"/>
    <xf numFmtId="169" fontId="8" fillId="0" borderId="0" xfId="2" applyNumberFormat="1" applyFont="1"/>
    <xf numFmtId="0" fontId="24" fillId="0" borderId="0" xfId="0" applyFont="1"/>
    <xf numFmtId="165" fontId="15" fillId="0" borderId="0" xfId="0" quotePrefix="1" applyNumberFormat="1" applyFont="1"/>
    <xf numFmtId="164" fontId="24" fillId="0" borderId="0" xfId="0" applyNumberFormat="1" applyFont="1"/>
    <xf numFmtId="169" fontId="15" fillId="0" borderId="1" xfId="2" quotePrefix="1" applyNumberFormat="1" applyFont="1" applyBorder="1"/>
    <xf numFmtId="0" fontId="0" fillId="10" borderId="1" xfId="0" applyFill="1" applyBorder="1" applyAlignment="1">
      <alignment wrapText="1"/>
    </xf>
    <xf numFmtId="165" fontId="14" fillId="10" borderId="32" xfId="0" quotePrefix="1" applyNumberFormat="1" applyFont="1" applyFill="1" applyBorder="1"/>
    <xf numFmtId="164" fontId="23" fillId="10" borderId="1" xfId="0" applyNumberFormat="1" applyFont="1" applyFill="1" applyBorder="1"/>
    <xf numFmtId="165" fontId="14" fillId="10" borderId="1" xfId="0" quotePrefix="1" applyNumberFormat="1" applyFont="1" applyFill="1" applyBorder="1"/>
    <xf numFmtId="2" fontId="23" fillId="10" borderId="1" xfId="0" applyNumberFormat="1" applyFont="1" applyFill="1" applyBorder="1"/>
    <xf numFmtId="170" fontId="0" fillId="10" borderId="1" xfId="1" applyNumberFormat="1" applyFont="1" applyFill="1" applyBorder="1" applyAlignment="1">
      <alignment horizontal="right" vertical="center"/>
    </xf>
    <xf numFmtId="170" fontId="0" fillId="0" borderId="1" xfId="1" applyNumberFormat="1" applyFont="1" applyFill="1" applyBorder="1" applyAlignment="1">
      <alignment horizontal="right" vertical="center"/>
    </xf>
    <xf numFmtId="0" fontId="3" fillId="0" borderId="0" xfId="0" applyFont="1" applyAlignment="1">
      <alignment wrapText="1"/>
    </xf>
    <xf numFmtId="0" fontId="7" fillId="0" borderId="1" xfId="0" applyFont="1" applyBorder="1" applyAlignment="1">
      <alignment vertical="center" wrapText="1"/>
    </xf>
    <xf numFmtId="0" fontId="0" fillId="0" borderId="1" xfId="0" applyBorder="1"/>
    <xf numFmtId="0" fontId="20" fillId="0" borderId="1" xfId="0" applyFont="1" applyBorder="1" applyAlignment="1">
      <alignment vertical="center"/>
    </xf>
    <xf numFmtId="165" fontId="3" fillId="0" borderId="1" xfId="0" applyNumberFormat="1" applyFont="1" applyBorder="1"/>
    <xf numFmtId="169" fontId="3" fillId="0" borderId="1" xfId="0" applyNumberFormat="1" applyFont="1" applyBorder="1"/>
    <xf numFmtId="165" fontId="8" fillId="0" borderId="0" xfId="1" applyNumberFormat="1" applyFont="1" applyAlignment="1">
      <alignment horizontal="right"/>
    </xf>
    <xf numFmtId="165" fontId="8" fillId="0" borderId="0" xfId="1" applyNumberFormat="1" applyFont="1" applyBorder="1" applyAlignment="1">
      <alignment horizontal="right"/>
    </xf>
    <xf numFmtId="0" fontId="0" fillId="0" borderId="0" xfId="0" applyAlignment="1">
      <alignment horizontal="right"/>
    </xf>
    <xf numFmtId="0" fontId="8" fillId="0" borderId="1" xfId="0" applyFont="1" applyBorder="1" applyAlignment="1">
      <alignment horizontal="center" vertical="center" wrapText="1"/>
    </xf>
    <xf numFmtId="0" fontId="8" fillId="0" borderId="33" xfId="0" applyFont="1" applyBorder="1" applyAlignment="1">
      <alignment horizontal="center" vertical="center" wrapText="1"/>
    </xf>
    <xf numFmtId="170" fontId="8" fillId="0" borderId="0" xfId="1" applyNumberFormat="1" applyFont="1" applyFill="1" applyBorder="1" applyAlignment="1">
      <alignment horizontal="right"/>
    </xf>
    <xf numFmtId="0" fontId="28" fillId="0" borderId="22" xfId="0" applyFont="1" applyBorder="1" applyAlignment="1">
      <alignment horizontal="right"/>
    </xf>
    <xf numFmtId="169" fontId="0" fillId="0" borderId="1" xfId="2" applyNumberFormat="1" applyFont="1" applyFill="1" applyBorder="1" applyAlignment="1">
      <alignment horizontal="center" vertical="center"/>
    </xf>
    <xf numFmtId="0" fontId="7" fillId="0" borderId="17" xfId="0" applyFont="1" applyBorder="1"/>
    <xf numFmtId="165" fontId="8" fillId="0" borderId="22" xfId="1" applyNumberFormat="1" applyFont="1" applyBorder="1" applyAlignment="1">
      <alignment horizontal="right"/>
    </xf>
    <xf numFmtId="165" fontId="8" fillId="0" borderId="23" xfId="1" applyNumberFormat="1" applyFont="1" applyBorder="1" applyAlignment="1">
      <alignment horizontal="right"/>
    </xf>
    <xf numFmtId="0" fontId="0" fillId="0" borderId="21" xfId="0" applyBorder="1"/>
    <xf numFmtId="44" fontId="8" fillId="0" borderId="1" xfId="2" applyFont="1" applyBorder="1" applyAlignment="1">
      <alignment horizontal="right" vertical="center"/>
    </xf>
    <xf numFmtId="0" fontId="8" fillId="0" borderId="3" xfId="0" applyFont="1" applyBorder="1" applyAlignment="1">
      <alignment vertical="center"/>
    </xf>
    <xf numFmtId="3" fontId="8" fillId="0" borderId="1" xfId="0" applyNumberFormat="1" applyFont="1" applyBorder="1" applyAlignment="1">
      <alignment vertical="center" wrapText="1"/>
    </xf>
    <xf numFmtId="166" fontId="8" fillId="0" borderId="1" xfId="0" applyNumberFormat="1" applyFont="1" applyBorder="1" applyAlignment="1">
      <alignment horizontal="right" vertical="center" wrapText="1"/>
    </xf>
    <xf numFmtId="170" fontId="8" fillId="0" borderId="1" xfId="0" applyNumberFormat="1" applyFont="1" applyBorder="1" applyAlignment="1">
      <alignment horizontal="right" vertical="center"/>
    </xf>
    <xf numFmtId="43" fontId="8" fillId="0" borderId="1" xfId="0" applyNumberFormat="1" applyFont="1" applyBorder="1" applyAlignment="1">
      <alignment horizontal="right" vertical="center"/>
    </xf>
    <xf numFmtId="171" fontId="8" fillId="0" borderId="1" xfId="0" applyNumberFormat="1" applyFont="1" applyBorder="1" applyAlignment="1">
      <alignment vertical="center"/>
    </xf>
    <xf numFmtId="175" fontId="8" fillId="0" borderId="1" xfId="2" applyNumberFormat="1" applyFont="1" applyBorder="1" applyAlignment="1">
      <alignment horizontal="right" vertical="center"/>
    </xf>
    <xf numFmtId="43" fontId="8" fillId="0" borderId="1" xfId="0" applyNumberFormat="1" applyFont="1" applyBorder="1" applyAlignment="1">
      <alignment vertical="center"/>
    </xf>
    <xf numFmtId="165" fontId="8" fillId="0" borderId="1" xfId="1" applyNumberFormat="1" applyFont="1" applyFill="1" applyBorder="1" applyAlignment="1">
      <alignment vertical="center" wrapText="1"/>
    </xf>
    <xf numFmtId="166" fontId="8" fillId="0" borderId="1" xfId="1" applyNumberFormat="1" applyFont="1" applyFill="1" applyBorder="1" applyAlignment="1">
      <alignment vertical="center" wrapText="1"/>
    </xf>
    <xf numFmtId="0" fontId="8" fillId="0" borderId="1" xfId="0" applyFont="1" applyBorder="1" applyAlignment="1">
      <alignment vertical="center"/>
    </xf>
    <xf numFmtId="2" fontId="8" fillId="0" borderId="1" xfId="0" applyNumberFormat="1" applyFont="1" applyBorder="1" applyAlignment="1">
      <alignment vertical="center"/>
    </xf>
    <xf numFmtId="164" fontId="8" fillId="0" borderId="1" xfId="2" applyNumberFormat="1" applyFont="1" applyBorder="1" applyAlignment="1">
      <alignment horizontal="right" vertical="center"/>
    </xf>
    <xf numFmtId="175" fontId="8" fillId="0" borderId="1" xfId="2" applyNumberFormat="1" applyFont="1" applyFill="1" applyBorder="1" applyAlignment="1">
      <alignment horizontal="right" vertical="center"/>
    </xf>
    <xf numFmtId="165" fontId="0" fillId="0" borderId="20" xfId="1" applyNumberFormat="1" applyFont="1" applyBorder="1" applyAlignment="1">
      <alignment horizontal="right"/>
    </xf>
    <xf numFmtId="165" fontId="23" fillId="10" borderId="1" xfId="0" applyNumberFormat="1" applyFont="1" applyFill="1" applyBorder="1"/>
    <xf numFmtId="164" fontId="24" fillId="0" borderId="1" xfId="0" applyNumberFormat="1" applyFont="1" applyBorder="1"/>
    <xf numFmtId="43" fontId="0" fillId="0" borderId="1" xfId="1" applyFont="1" applyFill="1" applyBorder="1" applyAlignment="1">
      <alignment horizontal="right" vertical="center"/>
    </xf>
    <xf numFmtId="43" fontId="0" fillId="10" borderId="1" xfId="1" applyFont="1" applyFill="1" applyBorder="1" applyAlignment="1">
      <alignment horizontal="right" vertical="center"/>
    </xf>
    <xf numFmtId="166" fontId="0" fillId="10" borderId="1" xfId="1" applyNumberFormat="1" applyFont="1" applyFill="1" applyBorder="1" applyAlignment="1">
      <alignment horizontal="right" vertical="center"/>
    </xf>
    <xf numFmtId="166" fontId="0" fillId="0" borderId="1" xfId="1" applyNumberFormat="1" applyFont="1" applyFill="1" applyBorder="1" applyAlignment="1">
      <alignment horizontal="right" vertical="center"/>
    </xf>
    <xf numFmtId="0" fontId="31" fillId="15" borderId="23" xfId="0" applyFont="1" applyFill="1" applyBorder="1" applyAlignment="1">
      <alignment horizontal="center" vertical="center" wrapText="1"/>
    </xf>
    <xf numFmtId="0" fontId="32" fillId="0" borderId="23" xfId="0" applyFont="1" applyBorder="1" applyAlignment="1">
      <alignment vertical="center" wrapText="1"/>
    </xf>
    <xf numFmtId="6" fontId="32" fillId="0" borderId="23" xfId="0" applyNumberFormat="1" applyFont="1" applyBorder="1" applyAlignment="1">
      <alignment horizontal="right" vertical="center" wrapText="1"/>
    </xf>
    <xf numFmtId="170" fontId="32" fillId="0" borderId="23" xfId="1" applyNumberFormat="1" applyFont="1" applyBorder="1" applyAlignment="1">
      <alignment horizontal="right" vertical="center" wrapText="1"/>
    </xf>
    <xf numFmtId="165" fontId="32" fillId="0" borderId="23" xfId="1" applyNumberFormat="1" applyFont="1" applyBorder="1" applyAlignment="1">
      <alignment horizontal="right" vertical="center" wrapText="1"/>
    </xf>
    <xf numFmtId="169" fontId="32" fillId="0" borderId="23" xfId="0" applyNumberFormat="1" applyFont="1" applyBorder="1" applyAlignment="1">
      <alignment horizontal="right" vertical="center" wrapText="1"/>
    </xf>
    <xf numFmtId="0" fontId="8" fillId="0" borderId="9" xfId="0" applyFont="1" applyBorder="1" applyAlignment="1">
      <alignment wrapText="1"/>
    </xf>
    <xf numFmtId="165" fontId="8" fillId="0" borderId="9" xfId="1" applyNumberFormat="1" applyFont="1" applyBorder="1" applyAlignment="1">
      <alignment horizontal="right"/>
    </xf>
    <xf numFmtId="43" fontId="8" fillId="0" borderId="9" xfId="1" applyFont="1" applyBorder="1" applyAlignment="1">
      <alignment horizontal="right"/>
    </xf>
    <xf numFmtId="165" fontId="8" fillId="0" borderId="9" xfId="1" applyNumberFormat="1" applyFont="1" applyFill="1" applyBorder="1" applyAlignment="1">
      <alignment horizontal="right"/>
    </xf>
    <xf numFmtId="43" fontId="8" fillId="0" borderId="9" xfId="1" applyFont="1" applyFill="1" applyBorder="1" applyAlignment="1">
      <alignment horizontal="right"/>
    </xf>
    <xf numFmtId="0" fontId="8" fillId="0" borderId="15" xfId="0" applyFont="1" applyBorder="1" applyAlignment="1">
      <alignment wrapText="1"/>
    </xf>
    <xf numFmtId="43" fontId="8" fillId="0" borderId="15" xfId="1" applyFont="1" applyFill="1" applyBorder="1" applyAlignment="1">
      <alignment horizontal="right"/>
    </xf>
    <xf numFmtId="0" fontId="8" fillId="0" borderId="15" xfId="0" applyFont="1" applyBorder="1" applyAlignment="1">
      <alignment vertical="top" wrapText="1"/>
    </xf>
    <xf numFmtId="43" fontId="32" fillId="0" borderId="23" xfId="1" applyFont="1" applyBorder="1" applyAlignment="1">
      <alignment horizontal="right" vertical="center" wrapText="1"/>
    </xf>
    <xf numFmtId="0" fontId="33" fillId="6" borderId="45" xfId="0" applyFont="1" applyFill="1" applyBorder="1" applyAlignment="1">
      <alignment horizontal="center" vertical="center" wrapText="1"/>
    </xf>
    <xf numFmtId="0" fontId="33" fillId="6" borderId="46" xfId="0" applyFont="1" applyFill="1" applyBorder="1" applyAlignment="1">
      <alignment horizontal="center" vertical="center" wrapText="1"/>
    </xf>
    <xf numFmtId="0" fontId="34" fillId="0" borderId="44" xfId="0" applyFont="1" applyBorder="1" applyAlignment="1">
      <alignment vertical="center" wrapText="1"/>
    </xf>
    <xf numFmtId="3" fontId="35" fillId="0" borderId="46" xfId="0" applyNumberFormat="1" applyFont="1" applyBorder="1" applyAlignment="1">
      <alignment horizontal="center" vertical="center" wrapText="1"/>
    </xf>
    <xf numFmtId="6" fontId="35" fillId="0" borderId="46" xfId="0" applyNumberFormat="1" applyFont="1" applyBorder="1" applyAlignment="1">
      <alignment horizontal="center" vertical="center" wrapText="1"/>
    </xf>
    <xf numFmtId="0" fontId="33" fillId="6" borderId="44" xfId="0" applyFont="1" applyFill="1" applyBorder="1" applyAlignment="1">
      <alignment vertical="center" wrapText="1"/>
    </xf>
    <xf numFmtId="0" fontId="35" fillId="0" borderId="46" xfId="0" applyFont="1" applyBorder="1" applyAlignment="1">
      <alignment horizontal="center" vertical="center" wrapText="1"/>
    </xf>
    <xf numFmtId="169" fontId="35" fillId="0" borderId="46" xfId="2" applyNumberFormat="1" applyFont="1" applyBorder="1" applyAlignment="1">
      <alignment horizontal="center" vertical="center" wrapText="1"/>
    </xf>
    <xf numFmtId="165" fontId="35" fillId="0" borderId="46" xfId="1" applyNumberFormat="1" applyFont="1" applyBorder="1" applyAlignment="1">
      <alignment horizontal="center" vertical="center" wrapText="1"/>
    </xf>
    <xf numFmtId="0" fontId="33" fillId="6" borderId="47" xfId="0" applyFont="1" applyFill="1" applyBorder="1" applyAlignment="1">
      <alignment horizontal="center" vertical="center" wrapText="1"/>
    </xf>
    <xf numFmtId="0" fontId="33" fillId="6" borderId="48" xfId="0" applyFont="1" applyFill="1" applyBorder="1" applyAlignment="1">
      <alignment horizontal="center" vertical="center" wrapText="1"/>
    </xf>
    <xf numFmtId="0" fontId="33" fillId="0" borderId="46" xfId="0" applyFont="1" applyBorder="1" applyAlignment="1">
      <alignment horizontal="center" vertical="center" wrapText="1"/>
    </xf>
    <xf numFmtId="165" fontId="35" fillId="0" borderId="46" xfId="1" applyNumberFormat="1" applyFont="1" applyBorder="1" applyAlignment="1">
      <alignment vertical="center" wrapText="1"/>
    </xf>
    <xf numFmtId="165" fontId="36" fillId="6" borderId="46" xfId="0" applyNumberFormat="1" applyFont="1" applyFill="1" applyBorder="1" applyAlignment="1">
      <alignment horizontal="center" vertical="center" wrapText="1"/>
    </xf>
    <xf numFmtId="169" fontId="36" fillId="6" borderId="46" xfId="2" applyNumberFormat="1" applyFont="1" applyFill="1" applyBorder="1" applyAlignment="1">
      <alignment horizontal="center" vertical="center" wrapText="1"/>
    </xf>
    <xf numFmtId="169" fontId="33" fillId="0" borderId="46" xfId="2" applyNumberFormat="1" applyFont="1" applyBorder="1" applyAlignment="1">
      <alignment horizontal="center" vertical="center" wrapText="1"/>
    </xf>
    <xf numFmtId="165" fontId="14" fillId="0" borderId="32" xfId="0" applyNumberFormat="1" applyFont="1" applyBorder="1"/>
    <xf numFmtId="164" fontId="37" fillId="0" borderId="1" xfId="0" applyNumberFormat="1" applyFont="1" applyBorder="1"/>
    <xf numFmtId="43" fontId="33" fillId="6" borderId="46" xfId="1" applyFont="1" applyFill="1" applyBorder="1" applyAlignment="1">
      <alignment horizontal="center" vertical="center" wrapText="1"/>
    </xf>
    <xf numFmtId="169" fontId="33" fillId="6" borderId="46" xfId="2" applyNumberFormat="1" applyFont="1" applyFill="1" applyBorder="1" applyAlignment="1">
      <alignment horizontal="center" vertical="center" wrapText="1"/>
    </xf>
    <xf numFmtId="2" fontId="8" fillId="0" borderId="0" xfId="0" applyNumberFormat="1" applyFont="1"/>
    <xf numFmtId="3" fontId="33" fillId="6" borderId="46" xfId="0" applyNumberFormat="1" applyFont="1" applyFill="1" applyBorder="1" applyAlignment="1">
      <alignment horizontal="center" vertical="center" wrapText="1"/>
    </xf>
    <xf numFmtId="165" fontId="33" fillId="6" borderId="46" xfId="1" applyNumberFormat="1" applyFont="1" applyFill="1" applyBorder="1" applyAlignment="1">
      <alignment horizontal="center" vertical="center" wrapText="1"/>
    </xf>
    <xf numFmtId="165" fontId="8" fillId="0" borderId="15" xfId="1" applyNumberFormat="1" applyFont="1" applyBorder="1" applyAlignment="1">
      <alignment horizontal="right"/>
    </xf>
    <xf numFmtId="165" fontId="0" fillId="10" borderId="15" xfId="1" applyNumberFormat="1" applyFont="1" applyFill="1" applyBorder="1" applyAlignment="1">
      <alignment horizontal="right"/>
    </xf>
    <xf numFmtId="167" fontId="0" fillId="10" borderId="15" xfId="1" applyNumberFormat="1" applyFont="1" applyFill="1" applyBorder="1" applyAlignment="1">
      <alignment horizontal="right"/>
    </xf>
    <xf numFmtId="165" fontId="8" fillId="0" borderId="15" xfId="1" applyNumberFormat="1" applyFont="1" applyFill="1" applyBorder="1" applyAlignment="1">
      <alignment horizontal="right"/>
    </xf>
    <xf numFmtId="0" fontId="0" fillId="11" borderId="0" xfId="0" applyFill="1"/>
    <xf numFmtId="0" fontId="1" fillId="11" borderId="6" xfId="0" applyFont="1" applyFill="1" applyBorder="1" applyAlignment="1">
      <alignment vertical="center" wrapText="1"/>
    </xf>
    <xf numFmtId="164" fontId="1" fillId="2" borderId="0" xfId="0" applyNumberFormat="1" applyFont="1" applyFill="1" applyAlignment="1">
      <alignment horizontal="center" vertical="center" wrapText="1"/>
    </xf>
    <xf numFmtId="164" fontId="1" fillId="2" borderId="4" xfId="0" applyNumberFormat="1" applyFont="1" applyFill="1" applyBorder="1" applyAlignment="1">
      <alignment horizontal="center" vertical="center" wrapText="1"/>
    </xf>
    <xf numFmtId="164" fontId="0" fillId="5" borderId="52" xfId="0" applyNumberFormat="1" applyFill="1" applyBorder="1" applyAlignment="1">
      <alignment vertical="center"/>
    </xf>
    <xf numFmtId="164" fontId="8" fillId="5" borderId="53" xfId="2" applyNumberFormat="1" applyFont="1" applyFill="1" applyBorder="1" applyAlignment="1">
      <alignment vertical="center"/>
    </xf>
    <xf numFmtId="165" fontId="0" fillId="0" borderId="9" xfId="1" applyNumberFormat="1" applyFont="1" applyFill="1" applyBorder="1" applyAlignment="1">
      <alignment horizontal="right"/>
    </xf>
    <xf numFmtId="0" fontId="0" fillId="0" borderId="30" xfId="0" applyBorder="1" applyAlignment="1">
      <alignment vertical="center"/>
    </xf>
    <xf numFmtId="0" fontId="0" fillId="0" borderId="51" xfId="0" applyBorder="1" applyAlignment="1">
      <alignment vertical="center"/>
    </xf>
    <xf numFmtId="0" fontId="0" fillId="0" borderId="34" xfId="0" applyBorder="1" applyAlignment="1">
      <alignment vertical="center"/>
    </xf>
    <xf numFmtId="167" fontId="0" fillId="0" borderId="15" xfId="1" applyNumberFormat="1" applyFont="1" applyFill="1" applyBorder="1" applyAlignment="1">
      <alignment horizontal="right"/>
    </xf>
    <xf numFmtId="170" fontId="8" fillId="0" borderId="9" xfId="1" applyNumberFormat="1" applyFont="1" applyBorder="1" applyAlignment="1">
      <alignment horizontal="right"/>
    </xf>
    <xf numFmtId="165" fontId="0" fillId="0" borderId="1" xfId="0" applyNumberFormat="1" applyBorder="1"/>
    <xf numFmtId="167" fontId="0" fillId="0" borderId="1" xfId="0" applyNumberFormat="1" applyBorder="1"/>
    <xf numFmtId="165" fontId="3" fillId="3" borderId="26" xfId="1" applyNumberFormat="1" applyFont="1" applyFill="1" applyBorder="1" applyAlignment="1">
      <alignment horizontal="right"/>
    </xf>
    <xf numFmtId="0" fontId="0" fillId="0" borderId="3" xfId="0" applyBorder="1" applyAlignment="1">
      <alignment horizontal="left" vertical="center" wrapText="1"/>
    </xf>
    <xf numFmtId="0" fontId="0" fillId="11" borderId="3" xfId="0" applyFill="1" applyBorder="1" applyAlignment="1">
      <alignment horizontal="left" vertical="center"/>
    </xf>
    <xf numFmtId="0" fontId="0" fillId="0" borderId="54" xfId="0" applyBorder="1"/>
    <xf numFmtId="165" fontId="3" fillId="0" borderId="54" xfId="1" applyNumberFormat="1" applyFont="1" applyFill="1" applyBorder="1" applyAlignment="1">
      <alignment horizontal="right"/>
    </xf>
    <xf numFmtId="170" fontId="38" fillId="10" borderId="1" xfId="1" applyNumberFormat="1" applyFont="1" applyFill="1" applyBorder="1" applyAlignment="1">
      <alignment horizontal="center" vertical="center" wrapText="1"/>
    </xf>
    <xf numFmtId="1" fontId="39" fillId="0" borderId="4" xfId="1" applyNumberFormat="1" applyFont="1" applyFill="1" applyBorder="1" applyAlignment="1">
      <alignment horizontal="left" vertical="center" wrapText="1"/>
    </xf>
    <xf numFmtId="170" fontId="39" fillId="0" borderId="1" xfId="1" applyNumberFormat="1" applyFont="1" applyFill="1" applyBorder="1" applyAlignment="1">
      <alignment horizontal="center" vertical="center" wrapText="1"/>
    </xf>
    <xf numFmtId="3" fontId="39" fillId="0" borderId="4" xfId="1" applyNumberFormat="1" applyFont="1" applyFill="1" applyBorder="1" applyAlignment="1">
      <alignment horizontal="left" vertical="center" wrapText="1"/>
    </xf>
    <xf numFmtId="1" fontId="39" fillId="0" borderId="1" xfId="1" applyNumberFormat="1" applyFont="1" applyFill="1" applyBorder="1" applyAlignment="1">
      <alignment horizontal="left" vertical="center" wrapText="1"/>
    </xf>
    <xf numFmtId="3" fontId="39" fillId="0" borderId="1" xfId="1" applyNumberFormat="1" applyFont="1" applyFill="1" applyBorder="1" applyAlignment="1">
      <alignment horizontal="left" vertical="center" wrapText="1"/>
    </xf>
    <xf numFmtId="165" fontId="20" fillId="0" borderId="0" xfId="0" applyNumberFormat="1" applyFont="1" applyAlignment="1">
      <alignment vertical="center"/>
    </xf>
    <xf numFmtId="164" fontId="3" fillId="13" borderId="1" xfId="2" applyNumberFormat="1" applyFont="1" applyFill="1" applyBorder="1"/>
    <xf numFmtId="0" fontId="40" fillId="0" borderId="8" xfId="0" applyFont="1" applyBorder="1" applyAlignment="1">
      <alignment horizontal="center" vertical="center" wrapText="1"/>
    </xf>
    <xf numFmtId="0" fontId="41" fillId="0" borderId="40" xfId="0" applyFont="1" applyBorder="1" applyAlignment="1">
      <alignment horizontal="center" vertical="center" wrapText="1"/>
    </xf>
    <xf numFmtId="0" fontId="41" fillId="0" borderId="38" xfId="0" applyFont="1" applyBorder="1" applyAlignment="1">
      <alignment vertical="center" wrapText="1"/>
    </xf>
    <xf numFmtId="3" fontId="42" fillId="0" borderId="23" xfId="0" applyNumberFormat="1" applyFont="1" applyBorder="1" applyAlignment="1">
      <alignment vertical="center" wrapText="1"/>
    </xf>
    <xf numFmtId="164" fontId="42" fillId="0" borderId="23" xfId="2" applyNumberFormat="1" applyFont="1" applyBorder="1" applyAlignment="1">
      <alignment vertical="center" wrapText="1"/>
    </xf>
    <xf numFmtId="164" fontId="42" fillId="0" borderId="23" xfId="0" applyNumberFormat="1" applyFont="1" applyBorder="1" applyAlignment="1">
      <alignment vertical="center" wrapText="1"/>
    </xf>
    <xf numFmtId="171" fontId="8" fillId="0" borderId="32" xfId="0" applyNumberFormat="1" applyFont="1" applyBorder="1" applyAlignment="1">
      <alignment vertical="center"/>
    </xf>
    <xf numFmtId="170" fontId="8" fillId="0" borderId="3" xfId="0" applyNumberFormat="1" applyFont="1" applyBorder="1" applyAlignment="1">
      <alignment horizontal="right" vertical="center"/>
    </xf>
    <xf numFmtId="170" fontId="8" fillId="0" borderId="4" xfId="0" applyNumberFormat="1" applyFont="1" applyBorder="1" applyAlignment="1">
      <alignment horizontal="right" vertical="center"/>
    </xf>
    <xf numFmtId="0" fontId="8" fillId="0" borderId="1" xfId="0" applyFont="1" applyFill="1" applyBorder="1" applyAlignment="1">
      <alignment vertical="center" wrapText="1"/>
    </xf>
    <xf numFmtId="0" fontId="43" fillId="0" borderId="0" xfId="0" applyFont="1" applyAlignment="1">
      <alignment horizontal="center" vertical="center"/>
    </xf>
    <xf numFmtId="0" fontId="8" fillId="0" borderId="9" xfId="0" applyFont="1" applyBorder="1" applyAlignment="1">
      <alignment horizontal="left" vertical="center"/>
    </xf>
    <xf numFmtId="0" fontId="1"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left" vertical="center"/>
    </xf>
    <xf numFmtId="0" fontId="8" fillId="0" borderId="1" xfId="0" applyFont="1" applyBorder="1" applyAlignment="1">
      <alignment vertical="center" wrapText="1"/>
    </xf>
    <xf numFmtId="0" fontId="8" fillId="0" borderId="3" xfId="0" applyFont="1" applyBorder="1" applyAlignment="1">
      <alignment vertical="center" wrapText="1"/>
    </xf>
    <xf numFmtId="0" fontId="8" fillId="0" borderId="33" xfId="0" applyFont="1" applyBorder="1" applyAlignment="1">
      <alignment vertical="center" wrapText="1"/>
    </xf>
    <xf numFmtId="3" fontId="19" fillId="0" borderId="0" xfId="0" applyNumberFormat="1" applyFont="1" applyAlignment="1">
      <alignment horizontal="center" vertical="center"/>
    </xf>
    <xf numFmtId="0" fontId="1" fillId="2" borderId="9" xfId="0" applyFont="1" applyFill="1" applyBorder="1" applyAlignment="1">
      <alignment horizontal="center" vertical="center" wrapText="1"/>
    </xf>
    <xf numFmtId="165" fontId="14" fillId="0" borderId="1" xfId="0" applyNumberFormat="1" applyFont="1" applyBorder="1"/>
    <xf numFmtId="165" fontId="3" fillId="4" borderId="1" xfId="0" applyNumberFormat="1" applyFont="1" applyFill="1" applyBorder="1"/>
    <xf numFmtId="165" fontId="3" fillId="4" borderId="5" xfId="1" applyNumberFormat="1" applyFont="1" applyFill="1" applyBorder="1" applyAlignment="1">
      <alignment horizontal="center"/>
    </xf>
    <xf numFmtId="165" fontId="3" fillId="4" borderId="6" xfId="1" applyNumberFormat="1" applyFont="1" applyFill="1" applyBorder="1" applyAlignment="1">
      <alignment horizontal="center"/>
    </xf>
    <xf numFmtId="165" fontId="3" fillId="4" borderId="32" xfId="1" applyNumberFormat="1" applyFont="1" applyFill="1" applyBorder="1" applyAlignment="1">
      <alignment horizontal="center"/>
    </xf>
    <xf numFmtId="164" fontId="14" fillId="0" borderId="1" xfId="0" applyNumberFormat="1" applyFont="1" applyBorder="1"/>
    <xf numFmtId="165" fontId="3" fillId="7" borderId="1" xfId="0" applyNumberFormat="1" applyFont="1" applyFill="1" applyBorder="1"/>
    <xf numFmtId="164" fontId="42" fillId="4" borderId="23" xfId="0" applyNumberFormat="1" applyFont="1" applyFill="1" applyBorder="1" applyAlignment="1">
      <alignment vertical="center" wrapText="1"/>
    </xf>
    <xf numFmtId="3" fontId="42" fillId="4" borderId="23" xfId="0" applyNumberFormat="1" applyFont="1" applyFill="1" applyBorder="1" applyAlignment="1">
      <alignment vertical="center" wrapText="1"/>
    </xf>
    <xf numFmtId="0" fontId="8" fillId="0" borderId="9" xfId="0" applyFont="1" applyBorder="1" applyAlignment="1">
      <alignment horizontal="left" vertical="center"/>
    </xf>
    <xf numFmtId="165" fontId="3" fillId="10" borderId="5" xfId="1" applyNumberFormat="1" applyFont="1" applyFill="1" applyBorder="1" applyAlignment="1">
      <alignment horizontal="center"/>
    </xf>
    <xf numFmtId="165" fontId="3" fillId="10" borderId="6" xfId="1" applyNumberFormat="1" applyFont="1" applyFill="1" applyBorder="1" applyAlignment="1">
      <alignment horizontal="center"/>
    </xf>
    <xf numFmtId="165" fontId="3" fillId="10" borderId="32" xfId="1" applyNumberFormat="1" applyFont="1" applyFill="1" applyBorder="1" applyAlignment="1">
      <alignment horizont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14" borderId="3" xfId="0" applyFont="1" applyFill="1" applyBorder="1" applyAlignment="1">
      <alignment horizontal="center" vertical="center"/>
    </xf>
    <xf numFmtId="0" fontId="1" fillId="14" borderId="4"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 fillId="2" borderId="1" xfId="0" applyFont="1" applyFill="1" applyBorder="1" applyAlignment="1">
      <alignment horizontal="center" vertical="center" wrapText="1"/>
    </xf>
    <xf numFmtId="165" fontId="3" fillId="0" borderId="5" xfId="1" applyNumberFormat="1" applyFont="1" applyBorder="1" applyAlignment="1">
      <alignment horizontal="center"/>
    </xf>
    <xf numFmtId="165" fontId="3" fillId="0" borderId="6" xfId="1" applyNumberFormat="1" applyFont="1" applyBorder="1" applyAlignment="1">
      <alignment horizontal="center"/>
    </xf>
    <xf numFmtId="165" fontId="3" fillId="0" borderId="32" xfId="1" applyNumberFormat="1" applyFont="1" applyBorder="1" applyAlignment="1">
      <alignment horizont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0" fillId="0" borderId="1" xfId="0" applyBorder="1" applyAlignment="1">
      <alignment horizontal="left" vertical="center"/>
    </xf>
    <xf numFmtId="0" fontId="1" fillId="2" borderId="1" xfId="0" applyFont="1" applyFill="1" applyBorder="1" applyAlignment="1">
      <alignment horizontal="center" vertical="center"/>
    </xf>
    <xf numFmtId="0" fontId="8" fillId="0" borderId="1" xfId="0" applyFont="1" applyBorder="1" applyAlignment="1">
      <alignment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37" fontId="3" fillId="0" borderId="1" xfId="1" applyNumberFormat="1" applyFont="1" applyBorder="1" applyAlignment="1">
      <alignment horizontal="center" vertical="center"/>
    </xf>
    <xf numFmtId="0" fontId="28" fillId="0" borderId="1" xfId="0" applyFont="1" applyBorder="1" applyAlignment="1">
      <alignment horizontal="left" vertical="center" wrapText="1"/>
    </xf>
    <xf numFmtId="0" fontId="8" fillId="0" borderId="14" xfId="0" applyFont="1" applyBorder="1" applyAlignment="1">
      <alignment vertical="center" wrapText="1"/>
    </xf>
    <xf numFmtId="0" fontId="8" fillId="0" borderId="16" xfId="0" applyFont="1" applyBorder="1" applyAlignment="1">
      <alignment vertical="center" wrapText="1"/>
    </xf>
    <xf numFmtId="0" fontId="8" fillId="0" borderId="33" xfId="0" applyFont="1" applyBorder="1" applyAlignment="1">
      <alignment vertical="center" wrapText="1"/>
    </xf>
    <xf numFmtId="0" fontId="16" fillId="4" borderId="0" xfId="0" applyFont="1" applyFill="1" applyAlignment="1">
      <alignment horizontal="left"/>
    </xf>
    <xf numFmtId="0" fontId="0" fillId="0" borderId="0" xfId="0" applyAlignment="1">
      <alignment horizontal="left" wrapText="1"/>
    </xf>
    <xf numFmtId="0" fontId="1" fillId="2" borderId="24"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11" borderId="1" xfId="0"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0" fillId="0" borderId="3" xfId="0" applyBorder="1" applyAlignment="1">
      <alignment horizontal="left" vertical="center"/>
    </xf>
    <xf numFmtId="0" fontId="32" fillId="0" borderId="37" xfId="0" applyFont="1" applyBorder="1" applyAlignment="1">
      <alignment horizontal="left" vertical="center" wrapText="1"/>
    </xf>
    <xf numFmtId="0" fontId="32" fillId="0" borderId="38" xfId="0" applyFont="1" applyBorder="1" applyAlignment="1">
      <alignment horizontal="left" vertical="center" wrapText="1"/>
    </xf>
    <xf numFmtId="0" fontId="32" fillId="0" borderId="37" xfId="0" applyFont="1" applyBorder="1" applyAlignment="1">
      <alignment vertical="center" wrapText="1"/>
    </xf>
    <xf numFmtId="0" fontId="32" fillId="0" borderId="38" xfId="0" applyFont="1" applyBorder="1" applyAlignment="1">
      <alignment vertical="center" wrapText="1"/>
    </xf>
    <xf numFmtId="0" fontId="31" fillId="15" borderId="37" xfId="0" applyFont="1" applyFill="1" applyBorder="1" applyAlignment="1">
      <alignment horizontal="center" vertical="center" wrapText="1"/>
    </xf>
    <xf numFmtId="0" fontId="31" fillId="15" borderId="38" xfId="0" applyFont="1" applyFill="1" applyBorder="1" applyAlignment="1">
      <alignment horizontal="center" vertical="center" wrapText="1"/>
    </xf>
    <xf numFmtId="0" fontId="32" fillId="0" borderId="37"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38" xfId="0" applyFont="1" applyBorder="1" applyAlignment="1">
      <alignment horizontal="center" vertical="center" wrapText="1"/>
    </xf>
    <xf numFmtId="0" fontId="31" fillId="15" borderId="42" xfId="0" applyFont="1" applyFill="1" applyBorder="1" applyAlignment="1">
      <alignment horizontal="center" vertical="center" wrapText="1"/>
    </xf>
    <xf numFmtId="0" fontId="31" fillId="15" borderId="39" xfId="0" applyFont="1" applyFill="1" applyBorder="1" applyAlignment="1">
      <alignment horizontal="center" vertical="center" wrapText="1"/>
    </xf>
    <xf numFmtId="0" fontId="31" fillId="15" borderId="40" xfId="0" applyFont="1" applyFill="1" applyBorder="1" applyAlignment="1">
      <alignment horizontal="center" vertical="center" wrapText="1"/>
    </xf>
    <xf numFmtId="0" fontId="32" fillId="0" borderId="41" xfId="0" applyFont="1" applyBorder="1" applyAlignment="1">
      <alignment vertical="center" wrapText="1"/>
    </xf>
    <xf numFmtId="0" fontId="33" fillId="6" borderId="43" xfId="0" applyFont="1" applyFill="1" applyBorder="1" applyAlignment="1">
      <alignment horizontal="center" vertical="center" wrapText="1"/>
    </xf>
    <xf numFmtId="0" fontId="33" fillId="6" borderId="44" xfId="0" applyFont="1" applyFill="1" applyBorder="1" applyAlignment="1">
      <alignment horizontal="center" vertical="center" wrapText="1"/>
    </xf>
    <xf numFmtId="3" fontId="19" fillId="0" borderId="0" xfId="0" applyNumberFormat="1" applyFont="1" applyAlignment="1">
      <alignment horizontal="center" vertical="center"/>
    </xf>
    <xf numFmtId="0" fontId="1" fillId="2" borderId="9" xfId="0" applyFont="1" applyFill="1" applyBorder="1" applyAlignment="1">
      <alignment horizontal="center" vertical="center" wrapText="1"/>
    </xf>
    <xf numFmtId="0" fontId="1" fillId="2" borderId="9" xfId="0" applyFont="1" applyFill="1"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9" xfId="0" applyBorder="1" applyAlignment="1">
      <alignment horizontal="left"/>
    </xf>
    <xf numFmtId="0" fontId="22" fillId="6" borderId="0" xfId="0" applyFont="1" applyFill="1" applyBorder="1"/>
    <xf numFmtId="165" fontId="14" fillId="0" borderId="0" xfId="0" quotePrefix="1" applyNumberFormat="1" applyFont="1" applyBorder="1"/>
    <xf numFmtId="165" fontId="3" fillId="13" borderId="0" xfId="0" applyNumberFormat="1" applyFont="1" applyFill="1" applyBorder="1"/>
    <xf numFmtId="165" fontId="15" fillId="0" borderId="0" xfId="0" quotePrefix="1" applyNumberFormat="1" applyFont="1" applyBorder="1"/>
    <xf numFmtId="44" fontId="14" fillId="0" borderId="32" xfId="2" quotePrefix="1" applyFont="1" applyBorder="1"/>
    <xf numFmtId="0" fontId="44" fillId="0" borderId="0" xfId="0" applyFont="1"/>
    <xf numFmtId="184" fontId="0" fillId="0" borderId="0" xfId="0" applyNumberFormat="1"/>
    <xf numFmtId="3" fontId="0" fillId="3" borderId="1" xfId="0" applyNumberFormat="1" applyFill="1" applyBorder="1" applyAlignment="1">
      <alignment horizontal="center"/>
    </xf>
    <xf numFmtId="3" fontId="0" fillId="0" borderId="0" xfId="0" applyNumberFormat="1" applyFill="1"/>
    <xf numFmtId="165" fontId="0" fillId="0" borderId="0" xfId="0" applyNumberFormat="1" applyFill="1"/>
    <xf numFmtId="43" fontId="0" fillId="0" borderId="0" xfId="0" applyNumberFormat="1" applyFill="1"/>
    <xf numFmtId="164" fontId="0" fillId="0" borderId="0" xfId="0" applyNumberFormat="1" applyFill="1"/>
    <xf numFmtId="0" fontId="0" fillId="0" borderId="0" xfId="0" applyFill="1"/>
    <xf numFmtId="165" fontId="14" fillId="0" borderId="55" xfId="0" quotePrefix="1" applyNumberFormat="1" applyFont="1" applyBorder="1"/>
  </cellXfs>
  <cellStyles count="7">
    <cellStyle name="Comma" xfId="1" builtinId="3"/>
    <cellStyle name="Currency" xfId="2" builtinId="4"/>
    <cellStyle name="Hyperlink 2" xfId="6" xr:uid="{00000000-0005-0000-0000-000003000000}"/>
    <cellStyle name="Normal" xfId="0" builtinId="0"/>
    <cellStyle name="Normal 2" xfId="4" xr:uid="{00000000-0005-0000-0000-000005000000}"/>
    <cellStyle name="Normal 3" xfId="5" xr:uid="{00000000-0005-0000-0000-000006000000}"/>
    <cellStyle name="Percent" xfId="3" builtinId="5"/>
  </cellStyles>
  <dxfs count="0"/>
  <tableStyles count="0" defaultTableStyle="TableStyleMedium2" defaultPivotStyle="PivotStyleLight16"/>
  <colors>
    <mruColors>
      <color rgb="FFFFFF99"/>
      <color rgb="FF0070C0"/>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Rebecca Ferenchiak" id="{107AAB5A-B9AC-49D1-861D-0CBBA178AA55}" userId="S::25192@Icf.com::15f8d2f3-0b88-4c1f-ba9a-5bb3bbc6ecbf" providerId="AD"/>
  <person displayName="Johanna Garfinkel" id="{7C913057-62FF-467B-993D-1021C33E2C71}" userId="S::52271@icf.com::9dacad0f-1d25-4bf2-a247-671fb442329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7" dT="2023-02-01T00:22:35.81" personId="{107AAB5A-B9AC-49D1-861D-0CBBA178AA55}" id="{FC5DEB2B-DCF3-4165-8961-95BA4FD287B2}">
    <text>Proportionally increased current ICR assumption by ratio of ODS to HFC equipment assumed subject to leak repair requirements.</text>
  </threadedComment>
  <threadedComment ref="G38" dT="2023-02-01T00:22:35.81" personId="{107AAB5A-B9AC-49D1-861D-0CBBA178AA55}" id="{E29C4E1D-52AB-40ED-AF80-89D0BE7294B1}">
    <text>Proportionally increased current ICR assumption by ratio of ODS to HFC equipment assumed subject to leak repair requirements.</text>
  </threadedComment>
  <threadedComment ref="G39" dT="2023-02-01T00:22:35.81" personId="{107AAB5A-B9AC-49D1-861D-0CBBA178AA55}" id="{FA717C4C-A291-452D-B4A8-ACDC1A29EBA4}">
    <text>Proportionally increased current ICR assumption by ratio of ODS to HFC equipment assumed subject to leak repair requirements.</text>
  </threadedComment>
  <threadedComment ref="G40" dT="2023-02-01T00:22:35.81" personId="{107AAB5A-B9AC-49D1-861D-0CBBA178AA55}" id="{04F32012-7F80-4E41-B2B9-2FE289FF4251}">
    <text>Proportionally increased current ICR assumption by ratio of ODS to HFC equipment assumed subject to leak repair requirements.</text>
  </threadedComment>
  <threadedComment ref="G41" dT="2023-02-01T01:00:12.40" personId="{107AAB5A-B9AC-49D1-861D-0CBBA178AA55}" id="{EAB357CD-BFC3-4E0F-8D00-703FE8972856}">
    <text>Assumes 5% of planned requests are able to repair leaks</text>
  </threadedComment>
  <threadedComment ref="G42" dT="2023-02-01T01:00:12.40" personId="{107AAB5A-B9AC-49D1-861D-0CBBA178AA55}" id="{B6EAE95A-15AD-428A-B014-6AEF43505CCD}">
    <text>Assumes 5% of planned requests are able to repair leaks</text>
  </threadedComment>
  <threadedComment ref="G43" dT="2023-02-01T01:04:53.77" personId="{107AAB5A-B9AC-49D1-861D-0CBBA178AA55}" id="{4573290C-4F20-4ADB-9971-7A17D1B2168F}">
    <text>Estimated number of "worst leakers" of affected HFC equipment</text>
  </threadedComment>
  <threadedComment ref="G44" dT="2023-02-01T01:04:53.77" personId="{107AAB5A-B9AC-49D1-861D-0CBBA178AA55}" id="{313D928F-4698-4267-9343-70BC8B61E0F5}">
    <text>Estimated number of "worst leakers" of affected HFC equipment</text>
  </threadedComment>
  <threadedComment ref="G51" dT="2023-04-12T13:26:05.06" personId="{107AAB5A-B9AC-49D1-861D-0CBBA178AA55}" id="{FAD98953-9EED-48AF-B545-6E1763E4FFD3}">
    <text>Analysis assumes 1% of equipment experiences retrofit outcome</text>
  </threadedComment>
  <threadedComment ref="G52" dT="2023-04-12T13:26:05.06" personId="{107AAB5A-B9AC-49D1-861D-0CBBA178AA55}" id="{BCFD6203-FAF1-4439-8E19-4EE27C219545}">
    <text>Analysis assumes 1% of equipment experiences retrofit outcome</text>
  </threadedComment>
  <threadedComment ref="G53" dT="2023-02-01T00:41:10.57" personId="{107AAB5A-B9AC-49D1-861D-0CBBA178AA55}" id="{22FF3D32-0424-47BD-A9FB-111003331A5B}">
    <text>Assumed 2% of systems with retire/replace or retrofit plan</text>
  </threadedComment>
  <threadedComment ref="G54" dT="2023-02-01T00:41:10.57" personId="{107AAB5A-B9AC-49D1-861D-0CBBA178AA55}" id="{7DB79E5F-22E6-4780-A300-5A5840411AC9}">
    <text>Assumed 2% of systems with retire/replace or retrofit plan</text>
  </threadedComment>
  <threadedComment ref="J64" dT="2023-04-13T20:52:25.63" personId="{107AAB5A-B9AC-49D1-861D-0CBBA178AA55}" id="{20ECA0FD-D807-4C90-95BE-22167C5F7615}">
    <text>Assuming 50% of ALD systems are direct with leak calculation and data storage capabilities, so burden only assumed for equipment with indirect ALD.</text>
  </threadedComment>
  <threadedComment ref="K64" dT="2023-04-13T20:52:25.63" personId="{107AAB5A-B9AC-49D1-861D-0CBBA178AA55}" id="{5F52FA5C-8A30-4196-9B37-E78790FC0A0F}">
    <text>Assuming 50% of ALD systems are direct with leak calculation and data storage capabilities, so burden only assumed for equipment with indirect ALD.</text>
  </threadedComment>
  <threadedComment ref="G71" dT="2023-05-24T00:19:20.06" personId="{7C913057-62FF-467B-993D-1021C33E2C71}" id="{8ED22243-DFB6-4722-94C4-1FE0977AB430}">
    <text>15 HEEP reporters + 5 additional companies that do not have to report to HEEP (e.g., OEMs that do not also refill equipment)</text>
  </threadedComment>
  <threadedComment ref="K71" dT="2023-05-24T00:29:12.39" personId="{7C913057-62FF-467B-993D-1021C33E2C71}" id="{FB3BF226-CD90-4FBC-90C4-C2B283066DCB}">
    <text>Based off 2024 Allocation Rule assumption for quarterly report - assumed that the amount of time will be the same because they'll already have the data</text>
  </threadedComment>
  <threadedComment ref="G75" dT="2023-08-16T15:41:14.93" personId="{7C913057-62FF-467B-993D-1021C33E2C71}" id="{8B608C0E-C6C6-44F7-9572-8DAA2F25BA73}">
    <text>Assumed that 25% of respondents start registering and reporting before the required start date</text>
  </threadedComment>
  <threadedComment ref="H75" dT="2023-05-24T15:11:40.16" personId="{7C913057-62FF-467B-993D-1021C33E2C71}" id="{607DD503-ACC9-4B17-B0FF-FA343199FA0C}">
    <text>Assumptions based on 2024 HFC Allocation Rule</text>
  </threadedComment>
  <threadedComment ref="I75" dT="2023-05-24T15:11:40.16" personId="{7C913057-62FF-467B-993D-1021C33E2C71}" id="{1F0EAE4F-F7FF-48B5-BE93-73B675C3906C}">
    <text>Assumptions based on 2024 HFC Allocation Rule</text>
  </threadedComment>
  <threadedComment ref="G76" dT="2023-08-16T15:41:14.93" personId="{7C913057-62FF-467B-993D-1021C33E2C71}" id="{6A703414-7625-4936-B95A-47BA1039C074}">
    <text>Assumed that 25% of respondents start registering and reporting before the required start date</text>
  </threadedComment>
  <threadedComment ref="J76" dT="2023-08-16T15:53:26.60" personId="{7C913057-62FF-467B-993D-1021C33E2C71}" id="{A391E129-F5C9-4D3D-AE2D-5FC27E9872FC}">
    <text>Assumes fire suppression agent recyclers scan cylinders upon return also (2X)</text>
  </threadedComment>
  <threadedComment ref="H77" dT="2023-05-24T15:11:40.16" personId="{7C913057-62FF-467B-993D-1021C33E2C71}" id="{9A86E494-E8B2-4AD6-8FE5-D0BDEB4B8BF7}">
    <text>Assumptions based on 2024 HFC Allocation Rule</text>
  </threadedComment>
  <threadedComment ref="H79" dT="2023-05-24T15:11:40.16" personId="{7C913057-62FF-467B-993D-1021C33E2C71}" id="{96A856E9-EE82-45D8-888D-FEEAE7DDEBF6}">
    <text>Assumptions based on 2024 HFC Allocation Rule</text>
  </threadedComment>
  <threadedComment ref="G81" dT="2023-08-16T15:41:14.93" personId="{7C913057-62FF-467B-993D-1021C33E2C71}" id="{CA840783-D303-42F7-8AF5-DA0C21D6B461}">
    <text>Assumed that 25% of respondents start registering and reporting before the required start date</text>
  </threadedComment>
  <threadedComment ref="H81" dT="2023-05-24T15:11:40.16" personId="{7C913057-62FF-467B-993D-1021C33E2C71}" id="{7D4B3CCC-8709-4751-A560-7B89370F3673}">
    <text>Assumptions based on 2024 HFC Allocation Rule</text>
  </threadedComment>
  <threadedComment ref="I81" dT="2023-05-24T15:11:40.16" personId="{7C913057-62FF-467B-993D-1021C33E2C71}" id="{2FA51086-6EDD-4C86-9CD6-05439ED1F864}">
    <text>Assumptions based on 2024 HFC Allocation Rule</text>
  </threadedComment>
  <threadedComment ref="G82" dT="2023-08-16T15:41:14.93" personId="{7C913057-62FF-467B-993D-1021C33E2C71}" id="{038C3AF1-A2FD-4326-A99E-BC39F31D07AF}">
    <text>Assumed that 25% of respondents start registering and reporting before the required start date</text>
  </threadedComment>
  <threadedComment ref="G83" dT="2023-08-16T15:41:14.93" personId="{7C913057-62FF-467B-993D-1021C33E2C71}" id="{3FDEE9B2-3ADC-447D-B3B7-B6E95D10C423}">
    <text>Assumed that 25% of respondents start registering and reporting before the required start date</text>
  </threadedComment>
  <threadedComment ref="H83" dT="2023-05-24T15:11:40.16" personId="{7C913057-62FF-467B-993D-1021C33E2C71}" id="{48E05308-3839-427D-89B6-061A14894703}">
    <text>Assumptions based on 2024 HFC Allocation Rule</text>
  </threadedComment>
  <threadedComment ref="G84" dT="2023-08-16T15:41:14.93" personId="{7C913057-62FF-467B-993D-1021C33E2C71}" id="{ADE2F6CE-1AF9-4E33-82AD-3C27A45E779F}">
    <text>Assumed that 25% of respondents start registering and reporting before the required start date</text>
  </threadedComment>
  <threadedComment ref="H84" dT="2023-05-27T19:33:05.79" personId="{7C913057-62FF-467B-993D-1021C33E2C71}" id="{2741A473-BF99-4667-BC69-7AE9F1D99AB3}">
    <text>Assumptions based on 2024 HFC Allocation Rule</text>
  </threadedComment>
  <threadedComment ref="J84" dT="2023-08-16T15:54:43.96" personId="{7C913057-62FF-467B-993D-1021C33E2C71}" id="{26D00EFA-43BF-4733-94B1-89818B7392A6}">
    <text>Assumes suppliers receive and scan half cylinders upon return also (1.5X)</text>
  </threadedComment>
  <threadedComment ref="G85" dT="2023-08-16T15:41:14.93" personId="{7C913057-62FF-467B-993D-1021C33E2C71}" id="{2FA7BDB3-74A5-4844-8E93-4EA2B89DCE18}">
    <text>Assumed that 25% of respondents start registering and reporting before the required start date</text>
  </threadedComment>
  <threadedComment ref="H85" dT="2023-05-24T15:11:40.16" personId="{7C913057-62FF-467B-993D-1021C33E2C71}" id="{25BEB40B-51B5-48DF-AAC3-0DB8EF26380F}">
    <text>Assumptions based on 2024 HFC Allocation Rule</text>
  </threadedComment>
  <threadedComment ref="G86" dT="2023-08-16T15:41:14.93" personId="{7C913057-62FF-467B-993D-1021C33E2C71}" id="{AA731D4B-531A-4EB2-83D8-A893F0DBF68C}">
    <text>Assumed that 25% of respondents start registering and reporting before the required start date</text>
  </threadedComment>
  <threadedComment ref="H86" dT="2023-05-24T15:11:40.16" personId="{7C913057-62FF-467B-993D-1021C33E2C71}" id="{EF4CA544-7764-43C5-8EBB-07FF2808CBB4}">
    <text>Assumptions based on 2024 HFC Allocation Rule</text>
  </threadedComment>
  <threadedComment ref="J86" dT="2023-08-16T15:53:40.93" personId="{7C913057-62FF-467B-993D-1021C33E2C71}" id="{1F38A5FA-62E9-44CA-9D00-DBDCDE82F040}">
    <text>Assumes reclaimers scan cylinders upon return also (2X)</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60C51-9009-4ED5-8A8C-8F77F6CC6217}">
  <sheetPr>
    <pageSetUpPr autoPageBreaks="0"/>
  </sheetPr>
  <dimension ref="A1:AV122"/>
  <sheetViews>
    <sheetView tabSelected="1" topLeftCell="D76" zoomScale="115" zoomScaleNormal="115" workbookViewId="0">
      <selection activeCell="G117" sqref="G117"/>
    </sheetView>
  </sheetViews>
  <sheetFormatPr defaultRowHeight="15"/>
  <cols>
    <col min="1" max="1" width="4.140625" style="196" customWidth="1"/>
    <col min="2" max="2" width="32" customWidth="1"/>
    <col min="3" max="3" width="25.140625" customWidth="1"/>
    <col min="4" max="4" width="35.42578125" customWidth="1"/>
    <col min="5" max="5" width="17.42578125" customWidth="1"/>
    <col min="6" max="8" width="19.85546875" customWidth="1"/>
    <col min="9" max="9" width="16.85546875" customWidth="1"/>
    <col min="10" max="10" width="15.5703125" customWidth="1"/>
    <col min="11" max="11" width="14.140625" customWidth="1"/>
    <col min="12" max="12" width="17" customWidth="1"/>
    <col min="13" max="13" width="21.5703125" customWidth="1"/>
    <col min="14" max="14" width="16.5703125" customWidth="1"/>
    <col min="15" max="15" width="17.5703125" customWidth="1"/>
    <col min="16" max="16" width="14.28515625" customWidth="1"/>
    <col min="17" max="17" width="16.42578125" customWidth="1"/>
    <col min="18" max="18" width="16.140625" customWidth="1"/>
    <col min="19" max="19" width="14.28515625" customWidth="1"/>
    <col min="20" max="20" width="16.85546875" customWidth="1"/>
    <col min="21" max="21" width="15.5703125" customWidth="1"/>
    <col min="22" max="22" width="28.42578125" customWidth="1"/>
    <col min="23" max="23" width="15.5703125" customWidth="1"/>
    <col min="24" max="24" width="26" customWidth="1"/>
    <col min="25" max="25" width="15.5703125" customWidth="1"/>
    <col min="26" max="26" width="20.5703125" customWidth="1"/>
    <col min="27" max="27" width="15" customWidth="1"/>
    <col min="28" max="28" width="18.140625" customWidth="1"/>
    <col min="29" max="29" width="19.85546875" customWidth="1"/>
    <col min="30" max="30" width="30" customWidth="1"/>
    <col min="31" max="31" width="15.85546875" customWidth="1"/>
    <col min="32" max="32" width="20.5703125" customWidth="1"/>
    <col min="33" max="35" width="21.28515625" customWidth="1"/>
    <col min="36" max="36" width="23.28515625" bestFit="1" customWidth="1"/>
    <col min="37" max="38" width="17" bestFit="1" customWidth="1"/>
    <col min="39" max="39" width="20" customWidth="1"/>
    <col min="40" max="40" width="17" customWidth="1"/>
    <col min="41" max="41" width="32.5703125" customWidth="1"/>
    <col min="42" max="42" width="17" customWidth="1"/>
    <col min="43" max="43" width="15.140625" bestFit="1" customWidth="1"/>
    <col min="44" max="44" width="16.42578125" customWidth="1"/>
    <col min="45" max="45" width="13.140625" customWidth="1"/>
    <col min="46" max="46" width="19.5703125" customWidth="1"/>
    <col min="47" max="47" width="13.5703125" customWidth="1"/>
    <col min="48" max="48" width="15.85546875" customWidth="1"/>
  </cols>
  <sheetData>
    <row r="1" spans="2:26" ht="23.25">
      <c r="B1" s="1" t="s">
        <v>0</v>
      </c>
      <c r="C1" s="1"/>
      <c r="H1" s="328" t="s">
        <v>1</v>
      </c>
      <c r="N1" s="19"/>
      <c r="U1" s="25"/>
    </row>
    <row r="2" spans="2:26" ht="18.75">
      <c r="B2" s="131" t="s">
        <v>2</v>
      </c>
      <c r="C2" s="17"/>
      <c r="N2" s="25"/>
      <c r="S2" s="18"/>
      <c r="T2" s="18"/>
      <c r="U2" s="19"/>
    </row>
    <row r="3" spans="2:26" ht="18.75">
      <c r="C3" s="17"/>
      <c r="N3" s="25"/>
      <c r="S3" s="18"/>
      <c r="T3" s="18"/>
    </row>
    <row r="4" spans="2:26" ht="19.5" thickBot="1">
      <c r="B4" s="4" t="s">
        <v>3</v>
      </c>
      <c r="F4" s="9"/>
      <c r="G4" s="9"/>
      <c r="H4" s="9"/>
      <c r="J4" s="2"/>
      <c r="L4" s="9"/>
      <c r="N4" s="25"/>
      <c r="S4" s="18"/>
      <c r="T4" s="18"/>
      <c r="U4" s="25"/>
    </row>
    <row r="5" spans="2:26" ht="18.75">
      <c r="B5" s="142"/>
      <c r="C5" s="143" t="s">
        <v>4</v>
      </c>
      <c r="D5" s="144" t="s">
        <v>5</v>
      </c>
      <c r="F5" s="9"/>
      <c r="G5" s="9"/>
      <c r="H5" s="9"/>
      <c r="J5" s="2"/>
      <c r="L5" s="9"/>
      <c r="N5" s="25"/>
    </row>
    <row r="6" spans="2:26">
      <c r="B6" s="145" t="s">
        <v>6</v>
      </c>
      <c r="C6" s="34"/>
      <c r="D6" s="146">
        <v>1.1000000000000001</v>
      </c>
      <c r="N6" s="25"/>
      <c r="U6" s="25"/>
    </row>
    <row r="7" spans="2:26" ht="14.45" customHeight="1">
      <c r="B7" s="145" t="s">
        <v>7</v>
      </c>
      <c r="C7" s="36">
        <v>26.29</v>
      </c>
      <c r="D7" s="147">
        <f t="shared" ref="D7:D12" si="0">C7+C7*$D$6</f>
        <v>55.209000000000003</v>
      </c>
      <c r="E7" s="348" t="s">
        <v>8</v>
      </c>
      <c r="F7" s="348"/>
      <c r="G7" s="348"/>
      <c r="H7" s="348"/>
      <c r="I7" s="348"/>
      <c r="J7" s="348"/>
      <c r="K7" s="348"/>
      <c r="L7" s="329"/>
      <c r="M7" s="329"/>
      <c r="N7" s="25"/>
      <c r="U7" s="25"/>
    </row>
    <row r="8" spans="2:26" ht="14.45" customHeight="1">
      <c r="B8" s="145" t="s">
        <v>9</v>
      </c>
      <c r="C8" s="36">
        <v>47.93</v>
      </c>
      <c r="D8" s="147">
        <f t="shared" si="0"/>
        <v>100.65300000000001</v>
      </c>
      <c r="E8" s="348" t="s">
        <v>10</v>
      </c>
      <c r="F8" s="348"/>
      <c r="G8" s="348"/>
      <c r="H8" s="348"/>
      <c r="I8" s="348"/>
      <c r="J8" s="348"/>
      <c r="K8" s="348"/>
      <c r="L8" s="329"/>
      <c r="M8" s="329"/>
      <c r="N8" s="25"/>
      <c r="Q8" s="27"/>
      <c r="U8" s="19"/>
      <c r="X8" s="27"/>
    </row>
    <row r="9" spans="2:26" ht="14.45" customHeight="1">
      <c r="B9" s="145" t="s">
        <v>11</v>
      </c>
      <c r="C9" s="36">
        <v>49.25</v>
      </c>
      <c r="D9" s="147">
        <f t="shared" si="0"/>
        <v>103.42500000000001</v>
      </c>
      <c r="E9" s="141" t="s">
        <v>12</v>
      </c>
      <c r="F9" s="123"/>
      <c r="G9" s="123"/>
      <c r="H9" s="123"/>
      <c r="I9" s="123"/>
      <c r="J9" s="123"/>
      <c r="K9" s="123"/>
      <c r="L9" s="123"/>
      <c r="M9" s="123"/>
      <c r="N9" s="25"/>
      <c r="Q9" s="27"/>
      <c r="U9" s="19"/>
      <c r="X9" s="27"/>
    </row>
    <row r="10" spans="2:26" ht="14.45" customHeight="1">
      <c r="B10" s="145" t="s">
        <v>13</v>
      </c>
      <c r="C10" s="36">
        <v>46.55</v>
      </c>
      <c r="D10" s="147">
        <f t="shared" si="0"/>
        <v>97.754999999999995</v>
      </c>
      <c r="E10" s="141" t="s">
        <v>14</v>
      </c>
      <c r="F10" s="123"/>
      <c r="G10" s="123"/>
      <c r="H10" s="123"/>
      <c r="I10" s="123"/>
      <c r="J10" s="123"/>
      <c r="K10" s="123"/>
      <c r="L10" s="123"/>
      <c r="M10" s="123"/>
      <c r="N10" s="25"/>
      <c r="Q10" s="27"/>
      <c r="U10" s="19"/>
      <c r="X10" s="27"/>
    </row>
    <row r="11" spans="2:26" ht="14.45" customHeight="1">
      <c r="B11" s="145" t="s">
        <v>15</v>
      </c>
      <c r="C11" s="36">
        <v>61.54</v>
      </c>
      <c r="D11" s="147">
        <f t="shared" si="0"/>
        <v>129.23400000000001</v>
      </c>
      <c r="E11" s="141" t="s">
        <v>16</v>
      </c>
      <c r="F11" s="123"/>
      <c r="G11" s="123"/>
      <c r="H11" s="123"/>
      <c r="I11" s="123"/>
      <c r="J11" s="123"/>
      <c r="K11" s="123"/>
      <c r="L11" s="123"/>
      <c r="M11" s="123"/>
      <c r="N11" s="25"/>
      <c r="Q11" s="27"/>
      <c r="U11" s="19"/>
      <c r="X11" s="27"/>
    </row>
    <row r="12" spans="2:26" ht="14.45" customHeight="1">
      <c r="B12" s="145" t="s">
        <v>17</v>
      </c>
      <c r="C12" s="36">
        <v>17.809999999999999</v>
      </c>
      <c r="D12" s="147">
        <f t="shared" si="0"/>
        <v>37.400999999999996</v>
      </c>
      <c r="E12" s="141" t="s">
        <v>18</v>
      </c>
      <c r="F12" s="123"/>
      <c r="G12" s="123"/>
      <c r="H12" s="123"/>
      <c r="I12" s="123"/>
      <c r="J12" s="123"/>
      <c r="K12" s="123"/>
      <c r="L12" s="123"/>
      <c r="M12" s="123"/>
      <c r="N12" s="25"/>
      <c r="Q12" s="27"/>
      <c r="U12" s="19"/>
      <c r="X12" s="27"/>
    </row>
    <row r="13" spans="2:26" ht="14.45" customHeight="1">
      <c r="B13" s="145" t="s">
        <v>19</v>
      </c>
      <c r="C13" s="36">
        <v>64.92</v>
      </c>
      <c r="D13" s="147">
        <f>C13*(1+$D$6)*(1+0.312)</f>
        <v>178.86758400000005</v>
      </c>
      <c r="E13" s="141" t="s">
        <v>20</v>
      </c>
      <c r="F13" s="123"/>
      <c r="G13" s="123"/>
      <c r="H13" s="123"/>
      <c r="I13" s="123"/>
      <c r="J13" s="123"/>
      <c r="K13" s="123"/>
      <c r="L13" s="123"/>
      <c r="M13" s="123"/>
      <c r="N13" s="25"/>
      <c r="Q13" s="27"/>
      <c r="U13" s="19"/>
      <c r="X13" s="27"/>
    </row>
    <row r="14" spans="2:26" ht="14.45" customHeight="1" thickBot="1">
      <c r="B14" s="189" t="s">
        <v>21</v>
      </c>
      <c r="C14" s="190">
        <v>24.38</v>
      </c>
      <c r="D14" s="191">
        <f>C14*(1+$D$6)*(1+0.312)</f>
        <v>67.171776000000008</v>
      </c>
      <c r="E14" s="141" t="s">
        <v>22</v>
      </c>
      <c r="F14" s="123"/>
      <c r="G14" s="123"/>
      <c r="H14" s="123"/>
      <c r="I14" s="123"/>
      <c r="J14" s="123"/>
      <c r="K14" s="123"/>
      <c r="L14" s="123"/>
      <c r="M14" s="123"/>
      <c r="N14" s="25"/>
      <c r="Q14" s="27"/>
      <c r="U14" s="19"/>
      <c r="X14" s="27"/>
    </row>
    <row r="15" spans="2:26" ht="14.45" customHeight="1">
      <c r="B15" s="86"/>
      <c r="C15" s="121"/>
      <c r="D15" s="122"/>
      <c r="E15" s="123"/>
      <c r="F15" s="123"/>
      <c r="G15" s="123"/>
      <c r="H15" s="123"/>
      <c r="I15" s="123"/>
      <c r="J15" s="123"/>
      <c r="K15" s="123"/>
      <c r="L15" s="123"/>
      <c r="M15" s="123"/>
      <c r="N15" s="25"/>
      <c r="Q15" s="27"/>
      <c r="U15" s="19"/>
      <c r="X15" s="27"/>
    </row>
    <row r="16" spans="2:26" ht="14.45" customHeight="1" thickBot="1">
      <c r="C16" s="221">
        <v>2025</v>
      </c>
      <c r="D16" s="221">
        <v>2026</v>
      </c>
      <c r="E16" s="221">
        <v>2027</v>
      </c>
      <c r="F16" s="123"/>
      <c r="G16" s="123"/>
      <c r="H16" s="123"/>
      <c r="I16" s="123"/>
      <c r="J16" s="123"/>
      <c r="K16" s="123"/>
      <c r="L16" s="123"/>
      <c r="M16" s="123"/>
      <c r="N16" s="25"/>
      <c r="Q16" s="27"/>
      <c r="U16" s="19"/>
      <c r="W16" s="47" t="s">
        <v>23</v>
      </c>
      <c r="X16" s="47" t="s">
        <v>24</v>
      </c>
      <c r="Y16" s="47" t="s">
        <v>25</v>
      </c>
      <c r="Z16" s="47" t="s">
        <v>26</v>
      </c>
    </row>
    <row r="17" spans="2:41" ht="14.45" customHeight="1">
      <c r="B17" s="119" t="s">
        <v>27</v>
      </c>
      <c r="C17" s="166" t="s">
        <v>28</v>
      </c>
      <c r="D17" s="166" t="s">
        <v>29</v>
      </c>
      <c r="E17" s="167" t="s">
        <v>30</v>
      </c>
      <c r="F17" s="123"/>
      <c r="G17" s="18">
        <v>245340.07553982176</v>
      </c>
      <c r="H17" t="s">
        <v>31</v>
      </c>
      <c r="J17" s="123"/>
      <c r="K17" s="123"/>
      <c r="L17" s="123"/>
      <c r="M17" s="123"/>
      <c r="N17" s="25"/>
      <c r="Q17" s="27"/>
      <c r="U17" s="19"/>
      <c r="W17" s="165" t="s">
        <v>28</v>
      </c>
      <c r="X17" s="164">
        <f>Y46</f>
        <v>8739279.2127136402</v>
      </c>
      <c r="Y17" s="164">
        <f>AA46</f>
        <v>166538.18375747779</v>
      </c>
      <c r="Z17" s="64">
        <f>Z46</f>
        <v>12896991.259909747</v>
      </c>
    </row>
    <row r="18" spans="2:41" ht="14.45" customHeight="1" thickBot="1">
      <c r="B18" s="150" t="s">
        <v>32</v>
      </c>
      <c r="C18" s="168">
        <v>201123.21840728904</v>
      </c>
      <c r="D18" s="168">
        <v>205737.31166348729</v>
      </c>
      <c r="E18" s="242">
        <v>210323.85287733405</v>
      </c>
      <c r="F18" s="123"/>
      <c r="G18" s="18">
        <v>1348233.9844601783</v>
      </c>
      <c r="H18" t="s">
        <v>33</v>
      </c>
      <c r="J18" s="123"/>
      <c r="K18" s="123"/>
      <c r="L18" s="123"/>
      <c r="M18" s="123"/>
      <c r="N18" s="25"/>
      <c r="Q18" s="27"/>
      <c r="U18" s="19"/>
      <c r="W18" s="165" t="s">
        <v>29</v>
      </c>
      <c r="X18" s="164">
        <f>AB46</f>
        <v>21214466.336939886</v>
      </c>
      <c r="Y18" s="164">
        <f>AD46</f>
        <v>222259.70109666424</v>
      </c>
      <c r="Z18" s="64">
        <f>AC46</f>
        <v>15740028.386749398</v>
      </c>
    </row>
    <row r="19" spans="2:41" ht="14.45" customHeight="1" thickBot="1">
      <c r="B19" s="150" t="s">
        <v>34</v>
      </c>
      <c r="C19" s="169">
        <v>143263.485858931</v>
      </c>
      <c r="D19" s="216">
        <v>150265.18321614375</v>
      </c>
      <c r="E19" s="183">
        <v>157183.51058775155</v>
      </c>
      <c r="F19" s="123"/>
      <c r="G19" s="125">
        <f>G17/SUM($G$17:$G$18)</f>
        <v>0.15395586668863182</v>
      </c>
      <c r="H19" t="s">
        <v>35</v>
      </c>
      <c r="J19" s="123"/>
      <c r="K19" s="123"/>
      <c r="L19" s="123"/>
      <c r="M19" s="123"/>
      <c r="N19" s="25"/>
      <c r="Q19" s="27"/>
      <c r="U19" s="19"/>
      <c r="W19" s="165" t="s">
        <v>30</v>
      </c>
      <c r="X19" s="164">
        <f>AE46</f>
        <v>21366295.800686926</v>
      </c>
      <c r="Y19" s="164">
        <f>AG46</f>
        <v>223432.16201487969</v>
      </c>
      <c r="Z19" s="64">
        <f>AF46</f>
        <v>15966834.143849991</v>
      </c>
    </row>
    <row r="20" spans="2:41" ht="14.45" customHeight="1" thickBot="1">
      <c r="B20" s="151" t="s">
        <v>36</v>
      </c>
      <c r="C20" s="169">
        <v>12343.136890492493</v>
      </c>
      <c r="D20" s="169">
        <v>12774.135548952705</v>
      </c>
      <c r="E20" s="170">
        <v>13189.327938534354</v>
      </c>
      <c r="F20" s="123"/>
      <c r="G20" s="125">
        <f>G18/SUM($G$17:$G$18)</f>
        <v>0.84604413331136818</v>
      </c>
      <c r="H20" t="s">
        <v>37</v>
      </c>
      <c r="K20" s="123"/>
      <c r="L20" s="123"/>
      <c r="M20" s="123"/>
      <c r="N20" s="25"/>
      <c r="Q20" s="27"/>
      <c r="U20" s="19"/>
      <c r="W20" s="165" t="s">
        <v>38</v>
      </c>
      <c r="X20" s="164">
        <f>AVERAGE(X17:X19)</f>
        <v>17106680.450113486</v>
      </c>
      <c r="Y20" s="164">
        <f t="shared" ref="Y20:Z20" si="1">AVERAGE(Y17:Y19)</f>
        <v>204076.68228967392</v>
      </c>
      <c r="Z20" s="64">
        <f t="shared" si="1"/>
        <v>14867951.263503045</v>
      </c>
    </row>
    <row r="21" spans="2:41" ht="14.45" customHeight="1" thickBot="1">
      <c r="B21" s="151" t="s">
        <v>39</v>
      </c>
      <c r="C21" s="169">
        <v>6180.2717141853018</v>
      </c>
      <c r="D21" s="169">
        <v>6225.1497527292977</v>
      </c>
      <c r="E21" s="183">
        <v>6245.6246604247499</v>
      </c>
      <c r="F21" s="123"/>
      <c r="G21" s="125">
        <f>C18/G18</f>
        <v>0.14917530690180392</v>
      </c>
      <c r="H21" t="s">
        <v>40</v>
      </c>
      <c r="J21" s="123"/>
      <c r="K21" s="123"/>
      <c r="L21" s="123"/>
      <c r="M21" s="123"/>
      <c r="N21" s="25"/>
      <c r="Q21" s="27"/>
      <c r="U21" s="19"/>
      <c r="X21" s="27"/>
    </row>
    <row r="22" spans="2:41" ht="14.45" customHeight="1" thickBot="1">
      <c r="B22" s="151" t="s">
        <v>41</v>
      </c>
      <c r="C22" s="169">
        <v>6180.2717141853018</v>
      </c>
      <c r="D22" s="169">
        <v>6225.1497527292977</v>
      </c>
      <c r="E22" s="183">
        <v>6245.6246604247499</v>
      </c>
      <c r="F22" s="123"/>
      <c r="G22" s="124">
        <f>C19/G18</f>
        <v>0.10626010582005356</v>
      </c>
      <c r="H22" t="s">
        <v>42</v>
      </c>
      <c r="J22" s="123"/>
      <c r="K22" s="123"/>
      <c r="L22" s="123"/>
      <c r="M22" s="123"/>
      <c r="N22" s="25"/>
      <c r="Q22" s="27"/>
      <c r="U22" s="19"/>
      <c r="X22" s="27"/>
    </row>
    <row r="23" spans="2:41" ht="15.75" thickBot="1">
      <c r="B23" s="152" t="s">
        <v>43</v>
      </c>
      <c r="C23" s="171">
        <v>2.8421052631578947</v>
      </c>
      <c r="D23" s="172"/>
      <c r="E23" s="173"/>
      <c r="N23" s="25"/>
    </row>
    <row r="24" spans="2:41" ht="15.75" thickBot="1">
      <c r="B24" s="5"/>
      <c r="C24" s="220"/>
      <c r="D24" s="217"/>
      <c r="E24" s="217"/>
      <c r="N24" s="25"/>
    </row>
    <row r="25" spans="2:41">
      <c r="B25" s="223" t="s">
        <v>44</v>
      </c>
      <c r="C25" s="166" t="s">
        <v>28</v>
      </c>
      <c r="D25" s="166" t="s">
        <v>29</v>
      </c>
      <c r="E25" s="167" t="s">
        <v>30</v>
      </c>
      <c r="N25" s="25"/>
    </row>
    <row r="26" spans="2:41">
      <c r="B26" s="150" t="s">
        <v>32</v>
      </c>
      <c r="C26" s="169">
        <v>51283.333333333336</v>
      </c>
      <c r="D26" s="216">
        <v>52280</v>
      </c>
      <c r="E26" s="183">
        <v>53140</v>
      </c>
      <c r="N26" s="25"/>
    </row>
    <row r="27" spans="2:41">
      <c r="B27" s="150" t="s">
        <v>34</v>
      </c>
      <c r="C27" s="169">
        <v>112828.81508568322</v>
      </c>
      <c r="D27" s="216">
        <v>113535.83814470728</v>
      </c>
      <c r="E27" s="183">
        <v>114248.93904802378</v>
      </c>
      <c r="N27" s="25"/>
    </row>
    <row r="28" spans="2:41">
      <c r="B28" s="151" t="s">
        <v>45</v>
      </c>
      <c r="C28" s="169">
        <v>24657.690791448083</v>
      </c>
      <c r="D28" s="216">
        <v>24830.370018229882</v>
      </c>
      <c r="E28" s="183">
        <v>24903.761453690156</v>
      </c>
      <c r="N28" s="25"/>
    </row>
    <row r="29" spans="2:41" ht="15.75" thickBot="1">
      <c r="B29" s="152" t="s">
        <v>46</v>
      </c>
      <c r="C29" s="224">
        <v>24657.690791448083</v>
      </c>
      <c r="D29" s="224">
        <v>24830.370018229882</v>
      </c>
      <c r="E29" s="225">
        <v>24903.761453690156</v>
      </c>
      <c r="N29" s="25"/>
    </row>
    <row r="30" spans="2:41" ht="15.75" thickBot="1">
      <c r="B30" s="5"/>
      <c r="C30" s="215"/>
      <c r="D30" s="215"/>
      <c r="E30" s="215"/>
      <c r="N30" s="25"/>
      <c r="AO30" s="416">
        <f>AN41/851304</f>
        <v>20.095209760688874</v>
      </c>
    </row>
    <row r="31" spans="2:41">
      <c r="B31" s="223" t="s">
        <v>47</v>
      </c>
      <c r="C31" s="166" t="s">
        <v>28</v>
      </c>
      <c r="D31" s="166" t="s">
        <v>29</v>
      </c>
      <c r="E31" s="167" t="s">
        <v>30</v>
      </c>
      <c r="N31" s="25"/>
      <c r="AO31">
        <v>20.095209760688899</v>
      </c>
    </row>
    <row r="32" spans="2:41">
      <c r="B32" s="150" t="s">
        <v>32</v>
      </c>
      <c r="C32" s="169">
        <v>764438.69705408299</v>
      </c>
      <c r="D32" s="169">
        <v>784495.16179089737</v>
      </c>
      <c r="E32" s="170">
        <v>804632.92631413438</v>
      </c>
      <c r="N32" s="25"/>
      <c r="AC32" s="18"/>
      <c r="AF32" s="18"/>
    </row>
    <row r="33" spans="1:48" ht="15.75" thickBot="1">
      <c r="B33" s="226" t="s">
        <v>34</v>
      </c>
      <c r="C33" s="224">
        <v>637554.75123632455</v>
      </c>
      <c r="D33" s="224">
        <v>668193.62607430061</v>
      </c>
      <c r="E33" s="225">
        <v>698322.84194486903</v>
      </c>
      <c r="N33" s="25"/>
      <c r="Y33" t="s">
        <v>48</v>
      </c>
      <c r="Z33" s="18">
        <v>11787754.991965301</v>
      </c>
      <c r="AC33" s="18">
        <v>12199756.157304954</v>
      </c>
      <c r="AF33" s="18">
        <v>12607713.349405549</v>
      </c>
    </row>
    <row r="34" spans="1:48" ht="18.75">
      <c r="C34" s="17"/>
      <c r="N34" s="19"/>
      <c r="O34" s="19"/>
      <c r="P34" s="19"/>
      <c r="Q34" s="19"/>
      <c r="R34" s="19"/>
      <c r="S34" s="19"/>
      <c r="V34" s="126"/>
      <c r="X34" s="18"/>
      <c r="Y34" s="18" t="s">
        <v>49</v>
      </c>
      <c r="Z34" s="18">
        <f>SUM(Z38:Z40)</f>
        <v>11787754.991965303</v>
      </c>
      <c r="AA34" s="18"/>
      <c r="AB34" s="18"/>
      <c r="AC34" s="18">
        <f>SUM(AC38:AC40)</f>
        <v>12199756.157304954</v>
      </c>
      <c r="AF34" s="18">
        <f>SUM(AF38:AF40)</f>
        <v>12607713.349405548</v>
      </c>
    </row>
    <row r="35" spans="1:48" ht="18.75" customHeight="1">
      <c r="B35" s="365" t="s">
        <v>50</v>
      </c>
      <c r="C35" s="365" t="s">
        <v>51</v>
      </c>
      <c r="D35" s="365" t="s">
        <v>52</v>
      </c>
      <c r="E35" s="354" t="s">
        <v>53</v>
      </c>
      <c r="F35" s="358" t="s">
        <v>54</v>
      </c>
      <c r="G35" s="129" t="s">
        <v>28</v>
      </c>
      <c r="H35" s="330" t="s">
        <v>29</v>
      </c>
      <c r="I35" s="330" t="s">
        <v>30</v>
      </c>
      <c r="J35" s="352" t="s">
        <v>55</v>
      </c>
      <c r="K35" s="352" t="s">
        <v>56</v>
      </c>
      <c r="L35" s="352" t="s">
        <v>57</v>
      </c>
      <c r="M35" s="129" t="s">
        <v>28</v>
      </c>
      <c r="N35" s="130" t="s">
        <v>28</v>
      </c>
      <c r="O35" s="130" t="s">
        <v>28</v>
      </c>
      <c r="P35" s="129" t="s">
        <v>29</v>
      </c>
      <c r="Q35" s="129" t="s">
        <v>29</v>
      </c>
      <c r="R35" s="129" t="s">
        <v>29</v>
      </c>
      <c r="S35" s="129" t="s">
        <v>30</v>
      </c>
      <c r="T35" s="129" t="s">
        <v>30</v>
      </c>
      <c r="U35" s="129" t="s">
        <v>30</v>
      </c>
      <c r="Y35" s="127"/>
      <c r="Z35" s="9"/>
      <c r="AA35" s="9"/>
      <c r="AB35" s="9"/>
    </row>
    <row r="36" spans="1:48" ht="52.5" customHeight="1">
      <c r="B36" s="365"/>
      <c r="C36" s="365"/>
      <c r="D36" s="365"/>
      <c r="E36" s="355"/>
      <c r="F36" s="358"/>
      <c r="G36" s="129" t="s">
        <v>58</v>
      </c>
      <c r="H36" s="129" t="s">
        <v>58</v>
      </c>
      <c r="I36" s="129" t="s">
        <v>58</v>
      </c>
      <c r="J36" s="353"/>
      <c r="K36" s="353"/>
      <c r="L36" s="353"/>
      <c r="M36" s="129" t="s">
        <v>59</v>
      </c>
      <c r="N36" s="130" t="s">
        <v>60</v>
      </c>
      <c r="O36" s="130" t="s">
        <v>61</v>
      </c>
      <c r="P36" s="129" t="s">
        <v>59</v>
      </c>
      <c r="Q36" s="130" t="s">
        <v>60</v>
      </c>
      <c r="R36" s="130" t="s">
        <v>61</v>
      </c>
      <c r="S36" s="129" t="s">
        <v>59</v>
      </c>
      <c r="T36" s="130" t="s">
        <v>60</v>
      </c>
      <c r="U36" s="130" t="s">
        <v>61</v>
      </c>
      <c r="X36" s="8"/>
      <c r="Y36" t="s">
        <v>28</v>
      </c>
      <c r="Z36" s="18" t="s">
        <v>28</v>
      </c>
      <c r="AA36" s="18" t="s">
        <v>28</v>
      </c>
      <c r="AB36" s="18" t="s">
        <v>29</v>
      </c>
      <c r="AC36" s="18" t="s">
        <v>29</v>
      </c>
      <c r="AD36" s="18" t="s">
        <v>29</v>
      </c>
      <c r="AE36" s="18" t="s">
        <v>30</v>
      </c>
      <c r="AF36" s="18" t="s">
        <v>30</v>
      </c>
      <c r="AG36" s="18" t="s">
        <v>30</v>
      </c>
      <c r="AH36" s="18"/>
      <c r="AI36" s="417" t="s">
        <v>350</v>
      </c>
      <c r="AJ36" s="417"/>
      <c r="AK36" s="417"/>
      <c r="AL36" s="417"/>
      <c r="AM36" s="18"/>
      <c r="AN36" s="417" t="s">
        <v>351</v>
      </c>
      <c r="AO36" s="417"/>
      <c r="AP36" s="417"/>
      <c r="AQ36" s="418"/>
      <c r="AR36" s="418"/>
      <c r="AS36" s="418"/>
    </row>
    <row r="37" spans="1:48" ht="44.45" customHeight="1">
      <c r="A37" s="196" t="s">
        <v>65</v>
      </c>
      <c r="B37" s="335" t="s">
        <v>66</v>
      </c>
      <c r="C37" s="334" t="s">
        <v>67</v>
      </c>
      <c r="D37" s="362" t="s">
        <v>68</v>
      </c>
      <c r="E37" s="356" t="s">
        <v>69</v>
      </c>
      <c r="F37" s="14" t="s">
        <v>70</v>
      </c>
      <c r="G37" s="100">
        <f>'ICR 1626.18 9-6-2022'!$C$43*$G$20/$G$19</f>
        <v>137.3841983921358</v>
      </c>
      <c r="H37" s="100">
        <f>G37*D$18/C$18</f>
        <v>140.53601501643851</v>
      </c>
      <c r="I37" s="100">
        <f>H37*E$18/D$18</f>
        <v>143.66901126146078</v>
      </c>
      <c r="J37" s="231">
        <v>1</v>
      </c>
      <c r="K37" s="232">
        <f>'ICR 1626.18 9-6-2022'!$E$43</f>
        <v>0.5</v>
      </c>
      <c r="L37" s="227">
        <f>K37*$D$8</f>
        <v>50.326500000000003</v>
      </c>
      <c r="M37" s="207">
        <f>G37*$J37*$K37</f>
        <v>68.6920991960679</v>
      </c>
      <c r="N37" s="134">
        <f>M37*$D$8</f>
        <v>6914.0658603818229</v>
      </c>
      <c r="O37" s="132">
        <f t="shared" ref="O37:O69" si="2">G37*$J37</f>
        <v>137.3841983921358</v>
      </c>
      <c r="P37" s="208">
        <f t="shared" ref="P37:P71" si="3">H37*$J37*$K37</f>
        <v>70.268007508219256</v>
      </c>
      <c r="Q37" s="28">
        <f t="shared" ref="Q37:Q64" si="4">P37*$D$8</f>
        <v>7072.6857597247936</v>
      </c>
      <c r="R37" s="20">
        <f t="shared" ref="R37:R68" si="5">H37*$J37</f>
        <v>140.53601501643851</v>
      </c>
      <c r="S37" s="207">
        <f t="shared" ref="S37:S71" si="6">I37*$J37*$K37</f>
        <v>71.834505630730391</v>
      </c>
      <c r="T37" s="133">
        <f t="shared" ref="T37:T64" si="7">S37*$D$8</f>
        <v>7230.3584952499068</v>
      </c>
      <c r="U37" s="132">
        <f t="shared" ref="U37:U68" si="8">I37*$J37</f>
        <v>143.66901126146078</v>
      </c>
      <c r="X37" s="47" t="s">
        <v>71</v>
      </c>
      <c r="Y37" s="47" t="s">
        <v>72</v>
      </c>
      <c r="Z37" s="47" t="s">
        <v>73</v>
      </c>
      <c r="AA37" s="47" t="s">
        <v>74</v>
      </c>
      <c r="AB37" s="47" t="s">
        <v>72</v>
      </c>
      <c r="AC37" s="47" t="s">
        <v>73</v>
      </c>
      <c r="AD37" s="47" t="s">
        <v>74</v>
      </c>
      <c r="AE37" s="47" t="s">
        <v>72</v>
      </c>
      <c r="AF37" s="47" t="s">
        <v>73</v>
      </c>
      <c r="AG37" s="47" t="s">
        <v>74</v>
      </c>
      <c r="AI37" s="47" t="s">
        <v>71</v>
      </c>
      <c r="AJ37" s="47" t="s">
        <v>72</v>
      </c>
      <c r="AK37" s="47" t="s">
        <v>73</v>
      </c>
      <c r="AL37" s="47" t="s">
        <v>74</v>
      </c>
      <c r="AM37" s="410"/>
      <c r="AN37" s="47" t="s">
        <v>72</v>
      </c>
      <c r="AO37" s="47" t="s">
        <v>73</v>
      </c>
      <c r="AP37" s="47" t="s">
        <v>74</v>
      </c>
      <c r="AQ37" s="419"/>
      <c r="AR37" s="419"/>
      <c r="AS37" s="420"/>
    </row>
    <row r="38" spans="1:48" ht="45">
      <c r="A38" s="196" t="s">
        <v>65</v>
      </c>
      <c r="B38" s="335" t="s">
        <v>66</v>
      </c>
      <c r="C38" s="334" t="s">
        <v>67</v>
      </c>
      <c r="D38" s="363"/>
      <c r="E38" s="357"/>
      <c r="F38" s="14" t="s">
        <v>75</v>
      </c>
      <c r="G38" s="100">
        <f>'ICR 1626.18 9-6-2022'!$C$43*$G$20/$G$19</f>
        <v>137.3841983921358</v>
      </c>
      <c r="H38" s="100">
        <f>G38*D$19/C$19</f>
        <v>144.09855811218475</v>
      </c>
      <c r="I38" s="100">
        <f>H38*E$19/D$19</f>
        <v>150.73296920768621</v>
      </c>
      <c r="J38" s="231">
        <v>1</v>
      </c>
      <c r="K38" s="232">
        <f>'ICR 1626.18 9-6-2022'!$E$43</f>
        <v>0.5</v>
      </c>
      <c r="L38" s="227">
        <f>K38*$D$8</f>
        <v>50.326500000000003</v>
      </c>
      <c r="M38" s="207">
        <f t="shared" ref="M38:M68" si="9">G38*$J38*$K38</f>
        <v>68.6920991960679</v>
      </c>
      <c r="N38" s="134">
        <f>M38*$D$8</f>
        <v>6914.0658603818229</v>
      </c>
      <c r="O38" s="132">
        <f t="shared" si="2"/>
        <v>137.3841983921358</v>
      </c>
      <c r="P38" s="208">
        <f t="shared" si="3"/>
        <v>72.049279056092374</v>
      </c>
      <c r="Q38" s="28">
        <f t="shared" si="4"/>
        <v>7251.976084832866</v>
      </c>
      <c r="R38" s="20">
        <f t="shared" si="5"/>
        <v>144.09855811218475</v>
      </c>
      <c r="S38" s="207">
        <f t="shared" si="6"/>
        <v>75.366484603843105</v>
      </c>
      <c r="T38" s="133">
        <f t="shared" si="7"/>
        <v>7585.8627748306208</v>
      </c>
      <c r="U38" s="132">
        <f t="shared" si="8"/>
        <v>150.73296920768621</v>
      </c>
      <c r="V38" s="15"/>
      <c r="W38" s="163" t="s">
        <v>66</v>
      </c>
      <c r="X38" s="165" t="s">
        <v>76</v>
      </c>
      <c r="Y38" s="164">
        <f>SUMIFS($O$37:$O$86,$B$37:$B$86,$W38,$A$37:$A$86,"Leak")</f>
        <v>874.68339501466573</v>
      </c>
      <c r="Z38" s="64">
        <f>SUMIFS($N$37:$N$86,$B$37:$B$86,$W38,$A$37:$A$86,"Leak")</f>
        <v>62044.294531890831</v>
      </c>
      <c r="AA38" s="164">
        <f>SUMIFS($M$37:$M$86,$B$37:$B$86,$W38,$A$37:$A$86,"Leak")</f>
        <v>616.41773749307868</v>
      </c>
      <c r="AB38" s="164">
        <f>SUMIFS($R$37:$R$86,$B$37:$B$86,$W38,$A$37:$A$86,"Leak")</f>
        <v>904.92008908256287</v>
      </c>
      <c r="AC38" s="64">
        <f>SUMIFS($Q$37:$Q$86,$B$37:$B$86,$W38,$A$37:$A$86,"Leak")</f>
        <v>64173.16914380496</v>
      </c>
      <c r="AD38" s="164">
        <f>SUMIFS($P$37:$P$86,$B$37:$B$86,$W38,$A$37:$A$86,"Leak")</f>
        <v>637.56836998206677</v>
      </c>
      <c r="AE38" s="164">
        <f>SUMIFS($U$37:$U$86,$B$37:$B$86,$W38,$A$37:$A$86,"Leak")</f>
        <v>934.86245595222579</v>
      </c>
      <c r="AF38" s="64">
        <f>SUMIFS($T$37:$T$86,$B$37:$B$86,$W38,$A$37:$A$86,"Leak")</f>
        <v>66281.439245611531</v>
      </c>
      <c r="AG38" s="164">
        <f>SUMIFS($S$37:$S$86,$B$37:$B$86,$W38,$A$37:$A$86,"Leak")</f>
        <v>658.51429411554079</v>
      </c>
      <c r="AH38" s="163" t="s">
        <v>66</v>
      </c>
      <c r="AI38" s="165" t="s">
        <v>76</v>
      </c>
      <c r="AJ38" s="164">
        <f>AVERAGE(Y38,AB38,AE38)</f>
        <v>904.82198001648476</v>
      </c>
      <c r="AK38" s="414">
        <f t="shared" ref="AK38:AL38" si="10">AVERAGE(Z38,AC38,AF38)</f>
        <v>64166.300973769103</v>
      </c>
      <c r="AL38" s="164">
        <f t="shared" si="10"/>
        <v>637.50013386356204</v>
      </c>
      <c r="AM38" s="415" t="s">
        <v>66</v>
      </c>
      <c r="AN38" s="148">
        <f>AJ38+AJ41+AJ43+(AJ47/2)</f>
        <v>12386590.488646682</v>
      </c>
      <c r="AO38" s="148">
        <f t="shared" ref="AO38:AP38" si="11">AK38+AK41+AK43+(AK47/2)</f>
        <v>2607223.7317082137</v>
      </c>
      <c r="AP38" s="148">
        <f t="shared" si="11"/>
        <v>54045.539022752455</v>
      </c>
      <c r="AQ38" s="421"/>
      <c r="AR38" s="421"/>
      <c r="AS38" s="421"/>
      <c r="AT38" s="15"/>
      <c r="AU38" s="15"/>
      <c r="AV38" s="15"/>
    </row>
    <row r="39" spans="1:48" ht="44.45" customHeight="1">
      <c r="A39" s="196" t="s">
        <v>65</v>
      </c>
      <c r="B39" s="335" t="s">
        <v>66</v>
      </c>
      <c r="C39" s="334" t="s">
        <v>67</v>
      </c>
      <c r="D39" s="371" t="s">
        <v>77</v>
      </c>
      <c r="E39" s="356" t="s">
        <v>78</v>
      </c>
      <c r="F39" s="14" t="s">
        <v>70</v>
      </c>
      <c r="G39" s="100">
        <f>'ICR 1626.18 9-6-2022'!$C$44*$G$20/$G$19</f>
        <v>27.476839678427162</v>
      </c>
      <c r="H39" s="100">
        <f>G39*D$18/C$18</f>
        <v>28.107203003287701</v>
      </c>
      <c r="I39" s="100">
        <f>H39*E$18/D$18</f>
        <v>28.733802252292154</v>
      </c>
      <c r="J39" s="231">
        <v>1</v>
      </c>
      <c r="K39" s="232">
        <f>'ICR 1626.18 9-6-2022'!$E$44</f>
        <v>0.5</v>
      </c>
      <c r="L39" s="227">
        <f t="shared" ref="L39:L64" si="12">K39*$D$8</f>
        <v>50.326500000000003</v>
      </c>
      <c r="M39" s="246">
        <f t="shared" si="9"/>
        <v>13.738419839213581</v>
      </c>
      <c r="N39" s="134">
        <f>M39*$D$8</f>
        <v>1382.8131720763647</v>
      </c>
      <c r="O39" s="132">
        <f t="shared" si="2"/>
        <v>27.476839678427162</v>
      </c>
      <c r="P39" s="245">
        <f t="shared" si="3"/>
        <v>14.05360150164385</v>
      </c>
      <c r="Q39" s="28">
        <f t="shared" si="4"/>
        <v>1414.5371519449586</v>
      </c>
      <c r="R39" s="20">
        <f t="shared" si="5"/>
        <v>28.107203003287701</v>
      </c>
      <c r="S39" s="246">
        <f t="shared" si="6"/>
        <v>14.366901126146077</v>
      </c>
      <c r="T39" s="133">
        <f t="shared" si="7"/>
        <v>1446.0716990499811</v>
      </c>
      <c r="U39" s="132">
        <f t="shared" si="8"/>
        <v>28.733802252292154</v>
      </c>
      <c r="V39" s="15"/>
      <c r="W39" s="163" t="s">
        <v>79</v>
      </c>
      <c r="X39" s="165" t="s">
        <v>80</v>
      </c>
      <c r="Y39" s="164">
        <f>SUMIFS($O$37:$O$86,$B$37:$B$86,$W39,$A$37:$A$86,"Leak")</f>
        <v>2469078.6724957782</v>
      </c>
      <c r="Z39" s="64">
        <f>SUMIFS($N$37:$N$86,$B$37:$B$86,$W39,$A$37:$A$86,"Leak")</f>
        <v>8511847.3026834503</v>
      </c>
      <c r="AA39" s="164">
        <f>SUMIFS($M$37:$M$86,$B$37:$B$86,$W39,$A$37:$A$86,"Leak")</f>
        <v>84566.255379208247</v>
      </c>
      <c r="AB39" s="164">
        <f>SUMIFS($R$37:$R$86,$B$37:$B$86,$W39,$A$37:$A$86,"Leak")</f>
        <v>2558100.3847753317</v>
      </c>
      <c r="AC39" s="64">
        <f>SUMIFS($Q$37:$Q$86,$B$37:$B$86,$W39,$A$37:$A$86,"Leak")</f>
        <v>8810726.7119596396</v>
      </c>
      <c r="AD39" s="164">
        <f>SUMIFS($P$37:$P$86,$B$37:$B$86,$W39,$A$37:$A$86,"Leak")</f>
        <v>87535.659264598551</v>
      </c>
      <c r="AE39" s="164">
        <f>SUMIFS($U$37:$U$86,$B$37:$B$86,$W39,$A$37:$A$86,"Leak")</f>
        <v>2646228.3112691874</v>
      </c>
      <c r="AF39" s="64">
        <f>SUMIFS($T$37:$T$86,$B$37:$B$86,$W39,$A$37:$A$86,"Leak")</f>
        <v>9106662.3798469547</v>
      </c>
      <c r="AG39" s="164">
        <f>SUMIFS($S$37:$S$86,$B$37:$B$86,$W39,$A$37:$A$86,"Leak")</f>
        <v>90475.81671531852</v>
      </c>
      <c r="AH39" s="163" t="s">
        <v>79</v>
      </c>
      <c r="AI39" s="165" t="s">
        <v>80</v>
      </c>
      <c r="AJ39" s="164">
        <f t="shared" ref="AJ39:AJ45" si="13">AVERAGE(Y39,AB39,AE39)</f>
        <v>2557802.4561800989</v>
      </c>
      <c r="AK39" s="414">
        <f t="shared" ref="AK39:AK45" si="14">AVERAGE(Z39,AC39,AF39)</f>
        <v>8809745.464830013</v>
      </c>
      <c r="AL39" s="164">
        <f t="shared" ref="AL39:AL45" si="15">AVERAGE(AA39,AD39,AG39)</f>
        <v>87525.910453041783</v>
      </c>
      <c r="AM39" s="415" t="s">
        <v>79</v>
      </c>
      <c r="AN39" s="148">
        <f>AJ39+AJ42+AJ45+(AJ47/2)</f>
        <v>2558069.1228467654</v>
      </c>
      <c r="AO39" s="148">
        <f t="shared" ref="AO39:AP39" si="16">AK39+AK42+AK45+(AK47/2)</f>
        <v>8843649.554953346</v>
      </c>
      <c r="AP39" s="148">
        <f t="shared" si="16"/>
        <v>88583.577119708454</v>
      </c>
      <c r="AQ39" s="421"/>
      <c r="AR39" s="421"/>
      <c r="AS39" s="421"/>
      <c r="AT39" s="15"/>
      <c r="AU39" s="15"/>
    </row>
    <row r="40" spans="1:48" ht="45.75" thickBot="1">
      <c r="A40" s="196" t="s">
        <v>65</v>
      </c>
      <c r="B40" s="335" t="s">
        <v>66</v>
      </c>
      <c r="C40" s="334" t="s">
        <v>67</v>
      </c>
      <c r="D40" s="372"/>
      <c r="E40" s="357"/>
      <c r="F40" s="14" t="s">
        <v>75</v>
      </c>
      <c r="G40" s="100">
        <f>'ICR 1626.18 9-6-2022'!$C$44*$G$20/$G$19</f>
        <v>27.476839678427162</v>
      </c>
      <c r="H40" s="100">
        <f>G40*D$19/C$19</f>
        <v>28.819711622436952</v>
      </c>
      <c r="I40" s="100">
        <f>H40*E$19/D$19</f>
        <v>30.146593841537246</v>
      </c>
      <c r="J40" s="231">
        <v>1</v>
      </c>
      <c r="K40" s="232">
        <f>'ICR 1626.18 9-6-2022'!$E$44</f>
        <v>0.5</v>
      </c>
      <c r="L40" s="227">
        <f t="shared" si="12"/>
        <v>50.326500000000003</v>
      </c>
      <c r="M40" s="207">
        <f t="shared" si="9"/>
        <v>13.738419839213581</v>
      </c>
      <c r="N40" s="134">
        <f>M40*$D$8</f>
        <v>1382.8131720763647</v>
      </c>
      <c r="O40" s="132">
        <f t="shared" si="2"/>
        <v>27.476839678427162</v>
      </c>
      <c r="P40" s="208">
        <f t="shared" si="3"/>
        <v>14.409855811218476</v>
      </c>
      <c r="Q40" s="28">
        <f t="shared" si="4"/>
        <v>1450.3952169665733</v>
      </c>
      <c r="R40" s="20">
        <f t="shared" si="5"/>
        <v>28.819711622436952</v>
      </c>
      <c r="S40" s="207">
        <f t="shared" si="6"/>
        <v>15.073296920768623</v>
      </c>
      <c r="T40" s="133">
        <f t="shared" si="7"/>
        <v>1517.1725549661244</v>
      </c>
      <c r="U40" s="132">
        <f t="shared" si="8"/>
        <v>30.146593841537246</v>
      </c>
      <c r="W40" s="163" t="s">
        <v>81</v>
      </c>
      <c r="X40" s="165" t="s">
        <v>82</v>
      </c>
      <c r="Y40" s="164">
        <f>SUMIFS($O$37:$O$86,$B$37:$B$86,$W40,$A$37:$A$86,"Leak")</f>
        <v>2090766.8568228479</v>
      </c>
      <c r="Z40" s="64">
        <f>SUMIFS($N$37:$N$86,$B$37:$B$86,$W40,$A$37:$A$86,"Leak")</f>
        <v>3213863.3947499618</v>
      </c>
      <c r="AA40" s="164">
        <f>SUMIFS($M$37:$M$86,$B$37:$B$86,$W40,$A$37:$A$86,"Leak")</f>
        <v>58212.671751887581</v>
      </c>
      <c r="AB40" s="164">
        <f>SUMIFS($R$37:$R$86,$B$37:$B$86,$W40,$A$37:$A$86,"Leak")</f>
        <v>2162695.032075474</v>
      </c>
      <c r="AC40" s="64">
        <f>SUMIFS($Q$37:$Q$86,$B$37:$B$86,$W40,$A$37:$A$86,"Leak")</f>
        <v>3324856.2762015099</v>
      </c>
      <c r="AD40" s="164">
        <f>SUMIFS($P$37:$P$86,$B$37:$B$86,$W40,$A$37:$A$86,"Leak")</f>
        <v>60223.084573194763</v>
      </c>
      <c r="AE40" s="164">
        <f>SUMIFS($U$37:$U$86,$B$37:$B$86,$W40,$A$37:$A$86,"Leak")</f>
        <v>2233925.6269617877</v>
      </c>
      <c r="AF40" s="64">
        <f>SUMIFS($T$37:$T$86,$B$37:$B$86,$W40,$A$37:$A$86,"Leak")</f>
        <v>3434769.5303129815</v>
      </c>
      <c r="AG40" s="164">
        <f>SUMIFS($S$37:$S$86,$B$37:$B$86,$W40,$A$37:$A$86,"Leak")</f>
        <v>62213.942116556733</v>
      </c>
      <c r="AH40" s="163" t="s">
        <v>81</v>
      </c>
      <c r="AI40" s="165" t="s">
        <v>82</v>
      </c>
      <c r="AJ40" s="164">
        <f t="shared" si="13"/>
        <v>2162462.5052867034</v>
      </c>
      <c r="AK40" s="414">
        <f t="shared" si="14"/>
        <v>3324496.4004214839</v>
      </c>
      <c r="AL40" s="164">
        <f t="shared" si="15"/>
        <v>60216.566147213023</v>
      </c>
      <c r="AM40" s="415" t="s">
        <v>81</v>
      </c>
      <c r="AN40" s="423">
        <f>AJ40+AJ44</f>
        <v>2162472.8386200368</v>
      </c>
      <c r="AO40" s="423">
        <f t="shared" ref="AO40:AP40" si="17">AK40+AK44</f>
        <v>3328953.8904214841</v>
      </c>
      <c r="AP40" s="423">
        <f t="shared" si="17"/>
        <v>60309.566147213023</v>
      </c>
      <c r="AQ40" s="421"/>
      <c r="AR40" s="421"/>
      <c r="AS40" s="421"/>
      <c r="AT40" s="15"/>
      <c r="AU40" s="15"/>
    </row>
    <row r="41" spans="1:48" ht="29.1" customHeight="1" thickTop="1">
      <c r="A41" s="196" t="s">
        <v>65</v>
      </c>
      <c r="B41" s="335" t="s">
        <v>66</v>
      </c>
      <c r="C41" s="334" t="s">
        <v>67</v>
      </c>
      <c r="D41" s="362" t="s">
        <v>83</v>
      </c>
      <c r="E41" s="356" t="s">
        <v>84</v>
      </c>
      <c r="F41" s="14" t="s">
        <v>70</v>
      </c>
      <c r="G41" s="103">
        <f t="shared" ref="G41:G42" si="18">G51*5%</f>
        <v>100.56160920364454</v>
      </c>
      <c r="H41" s="100">
        <f>G41*D$18/C$18</f>
        <v>102.86865583174365</v>
      </c>
      <c r="I41" s="100">
        <f>H41*E$18/D$18</f>
        <v>105.16192643866704</v>
      </c>
      <c r="J41" s="231">
        <v>1</v>
      </c>
      <c r="K41" s="110">
        <f>'ICR 1626.18 9-6-2022'!$E$45</f>
        <v>0.5</v>
      </c>
      <c r="L41" s="227">
        <f t="shared" si="12"/>
        <v>50.326500000000003</v>
      </c>
      <c r="M41" s="207">
        <f t="shared" si="9"/>
        <v>50.280804601822268</v>
      </c>
      <c r="N41" s="135">
        <f>M41*'ICR 1626.18 9-6-2022'!C16</f>
        <v>5060.9138255872167</v>
      </c>
      <c r="O41" s="132">
        <f t="shared" si="2"/>
        <v>100.56160920364454</v>
      </c>
      <c r="P41" s="208">
        <f t="shared" si="3"/>
        <v>51.434327915871826</v>
      </c>
      <c r="Q41" s="28">
        <f t="shared" si="4"/>
        <v>5177.0194077162469</v>
      </c>
      <c r="R41" s="20">
        <f t="shared" si="5"/>
        <v>102.86865583174365</v>
      </c>
      <c r="S41" s="207">
        <f t="shared" si="6"/>
        <v>52.580963219333519</v>
      </c>
      <c r="T41" s="133">
        <f t="shared" si="7"/>
        <v>5292.4316909155768</v>
      </c>
      <c r="U41" s="132">
        <f t="shared" si="8"/>
        <v>105.16192643866704</v>
      </c>
      <c r="W41" s="163" t="s">
        <v>66</v>
      </c>
      <c r="X41" s="165" t="s">
        <v>85</v>
      </c>
      <c r="Y41" s="164">
        <f>SUMIFS($O$37:$O$86,$B$37:$B$86,$W41,$A$37:$A$86,"Fire")</f>
        <v>20</v>
      </c>
      <c r="Z41" s="64">
        <f>SUMIFS($N$37:$N$86,$B$37:$B$86,$W41,$A$37:$A$86,"Fire")</f>
        <v>9010.84</v>
      </c>
      <c r="AA41" s="164">
        <f>SUMIFS($M$37:$M$86,$B$37:$B$86,$W41,$A$37:$A$86,"Fire")</f>
        <v>188</v>
      </c>
      <c r="AB41" s="164">
        <f>SUMIFS($R$37:$R$86,$B$37:$B$86,$W41,$A$37:$A$86,"Fire")</f>
        <v>20</v>
      </c>
      <c r="AC41" s="64">
        <f>SUMIFS($Q$37:$Q$86,$B$37:$B$86,$W41,$A$37:$A$86,"Fire")</f>
        <v>9010.84</v>
      </c>
      <c r="AD41" s="164">
        <f>SUMIFS($P$37:$P$86,$B$37:$B$86,$W41,$A$37:$A$86,"Fire")</f>
        <v>188</v>
      </c>
      <c r="AE41" s="164">
        <f>SUMIFS($U$37:$U$86,$B$37:$B$86,$W41,$A$37:$A$86,"Fire")</f>
        <v>20</v>
      </c>
      <c r="AF41" s="64">
        <f>SUMIFS($T$37:$T$86,$B$37:$B$86,$W41,$A$37:$A$86,"Fire")</f>
        <v>9010.84</v>
      </c>
      <c r="AG41" s="164">
        <f>SUMIFS($S$37:$S$86,$B$37:$B$86,$W41,$A$37:$A$86,"Fire")</f>
        <v>188</v>
      </c>
      <c r="AH41" s="163" t="s">
        <v>66</v>
      </c>
      <c r="AI41" s="165" t="s">
        <v>85</v>
      </c>
      <c r="AJ41" s="164">
        <f t="shared" si="13"/>
        <v>20</v>
      </c>
      <c r="AK41" s="414">
        <f t="shared" si="14"/>
        <v>9010.84</v>
      </c>
      <c r="AL41" s="164">
        <f t="shared" si="15"/>
        <v>188</v>
      </c>
      <c r="AM41" s="411"/>
      <c r="AN41" s="411">
        <f>SUM(AN38:AN40)</f>
        <v>17107132.450113483</v>
      </c>
      <c r="AO41" s="411">
        <f t="shared" ref="AO41:AP41" si="19">SUM(AO38:AO40)</f>
        <v>14779827.177083043</v>
      </c>
      <c r="AP41" s="411">
        <f t="shared" si="19"/>
        <v>202938.68228967392</v>
      </c>
      <c r="AQ41" s="422"/>
      <c r="AR41" s="422"/>
      <c r="AS41" s="422"/>
    </row>
    <row r="42" spans="1:48" ht="30">
      <c r="A42" s="196" t="s">
        <v>65</v>
      </c>
      <c r="B42" s="335" t="s">
        <v>66</v>
      </c>
      <c r="C42" s="334" t="s">
        <v>67</v>
      </c>
      <c r="D42" s="363"/>
      <c r="E42" s="357"/>
      <c r="F42" s="14" t="s">
        <v>75</v>
      </c>
      <c r="G42" s="103">
        <f t="shared" si="18"/>
        <v>71.631742929465503</v>
      </c>
      <c r="H42" s="100">
        <f>G42*D$19/C$19</f>
        <v>75.132591608071877</v>
      </c>
      <c r="I42" s="100">
        <f>H42*E$19/D$19</f>
        <v>78.591755293875778</v>
      </c>
      <c r="J42" s="231">
        <v>1</v>
      </c>
      <c r="K42" s="110">
        <f>'ICR 1626.18 9-6-2022'!$E$45</f>
        <v>0.5</v>
      </c>
      <c r="L42" s="227">
        <f t="shared" si="12"/>
        <v>50.326500000000003</v>
      </c>
      <c r="M42" s="207">
        <f t="shared" si="9"/>
        <v>35.815871464732751</v>
      </c>
      <c r="N42" s="135">
        <f t="shared" ref="N42:N64" si="20">M42*$D$8</f>
        <v>3604.9749105397459</v>
      </c>
      <c r="O42" s="132">
        <f t="shared" si="2"/>
        <v>71.631742929465503</v>
      </c>
      <c r="P42" s="208">
        <f t="shared" si="3"/>
        <v>37.566295804035938</v>
      </c>
      <c r="Q42" s="28">
        <f t="shared" si="4"/>
        <v>3781.1603715636297</v>
      </c>
      <c r="R42" s="20">
        <f t="shared" si="5"/>
        <v>75.132591608071877</v>
      </c>
      <c r="S42" s="207">
        <f t="shared" si="6"/>
        <v>39.295877646937889</v>
      </c>
      <c r="T42" s="133">
        <f t="shared" si="7"/>
        <v>3955.2479727972395</v>
      </c>
      <c r="U42" s="132">
        <f t="shared" si="8"/>
        <v>78.591755293875778</v>
      </c>
      <c r="W42" s="163" t="s">
        <v>79</v>
      </c>
      <c r="X42" s="165" t="s">
        <v>86</v>
      </c>
      <c r="Y42" s="164">
        <f>SUMIFS($O$37:$O$86,$B$37:$B$86,$W42,$A$37:$A$86,"Fire")</f>
        <v>20</v>
      </c>
      <c r="Z42" s="64">
        <f>SUMIFS($N$37:$N$86,$B$37:$B$86,$W42,$A$37:$A$86,"Fire")</f>
        <v>38344</v>
      </c>
      <c r="AA42" s="164">
        <f>SUMIFS($M$37:$M$86,$B$37:$B$86,$W42,$A$37:$A$86,"Fire")</f>
        <v>800</v>
      </c>
      <c r="AB42" s="164">
        <f>SUMIFS($R$37:$R$86,$B$37:$B$86,$W42,$A$37:$A$86,"Fire")</f>
        <v>20</v>
      </c>
      <c r="AC42" s="64">
        <f>SUMIFS($Q$37:$Q$86,$B$37:$B$86,$W42,$A$37:$A$86,"Fire")</f>
        <v>38344</v>
      </c>
      <c r="AD42" s="164">
        <f>SUMIFS($P$37:$P$86,$B$37:$B$86,$W42,$A$37:$A$86,"Fire")</f>
        <v>800</v>
      </c>
      <c r="AE42" s="164">
        <f>SUMIFS($U$37:$U$86,$B$37:$B$86,$W42,$A$37:$A$86,"Fire")</f>
        <v>20</v>
      </c>
      <c r="AF42" s="64">
        <f>SUMIFS($T$37:$T$86,$B$37:$B$86,$W42,$A$37:$A$86,"Fire")</f>
        <v>38344</v>
      </c>
      <c r="AG42" s="164">
        <f>SUMIFS($S$37:$S$86,$B$37:$B$86,$W42,$A$37:$A$86,"Fire")</f>
        <v>800</v>
      </c>
      <c r="AH42" s="163" t="s">
        <v>79</v>
      </c>
      <c r="AI42" s="165" t="s">
        <v>86</v>
      </c>
      <c r="AJ42" s="164">
        <f t="shared" si="13"/>
        <v>20</v>
      </c>
      <c r="AK42" s="414">
        <f t="shared" si="14"/>
        <v>38344</v>
      </c>
      <c r="AL42" s="164">
        <f t="shared" si="15"/>
        <v>800</v>
      </c>
      <c r="AM42" s="411"/>
      <c r="AN42" s="411"/>
      <c r="AO42" s="411"/>
      <c r="AP42" s="411"/>
      <c r="AQ42" s="422"/>
      <c r="AR42" s="422"/>
      <c r="AS42" s="422"/>
    </row>
    <row r="43" spans="1:48" ht="28.5" customHeight="1">
      <c r="A43" s="196" t="s">
        <v>65</v>
      </c>
      <c r="B43" s="335" t="s">
        <v>66</v>
      </c>
      <c r="C43" s="334" t="s">
        <v>67</v>
      </c>
      <c r="D43" s="362" t="s">
        <v>87</v>
      </c>
      <c r="E43" s="356" t="s">
        <v>88</v>
      </c>
      <c r="F43" s="14" t="s">
        <v>70</v>
      </c>
      <c r="G43" s="105">
        <f>1430*$G$21</f>
        <v>213.32068886957961</v>
      </c>
      <c r="H43" s="100">
        <f>G43*D$18/C$18</f>
        <v>218.21461190698571</v>
      </c>
      <c r="I43" s="100">
        <f>H43*E$18/D$18</f>
        <v>223.07931196009031</v>
      </c>
      <c r="J43" s="231">
        <v>1</v>
      </c>
      <c r="K43" s="111">
        <f>'ICR 1626.18 9-6-2022'!$E$46</f>
        <v>1</v>
      </c>
      <c r="L43" s="227">
        <f t="shared" si="12"/>
        <v>100.65300000000001</v>
      </c>
      <c r="M43" s="132">
        <f t="shared" si="9"/>
        <v>213.32068886957961</v>
      </c>
      <c r="N43" s="134">
        <f t="shared" si="20"/>
        <v>21471.367296789798</v>
      </c>
      <c r="O43" s="132">
        <f t="shared" si="2"/>
        <v>213.32068886957961</v>
      </c>
      <c r="P43" s="20">
        <f t="shared" si="3"/>
        <v>218.21461190698571</v>
      </c>
      <c r="Q43" s="28">
        <f t="shared" si="4"/>
        <v>21963.955332273836</v>
      </c>
      <c r="R43" s="20">
        <f t="shared" si="5"/>
        <v>218.21461190698571</v>
      </c>
      <c r="S43" s="132">
        <f t="shared" si="6"/>
        <v>223.07931196009031</v>
      </c>
      <c r="T43" s="133">
        <f t="shared" si="7"/>
        <v>22453.601986718972</v>
      </c>
      <c r="U43" s="132">
        <f t="shared" si="8"/>
        <v>223.07931196009031</v>
      </c>
      <c r="V43" s="29"/>
      <c r="W43" s="163" t="s">
        <v>66</v>
      </c>
      <c r="X43" s="165" t="s">
        <v>63</v>
      </c>
      <c r="Y43" s="164">
        <f>SUMIFS($O$37:$O$86,$B$37:$B$86,$W43,$A$37:$A$86,"QR")</f>
        <v>4178488</v>
      </c>
      <c r="Z43" s="64">
        <f>SUMIFS($N$37:$N$86,$B$37:$B$86,$W43,$A$37:$A$86,"QR")</f>
        <v>1048508.9579444444</v>
      </c>
      <c r="AA43" s="164">
        <f>SUMIFS($M$37:$M$86,$B$37:$B$86,$W43,$A$37:$A$86,"QR")</f>
        <v>21875.838888888888</v>
      </c>
      <c r="AB43" s="164">
        <f>SUMIFS($R$37:$R$86,$B$37:$B$86,$W43,$A$37:$A$86,"QR")</f>
        <v>16492695</v>
      </c>
      <c r="AC43" s="64">
        <f>SUMIFS($Q$37:$Q$86,$B$37:$B$86,$W43,$A$37:$A$86,"QR")</f>
        <v>3433484.1894444446</v>
      </c>
      <c r="AD43" s="164">
        <f>SUMIFS($P$37:$P$86,$B$37:$B$86,$W43,$A$37:$A$86,"QR")</f>
        <v>71635.388888888891</v>
      </c>
      <c r="AE43" s="164">
        <f>SUMIFS($U$37:$U$86,$B$37:$B$86,$W43,$A$37:$A$86,"QR")</f>
        <v>16485136</v>
      </c>
      <c r="AF43" s="64">
        <f>SUMIFS($T$37:$T$86,$B$37:$B$86,$W43,$A$37:$A$86,"QR")</f>
        <v>3252332.7544444446</v>
      </c>
      <c r="AG43" s="164">
        <f>SUMIFS($S$37:$S$86,$B$37:$B$86,$W43,$A$37:$A$86,"QR")</f>
        <v>67855.888888888891</v>
      </c>
      <c r="AH43" s="163" t="s">
        <v>66</v>
      </c>
      <c r="AI43" s="165" t="s">
        <v>63</v>
      </c>
      <c r="AJ43" s="164">
        <f t="shared" si="13"/>
        <v>12385439.666666666</v>
      </c>
      <c r="AK43" s="414">
        <f t="shared" si="14"/>
        <v>2578108.6339444444</v>
      </c>
      <c r="AL43" s="164">
        <f t="shared" si="15"/>
        <v>53789.038888888892</v>
      </c>
      <c r="AM43" s="411"/>
      <c r="AN43" s="411"/>
      <c r="AO43" s="411"/>
      <c r="AP43" s="411"/>
      <c r="AQ43" s="421"/>
      <c r="AR43" s="418"/>
      <c r="AS43" s="422"/>
      <c r="AT43" s="15"/>
    </row>
    <row r="44" spans="1:48" ht="50.1" customHeight="1">
      <c r="A44" s="196" t="s">
        <v>65</v>
      </c>
      <c r="B44" s="335" t="s">
        <v>66</v>
      </c>
      <c r="C44" s="334" t="s">
        <v>67</v>
      </c>
      <c r="D44" s="363"/>
      <c r="E44" s="357"/>
      <c r="F44" s="14" t="s">
        <v>75</v>
      </c>
      <c r="G44" s="105">
        <f>1430*$G$22</f>
        <v>151.95195132267659</v>
      </c>
      <c r="H44" s="100">
        <f>G44*D$19/C$19</f>
        <v>159.37827890098868</v>
      </c>
      <c r="I44" s="100">
        <f>H44*E$19/D$19</f>
        <v>166.71618037464148</v>
      </c>
      <c r="J44" s="231">
        <v>1</v>
      </c>
      <c r="K44" s="111">
        <f>'ICR 1626.18 9-6-2022'!$E$46</f>
        <v>1</v>
      </c>
      <c r="L44" s="227">
        <f t="shared" si="12"/>
        <v>100.65300000000001</v>
      </c>
      <c r="M44" s="132">
        <f t="shared" si="9"/>
        <v>151.95195132267659</v>
      </c>
      <c r="N44" s="134">
        <f t="shared" si="20"/>
        <v>15294.419756481368</v>
      </c>
      <c r="O44" s="132">
        <f t="shared" si="2"/>
        <v>151.95195132267659</v>
      </c>
      <c r="P44" s="20">
        <f t="shared" si="3"/>
        <v>159.37827890098868</v>
      </c>
      <c r="Q44" s="28">
        <f t="shared" si="4"/>
        <v>16041.901906221214</v>
      </c>
      <c r="R44" s="20">
        <f t="shared" si="5"/>
        <v>159.37827890098868</v>
      </c>
      <c r="S44" s="132">
        <f t="shared" si="6"/>
        <v>166.71618037464148</v>
      </c>
      <c r="T44" s="133">
        <f t="shared" si="7"/>
        <v>16780.483703248789</v>
      </c>
      <c r="U44" s="132">
        <f t="shared" si="8"/>
        <v>166.71618037464148</v>
      </c>
      <c r="V44" s="29"/>
      <c r="W44" s="163" t="s">
        <v>81</v>
      </c>
      <c r="X44" s="165" t="s">
        <v>64</v>
      </c>
      <c r="Y44" s="164">
        <f>SUMIFS($O$37:$O$86,$B$37:$B$86,$W44,$A$37:$A$86,"Reclamation")</f>
        <v>31</v>
      </c>
      <c r="Z44" s="64">
        <f>SUMIFS($N$37:$N$86,$B$37:$B$86,$W44,$A$37:$A$86,"Reclamation")</f>
        <v>13372.47</v>
      </c>
      <c r="AA44" s="164">
        <f>SUMIFS($M$37:$M$86,$B$37:$B$86,$W44,$A$37:$A$86,"Reclamation")</f>
        <v>279</v>
      </c>
      <c r="AB44" s="164">
        <f>SUMIFS($R$37:$R$86,$B$37:$B$86,$W44,$A$37:$A$86,"Reclamation")</f>
        <v>0</v>
      </c>
      <c r="AC44" s="64">
        <f>SUMIFS($Q$37:$Q$86,$B$37:$B$86,$W44,$A$37:$A$86,"Reclamation")</f>
        <v>0</v>
      </c>
      <c r="AD44" s="164">
        <f>SUMIFS($P$37:$P$86,$B$37:$B$86,$W44,$A$37:$A$86,"Reclamation")</f>
        <v>0</v>
      </c>
      <c r="AE44" s="164">
        <f>SUMIFS($U$37:$U$86,$B$37:$B$86,$W44,$A$37:$A$86,"Reclamation")</f>
        <v>0</v>
      </c>
      <c r="AF44" s="64">
        <f>SUMIFS($T$37:$T$86,$B$37:$B$86,$W44,$A$37:$A$86,"Reclamation")</f>
        <v>0</v>
      </c>
      <c r="AG44" s="164">
        <f>SUMIFS($S$37:$S$86,$B$37:$B$86,$W44,$A$37:$A$86,"Reclamation")</f>
        <v>0</v>
      </c>
      <c r="AH44" s="163" t="s">
        <v>81</v>
      </c>
      <c r="AI44" s="165" t="s">
        <v>64</v>
      </c>
      <c r="AJ44" s="164">
        <f t="shared" si="13"/>
        <v>10.333333333333334</v>
      </c>
      <c r="AK44" s="414">
        <f t="shared" si="14"/>
        <v>4457.49</v>
      </c>
      <c r="AL44" s="164">
        <f t="shared" si="15"/>
        <v>93</v>
      </c>
      <c r="AM44" s="411"/>
      <c r="AN44" s="411"/>
      <c r="AO44" s="411"/>
      <c r="AP44" s="411"/>
      <c r="AQ44" s="421"/>
      <c r="AR44" s="418"/>
      <c r="AS44" s="422"/>
      <c r="AT44" s="15"/>
    </row>
    <row r="45" spans="1:48" ht="30">
      <c r="A45" s="196" t="s">
        <v>65</v>
      </c>
      <c r="B45" s="335" t="s">
        <v>66</v>
      </c>
      <c r="C45" s="334" t="s">
        <v>67</v>
      </c>
      <c r="D45" s="362" t="s">
        <v>89</v>
      </c>
      <c r="E45" s="356" t="s">
        <v>90</v>
      </c>
      <c r="F45" s="14" t="s">
        <v>70</v>
      </c>
      <c r="G45" s="105">
        <f>G55</f>
        <v>3.7476632740868223</v>
      </c>
      <c r="H45" s="100">
        <f>G45*D$18/C$18</f>
        <v>3.8336407558335996</v>
      </c>
      <c r="I45" s="100">
        <f>H45*E$18/D$18</f>
        <v>3.9191048419711363</v>
      </c>
      <c r="J45" s="231">
        <v>1</v>
      </c>
      <c r="K45" s="111">
        <f>'ICR 1626.18 9-6-2022'!$E$54</f>
        <v>2.5000000000000001E-2</v>
      </c>
      <c r="L45" s="227">
        <f t="shared" si="12"/>
        <v>2.5163250000000001</v>
      </c>
      <c r="M45" s="247">
        <f t="shared" si="9"/>
        <v>9.3691581852170566E-2</v>
      </c>
      <c r="N45" s="134">
        <f t="shared" si="20"/>
        <v>9.4303387881665248</v>
      </c>
      <c r="O45" s="132">
        <f t="shared" si="2"/>
        <v>3.7476632740868223</v>
      </c>
      <c r="P45" s="248">
        <f t="shared" si="3"/>
        <v>9.5841018895839999E-2</v>
      </c>
      <c r="Q45" s="28">
        <f t="shared" si="4"/>
        <v>9.6466860749229841</v>
      </c>
      <c r="R45" s="20">
        <f t="shared" si="5"/>
        <v>3.8336407558335996</v>
      </c>
      <c r="S45" s="247">
        <f t="shared" si="6"/>
        <v>9.7977621049278416E-2</v>
      </c>
      <c r="T45" s="133">
        <f t="shared" si="7"/>
        <v>9.8617414914730208</v>
      </c>
      <c r="U45" s="132">
        <f t="shared" si="8"/>
        <v>3.9191048419711363</v>
      </c>
      <c r="V45" s="29"/>
      <c r="W45" s="163" t="s">
        <v>79</v>
      </c>
      <c r="X45" s="165" t="s">
        <v>64</v>
      </c>
      <c r="Y45" s="164">
        <f>SUMIFS($O$37:$O$86,$B$37:$B$86,$W45,$A$37:$A$86,"Reclamation")</f>
        <v>0</v>
      </c>
      <c r="Z45" s="64">
        <f>SUMIFS($N$37:$N$86,$B$37:$B$86,$W45,$A$37:$A$86,"Reclamation")</f>
        <v>0</v>
      </c>
      <c r="AA45" s="164">
        <f>SUMIFS($M$37:$M$86,$B$37:$B$86,$W45,$A$37:$A$86,"Reclamation")</f>
        <v>0</v>
      </c>
      <c r="AB45" s="164">
        <f>SUMIFS($R$37:$R$86,$B$37:$B$86,$W45,$A$37:$A$86,"Reclamation")</f>
        <v>31</v>
      </c>
      <c r="AC45" s="64">
        <f>SUMIFS($Q$37:$Q$86,$B$37:$B$86,$W45,$A$37:$A$86,"Reclamation")</f>
        <v>59433.2</v>
      </c>
      <c r="AD45" s="164">
        <f>SUMIFS($P$37:$P$86,$B$37:$B$86,$W45,$A$37:$A$86,"Reclamation")</f>
        <v>1240</v>
      </c>
      <c r="AE45" s="164">
        <f>SUMIFS($U$37:$U$86,$B$37:$B$86,$W45,$A$37:$A$86,"Reclamation")</f>
        <v>31</v>
      </c>
      <c r="AF45" s="64">
        <f>SUMIFS($T$37:$T$86,$B$37:$B$86,$W45,$A$37:$A$86,"Reclamation")</f>
        <v>59433.2</v>
      </c>
      <c r="AG45" s="164">
        <f>SUMIFS($S$37:$S$86,$B$37:$B$86,$W45,$A$37:$A$86,"Reclamation")</f>
        <v>1240</v>
      </c>
      <c r="AH45" s="163" t="s">
        <v>79</v>
      </c>
      <c r="AI45" s="165" t="s">
        <v>64</v>
      </c>
      <c r="AJ45" s="164">
        <f t="shared" si="13"/>
        <v>20.666666666666668</v>
      </c>
      <c r="AK45" s="414">
        <f t="shared" si="14"/>
        <v>39622.133333333331</v>
      </c>
      <c r="AL45" s="164">
        <f t="shared" si="15"/>
        <v>826.66666666666663</v>
      </c>
      <c r="AM45" s="411"/>
      <c r="AN45" s="411"/>
      <c r="AO45" s="411"/>
      <c r="AP45" s="411"/>
      <c r="AQ45" s="421"/>
      <c r="AR45" s="418"/>
      <c r="AS45" s="422"/>
    </row>
    <row r="46" spans="1:48" ht="45">
      <c r="A46" s="196" t="s">
        <v>65</v>
      </c>
      <c r="B46" s="335" t="s">
        <v>66</v>
      </c>
      <c r="C46" s="334" t="s">
        <v>67</v>
      </c>
      <c r="D46" s="363"/>
      <c r="E46" s="357"/>
      <c r="F46" s="14" t="s">
        <v>75</v>
      </c>
      <c r="G46" s="105">
        <f>G56</f>
        <v>3.7476632740868223</v>
      </c>
      <c r="H46" s="100">
        <f>G46*D$19/C$19</f>
        <v>3.9308223245913942</v>
      </c>
      <c r="I46" s="100">
        <f>H46*E$19/D$19</f>
        <v>4.1118004800036854</v>
      </c>
      <c r="J46" s="325">
        <v>1</v>
      </c>
      <c r="K46" s="111">
        <f>'ICR 1626.18 9-6-2022'!$E$54</f>
        <v>2.5000000000000001E-2</v>
      </c>
      <c r="L46" s="227">
        <f t="shared" si="12"/>
        <v>2.5163250000000001</v>
      </c>
      <c r="M46" s="247">
        <f t="shared" si="9"/>
        <v>9.3691581852170566E-2</v>
      </c>
      <c r="N46" s="134">
        <f t="shared" si="20"/>
        <v>9.4303387881665248</v>
      </c>
      <c r="O46" s="132">
        <f t="shared" si="2"/>
        <v>3.7476632740868223</v>
      </c>
      <c r="P46" s="248">
        <f t="shared" si="3"/>
        <v>9.8270558114784856E-2</v>
      </c>
      <c r="Q46" s="28">
        <f t="shared" si="4"/>
        <v>9.8912264859274401</v>
      </c>
      <c r="R46" s="20">
        <f t="shared" si="5"/>
        <v>3.9308223245913942</v>
      </c>
      <c r="S46" s="247">
        <f t="shared" si="6"/>
        <v>0.10279501200009214</v>
      </c>
      <c r="T46" s="133">
        <f t="shared" si="7"/>
        <v>10.346626342845274</v>
      </c>
      <c r="U46" s="132">
        <f t="shared" si="8"/>
        <v>4.1118004800036854</v>
      </c>
      <c r="V46" s="29"/>
      <c r="X46" s="184" t="s">
        <v>91</v>
      </c>
      <c r="Y46" s="185">
        <f>SUM(Y38:Y45)</f>
        <v>8739279.2127136402</v>
      </c>
      <c r="Z46" s="317">
        <f>SUM(Z38:Z45)</f>
        <v>12896991.259909747</v>
      </c>
      <c r="AA46" s="185">
        <f t="shared" ref="AA46:AG46" si="21">SUM(AA38:AA45)</f>
        <v>166538.18375747779</v>
      </c>
      <c r="AB46" s="185">
        <f t="shared" si="21"/>
        <v>21214466.336939886</v>
      </c>
      <c r="AC46" s="317">
        <f t="shared" si="21"/>
        <v>15740028.386749398</v>
      </c>
      <c r="AD46" s="185">
        <f t="shared" si="21"/>
        <v>222259.70109666424</v>
      </c>
      <c r="AE46" s="185">
        <f t="shared" si="21"/>
        <v>21366295.800686926</v>
      </c>
      <c r="AF46" s="317">
        <f t="shared" si="21"/>
        <v>15966834.143849991</v>
      </c>
      <c r="AG46" s="185">
        <f t="shared" si="21"/>
        <v>223432.16201487969</v>
      </c>
      <c r="AI46" s="184" t="s">
        <v>91</v>
      </c>
      <c r="AJ46" s="185">
        <f>SUM(AJ38:AJ45)</f>
        <v>17106680.450113483</v>
      </c>
      <c r="AK46" s="317">
        <f>SUM(AK38:AK45)</f>
        <v>14867951.263503043</v>
      </c>
      <c r="AL46" s="185">
        <f t="shared" ref="AL46" si="22">SUM(AL38:AL45)</f>
        <v>204076.68228967392</v>
      </c>
      <c r="AM46" s="412"/>
      <c r="AN46" s="412"/>
      <c r="AO46" s="412"/>
      <c r="AP46" s="412"/>
      <c r="AQ46" s="15"/>
    </row>
    <row r="47" spans="1:48" ht="138" customHeight="1">
      <c r="A47" s="196" t="s">
        <v>65</v>
      </c>
      <c r="B47" s="228" t="s">
        <v>79</v>
      </c>
      <c r="C47" s="334" t="s">
        <v>67</v>
      </c>
      <c r="D47" s="366" t="s">
        <v>92</v>
      </c>
      <c r="E47" s="356" t="s">
        <v>93</v>
      </c>
      <c r="F47" s="14" t="s">
        <v>70</v>
      </c>
      <c r="G47" s="229">
        <f>C$32/$C$23</f>
        <v>268969.17118569586</v>
      </c>
      <c r="H47" s="100">
        <f>G47*D$18/C$18</f>
        <v>275139.76078107482</v>
      </c>
      <c r="I47" s="100">
        <f>H47*E$18/D$18</f>
        <v>281273.50405878626</v>
      </c>
      <c r="J47" s="231">
        <f>$C$23</f>
        <v>2.8421052631578947</v>
      </c>
      <c r="K47" s="324">
        <f>'ICR 1626.18 9-6-2022'!$E$49</f>
        <v>2.5000000000000001E-2</v>
      </c>
      <c r="L47" s="234">
        <f t="shared" si="12"/>
        <v>2.5163250000000001</v>
      </c>
      <c r="M47" s="132">
        <f t="shared" si="9"/>
        <v>19110.967426352076</v>
      </c>
      <c r="N47" s="134">
        <f t="shared" si="20"/>
        <v>1923576.2043646155</v>
      </c>
      <c r="O47" s="132">
        <f t="shared" si="2"/>
        <v>764438.69705408299</v>
      </c>
      <c r="P47" s="20">
        <f t="shared" si="3"/>
        <v>19549.40405549742</v>
      </c>
      <c r="Q47" s="28">
        <f t="shared" si="4"/>
        <v>1967706.1663979818</v>
      </c>
      <c r="R47" s="20">
        <f t="shared" si="5"/>
        <v>781976.1622198968</v>
      </c>
      <c r="S47" s="132">
        <f t="shared" si="6"/>
        <v>19985.222656808499</v>
      </c>
      <c r="T47" s="133">
        <f t="shared" si="7"/>
        <v>2011572.616075746</v>
      </c>
      <c r="U47" s="132">
        <f t="shared" si="8"/>
        <v>799408.90627233987</v>
      </c>
      <c r="X47" s="202" t="s">
        <v>94</v>
      </c>
      <c r="Y47" s="203">
        <f>$M$112</f>
        <v>452</v>
      </c>
      <c r="Z47" s="243">
        <f>$O$112</f>
        <v>-88124.086420000007</v>
      </c>
      <c r="AA47" s="205">
        <f>$N$112</f>
        <v>-1138</v>
      </c>
      <c r="AB47" s="203">
        <f>$M$112</f>
        <v>452</v>
      </c>
      <c r="AC47" s="243">
        <f>$O$112</f>
        <v>-88124.086420000007</v>
      </c>
      <c r="AD47" s="205">
        <f>$N$112</f>
        <v>-1138</v>
      </c>
      <c r="AE47" s="203">
        <f>$M$112</f>
        <v>452</v>
      </c>
      <c r="AF47" s="243">
        <f>$O$112</f>
        <v>-88124.086420000007</v>
      </c>
      <c r="AG47" s="205">
        <f>$N$112</f>
        <v>-1138</v>
      </c>
      <c r="AI47" s="202" t="s">
        <v>94</v>
      </c>
      <c r="AJ47" s="164">
        <f t="shared" ref="AJ47" si="23">AVERAGE(Y47,AB47,AE47)</f>
        <v>452</v>
      </c>
      <c r="AK47" s="414">
        <f t="shared" ref="AK47" si="24">AVERAGE(Z47,AC47,AF47)</f>
        <v>-88124.086420000007</v>
      </c>
      <c r="AL47" s="164">
        <f t="shared" ref="AL47" si="25">AVERAGE(AA47,AD47,AG47)</f>
        <v>-1138</v>
      </c>
      <c r="AM47" s="411"/>
      <c r="AN47" s="411"/>
      <c r="AO47" s="411"/>
      <c r="AP47" s="411"/>
    </row>
    <row r="48" spans="1:48" ht="138" customHeight="1">
      <c r="A48" s="196" t="s">
        <v>65</v>
      </c>
      <c r="B48" s="228" t="s">
        <v>79</v>
      </c>
      <c r="C48" s="334" t="s">
        <v>67</v>
      </c>
      <c r="D48" s="366"/>
      <c r="E48" s="357"/>
      <c r="F48" s="14" t="s">
        <v>75</v>
      </c>
      <c r="G48" s="229">
        <f>C$33/$C$23</f>
        <v>224324.81987944752</v>
      </c>
      <c r="H48" s="100">
        <f>G48*D$19/C$19</f>
        <v>235288.21707092554</v>
      </c>
      <c r="I48" s="100">
        <f>H48*E$19/D$19</f>
        <v>246121.07187826387</v>
      </c>
      <c r="J48" s="231">
        <f>J47</f>
        <v>2.8421052631578947</v>
      </c>
      <c r="K48" s="324">
        <f>'ICR 1626.18 9-6-2022'!$E$49</f>
        <v>2.5000000000000001E-2</v>
      </c>
      <c r="L48" s="234">
        <f t="shared" si="12"/>
        <v>2.5163250000000001</v>
      </c>
      <c r="M48" s="132">
        <f t="shared" si="9"/>
        <v>15938.868780908115</v>
      </c>
      <c r="N48" s="134">
        <f t="shared" si="20"/>
        <v>1604294.9594047447</v>
      </c>
      <c r="O48" s="132">
        <f t="shared" si="2"/>
        <v>637554.75123632455</v>
      </c>
      <c r="P48" s="20">
        <f t="shared" si="3"/>
        <v>16717.847002407867</v>
      </c>
      <c r="Q48" s="28">
        <f t="shared" si="4"/>
        <v>1682701.4543333591</v>
      </c>
      <c r="R48" s="20">
        <f t="shared" si="5"/>
        <v>668713.88009631471</v>
      </c>
      <c r="S48" s="132">
        <f t="shared" si="6"/>
        <v>17487.549843981906</v>
      </c>
      <c r="T48" s="133">
        <f t="shared" si="7"/>
        <v>1760174.3544463108</v>
      </c>
      <c r="U48" s="132">
        <f t="shared" si="8"/>
        <v>699501.99375927623</v>
      </c>
      <c r="X48" s="57" t="s">
        <v>95</v>
      </c>
      <c r="Y48" s="58">
        <f>Y46+Y47</f>
        <v>8739731.2127136402</v>
      </c>
      <c r="Z48" s="244">
        <f t="shared" ref="Z48:AG48" si="26">Z46+Z47</f>
        <v>12808867.173489748</v>
      </c>
      <c r="AA48" s="58">
        <f t="shared" si="26"/>
        <v>165400.18375747779</v>
      </c>
      <c r="AB48" s="58">
        <f t="shared" si="26"/>
        <v>21214918.336939886</v>
      </c>
      <c r="AC48" s="244">
        <f t="shared" si="26"/>
        <v>15651904.300329398</v>
      </c>
      <c r="AD48" s="58">
        <f t="shared" si="26"/>
        <v>221121.70109666424</v>
      </c>
      <c r="AE48" s="58">
        <f>AE46+AE47</f>
        <v>21366747.800686926</v>
      </c>
      <c r="AF48" s="244">
        <f t="shared" si="26"/>
        <v>15878710.057429992</v>
      </c>
      <c r="AG48" s="58">
        <f t="shared" si="26"/>
        <v>222294.16201487969</v>
      </c>
      <c r="AI48" s="57" t="s">
        <v>95</v>
      </c>
      <c r="AJ48" s="58">
        <f>AJ46+AJ47</f>
        <v>17107132.450113483</v>
      </c>
      <c r="AK48" s="244">
        <f t="shared" ref="AK48:AL48" si="27">AK46+AK47</f>
        <v>14779827.177083043</v>
      </c>
      <c r="AL48" s="58">
        <f t="shared" si="27"/>
        <v>202938.68228967392</v>
      </c>
      <c r="AM48" s="413"/>
      <c r="AN48" s="413"/>
      <c r="AO48" s="413"/>
      <c r="AP48" s="413"/>
    </row>
    <row r="49" spans="1:35" ht="138" customHeight="1">
      <c r="A49" s="196" t="s">
        <v>65</v>
      </c>
      <c r="B49" s="228" t="s">
        <v>79</v>
      </c>
      <c r="C49" s="334" t="s">
        <v>67</v>
      </c>
      <c r="D49" s="373" t="s">
        <v>96</v>
      </c>
      <c r="E49" s="356" t="s">
        <v>97</v>
      </c>
      <c r="F49" s="14" t="s">
        <v>70</v>
      </c>
      <c r="G49" s="229">
        <f>C$26</f>
        <v>51283.333333333336</v>
      </c>
      <c r="H49" s="100">
        <f>G49*D$18/C$18</f>
        <v>52459.85628459954</v>
      </c>
      <c r="I49" s="100">
        <f>H49*E$18/D$18</f>
        <v>53629.353888006277</v>
      </c>
      <c r="J49" s="326">
        <v>1</v>
      </c>
      <c r="K49" s="233">
        <f>'ICR 1626.18 9-6-2022'!$E$49</f>
        <v>2.5000000000000001E-2</v>
      </c>
      <c r="L49" s="241">
        <f t="shared" si="12"/>
        <v>2.5163250000000001</v>
      </c>
      <c r="M49" s="132">
        <f t="shared" si="9"/>
        <v>1282.0833333333335</v>
      </c>
      <c r="N49" s="134">
        <f t="shared" si="20"/>
        <v>129045.53375000002</v>
      </c>
      <c r="O49" s="132">
        <f t="shared" si="2"/>
        <v>51283.333333333336</v>
      </c>
      <c r="P49" s="20">
        <f t="shared" si="3"/>
        <v>1311.4964071149886</v>
      </c>
      <c r="Q49" s="28">
        <f t="shared" si="4"/>
        <v>132006.04786534497</v>
      </c>
      <c r="R49" s="20">
        <f t="shared" si="5"/>
        <v>52459.85628459954</v>
      </c>
      <c r="S49" s="132">
        <f t="shared" si="6"/>
        <v>1340.733847200157</v>
      </c>
      <c r="T49" s="133">
        <f t="shared" si="7"/>
        <v>134948.88392223741</v>
      </c>
      <c r="U49" s="132">
        <f t="shared" si="8"/>
        <v>53629.353888006277</v>
      </c>
      <c r="X49" s="198"/>
      <c r="Y49" s="26"/>
      <c r="Z49" s="197"/>
      <c r="AA49" s="26"/>
      <c r="AB49" s="197"/>
      <c r="AC49" s="26"/>
      <c r="AD49" s="199"/>
      <c r="AE49" s="199"/>
      <c r="AF49" s="200"/>
      <c r="AG49" s="199"/>
      <c r="AH49" s="199"/>
      <c r="AI49" s="199"/>
    </row>
    <row r="50" spans="1:35" ht="138" customHeight="1">
      <c r="A50" s="196" t="s">
        <v>65</v>
      </c>
      <c r="B50" s="228" t="s">
        <v>79</v>
      </c>
      <c r="C50" s="334" t="s">
        <v>67</v>
      </c>
      <c r="D50" s="368"/>
      <c r="E50" s="357"/>
      <c r="F50" s="14" t="s">
        <v>75</v>
      </c>
      <c r="G50" s="229">
        <f>C$27</f>
        <v>112828.81508568322</v>
      </c>
      <c r="H50" s="100">
        <f>G50*D$19/C$19</f>
        <v>118343.08281179988</v>
      </c>
      <c r="I50" s="100">
        <f>H50*E$19/D$19</f>
        <v>123791.69154160551</v>
      </c>
      <c r="J50" s="231">
        <v>1</v>
      </c>
      <c r="K50" s="233">
        <f>'ICR 1626.18 9-6-2022'!$E$49</f>
        <v>2.5000000000000001E-2</v>
      </c>
      <c r="L50" s="241">
        <f t="shared" si="12"/>
        <v>2.5163250000000001</v>
      </c>
      <c r="M50" s="132">
        <f t="shared" si="9"/>
        <v>2820.7203771420809</v>
      </c>
      <c r="N50" s="134">
        <f t="shared" si="20"/>
        <v>283913.96812048188</v>
      </c>
      <c r="O50" s="132">
        <f t="shared" si="2"/>
        <v>112828.81508568322</v>
      </c>
      <c r="P50" s="20">
        <f t="shared" si="3"/>
        <v>2958.5770702949972</v>
      </c>
      <c r="Q50" s="28">
        <f t="shared" si="4"/>
        <v>297789.65785640239</v>
      </c>
      <c r="R50" s="20">
        <f t="shared" si="5"/>
        <v>118343.08281179988</v>
      </c>
      <c r="S50" s="132">
        <f t="shared" si="6"/>
        <v>3094.7922885401381</v>
      </c>
      <c r="T50" s="133">
        <f t="shared" si="7"/>
        <v>311500.12821843056</v>
      </c>
      <c r="U50" s="132">
        <f t="shared" si="8"/>
        <v>123791.69154160551</v>
      </c>
      <c r="X50" s="198"/>
      <c r="Y50" s="199"/>
      <c r="Z50" s="200"/>
      <c r="AA50" s="199"/>
      <c r="AB50" s="199"/>
      <c r="AC50" s="200"/>
      <c r="AD50" s="199"/>
      <c r="AE50" s="199"/>
      <c r="AF50" s="200"/>
      <c r="AG50" s="199"/>
      <c r="AH50" s="199"/>
      <c r="AI50" s="199"/>
    </row>
    <row r="51" spans="1:35" ht="27.95" customHeight="1">
      <c r="A51" s="196" t="s">
        <v>65</v>
      </c>
      <c r="B51" s="228" t="s">
        <v>79</v>
      </c>
      <c r="C51" s="334" t="s">
        <v>67</v>
      </c>
      <c r="D51" s="367" t="s">
        <v>98</v>
      </c>
      <c r="E51" s="356" t="s">
        <v>99</v>
      </c>
      <c r="F51" s="14" t="s">
        <v>70</v>
      </c>
      <c r="G51" s="229">
        <f t="shared" ref="G51:G52" si="28">1%*C18</f>
        <v>2011.2321840728905</v>
      </c>
      <c r="H51" s="100">
        <f>G51*D$18/C$18</f>
        <v>2057.373116634873</v>
      </c>
      <c r="I51" s="100">
        <f>H51*E$18/D$18</f>
        <v>2103.2385287733405</v>
      </c>
      <c r="J51" s="231">
        <v>1</v>
      </c>
      <c r="K51" s="235">
        <f>'ICR 1626.18 9-6-2022'!$E$52</f>
        <v>8</v>
      </c>
      <c r="L51" s="227">
        <f t="shared" si="12"/>
        <v>805.22400000000005</v>
      </c>
      <c r="M51" s="132">
        <f t="shared" si="9"/>
        <v>16089.857472583124</v>
      </c>
      <c r="N51" s="134">
        <f t="shared" si="20"/>
        <v>1619492.4241879093</v>
      </c>
      <c r="O51" s="132">
        <f t="shared" si="2"/>
        <v>2011.2321840728905</v>
      </c>
      <c r="P51" s="20">
        <f t="shared" si="3"/>
        <v>16458.984933078984</v>
      </c>
      <c r="Q51" s="28">
        <f t="shared" si="4"/>
        <v>1656646.2104691991</v>
      </c>
      <c r="R51" s="20">
        <f t="shared" si="5"/>
        <v>2057.373116634873</v>
      </c>
      <c r="S51" s="132">
        <f t="shared" si="6"/>
        <v>16825.908230186724</v>
      </c>
      <c r="T51" s="133">
        <f t="shared" si="7"/>
        <v>1693578.1410929845</v>
      </c>
      <c r="U51" s="132">
        <f t="shared" si="8"/>
        <v>2103.2385287733405</v>
      </c>
      <c r="X51" s="5"/>
      <c r="Y51" s="26"/>
      <c r="Z51" s="26"/>
      <c r="AA51" s="26"/>
      <c r="AG51" s="26"/>
      <c r="AH51" s="26"/>
      <c r="AI51" s="26"/>
    </row>
    <row r="52" spans="1:35" ht="27.95" customHeight="1">
      <c r="A52" s="196" t="s">
        <v>65</v>
      </c>
      <c r="B52" s="228" t="s">
        <v>79</v>
      </c>
      <c r="C52" s="334" t="s">
        <v>67</v>
      </c>
      <c r="D52" s="368"/>
      <c r="E52" s="357"/>
      <c r="F52" s="14" t="s">
        <v>75</v>
      </c>
      <c r="G52" s="229">
        <f t="shared" si="28"/>
        <v>1432.6348585893099</v>
      </c>
      <c r="H52" s="100">
        <f>G52*D$19/C$19</f>
        <v>1502.6518321614374</v>
      </c>
      <c r="I52" s="100">
        <f>H52*E$19/D$19</f>
        <v>1571.8351058775154</v>
      </c>
      <c r="J52" s="231">
        <v>1</v>
      </c>
      <c r="K52" s="235">
        <f>'ICR 1626.18 9-6-2022'!$E$52</f>
        <v>8</v>
      </c>
      <c r="L52" s="227">
        <f t="shared" si="12"/>
        <v>805.22400000000005</v>
      </c>
      <c r="M52" s="132">
        <f t="shared" si="9"/>
        <v>11461.07886871448</v>
      </c>
      <c r="N52" s="134">
        <f t="shared" si="20"/>
        <v>1153591.9713727187</v>
      </c>
      <c r="O52" s="132">
        <f t="shared" si="2"/>
        <v>1432.6348585893099</v>
      </c>
      <c r="P52" s="20">
        <f t="shared" si="3"/>
        <v>12021.214657291499</v>
      </c>
      <c r="Q52" s="28">
        <f t="shared" si="4"/>
        <v>1209971.3189003614</v>
      </c>
      <c r="R52" s="20">
        <f t="shared" si="5"/>
        <v>1502.6518321614374</v>
      </c>
      <c r="S52" s="132">
        <f t="shared" si="6"/>
        <v>12574.680847020123</v>
      </c>
      <c r="T52" s="133">
        <f t="shared" si="7"/>
        <v>1265679.3512951166</v>
      </c>
      <c r="U52" s="132">
        <f t="shared" si="8"/>
        <v>1571.8351058775154</v>
      </c>
      <c r="W52" s="29"/>
      <c r="X52" s="27" t="s">
        <v>100</v>
      </c>
      <c r="Y52" t="s">
        <v>28</v>
      </c>
      <c r="Z52" t="s">
        <v>28</v>
      </c>
      <c r="AA52" s="5" t="s">
        <v>29</v>
      </c>
      <c r="AB52" s="5" t="s">
        <v>29</v>
      </c>
      <c r="AC52" t="s">
        <v>30</v>
      </c>
      <c r="AD52" t="s">
        <v>30</v>
      </c>
    </row>
    <row r="53" spans="1:35" ht="44.45" customHeight="1">
      <c r="A53" s="196" t="s">
        <v>65</v>
      </c>
      <c r="B53" s="228" t="s">
        <v>79</v>
      </c>
      <c r="C53" s="334" t="s">
        <v>67</v>
      </c>
      <c r="D53" s="371" t="s">
        <v>101</v>
      </c>
      <c r="E53" s="356" t="s">
        <v>102</v>
      </c>
      <c r="F53" s="14" t="s">
        <v>70</v>
      </c>
      <c r="G53" s="100">
        <f t="shared" ref="G53:G54" si="29">2%*G51</f>
        <v>40.224643681457813</v>
      </c>
      <c r="H53" s="100">
        <f>G53*D$18/C$18</f>
        <v>41.147462332697465</v>
      </c>
      <c r="I53" s="100">
        <f>H53*E$18/D$18</f>
        <v>42.064770575466817</v>
      </c>
      <c r="J53" s="231">
        <v>1</v>
      </c>
      <c r="K53" s="102">
        <f>'ICR 1626.18 9-6-2022'!$E$53</f>
        <v>2.5000000000000001E-2</v>
      </c>
      <c r="L53" s="227">
        <f t="shared" si="12"/>
        <v>2.5163250000000001</v>
      </c>
      <c r="M53" s="246">
        <f t="shared" si="9"/>
        <v>1.0056160920364454</v>
      </c>
      <c r="N53" s="134">
        <f t="shared" si="20"/>
        <v>101.21827651174435</v>
      </c>
      <c r="O53" s="132">
        <f t="shared" si="2"/>
        <v>40.224643681457813</v>
      </c>
      <c r="P53" s="245">
        <f t="shared" si="3"/>
        <v>1.0286865583174367</v>
      </c>
      <c r="Q53" s="28">
        <f t="shared" si="4"/>
        <v>103.54038815432496</v>
      </c>
      <c r="R53" s="20">
        <f t="shared" si="5"/>
        <v>41.147462332697465</v>
      </c>
      <c r="S53" s="246">
        <f t="shared" si="6"/>
        <v>1.0516192643866704</v>
      </c>
      <c r="T53" s="133">
        <f t="shared" si="7"/>
        <v>105.84863381831154</v>
      </c>
      <c r="U53" s="132">
        <f t="shared" si="8"/>
        <v>42.064770575466817</v>
      </c>
      <c r="X53" s="192" t="s">
        <v>103</v>
      </c>
      <c r="Y53" s="193" t="s">
        <v>104</v>
      </c>
      <c r="Z53" s="193" t="s">
        <v>105</v>
      </c>
      <c r="AA53" s="193" t="s">
        <v>104</v>
      </c>
      <c r="AB53" s="193" t="s">
        <v>105</v>
      </c>
      <c r="AC53" s="193" t="s">
        <v>104</v>
      </c>
      <c r="AD53" s="193" t="s">
        <v>105</v>
      </c>
    </row>
    <row r="54" spans="1:35" ht="44.45" customHeight="1">
      <c r="A54" s="196" t="s">
        <v>65</v>
      </c>
      <c r="B54" s="228" t="s">
        <v>79</v>
      </c>
      <c r="C54" s="334" t="s">
        <v>67</v>
      </c>
      <c r="D54" s="372"/>
      <c r="E54" s="357"/>
      <c r="F54" s="14" t="s">
        <v>75</v>
      </c>
      <c r="G54" s="100">
        <f t="shared" si="29"/>
        <v>28.652697171786201</v>
      </c>
      <c r="H54" s="100">
        <f>G54*D$19/C$19</f>
        <v>30.053036643228747</v>
      </c>
      <c r="I54" s="100">
        <f>H54*E$19/D$19</f>
        <v>31.436702117550304</v>
      </c>
      <c r="J54" s="231">
        <v>1</v>
      </c>
      <c r="K54" s="102">
        <f>'ICR 1626.18 9-6-2022'!$E$53</f>
        <v>2.5000000000000001E-2</v>
      </c>
      <c r="L54" s="227">
        <f t="shared" si="12"/>
        <v>2.5163250000000001</v>
      </c>
      <c r="M54" s="246">
        <f t="shared" si="9"/>
        <v>0.71631742929465503</v>
      </c>
      <c r="N54" s="134">
        <f t="shared" si="20"/>
        <v>72.09949821079492</v>
      </c>
      <c r="O54" s="132">
        <f t="shared" si="2"/>
        <v>28.652697171786201</v>
      </c>
      <c r="P54" s="245">
        <f t="shared" si="3"/>
        <v>0.75132591608071875</v>
      </c>
      <c r="Q54" s="28">
        <f t="shared" si="4"/>
        <v>75.62320743127259</v>
      </c>
      <c r="R54" s="20">
        <f t="shared" si="5"/>
        <v>30.053036643228747</v>
      </c>
      <c r="S54" s="246">
        <f t="shared" si="6"/>
        <v>0.78591755293875765</v>
      </c>
      <c r="T54" s="133">
        <f t="shared" si="7"/>
        <v>79.10495945594478</v>
      </c>
      <c r="U54" s="132">
        <f t="shared" si="8"/>
        <v>31.436702117550304</v>
      </c>
      <c r="W54" s="163" t="s">
        <v>66</v>
      </c>
      <c r="X54" s="165" t="s">
        <v>76</v>
      </c>
      <c r="Y54" s="63">
        <f>IFERROR(AA38/Y38,0)</f>
        <v>0.70473241061440661</v>
      </c>
      <c r="Z54" s="64">
        <f>IFERROR(Z38/Y38,0)</f>
        <v>70.93343132557186</v>
      </c>
      <c r="AA54" s="63">
        <f>IFERROR(AD38/AB38,0)</f>
        <v>0.70455764843109414</v>
      </c>
      <c r="AB54" s="64">
        <f>IFERROR(AC38/AB38,0)</f>
        <v>70.915840987534921</v>
      </c>
      <c r="AC54" s="63">
        <f>IFERROR(AG38/AE38,0)</f>
        <v>0.70439698366621839</v>
      </c>
      <c r="AD54" s="64">
        <f>IFERROR(AF38/AE38,0)</f>
        <v>70.899669596955889</v>
      </c>
    </row>
    <row r="55" spans="1:35" ht="33.950000000000003" customHeight="1">
      <c r="A55" s="196" t="s">
        <v>65</v>
      </c>
      <c r="B55" s="228" t="s">
        <v>79</v>
      </c>
      <c r="C55" s="334" t="s">
        <v>67</v>
      </c>
      <c r="D55" s="367" t="s">
        <v>106</v>
      </c>
      <c r="E55" s="356" t="s">
        <v>107</v>
      </c>
      <c r="F55" s="14" t="s">
        <v>70</v>
      </c>
      <c r="G55" s="236">
        <f>'ICR 1626.18 9-6-2022'!$C$54</f>
        <v>3.7476632740868223</v>
      </c>
      <c r="H55" s="100">
        <f>G55*D$18/C$18</f>
        <v>3.8336407558335996</v>
      </c>
      <c r="I55" s="100">
        <f>H55*E$18/D$18</f>
        <v>3.9191048419711363</v>
      </c>
      <c r="J55" s="231">
        <v>1</v>
      </c>
      <c r="K55" s="237">
        <f>'ICR 1626.18 9-6-2022'!$E$54</f>
        <v>2.5000000000000001E-2</v>
      </c>
      <c r="L55" s="227">
        <f t="shared" si="12"/>
        <v>2.5163250000000001</v>
      </c>
      <c r="M55" s="246">
        <f t="shared" si="9"/>
        <v>9.3691581852170566E-2</v>
      </c>
      <c r="N55" s="135">
        <f t="shared" si="20"/>
        <v>9.4303387881665248</v>
      </c>
      <c r="O55" s="132">
        <f t="shared" si="2"/>
        <v>3.7476632740868223</v>
      </c>
      <c r="P55" s="245">
        <f t="shared" si="3"/>
        <v>9.5841018895839999E-2</v>
      </c>
      <c r="Q55" s="28">
        <f t="shared" si="4"/>
        <v>9.6466860749229841</v>
      </c>
      <c r="R55" s="20">
        <f t="shared" si="5"/>
        <v>3.8336407558335996</v>
      </c>
      <c r="S55" s="246">
        <f t="shared" si="6"/>
        <v>9.7977621049278416E-2</v>
      </c>
      <c r="T55" s="133">
        <f t="shared" si="7"/>
        <v>9.8617414914730208</v>
      </c>
      <c r="U55" s="132">
        <f t="shared" si="8"/>
        <v>3.9191048419711363</v>
      </c>
      <c r="V55" s="19"/>
      <c r="W55" s="163" t="s">
        <v>79</v>
      </c>
      <c r="X55" s="165" t="s">
        <v>80</v>
      </c>
      <c r="Y55" s="63">
        <f t="shared" ref="Y55:Y60" si="30">IFERROR(AA39/Y39,0)</f>
        <v>3.4250125895635204E-2</v>
      </c>
      <c r="Z55" s="64">
        <f t="shared" ref="Z55:Z61" si="31">IFERROR(Z39/Y39,0)</f>
        <v>3.4473779217733713</v>
      </c>
      <c r="AA55" s="63">
        <f t="shared" ref="AA55:AA61" si="32">IFERROR(AD39/AB39,0)</f>
        <v>3.4219008677521652E-2</v>
      </c>
      <c r="AB55" s="64">
        <f t="shared" ref="AB55:AB61" si="33">IFERROR(AC39/AB39,0)</f>
        <v>3.4442458804185874</v>
      </c>
      <c r="AC55" s="63">
        <f t="shared" ref="AC55:AC61" si="34">IFERROR(AG39/AE39,0)</f>
        <v>3.4190480212920253E-2</v>
      </c>
      <c r="AD55" s="64">
        <f t="shared" ref="AD55:AD61" si="35">IFERROR(AF39/AE39,0)</f>
        <v>3.4413744048710617</v>
      </c>
    </row>
    <row r="56" spans="1:35" ht="24" customHeight="1">
      <c r="A56" s="196" t="s">
        <v>65</v>
      </c>
      <c r="B56" s="228" t="s">
        <v>79</v>
      </c>
      <c r="C56" s="334" t="s">
        <v>67</v>
      </c>
      <c r="D56" s="368"/>
      <c r="E56" s="357"/>
      <c r="F56" s="14" t="s">
        <v>75</v>
      </c>
      <c r="G56" s="236">
        <f>'ICR 1626.18 9-6-2022'!$C$54</f>
        <v>3.7476632740868223</v>
      </c>
      <c r="H56" s="100">
        <f>G56*D$19/C$19</f>
        <v>3.9308223245913942</v>
      </c>
      <c r="I56" s="100">
        <f>H56*E$19/D$19</f>
        <v>4.1118004800036854</v>
      </c>
      <c r="J56" s="231">
        <v>1</v>
      </c>
      <c r="K56" s="237">
        <f>'ICR 1626.18 9-6-2022'!$E$54</f>
        <v>2.5000000000000001E-2</v>
      </c>
      <c r="L56" s="227">
        <f t="shared" si="12"/>
        <v>2.5163250000000001</v>
      </c>
      <c r="M56" s="246">
        <f t="shared" si="9"/>
        <v>9.3691581852170566E-2</v>
      </c>
      <c r="N56" s="135">
        <f t="shared" si="20"/>
        <v>9.4303387881665248</v>
      </c>
      <c r="O56" s="132">
        <f t="shared" si="2"/>
        <v>3.7476632740868223</v>
      </c>
      <c r="P56" s="245">
        <f t="shared" si="3"/>
        <v>9.8270558114784856E-2</v>
      </c>
      <c r="Q56" s="28">
        <f t="shared" si="4"/>
        <v>9.8912264859274401</v>
      </c>
      <c r="R56" s="20">
        <f t="shared" si="5"/>
        <v>3.9308223245913942</v>
      </c>
      <c r="S56" s="246">
        <f t="shared" si="6"/>
        <v>0.10279501200009214</v>
      </c>
      <c r="T56" s="133">
        <f t="shared" si="7"/>
        <v>10.346626342845274</v>
      </c>
      <c r="U56" s="132">
        <f t="shared" si="8"/>
        <v>4.1118004800036854</v>
      </c>
      <c r="V56" s="19"/>
      <c r="W56" s="163" t="s">
        <v>81</v>
      </c>
      <c r="X56" s="165" t="s">
        <v>82</v>
      </c>
      <c r="Y56" s="63">
        <f t="shared" si="30"/>
        <v>2.7842737013895558E-2</v>
      </c>
      <c r="Z56" s="64">
        <f t="shared" si="31"/>
        <v>1.5371696678001601</v>
      </c>
      <c r="AA56" s="63">
        <f t="shared" si="32"/>
        <v>2.7846313826041604E-2</v>
      </c>
      <c r="AB56" s="64">
        <f t="shared" si="33"/>
        <v>1.5373671400219311</v>
      </c>
      <c r="AC56" s="63">
        <f t="shared" si="34"/>
        <v>2.7849603122718881E-2</v>
      </c>
      <c r="AD56" s="64">
        <f t="shared" si="35"/>
        <v>1.5375487388021869</v>
      </c>
    </row>
    <row r="57" spans="1:35" ht="48" customHeight="1">
      <c r="A57" s="196" t="s">
        <v>65</v>
      </c>
      <c r="B57" s="228" t="s">
        <v>79</v>
      </c>
      <c r="C57" s="334" t="s">
        <v>67</v>
      </c>
      <c r="D57" s="362" t="s">
        <v>108</v>
      </c>
      <c r="E57" s="356" t="s">
        <v>109</v>
      </c>
      <c r="F57" s="14" t="s">
        <v>70</v>
      </c>
      <c r="G57" s="229">
        <f>C$18</f>
        <v>201123.21840728904</v>
      </c>
      <c r="H57" s="100">
        <f>G57*D$18/C$18</f>
        <v>205737.31166348729</v>
      </c>
      <c r="I57" s="100">
        <f>H57*E$18/D$18</f>
        <v>210323.85287733405</v>
      </c>
      <c r="J57" s="231">
        <v>1</v>
      </c>
      <c r="K57" s="235">
        <f>'ICR 1626.18 9-6-2022'!$E$51</f>
        <v>2.5000000000000001E-2</v>
      </c>
      <c r="L57" s="227">
        <f t="shared" si="12"/>
        <v>2.5163250000000001</v>
      </c>
      <c r="M57" s="132">
        <f t="shared" si="9"/>
        <v>5028.0804601822265</v>
      </c>
      <c r="N57" s="134">
        <f t="shared" si="20"/>
        <v>506091.3825587217</v>
      </c>
      <c r="O57" s="132">
        <f t="shared" si="2"/>
        <v>201123.21840728904</v>
      </c>
      <c r="P57" s="20">
        <f t="shared" si="3"/>
        <v>5143.4327915871827</v>
      </c>
      <c r="Q57" s="28">
        <f t="shared" si="4"/>
        <v>517701.94077162474</v>
      </c>
      <c r="R57" s="20">
        <f t="shared" si="5"/>
        <v>205737.31166348729</v>
      </c>
      <c r="S57" s="132">
        <f t="shared" si="6"/>
        <v>5258.0963219333516</v>
      </c>
      <c r="T57" s="133">
        <f t="shared" si="7"/>
        <v>529243.16909155762</v>
      </c>
      <c r="U57" s="132">
        <f t="shared" si="8"/>
        <v>210323.85287733405</v>
      </c>
      <c r="W57" s="163" t="s">
        <v>66</v>
      </c>
      <c r="X57" s="165" t="s">
        <v>85</v>
      </c>
      <c r="Y57" s="63">
        <f t="shared" si="30"/>
        <v>9.4</v>
      </c>
      <c r="Z57" s="64">
        <f t="shared" si="31"/>
        <v>450.54200000000003</v>
      </c>
      <c r="AA57" s="63">
        <f t="shared" si="32"/>
        <v>9.4</v>
      </c>
      <c r="AB57" s="64">
        <f t="shared" si="33"/>
        <v>450.54200000000003</v>
      </c>
      <c r="AC57" s="63">
        <f t="shared" si="34"/>
        <v>9.4</v>
      </c>
      <c r="AD57" s="64">
        <f t="shared" si="35"/>
        <v>450.54200000000003</v>
      </c>
    </row>
    <row r="58" spans="1:35" ht="48" customHeight="1">
      <c r="A58" s="196" t="s">
        <v>65</v>
      </c>
      <c r="B58" s="228" t="s">
        <v>79</v>
      </c>
      <c r="C58" s="334" t="s">
        <v>67</v>
      </c>
      <c r="D58" s="363"/>
      <c r="E58" s="357"/>
      <c r="F58" s="14" t="s">
        <v>75</v>
      </c>
      <c r="G58" s="229">
        <f>C$19</f>
        <v>143263.485858931</v>
      </c>
      <c r="H58" s="100">
        <f>G58*D$19/C$19</f>
        <v>150265.18321614375</v>
      </c>
      <c r="I58" s="100">
        <f>H58*E$19/D$19</f>
        <v>157183.51058775155</v>
      </c>
      <c r="J58" s="231">
        <v>1</v>
      </c>
      <c r="K58" s="235">
        <f>'ICR 1626.18 9-6-2022'!$E$51</f>
        <v>2.5000000000000001E-2</v>
      </c>
      <c r="L58" s="227">
        <f t="shared" si="12"/>
        <v>2.5163250000000001</v>
      </c>
      <c r="M58" s="132">
        <f t="shared" si="9"/>
        <v>3581.5871464732754</v>
      </c>
      <c r="N58" s="134">
        <f t="shared" si="20"/>
        <v>360497.49105397461</v>
      </c>
      <c r="O58" s="132">
        <f t="shared" si="2"/>
        <v>143263.485858931</v>
      </c>
      <c r="P58" s="20">
        <f t="shared" si="3"/>
        <v>3756.629580403594</v>
      </c>
      <c r="Q58" s="28">
        <f t="shared" si="4"/>
        <v>378116.03715636296</v>
      </c>
      <c r="R58" s="20">
        <f t="shared" si="5"/>
        <v>150265.18321614375</v>
      </c>
      <c r="S58" s="132">
        <f t="shared" si="6"/>
        <v>3929.5877646937888</v>
      </c>
      <c r="T58" s="133">
        <f t="shared" si="7"/>
        <v>395524.79727972392</v>
      </c>
      <c r="U58" s="132">
        <f t="shared" si="8"/>
        <v>157183.51058775155</v>
      </c>
      <c r="W58" s="163" t="s">
        <v>79</v>
      </c>
      <c r="X58" s="165" t="s">
        <v>86</v>
      </c>
      <c r="Y58" s="63">
        <f t="shared" si="30"/>
        <v>40</v>
      </c>
      <c r="Z58" s="64">
        <f t="shared" si="31"/>
        <v>1917.2</v>
      </c>
      <c r="AA58" s="63">
        <f t="shared" si="32"/>
        <v>40</v>
      </c>
      <c r="AB58" s="64">
        <f t="shared" si="33"/>
        <v>1917.2</v>
      </c>
      <c r="AC58" s="63">
        <f t="shared" si="34"/>
        <v>40</v>
      </c>
      <c r="AD58" s="64">
        <f t="shared" si="35"/>
        <v>1917.2</v>
      </c>
    </row>
    <row r="59" spans="1:35" ht="26.45" customHeight="1">
      <c r="A59" s="196" t="s">
        <v>65</v>
      </c>
      <c r="B59" s="228" t="s">
        <v>79</v>
      </c>
      <c r="C59" s="238" t="s">
        <v>67</v>
      </c>
      <c r="D59" s="335" t="s">
        <v>110</v>
      </c>
      <c r="E59" s="331" t="s">
        <v>111</v>
      </c>
      <c r="F59" s="14" t="s">
        <v>112</v>
      </c>
      <c r="G59" s="229">
        <f>C$20*4</f>
        <v>49372.547561969972</v>
      </c>
      <c r="H59" s="100">
        <f>G59*D$19/C$19</f>
        <v>51785.52553546353</v>
      </c>
      <c r="I59" s="100">
        <f>H59*E$19/D$19</f>
        <v>54169.77191308084</v>
      </c>
      <c r="J59" s="231">
        <v>4</v>
      </c>
      <c r="K59" s="239">
        <f>1/60</f>
        <v>1.6666666666666666E-2</v>
      </c>
      <c r="L59" s="240">
        <f t="shared" si="12"/>
        <v>1.6775500000000001</v>
      </c>
      <c r="M59" s="132">
        <f t="shared" si="9"/>
        <v>3291.5031707979979</v>
      </c>
      <c r="N59" s="133">
        <f t="shared" si="20"/>
        <v>331299.66865033092</v>
      </c>
      <c r="O59" s="132">
        <f t="shared" si="2"/>
        <v>197490.19024787989</v>
      </c>
      <c r="P59" s="20">
        <f t="shared" si="3"/>
        <v>3452.3683690309022</v>
      </c>
      <c r="Q59" s="28">
        <f t="shared" si="4"/>
        <v>347491.23344806739</v>
      </c>
      <c r="R59" s="20">
        <f t="shared" si="5"/>
        <v>207142.10214185412</v>
      </c>
      <c r="S59" s="132">
        <f t="shared" si="6"/>
        <v>3611.3181275387228</v>
      </c>
      <c r="T59" s="133">
        <f t="shared" si="7"/>
        <v>363490.0034911551</v>
      </c>
      <c r="U59" s="132">
        <f t="shared" si="8"/>
        <v>216679.08765232336</v>
      </c>
      <c r="V59" s="30"/>
      <c r="W59" s="163" t="s">
        <v>66</v>
      </c>
      <c r="X59" s="165" t="s">
        <v>63</v>
      </c>
      <c r="Y59" s="63">
        <f t="shared" si="30"/>
        <v>5.2353480227510258E-3</v>
      </c>
      <c r="Z59" s="64">
        <f t="shared" si="31"/>
        <v>0.25093023073045667</v>
      </c>
      <c r="AA59" s="63">
        <f t="shared" si="32"/>
        <v>4.3434616894867028E-3</v>
      </c>
      <c r="AB59" s="64">
        <f t="shared" si="33"/>
        <v>0.20818211877709766</v>
      </c>
      <c r="AC59" s="63">
        <f t="shared" si="34"/>
        <v>4.1161861745568186E-3</v>
      </c>
      <c r="AD59" s="64">
        <f t="shared" si="35"/>
        <v>0.19728880334650831</v>
      </c>
    </row>
    <row r="60" spans="1:35" ht="24" customHeight="1">
      <c r="A60" s="196" t="s">
        <v>65</v>
      </c>
      <c r="B60" s="228" t="s">
        <v>79</v>
      </c>
      <c r="C60" s="238" t="s">
        <v>67</v>
      </c>
      <c r="D60" s="367" t="s">
        <v>113</v>
      </c>
      <c r="E60" s="356" t="s">
        <v>111</v>
      </c>
      <c r="F60" s="14" t="s">
        <v>70</v>
      </c>
      <c r="G60" s="229">
        <f>C$18</f>
        <v>201123.21840728904</v>
      </c>
      <c r="H60" s="100">
        <f>G60*D$18/C$18</f>
        <v>205737.31166348729</v>
      </c>
      <c r="I60" s="100">
        <f>H60*E$18/D$18</f>
        <v>210323.85287733405</v>
      </c>
      <c r="J60" s="231">
        <v>1</v>
      </c>
      <c r="K60" s="239">
        <f>1/60</f>
        <v>1.6666666666666666E-2</v>
      </c>
      <c r="L60" s="240">
        <f t="shared" si="12"/>
        <v>1.6775500000000001</v>
      </c>
      <c r="M60" s="132">
        <f t="shared" si="9"/>
        <v>3352.053640121484</v>
      </c>
      <c r="N60" s="134">
        <f t="shared" si="20"/>
        <v>337394.25503914774</v>
      </c>
      <c r="O60" s="132">
        <f t="shared" si="2"/>
        <v>201123.21840728904</v>
      </c>
      <c r="P60" s="20">
        <f t="shared" si="3"/>
        <v>3428.9551943914548</v>
      </c>
      <c r="Q60" s="28">
        <f t="shared" si="4"/>
        <v>345134.62718108314</v>
      </c>
      <c r="R60" s="20">
        <f t="shared" si="5"/>
        <v>205737.31166348729</v>
      </c>
      <c r="S60" s="132">
        <f t="shared" si="6"/>
        <v>3505.3975479555675</v>
      </c>
      <c r="T60" s="133">
        <f t="shared" si="7"/>
        <v>352828.77939437173</v>
      </c>
      <c r="U60" s="132">
        <f t="shared" si="8"/>
        <v>210323.85287733405</v>
      </c>
      <c r="V60" s="29"/>
      <c r="W60" s="163" t="s">
        <v>81</v>
      </c>
      <c r="X60" s="165" t="s">
        <v>64</v>
      </c>
      <c r="Y60" s="63">
        <f t="shared" si="30"/>
        <v>9</v>
      </c>
      <c r="Z60" s="64">
        <f>IFERROR(Z44/Y44,0)</f>
        <v>431.37</v>
      </c>
      <c r="AA60" s="63">
        <f t="shared" si="32"/>
        <v>0</v>
      </c>
      <c r="AB60" s="64">
        <f t="shared" si="33"/>
        <v>0</v>
      </c>
      <c r="AC60" s="63">
        <f t="shared" si="34"/>
        <v>0</v>
      </c>
      <c r="AD60" s="64">
        <f t="shared" si="35"/>
        <v>0</v>
      </c>
    </row>
    <row r="61" spans="1:35" ht="27" customHeight="1">
      <c r="A61" s="196" t="s">
        <v>65</v>
      </c>
      <c r="B61" s="228" t="s">
        <v>79</v>
      </c>
      <c r="C61" s="238" t="s">
        <v>67</v>
      </c>
      <c r="D61" s="368"/>
      <c r="E61" s="357"/>
      <c r="F61" s="14" t="s">
        <v>75</v>
      </c>
      <c r="G61" s="229">
        <f>(C$19-C$20)</f>
        <v>130920.34896843851</v>
      </c>
      <c r="H61" s="100">
        <f>G61*D$19/C$19</f>
        <v>137318.80183227788</v>
      </c>
      <c r="I61" s="100">
        <f>H61*E$19/D$19</f>
        <v>143641.06760948134</v>
      </c>
      <c r="J61" s="231">
        <v>1</v>
      </c>
      <c r="K61" s="239">
        <f>1/60</f>
        <v>1.6666666666666666E-2</v>
      </c>
      <c r="L61" s="240">
        <f t="shared" si="12"/>
        <v>1.6775500000000001</v>
      </c>
      <c r="M61" s="132">
        <f t="shared" si="9"/>
        <v>2182.0058161406419</v>
      </c>
      <c r="N61" s="134">
        <f t="shared" si="20"/>
        <v>219625.43141200405</v>
      </c>
      <c r="O61" s="132">
        <f t="shared" si="2"/>
        <v>130920.34896843851</v>
      </c>
      <c r="P61" s="20">
        <f t="shared" si="3"/>
        <v>2288.6466972046314</v>
      </c>
      <c r="Q61" s="28">
        <f t="shared" si="4"/>
        <v>230359.15601373778</v>
      </c>
      <c r="R61" s="20">
        <f t="shared" si="5"/>
        <v>137318.80183227788</v>
      </c>
      <c r="S61" s="132">
        <f t="shared" si="6"/>
        <v>2394.0177934913554</v>
      </c>
      <c r="T61" s="133">
        <f t="shared" si="7"/>
        <v>240965.07296828541</v>
      </c>
      <c r="U61" s="132">
        <f t="shared" si="8"/>
        <v>143641.06760948134</v>
      </c>
      <c r="V61" s="29"/>
      <c r="W61" s="163" t="s">
        <v>79</v>
      </c>
      <c r="X61" s="165" t="s">
        <v>64</v>
      </c>
      <c r="Y61" s="63">
        <f>IFERROR(AA45/Y45,0)</f>
        <v>0</v>
      </c>
      <c r="Z61" s="64">
        <f t="shared" si="31"/>
        <v>0</v>
      </c>
      <c r="AA61" s="63">
        <f t="shared" si="32"/>
        <v>40</v>
      </c>
      <c r="AB61" s="64">
        <f t="shared" si="33"/>
        <v>1917.1999999999998</v>
      </c>
      <c r="AC61" s="63">
        <f t="shared" si="34"/>
        <v>40</v>
      </c>
      <c r="AD61" s="64">
        <f t="shared" si="35"/>
        <v>1917.1999999999998</v>
      </c>
    </row>
    <row r="62" spans="1:35" ht="25.5" customHeight="1">
      <c r="A62" s="196" t="s">
        <v>65</v>
      </c>
      <c r="B62" s="228" t="s">
        <v>79</v>
      </c>
      <c r="C62" s="238" t="s">
        <v>67</v>
      </c>
      <c r="D62" s="367" t="s">
        <v>114</v>
      </c>
      <c r="E62" s="356" t="s">
        <v>115</v>
      </c>
      <c r="F62" s="14" t="s">
        <v>70</v>
      </c>
      <c r="G62" s="229">
        <f t="shared" ref="G62:G63" si="36">SUM(G37,G39,G41,G43,G45)</f>
        <v>482.49099941787398</v>
      </c>
      <c r="H62" s="100">
        <f>G62*D$18/C$18</f>
        <v>493.56012651428927</v>
      </c>
      <c r="I62" s="100">
        <f>H62*E$18/D$18</f>
        <v>504.5631567544815</v>
      </c>
      <c r="J62" s="231">
        <v>1</v>
      </c>
      <c r="K62" s="239">
        <f>K60</f>
        <v>1.6666666666666666E-2</v>
      </c>
      <c r="L62" s="240">
        <f t="shared" si="12"/>
        <v>1.6775500000000001</v>
      </c>
      <c r="M62" s="132">
        <f t="shared" si="9"/>
        <v>8.041516656964566</v>
      </c>
      <c r="N62" s="134">
        <f t="shared" si="20"/>
        <v>809.40277607345456</v>
      </c>
      <c r="O62" s="132">
        <f t="shared" si="2"/>
        <v>482.49099941787398</v>
      </c>
      <c r="P62" s="20">
        <f t="shared" si="3"/>
        <v>8.2260021085714872</v>
      </c>
      <c r="Q62" s="28">
        <f t="shared" si="4"/>
        <v>827.9717902340459</v>
      </c>
      <c r="R62" s="20">
        <f t="shared" si="5"/>
        <v>493.56012651428927</v>
      </c>
      <c r="S62" s="132">
        <f t="shared" si="6"/>
        <v>8.4093859459080242</v>
      </c>
      <c r="T62" s="133">
        <f t="shared" si="7"/>
        <v>846.42992361348047</v>
      </c>
      <c r="U62" s="132">
        <f t="shared" si="8"/>
        <v>504.5631567544815</v>
      </c>
      <c r="V62" s="19"/>
      <c r="X62" s="184" t="s">
        <v>116</v>
      </c>
      <c r="Y62" s="188">
        <f>AA46/Y46</f>
        <v>1.9056283670992345E-2</v>
      </c>
      <c r="Z62" s="188">
        <f>Z46/Y46</f>
        <v>1.4757499956229334</v>
      </c>
      <c r="AA62" s="188">
        <f>AD46/AB46</f>
        <v>1.0476799065628744E-2</v>
      </c>
      <c r="AB62" s="188">
        <f>AC46/AB46</f>
        <v>0.74194788295673164</v>
      </c>
      <c r="AC62" s="188">
        <f>AG46/AE46</f>
        <v>1.0457224972411753E-2</v>
      </c>
      <c r="AD62" s="188">
        <f>AF46/AE46</f>
        <v>0.74729069993202368</v>
      </c>
    </row>
    <row r="63" spans="1:35" ht="25.5" customHeight="1">
      <c r="A63" s="196" t="s">
        <v>65</v>
      </c>
      <c r="B63" s="228" t="s">
        <v>79</v>
      </c>
      <c r="C63" s="238" t="s">
        <v>67</v>
      </c>
      <c r="D63" s="368"/>
      <c r="E63" s="357"/>
      <c r="F63" s="14" t="s">
        <v>75</v>
      </c>
      <c r="G63" s="229">
        <f t="shared" si="36"/>
        <v>392.19239559679187</v>
      </c>
      <c r="H63" s="100">
        <f>G63*D$19/C$19</f>
        <v>411.35996256827366</v>
      </c>
      <c r="I63" s="100">
        <f>H63*E$19/D$19</f>
        <v>430.2992991977444</v>
      </c>
      <c r="J63" s="231">
        <v>1</v>
      </c>
      <c r="K63" s="239">
        <f>K61</f>
        <v>1.6666666666666666E-2</v>
      </c>
      <c r="L63" s="240">
        <f t="shared" si="12"/>
        <v>1.6775500000000001</v>
      </c>
      <c r="M63" s="132">
        <f t="shared" si="9"/>
        <v>6.536539926613198</v>
      </c>
      <c r="N63" s="134">
        <f t="shared" si="20"/>
        <v>657.92235323339821</v>
      </c>
      <c r="O63" s="132">
        <f t="shared" si="2"/>
        <v>392.19239559679187</v>
      </c>
      <c r="P63" s="20">
        <f t="shared" si="3"/>
        <v>6.8559993761378939</v>
      </c>
      <c r="Q63" s="28">
        <f t="shared" si="4"/>
        <v>690.07690520640745</v>
      </c>
      <c r="R63" s="20">
        <f t="shared" si="5"/>
        <v>411.35996256827366</v>
      </c>
      <c r="S63" s="132">
        <f t="shared" si="6"/>
        <v>7.1716549866290729</v>
      </c>
      <c r="T63" s="133">
        <f t="shared" si="7"/>
        <v>721.84858936917612</v>
      </c>
      <c r="U63" s="132">
        <f t="shared" si="8"/>
        <v>430.2992991977444</v>
      </c>
      <c r="V63" s="19"/>
      <c r="W63" s="19"/>
      <c r="X63" s="202" t="s">
        <v>94</v>
      </c>
      <c r="Y63" s="206">
        <f>AA47/Y47</f>
        <v>-2.5176991150442478</v>
      </c>
      <c r="Z63" s="204">
        <f>Z47/Y47</f>
        <v>-194.9647929646018</v>
      </c>
      <c r="AA63" s="206">
        <f>AD47/AB47</f>
        <v>-2.5176991150442478</v>
      </c>
      <c r="AB63" s="204">
        <f>AC47/AB47</f>
        <v>-194.9647929646018</v>
      </c>
      <c r="AC63" s="206">
        <f>AG47/AE47</f>
        <v>-2.5176991150442478</v>
      </c>
      <c r="AD63" s="204">
        <f>AF47/AE47</f>
        <v>-194.9647929646018</v>
      </c>
    </row>
    <row r="64" spans="1:35" ht="46.5" customHeight="1">
      <c r="A64" s="196" t="s">
        <v>65</v>
      </c>
      <c r="B64" s="228" t="s">
        <v>79</v>
      </c>
      <c r="C64" s="238" t="s">
        <v>67</v>
      </c>
      <c r="D64" s="336" t="s">
        <v>117</v>
      </c>
      <c r="E64" s="219" t="s">
        <v>118</v>
      </c>
      <c r="F64" s="14" t="s">
        <v>119</v>
      </c>
      <c r="G64" s="229">
        <f>C$29</f>
        <v>24657.690791448083</v>
      </c>
      <c r="H64" s="100">
        <f>G64*D$19/C$19</f>
        <v>25862.782845535417</v>
      </c>
      <c r="I64" s="100">
        <f>H64*E$19/D$19</f>
        <v>27053.525735116462</v>
      </c>
      <c r="J64" s="231">
        <v>1</v>
      </c>
      <c r="K64" s="239">
        <f>1/60</f>
        <v>1.6666666666666666E-2</v>
      </c>
      <c r="L64" s="240">
        <f t="shared" si="12"/>
        <v>1.6775500000000001</v>
      </c>
      <c r="M64" s="132">
        <f t="shared" si="9"/>
        <v>410.96151319080138</v>
      </c>
      <c r="N64" s="134">
        <f t="shared" si="20"/>
        <v>41364.509187193733</v>
      </c>
      <c r="O64" s="132">
        <f t="shared" si="2"/>
        <v>24657.690791448083</v>
      </c>
      <c r="P64" s="20">
        <f t="shared" si="3"/>
        <v>431.04638075892359</v>
      </c>
      <c r="Q64" s="28">
        <f t="shared" si="4"/>
        <v>43386.111362527939</v>
      </c>
      <c r="R64" s="20">
        <f t="shared" si="5"/>
        <v>25862.782845535417</v>
      </c>
      <c r="S64" s="132">
        <f t="shared" si="6"/>
        <v>450.89209558527438</v>
      </c>
      <c r="T64" s="133">
        <f t="shared" si="7"/>
        <v>45383.642096944626</v>
      </c>
      <c r="U64" s="132">
        <f t="shared" si="8"/>
        <v>27053.525735116462</v>
      </c>
      <c r="V64" s="19"/>
      <c r="W64" s="19"/>
      <c r="X64" s="48" t="s">
        <v>120</v>
      </c>
      <c r="Y64" s="63">
        <f>AA48/Y48</f>
        <v>1.8925088167113312E-2</v>
      </c>
      <c r="Z64" s="64">
        <f>Z48/Y48</f>
        <v>1.4655905155134241</v>
      </c>
      <c r="AA64" s="63">
        <f>AD48/AB48</f>
        <v>1.0422934351420162E-2</v>
      </c>
      <c r="AB64" s="64">
        <f>AC48/AB48</f>
        <v>0.73777820172307496</v>
      </c>
      <c r="AC64" s="63">
        <f>AG48/AE48</f>
        <v>1.0403743428269092E-2</v>
      </c>
      <c r="AD64" s="64">
        <f>AF48/AE48</f>
        <v>0.74315053491292216</v>
      </c>
    </row>
    <row r="65" spans="1:28" ht="27.6" customHeight="1">
      <c r="A65" s="196" t="s">
        <v>65</v>
      </c>
      <c r="B65" s="228" t="s">
        <v>81</v>
      </c>
      <c r="C65" s="334" t="s">
        <v>121</v>
      </c>
      <c r="D65" s="367" t="s">
        <v>122</v>
      </c>
      <c r="E65" s="356" t="s">
        <v>111</v>
      </c>
      <c r="F65" s="14" t="s">
        <v>70</v>
      </c>
      <c r="G65" s="100">
        <f>'ICR 1626.18 9-6-2022'!$C$41</f>
        <v>300000</v>
      </c>
      <c r="H65" s="100">
        <f>G65*D$18/C$18</f>
        <v>306882.48720272724</v>
      </c>
      <c r="I65" s="100">
        <f>H65*E$18/D$18</f>
        <v>313723.87714790803</v>
      </c>
      <c r="J65" s="101">
        <f>C$18/G65</f>
        <v>0.6704107280242968</v>
      </c>
      <c r="K65" s="102">
        <f>'ICR 1626.18 9-6-2022'!$E$50</f>
        <v>1.6666666666666666E-2</v>
      </c>
      <c r="L65" s="227">
        <f t="shared" ref="L65:L70" si="37">K65*$D$7</f>
        <v>0.92015000000000002</v>
      </c>
      <c r="M65" s="132">
        <f t="shared" si="9"/>
        <v>3352.053640121484</v>
      </c>
      <c r="N65" s="134">
        <f t="shared" ref="N65:N70" si="38">M65*$D$7</f>
        <v>185063.52941746701</v>
      </c>
      <c r="O65" s="132">
        <f t="shared" si="2"/>
        <v>201123.21840728904</v>
      </c>
      <c r="P65" s="20">
        <f>H65*$J65*$K65</f>
        <v>3428.9551943914553</v>
      </c>
      <c r="Q65" s="222">
        <f t="shared" ref="Q65:Q70" si="39">P65*$D$7</f>
        <v>189309.18732715785</v>
      </c>
      <c r="R65" s="20">
        <f t="shared" si="5"/>
        <v>205737.31166348731</v>
      </c>
      <c r="S65" s="132">
        <f t="shared" si="6"/>
        <v>3505.3975479555679</v>
      </c>
      <c r="T65" s="133">
        <f t="shared" ref="T65:T70" si="40">S65*$D$7</f>
        <v>193529.49322507897</v>
      </c>
      <c r="U65" s="132">
        <f t="shared" si="8"/>
        <v>210323.85287733408</v>
      </c>
      <c r="V65" s="19"/>
      <c r="X65" s="24"/>
      <c r="Y65" s="284"/>
      <c r="Z65" s="5"/>
      <c r="AA65" s="109"/>
      <c r="AB65" s="24"/>
    </row>
    <row r="66" spans="1:28" ht="27.6" customHeight="1">
      <c r="A66" s="196" t="s">
        <v>65</v>
      </c>
      <c r="B66" s="228" t="s">
        <v>81</v>
      </c>
      <c r="C66" s="334" t="s">
        <v>121</v>
      </c>
      <c r="D66" s="368"/>
      <c r="E66" s="357"/>
      <c r="F66" s="14" t="s">
        <v>75</v>
      </c>
      <c r="G66" s="100">
        <f>'ICR 1626.18 9-6-2022'!$C$41</f>
        <v>300000</v>
      </c>
      <c r="H66" s="100">
        <f>G66*D$19/C$19</f>
        <v>314661.86024003464</v>
      </c>
      <c r="I66" s="100">
        <f>H66*E$19/D$19</f>
        <v>329149.14008694584</v>
      </c>
      <c r="J66" s="101">
        <f>$C$19/G66</f>
        <v>0.47754495286310333</v>
      </c>
      <c r="K66" s="102">
        <f>'ICR 1626.18 9-6-2022'!$E$50</f>
        <v>1.6666666666666666E-2</v>
      </c>
      <c r="L66" s="227">
        <f t="shared" si="37"/>
        <v>0.92015000000000002</v>
      </c>
      <c r="M66" s="132">
        <f t="shared" si="9"/>
        <v>2387.7247643155165</v>
      </c>
      <c r="N66" s="134">
        <f t="shared" si="38"/>
        <v>131823.89651309536</v>
      </c>
      <c r="O66" s="132">
        <f t="shared" si="2"/>
        <v>143263.485858931</v>
      </c>
      <c r="P66" s="20">
        <f t="shared" si="3"/>
        <v>2504.4197202690625</v>
      </c>
      <c r="Q66" s="222">
        <f t="shared" si="39"/>
        <v>138266.50833633469</v>
      </c>
      <c r="R66" s="20">
        <f t="shared" si="5"/>
        <v>150265.18321614375</v>
      </c>
      <c r="S66" s="132">
        <f t="shared" si="6"/>
        <v>2619.7251764625257</v>
      </c>
      <c r="T66" s="133">
        <f t="shared" si="40"/>
        <v>144632.40726731959</v>
      </c>
      <c r="U66" s="132">
        <f t="shared" si="8"/>
        <v>157183.51058775155</v>
      </c>
      <c r="V66" s="19"/>
      <c r="X66" s="24"/>
      <c r="Y66" s="284"/>
      <c r="Z66" s="5"/>
      <c r="AA66" s="109"/>
      <c r="AB66" s="24"/>
    </row>
    <row r="67" spans="1:28" ht="27.6" customHeight="1">
      <c r="A67" s="196" t="s">
        <v>65</v>
      </c>
      <c r="B67" s="228" t="s">
        <v>81</v>
      </c>
      <c r="C67" s="334" t="s">
        <v>121</v>
      </c>
      <c r="D67" s="367" t="s">
        <v>123</v>
      </c>
      <c r="E67" s="356" t="s">
        <v>109</v>
      </c>
      <c r="F67" s="14" t="s">
        <v>70</v>
      </c>
      <c r="G67" s="100">
        <f>G65</f>
        <v>300000</v>
      </c>
      <c r="H67" s="100">
        <f>G67*D$18/C$18</f>
        <v>306882.48720272724</v>
      </c>
      <c r="I67" s="100">
        <f>H67*E$18/D$18</f>
        <v>313723.87714790803</v>
      </c>
      <c r="J67" s="101">
        <f>G57/G67</f>
        <v>0.6704107280242968</v>
      </c>
      <c r="K67" s="102">
        <f>K65</f>
        <v>1.6666666666666666E-2</v>
      </c>
      <c r="L67" s="227">
        <f t="shared" si="37"/>
        <v>0.92015000000000002</v>
      </c>
      <c r="M67" s="132">
        <f>G67*$J67*$K67</f>
        <v>3352.053640121484</v>
      </c>
      <c r="N67" s="134">
        <f t="shared" si="38"/>
        <v>185063.52941746701</v>
      </c>
      <c r="O67" s="132">
        <f t="shared" si="2"/>
        <v>201123.21840728904</v>
      </c>
      <c r="P67" s="20">
        <f t="shared" si="3"/>
        <v>3428.9551943914553</v>
      </c>
      <c r="Q67" s="222">
        <f>P67*$D$7</f>
        <v>189309.18732715785</v>
      </c>
      <c r="R67" s="20">
        <f t="shared" si="5"/>
        <v>205737.31166348731</v>
      </c>
      <c r="S67" s="132">
        <f t="shared" si="6"/>
        <v>3505.3975479555679</v>
      </c>
      <c r="T67" s="133">
        <f t="shared" si="40"/>
        <v>193529.49322507897</v>
      </c>
      <c r="U67" s="132">
        <f t="shared" si="8"/>
        <v>210323.85287733408</v>
      </c>
      <c r="V67" s="19"/>
      <c r="W67" s="30"/>
      <c r="X67" s="24"/>
      <c r="Y67" s="24"/>
      <c r="Z67" s="5"/>
      <c r="AA67" s="109"/>
      <c r="AB67" s="24"/>
    </row>
    <row r="68" spans="1:28" ht="27.6" customHeight="1">
      <c r="A68" s="196" t="s">
        <v>65</v>
      </c>
      <c r="B68" s="228" t="s">
        <v>81</v>
      </c>
      <c r="C68" s="334" t="s">
        <v>121</v>
      </c>
      <c r="D68" s="368"/>
      <c r="E68" s="357"/>
      <c r="F68" s="14" t="s">
        <v>75</v>
      </c>
      <c r="G68" s="100">
        <f>G66</f>
        <v>300000</v>
      </c>
      <c r="H68" s="100">
        <f>G68*D$19/C$19</f>
        <v>314661.86024003464</v>
      </c>
      <c r="I68" s="100">
        <f>H68*E$19/D$19</f>
        <v>329149.14008694584</v>
      </c>
      <c r="J68" s="101">
        <f>G58/G68</f>
        <v>0.47754495286310333</v>
      </c>
      <c r="K68" s="102">
        <f>K66</f>
        <v>1.6666666666666666E-2</v>
      </c>
      <c r="L68" s="227">
        <f t="shared" si="37"/>
        <v>0.92015000000000002</v>
      </c>
      <c r="M68" s="132">
        <f t="shared" si="9"/>
        <v>2387.7247643155165</v>
      </c>
      <c r="N68" s="134">
        <f t="shared" si="38"/>
        <v>131823.89651309536</v>
      </c>
      <c r="O68" s="132">
        <f t="shared" si="2"/>
        <v>143263.485858931</v>
      </c>
      <c r="P68" s="20">
        <f t="shared" si="3"/>
        <v>2504.4197202690625</v>
      </c>
      <c r="Q68" s="222">
        <f t="shared" si="39"/>
        <v>138266.50833633469</v>
      </c>
      <c r="R68" s="20">
        <f t="shared" si="5"/>
        <v>150265.18321614375</v>
      </c>
      <c r="S68" s="132">
        <f t="shared" si="6"/>
        <v>2619.7251764625257</v>
      </c>
      <c r="T68" s="133">
        <f t="shared" si="40"/>
        <v>144632.40726731959</v>
      </c>
      <c r="U68" s="132">
        <f t="shared" si="8"/>
        <v>157183.51058775155</v>
      </c>
      <c r="V68" s="19"/>
      <c r="W68" s="29"/>
      <c r="X68" s="24"/>
      <c r="Y68" s="24"/>
      <c r="Z68" s="5"/>
      <c r="AA68" s="109"/>
      <c r="AB68" s="24"/>
    </row>
    <row r="69" spans="1:28" ht="27.6" customHeight="1">
      <c r="A69" s="196" t="s">
        <v>65</v>
      </c>
      <c r="B69" s="228" t="s">
        <v>81</v>
      </c>
      <c r="C69" s="334" t="s">
        <v>124</v>
      </c>
      <c r="D69" s="367" t="s">
        <v>125</v>
      </c>
      <c r="E69" s="356" t="s">
        <v>126</v>
      </c>
      <c r="F69" s="14" t="s">
        <v>70</v>
      </c>
      <c r="G69" s="229">
        <f>G65</f>
        <v>300000</v>
      </c>
      <c r="H69" s="100">
        <f>G69*D$18/C$18</f>
        <v>306882.48720272724</v>
      </c>
      <c r="I69" s="100">
        <f>H69*E$18/D$18</f>
        <v>313723.87714790803</v>
      </c>
      <c r="J69" s="235">
        <f>C$32/G69</f>
        <v>2.5481289901802766</v>
      </c>
      <c r="K69" s="233">
        <f>'ICR 1626.18 9-6-2022'!$E$39</f>
        <v>3.3333333333333333E-2</v>
      </c>
      <c r="L69" s="234">
        <f t="shared" si="37"/>
        <v>1.8403</v>
      </c>
      <c r="M69" s="132">
        <f t="shared" ref="M69:M86" si="41">G69*$J69*$K69</f>
        <v>25481.289901802767</v>
      </c>
      <c r="N69" s="135">
        <f t="shared" si="38"/>
        <v>1406796.5341886291</v>
      </c>
      <c r="O69" s="132">
        <f t="shared" si="2"/>
        <v>764438.69705408299</v>
      </c>
      <c r="P69" s="20">
        <f t="shared" si="3"/>
        <v>26065.872073996568</v>
      </c>
      <c r="Q69" s="222">
        <f t="shared" si="39"/>
        <v>1439070.7313332767</v>
      </c>
      <c r="R69" s="20">
        <f t="shared" ref="R69:R86" si="42">H69*$J69</f>
        <v>781976.16221989703</v>
      </c>
      <c r="S69" s="132">
        <f t="shared" si="6"/>
        <v>26646.963542411337</v>
      </c>
      <c r="T69" s="133">
        <f t="shared" si="40"/>
        <v>1471152.2102129876</v>
      </c>
      <c r="U69" s="132">
        <f t="shared" ref="U69:U86" si="43">I69*$J69</f>
        <v>799408.9062723401</v>
      </c>
      <c r="V69" s="19"/>
      <c r="W69" s="29"/>
      <c r="X69" s="24"/>
      <c r="Y69" s="24"/>
      <c r="Z69" s="5"/>
      <c r="AA69" s="109"/>
      <c r="AB69" s="24"/>
    </row>
    <row r="70" spans="1:28" ht="123.95" customHeight="1">
      <c r="A70" s="196" t="s">
        <v>65</v>
      </c>
      <c r="B70" s="228" t="s">
        <v>81</v>
      </c>
      <c r="C70" s="334" t="s">
        <v>124</v>
      </c>
      <c r="D70" s="368"/>
      <c r="E70" s="357"/>
      <c r="F70" s="14" t="s">
        <v>75</v>
      </c>
      <c r="G70" s="229">
        <f>G66</f>
        <v>300000</v>
      </c>
      <c r="H70" s="100">
        <f>G70*D$19/C$19</f>
        <v>314661.86024003464</v>
      </c>
      <c r="I70" s="100">
        <f>H70*E$19/D$19</f>
        <v>329149.14008694584</v>
      </c>
      <c r="J70" s="235">
        <f>C33/G70</f>
        <v>2.1251825041210819</v>
      </c>
      <c r="K70" s="233">
        <f>'ICR 1626.18 9-6-2022'!$E$39</f>
        <v>3.3333333333333333E-2</v>
      </c>
      <c r="L70" s="234">
        <f t="shared" si="37"/>
        <v>1.8403</v>
      </c>
      <c r="M70" s="132">
        <f t="shared" si="41"/>
        <v>21251.825041210817</v>
      </c>
      <c r="N70" s="134">
        <f t="shared" si="38"/>
        <v>1173292.008700208</v>
      </c>
      <c r="O70" s="132">
        <f t="shared" ref="O70:O86" si="44">G70*$J70</f>
        <v>637554.75123632455</v>
      </c>
      <c r="P70" s="20">
        <f t="shared" si="3"/>
        <v>22290.462669877157</v>
      </c>
      <c r="Q70" s="222">
        <f t="shared" si="39"/>
        <v>1230634.1535412481</v>
      </c>
      <c r="R70" s="20">
        <f t="shared" si="42"/>
        <v>668713.88009631471</v>
      </c>
      <c r="S70" s="132">
        <f t="shared" si="6"/>
        <v>23316.733125309212</v>
      </c>
      <c r="T70" s="133">
        <f t="shared" si="40"/>
        <v>1287293.5191151963</v>
      </c>
      <c r="U70" s="132">
        <f t="shared" si="43"/>
        <v>699501.99375927635</v>
      </c>
      <c r="V70" s="19"/>
      <c r="W70" s="19"/>
      <c r="X70" s="24"/>
      <c r="Y70" s="24"/>
      <c r="Z70" s="5"/>
      <c r="AA70" s="109"/>
      <c r="AB70" s="24"/>
    </row>
    <row r="71" spans="1:28" ht="114.95" customHeight="1">
      <c r="A71" s="196" t="s">
        <v>127</v>
      </c>
      <c r="B71" s="335" t="s">
        <v>66</v>
      </c>
      <c r="C71" s="334" t="s">
        <v>128</v>
      </c>
      <c r="D71" s="334" t="s">
        <v>129</v>
      </c>
      <c r="E71" s="218" t="s">
        <v>130</v>
      </c>
      <c r="F71" s="14" t="s">
        <v>131</v>
      </c>
      <c r="G71" s="105">
        <v>20</v>
      </c>
      <c r="H71" s="105">
        <f>G71</f>
        <v>20</v>
      </c>
      <c r="I71" s="105">
        <f>G71</f>
        <v>20</v>
      </c>
      <c r="J71" s="104">
        <v>1</v>
      </c>
      <c r="K71" s="111">
        <v>9.4</v>
      </c>
      <c r="L71" s="227">
        <f>K71*$D$8</f>
        <v>946.1382000000001</v>
      </c>
      <c r="M71" s="132">
        <f t="shared" si="41"/>
        <v>188</v>
      </c>
      <c r="N71" s="134">
        <f>M71*$C$8</f>
        <v>9010.84</v>
      </c>
      <c r="O71" s="132">
        <f t="shared" si="44"/>
        <v>20</v>
      </c>
      <c r="P71" s="20">
        <f t="shared" si="3"/>
        <v>188</v>
      </c>
      <c r="Q71" s="28">
        <f t="shared" ref="Q71:Q72" si="45">P71*$C$8</f>
        <v>9010.84</v>
      </c>
      <c r="R71" s="20">
        <f t="shared" si="42"/>
        <v>20</v>
      </c>
      <c r="S71" s="132">
        <f t="shared" si="6"/>
        <v>188</v>
      </c>
      <c r="T71" s="133">
        <f t="shared" ref="T71:T72" si="46">S71*$C$8</f>
        <v>9010.84</v>
      </c>
      <c r="U71" s="132">
        <f t="shared" si="43"/>
        <v>20</v>
      </c>
      <c r="W71" s="19"/>
      <c r="X71" s="24"/>
      <c r="Y71" s="24"/>
      <c r="Z71" s="5"/>
      <c r="AA71" s="109"/>
      <c r="AB71" s="24"/>
    </row>
    <row r="72" spans="1:28" ht="135">
      <c r="A72" s="196" t="s">
        <v>127</v>
      </c>
      <c r="B72" s="228" t="s">
        <v>79</v>
      </c>
      <c r="C72" s="334" t="s">
        <v>128</v>
      </c>
      <c r="D72" s="327" t="s">
        <v>132</v>
      </c>
      <c r="E72" s="218" t="s">
        <v>133</v>
      </c>
      <c r="F72" s="14" t="s">
        <v>131</v>
      </c>
      <c r="G72" s="229">
        <f>G71</f>
        <v>20</v>
      </c>
      <c r="H72" s="105">
        <f t="shared" ref="H72" si="47">G72</f>
        <v>20</v>
      </c>
      <c r="I72" s="105">
        <f t="shared" ref="I72" si="48">G72</f>
        <v>20</v>
      </c>
      <c r="J72" s="100">
        <v>1</v>
      </c>
      <c r="K72" s="100">
        <v>40</v>
      </c>
      <c r="L72" s="227">
        <f>K72*$D$8</f>
        <v>4026.1200000000003</v>
      </c>
      <c r="M72" s="132">
        <f t="shared" si="41"/>
        <v>800</v>
      </c>
      <c r="N72" s="134">
        <f>M72*$C$8</f>
        <v>38344</v>
      </c>
      <c r="O72" s="132">
        <f t="shared" si="44"/>
        <v>20</v>
      </c>
      <c r="P72" s="20">
        <f t="shared" ref="P72:P86" si="49">H72*$J72*$K72</f>
        <v>800</v>
      </c>
      <c r="Q72" s="28">
        <f t="shared" si="45"/>
        <v>38344</v>
      </c>
      <c r="R72" s="20">
        <f t="shared" si="42"/>
        <v>20</v>
      </c>
      <c r="S72" s="132">
        <f t="shared" ref="S72:S86" si="50">I72*$J72*$K72</f>
        <v>800</v>
      </c>
      <c r="T72" s="133">
        <f t="shared" si="46"/>
        <v>38344</v>
      </c>
      <c r="U72" s="132">
        <f t="shared" si="43"/>
        <v>20</v>
      </c>
      <c r="W72" s="19"/>
      <c r="X72" s="24"/>
      <c r="Y72" s="24"/>
      <c r="Z72" s="5"/>
      <c r="AA72" s="109"/>
      <c r="AB72" s="24"/>
    </row>
    <row r="73" spans="1:28">
      <c r="A73" s="196" t="s">
        <v>64</v>
      </c>
      <c r="B73" s="335" t="s">
        <v>81</v>
      </c>
      <c r="C73" s="334" t="s">
        <v>134</v>
      </c>
      <c r="D73" s="334" t="s">
        <v>135</v>
      </c>
      <c r="E73" s="218" t="s">
        <v>136</v>
      </c>
      <c r="F73" s="14" t="s">
        <v>137</v>
      </c>
      <c r="G73" s="105">
        <f>$H$86</f>
        <v>31</v>
      </c>
      <c r="H73" s="105">
        <v>0</v>
      </c>
      <c r="I73" s="105">
        <v>0</v>
      </c>
      <c r="J73" s="104">
        <v>1</v>
      </c>
      <c r="K73" s="111">
        <v>9</v>
      </c>
      <c r="L73" s="227">
        <f>'Labeling Burden Estimates'!C4*$D$13+'Labeling Burden Estimates'!C5*$D$14</f>
        <v>995.48131200000023</v>
      </c>
      <c r="M73" s="132">
        <f t="shared" si="41"/>
        <v>279</v>
      </c>
      <c r="N73" s="134">
        <f t="shared" ref="N73:N74" si="51">M73*$C$8</f>
        <v>13372.47</v>
      </c>
      <c r="O73" s="132">
        <f t="shared" si="44"/>
        <v>31</v>
      </c>
      <c r="P73" s="20">
        <f t="shared" si="49"/>
        <v>0</v>
      </c>
      <c r="Q73" s="28">
        <f t="shared" ref="Q73:Q74" si="52">P73*$C$8</f>
        <v>0</v>
      </c>
      <c r="R73" s="20">
        <f t="shared" si="42"/>
        <v>0</v>
      </c>
      <c r="S73" s="132">
        <f t="shared" si="50"/>
        <v>0</v>
      </c>
      <c r="T73" s="133">
        <f t="shared" ref="T73:T74" si="53">S73*$C$8</f>
        <v>0</v>
      </c>
      <c r="U73" s="132">
        <f t="shared" si="43"/>
        <v>0</v>
      </c>
      <c r="W73" s="19"/>
      <c r="X73" s="24"/>
      <c r="Y73" s="24"/>
      <c r="Z73" s="5"/>
      <c r="AA73" s="109"/>
      <c r="AB73" s="24"/>
    </row>
    <row r="74" spans="1:28" ht="240">
      <c r="A74" s="196" t="s">
        <v>64</v>
      </c>
      <c r="B74" s="335" t="s">
        <v>79</v>
      </c>
      <c r="C74" s="334" t="s">
        <v>134</v>
      </c>
      <c r="D74" s="334" t="s">
        <v>138</v>
      </c>
      <c r="E74" s="218" t="s">
        <v>139</v>
      </c>
      <c r="F74" s="14" t="s">
        <v>137</v>
      </c>
      <c r="G74" s="105">
        <v>0</v>
      </c>
      <c r="H74" s="105">
        <f>$H$86</f>
        <v>31</v>
      </c>
      <c r="I74" s="105">
        <f>H74</f>
        <v>31</v>
      </c>
      <c r="J74" s="104">
        <v>1</v>
      </c>
      <c r="K74" s="111">
        <v>40</v>
      </c>
      <c r="L74" s="227">
        <f>K74*$D$12</f>
        <v>1496.04</v>
      </c>
      <c r="M74" s="132">
        <f t="shared" si="41"/>
        <v>0</v>
      </c>
      <c r="N74" s="134">
        <f t="shared" si="51"/>
        <v>0</v>
      </c>
      <c r="O74" s="132">
        <f t="shared" si="44"/>
        <v>0</v>
      </c>
      <c r="P74" s="20">
        <f t="shared" si="49"/>
        <v>1240</v>
      </c>
      <c r="Q74" s="28">
        <f t="shared" si="52"/>
        <v>59433.2</v>
      </c>
      <c r="R74" s="20">
        <f t="shared" si="42"/>
        <v>31</v>
      </c>
      <c r="S74" s="132">
        <f t="shared" si="50"/>
        <v>1240</v>
      </c>
      <c r="T74" s="133">
        <f t="shared" si="53"/>
        <v>59433.2</v>
      </c>
      <c r="U74" s="132">
        <f t="shared" si="43"/>
        <v>31</v>
      </c>
      <c r="W74" s="19"/>
      <c r="X74" s="24"/>
      <c r="Y74" s="24"/>
      <c r="Z74" s="5"/>
      <c r="AA74" s="109"/>
      <c r="AB74" s="24"/>
    </row>
    <row r="75" spans="1:28" ht="30">
      <c r="A75" s="196" t="s">
        <v>140</v>
      </c>
      <c r="B75" s="335" t="s">
        <v>66</v>
      </c>
      <c r="C75" s="334" t="s">
        <v>141</v>
      </c>
      <c r="D75" s="334" t="s">
        <v>142</v>
      </c>
      <c r="E75" s="218" t="s">
        <v>341</v>
      </c>
      <c r="F75" s="14" t="s">
        <v>137</v>
      </c>
      <c r="G75" s="105">
        <f>ROUND(H76/4,0)</f>
        <v>1</v>
      </c>
      <c r="H75" s="105">
        <f>H76-G75</f>
        <v>3</v>
      </c>
      <c r="I75" s="105">
        <v>1</v>
      </c>
      <c r="J75" s="104">
        <v>1</v>
      </c>
      <c r="K75" s="111">
        <f>1/2</f>
        <v>0.5</v>
      </c>
      <c r="L75" s="227">
        <f>K75*$D$10</f>
        <v>48.877499999999998</v>
      </c>
      <c r="M75" s="132">
        <f t="shared" si="41"/>
        <v>0.5</v>
      </c>
      <c r="N75" s="134">
        <f t="shared" ref="N75:N76" si="54">M75*$C$8</f>
        <v>23.965</v>
      </c>
      <c r="O75" s="132">
        <f t="shared" si="44"/>
        <v>1</v>
      </c>
      <c r="P75" s="20">
        <f t="shared" si="49"/>
        <v>1.5</v>
      </c>
      <c r="Q75" s="28">
        <f t="shared" ref="Q75:Q76" si="55">P75*$C$8</f>
        <v>71.894999999999996</v>
      </c>
      <c r="R75" s="20">
        <f t="shared" si="42"/>
        <v>3</v>
      </c>
      <c r="S75" s="132">
        <f t="shared" si="50"/>
        <v>0.5</v>
      </c>
      <c r="T75" s="133">
        <f t="shared" ref="T75:T76" si="56">S75*$C$8</f>
        <v>23.965</v>
      </c>
      <c r="U75" s="132">
        <f t="shared" si="43"/>
        <v>1</v>
      </c>
      <c r="W75" s="19"/>
      <c r="X75" s="24"/>
      <c r="Y75" s="24"/>
      <c r="Z75" s="5"/>
      <c r="AA75" s="109"/>
      <c r="AB75" s="24"/>
    </row>
    <row r="76" spans="1:28" ht="30">
      <c r="A76" s="196" t="s">
        <v>140</v>
      </c>
      <c r="B76" s="335" t="s">
        <v>66</v>
      </c>
      <c r="C76" s="334" t="s">
        <v>141</v>
      </c>
      <c r="D76" s="334" t="s">
        <v>143</v>
      </c>
      <c r="E76" s="218" t="s">
        <v>342</v>
      </c>
      <c r="F76" s="14" t="s">
        <v>137</v>
      </c>
      <c r="G76" s="105">
        <f>ROUND(H76/4,0)</f>
        <v>1</v>
      </c>
      <c r="H76" s="105">
        <v>4</v>
      </c>
      <c r="I76" s="105">
        <v>4</v>
      </c>
      <c r="J76" s="104">
        <v>105882</v>
      </c>
      <c r="K76" s="230">
        <f>20/3600</f>
        <v>5.5555555555555558E-3</v>
      </c>
      <c r="L76" s="227">
        <f t="shared" ref="L76:L86" si="57">K76*$D$10</f>
        <v>0.54308333333333336</v>
      </c>
      <c r="M76" s="132">
        <f t="shared" si="41"/>
        <v>588.23333333333335</v>
      </c>
      <c r="N76" s="134">
        <f t="shared" si="54"/>
        <v>28194.023666666668</v>
      </c>
      <c r="O76" s="132">
        <f t="shared" si="44"/>
        <v>105882</v>
      </c>
      <c r="P76" s="20">
        <f t="shared" si="49"/>
        <v>2352.9333333333334</v>
      </c>
      <c r="Q76" s="28">
        <f t="shared" si="55"/>
        <v>112776.09466666667</v>
      </c>
      <c r="R76" s="20">
        <f t="shared" si="42"/>
        <v>423528</v>
      </c>
      <c r="S76" s="132">
        <f t="shared" si="50"/>
        <v>2352.9333333333334</v>
      </c>
      <c r="T76" s="133">
        <f t="shared" si="56"/>
        <v>112776.09466666667</v>
      </c>
      <c r="U76" s="132">
        <f t="shared" si="43"/>
        <v>423528</v>
      </c>
      <c r="W76" s="19"/>
      <c r="X76" s="24"/>
      <c r="Y76" s="24"/>
      <c r="Z76" s="5"/>
      <c r="AA76" s="109"/>
      <c r="AB76" s="24"/>
    </row>
    <row r="77" spans="1:28">
      <c r="A77" s="196" t="s">
        <v>140</v>
      </c>
      <c r="B77" s="335" t="s">
        <v>66</v>
      </c>
      <c r="C77" s="334" t="s">
        <v>144</v>
      </c>
      <c r="D77" s="334" t="s">
        <v>142</v>
      </c>
      <c r="E77" s="218" t="s">
        <v>341</v>
      </c>
      <c r="F77" s="14" t="s">
        <v>137</v>
      </c>
      <c r="G77" s="105">
        <v>10</v>
      </c>
      <c r="H77" s="105">
        <v>1</v>
      </c>
      <c r="I77" s="105">
        <v>1</v>
      </c>
      <c r="J77" s="104">
        <v>1</v>
      </c>
      <c r="K77" s="111">
        <v>0.5</v>
      </c>
      <c r="L77" s="227">
        <f t="shared" si="57"/>
        <v>48.877499999999998</v>
      </c>
      <c r="M77" s="132">
        <f t="shared" si="41"/>
        <v>5</v>
      </c>
      <c r="N77" s="134">
        <f t="shared" ref="N77:N86" si="58">M77*$C$8</f>
        <v>239.65</v>
      </c>
      <c r="O77" s="132">
        <f t="shared" si="44"/>
        <v>10</v>
      </c>
      <c r="P77" s="20">
        <f t="shared" si="49"/>
        <v>0.5</v>
      </c>
      <c r="Q77" s="28">
        <f t="shared" ref="Q77:Q86" si="59">P77*$C$8</f>
        <v>23.965</v>
      </c>
      <c r="R77" s="20">
        <f t="shared" si="42"/>
        <v>1</v>
      </c>
      <c r="S77" s="132">
        <f t="shared" si="50"/>
        <v>0.5</v>
      </c>
      <c r="T77" s="133">
        <f t="shared" ref="T77:T86" si="60">S77*$C$8</f>
        <v>23.965</v>
      </c>
      <c r="U77" s="132">
        <f t="shared" si="43"/>
        <v>1</v>
      </c>
      <c r="V77" s="29"/>
      <c r="W77" s="19"/>
      <c r="X77" s="24"/>
      <c r="Y77" s="24"/>
      <c r="AA77" s="27"/>
      <c r="AB77" s="24"/>
    </row>
    <row r="78" spans="1:28">
      <c r="A78" s="196" t="s">
        <v>140</v>
      </c>
      <c r="B78" s="335" t="s">
        <v>66</v>
      </c>
      <c r="C78" s="334" t="s">
        <v>144</v>
      </c>
      <c r="D78" s="334" t="s">
        <v>143</v>
      </c>
      <c r="E78" s="218" t="s">
        <v>343</v>
      </c>
      <c r="F78" s="14" t="s">
        <v>137</v>
      </c>
      <c r="G78" s="105">
        <f>G77</f>
        <v>10</v>
      </c>
      <c r="H78" s="105">
        <v>10</v>
      </c>
      <c r="I78" s="105">
        <v>10</v>
      </c>
      <c r="J78" s="104">
        <v>26</v>
      </c>
      <c r="K78" s="230">
        <v>2</v>
      </c>
      <c r="L78" s="227">
        <f t="shared" si="57"/>
        <v>195.51</v>
      </c>
      <c r="M78" s="132">
        <f t="shared" si="41"/>
        <v>520</v>
      </c>
      <c r="N78" s="134">
        <f t="shared" si="58"/>
        <v>24923.599999999999</v>
      </c>
      <c r="O78" s="132">
        <f t="shared" si="44"/>
        <v>260</v>
      </c>
      <c r="P78" s="20">
        <f t="shared" si="49"/>
        <v>520</v>
      </c>
      <c r="Q78" s="28">
        <f t="shared" si="59"/>
        <v>24923.599999999999</v>
      </c>
      <c r="R78" s="20">
        <f t="shared" si="42"/>
        <v>260</v>
      </c>
      <c r="S78" s="132">
        <f t="shared" si="50"/>
        <v>520</v>
      </c>
      <c r="T78" s="133">
        <f t="shared" si="60"/>
        <v>24923.599999999999</v>
      </c>
      <c r="U78" s="132">
        <f t="shared" si="43"/>
        <v>260</v>
      </c>
      <c r="W78" s="19"/>
      <c r="X78" s="24"/>
      <c r="Y78" s="24"/>
      <c r="AA78" s="27"/>
      <c r="AB78" s="24"/>
    </row>
    <row r="79" spans="1:28">
      <c r="A79" s="196" t="s">
        <v>140</v>
      </c>
      <c r="B79" s="335" t="s">
        <v>66</v>
      </c>
      <c r="C79" s="334" t="s">
        <v>145</v>
      </c>
      <c r="D79" s="334" t="s">
        <v>142</v>
      </c>
      <c r="E79" s="218" t="s">
        <v>341</v>
      </c>
      <c r="F79" s="14" t="s">
        <v>137</v>
      </c>
      <c r="G79" s="105">
        <v>75</v>
      </c>
      <c r="H79" s="105">
        <v>1</v>
      </c>
      <c r="I79" s="105">
        <v>1</v>
      </c>
      <c r="J79" s="104">
        <v>1</v>
      </c>
      <c r="K79" s="111">
        <v>0.5</v>
      </c>
      <c r="L79" s="227">
        <f t="shared" si="57"/>
        <v>48.877499999999998</v>
      </c>
      <c r="M79" s="132">
        <f t="shared" si="41"/>
        <v>37.5</v>
      </c>
      <c r="N79" s="134">
        <f t="shared" si="58"/>
        <v>1797.375</v>
      </c>
      <c r="O79" s="132">
        <f t="shared" si="44"/>
        <v>75</v>
      </c>
      <c r="P79" s="20">
        <f t="shared" si="49"/>
        <v>0.5</v>
      </c>
      <c r="Q79" s="28">
        <f t="shared" si="59"/>
        <v>23.965</v>
      </c>
      <c r="R79" s="20">
        <f t="shared" si="42"/>
        <v>1</v>
      </c>
      <c r="S79" s="132">
        <f t="shared" si="50"/>
        <v>0.5</v>
      </c>
      <c r="T79" s="133">
        <f t="shared" si="60"/>
        <v>23.965</v>
      </c>
      <c r="U79" s="132">
        <f t="shared" si="43"/>
        <v>1</v>
      </c>
      <c r="V79" s="29"/>
      <c r="W79" s="19"/>
      <c r="X79" s="24"/>
      <c r="Y79" s="24"/>
      <c r="AA79" s="27"/>
      <c r="AB79" s="24"/>
    </row>
    <row r="80" spans="1:28">
      <c r="A80" s="196" t="s">
        <v>140</v>
      </c>
      <c r="B80" s="335" t="s">
        <v>66</v>
      </c>
      <c r="C80" s="334" t="s">
        <v>145</v>
      </c>
      <c r="D80" s="334" t="s">
        <v>143</v>
      </c>
      <c r="E80" s="218" t="s">
        <v>344</v>
      </c>
      <c r="F80" s="14" t="s">
        <v>137</v>
      </c>
      <c r="G80" s="105">
        <f>G79</f>
        <v>75</v>
      </c>
      <c r="H80" s="105">
        <v>75</v>
      </c>
      <c r="I80" s="105">
        <v>75</v>
      </c>
      <c r="J80" s="104">
        <v>26</v>
      </c>
      <c r="K80" s="230">
        <v>2</v>
      </c>
      <c r="L80" s="227">
        <f t="shared" si="57"/>
        <v>195.51</v>
      </c>
      <c r="M80" s="132">
        <f t="shared" si="41"/>
        <v>3900</v>
      </c>
      <c r="N80" s="134">
        <f t="shared" si="58"/>
        <v>186927</v>
      </c>
      <c r="O80" s="132">
        <f t="shared" si="44"/>
        <v>1950</v>
      </c>
      <c r="P80" s="20">
        <f t="shared" si="49"/>
        <v>3900</v>
      </c>
      <c r="Q80" s="28">
        <f t="shared" si="59"/>
        <v>186927</v>
      </c>
      <c r="R80" s="20">
        <f t="shared" si="42"/>
        <v>1950</v>
      </c>
      <c r="S80" s="132">
        <f t="shared" si="50"/>
        <v>3900</v>
      </c>
      <c r="T80" s="133">
        <f t="shared" si="60"/>
        <v>186927</v>
      </c>
      <c r="U80" s="132">
        <f t="shared" si="43"/>
        <v>1950</v>
      </c>
      <c r="V80" s="29"/>
      <c r="W80" s="19"/>
      <c r="X80" s="24"/>
      <c r="Y80" s="24"/>
      <c r="AA80" s="27"/>
      <c r="AB80" s="24"/>
    </row>
    <row r="81" spans="1:35">
      <c r="A81" s="196" t="s">
        <v>140</v>
      </c>
      <c r="B81" s="335" t="s">
        <v>66</v>
      </c>
      <c r="C81" s="334" t="s">
        <v>146</v>
      </c>
      <c r="D81" s="334" t="s">
        <v>142</v>
      </c>
      <c r="E81" s="218" t="s">
        <v>341</v>
      </c>
      <c r="F81" s="14" t="s">
        <v>137</v>
      </c>
      <c r="G81" s="105">
        <f>ROUND(H82/4,0)</f>
        <v>13</v>
      </c>
      <c r="H81" s="105">
        <f>H82-G81</f>
        <v>37</v>
      </c>
      <c r="I81" s="105">
        <v>1</v>
      </c>
      <c r="J81" s="104">
        <v>1</v>
      </c>
      <c r="K81" s="111">
        <f>1/2</f>
        <v>0.5</v>
      </c>
      <c r="L81" s="227">
        <f t="shared" si="57"/>
        <v>48.877499999999998</v>
      </c>
      <c r="M81" s="132">
        <f t="shared" si="41"/>
        <v>6.5</v>
      </c>
      <c r="N81" s="134">
        <f t="shared" si="58"/>
        <v>311.54500000000002</v>
      </c>
      <c r="O81" s="132">
        <f t="shared" si="44"/>
        <v>13</v>
      </c>
      <c r="P81" s="20">
        <f t="shared" si="49"/>
        <v>18.5</v>
      </c>
      <c r="Q81" s="28">
        <f t="shared" si="59"/>
        <v>886.70500000000004</v>
      </c>
      <c r="R81" s="20">
        <f t="shared" si="42"/>
        <v>37</v>
      </c>
      <c r="S81" s="132">
        <f t="shared" si="50"/>
        <v>0.5</v>
      </c>
      <c r="T81" s="133">
        <f t="shared" si="60"/>
        <v>23.965</v>
      </c>
      <c r="U81" s="132">
        <f t="shared" si="43"/>
        <v>1</v>
      </c>
      <c r="V81" s="29"/>
      <c r="X81" s="24"/>
      <c r="Y81" s="24"/>
      <c r="Z81" s="5"/>
      <c r="AA81" s="128"/>
      <c r="AB81" s="24"/>
    </row>
    <row r="82" spans="1:35">
      <c r="A82" s="196" t="s">
        <v>140</v>
      </c>
      <c r="B82" s="335" t="s">
        <v>66</v>
      </c>
      <c r="C82" s="334" t="s">
        <v>146</v>
      </c>
      <c r="D82" s="334" t="s">
        <v>143</v>
      </c>
      <c r="E82" s="218" t="s">
        <v>343</v>
      </c>
      <c r="F82" s="14" t="s">
        <v>137</v>
      </c>
      <c r="G82" s="105">
        <f>ROUND(H82/4,0)</f>
        <v>13</v>
      </c>
      <c r="H82" s="105">
        <v>50</v>
      </c>
      <c r="I82" s="105">
        <v>50</v>
      </c>
      <c r="J82" s="104">
        <v>52941</v>
      </c>
      <c r="K82" s="230">
        <f>20/3600</f>
        <v>5.5555555555555558E-3</v>
      </c>
      <c r="L82" s="227">
        <f t="shared" si="57"/>
        <v>0.54308333333333336</v>
      </c>
      <c r="M82" s="132">
        <f t="shared" si="41"/>
        <v>3823.5166666666669</v>
      </c>
      <c r="N82" s="134">
        <f t="shared" si="58"/>
        <v>183261.15383333334</v>
      </c>
      <c r="O82" s="132">
        <f t="shared" si="44"/>
        <v>688233</v>
      </c>
      <c r="P82" s="20">
        <f t="shared" si="49"/>
        <v>14705.833333333334</v>
      </c>
      <c r="Q82" s="28">
        <f t="shared" si="59"/>
        <v>704850.59166666667</v>
      </c>
      <c r="R82" s="20">
        <f t="shared" si="42"/>
        <v>2647050</v>
      </c>
      <c r="S82" s="132">
        <f t="shared" si="50"/>
        <v>14705.833333333334</v>
      </c>
      <c r="T82" s="133">
        <f t="shared" si="60"/>
        <v>704850.59166666667</v>
      </c>
      <c r="U82" s="132">
        <f t="shared" si="43"/>
        <v>2647050</v>
      </c>
      <c r="V82" s="29"/>
      <c r="X82" s="24"/>
      <c r="Y82" s="24"/>
      <c r="Z82" s="5"/>
      <c r="AA82" s="128"/>
      <c r="AB82" s="24"/>
      <c r="AF82" s="200"/>
      <c r="AG82" s="199"/>
      <c r="AH82" s="199"/>
      <c r="AI82" s="199"/>
    </row>
    <row r="83" spans="1:35">
      <c r="A83" s="196" t="s">
        <v>140</v>
      </c>
      <c r="B83" s="335" t="s">
        <v>66</v>
      </c>
      <c r="C83" s="334" t="s">
        <v>147</v>
      </c>
      <c r="D83" s="334" t="s">
        <v>142</v>
      </c>
      <c r="E83" s="218" t="s">
        <v>340</v>
      </c>
      <c r="F83" s="14" t="s">
        <v>137</v>
      </c>
      <c r="G83" s="105">
        <f>ROUND(H84/4,0)</f>
        <v>2500</v>
      </c>
      <c r="H83" s="105">
        <f>H84-G83</f>
        <v>7500</v>
      </c>
      <c r="I83" s="105">
        <v>1</v>
      </c>
      <c r="J83" s="104">
        <v>1</v>
      </c>
      <c r="K83" s="230">
        <v>0.5</v>
      </c>
      <c r="L83" s="227">
        <f t="shared" si="57"/>
        <v>48.877499999999998</v>
      </c>
      <c r="M83" s="132">
        <f t="shared" si="41"/>
        <v>1250</v>
      </c>
      <c r="N83" s="134">
        <f t="shared" ref="N83" si="61">M83*$C$8</f>
        <v>59912.5</v>
      </c>
      <c r="O83" s="132">
        <f t="shared" si="44"/>
        <v>2500</v>
      </c>
      <c r="P83" s="20">
        <f t="shared" si="49"/>
        <v>3750</v>
      </c>
      <c r="Q83" s="28">
        <f t="shared" ref="Q83" si="62">P83*$C$8</f>
        <v>179737.5</v>
      </c>
      <c r="R83" s="20">
        <f t="shared" si="42"/>
        <v>7500</v>
      </c>
      <c r="S83" s="132">
        <f t="shared" si="50"/>
        <v>0.5</v>
      </c>
      <c r="T83" s="133">
        <f t="shared" ref="T83" si="63">S83*$C$8</f>
        <v>23.965</v>
      </c>
      <c r="U83" s="132">
        <f t="shared" si="43"/>
        <v>1</v>
      </c>
      <c r="V83" s="29"/>
      <c r="X83" s="198"/>
      <c r="Y83" s="199"/>
      <c r="Z83" s="200"/>
      <c r="AA83" s="199"/>
      <c r="AB83" s="199"/>
      <c r="AC83" s="200"/>
      <c r="AD83" s="199"/>
    </row>
    <row r="84" spans="1:35">
      <c r="A84" s="196" t="s">
        <v>140</v>
      </c>
      <c r="B84" s="335" t="s">
        <v>66</v>
      </c>
      <c r="C84" s="334" t="s">
        <v>147</v>
      </c>
      <c r="D84" s="334" t="s">
        <v>143</v>
      </c>
      <c r="E84" s="218" t="s">
        <v>345</v>
      </c>
      <c r="F84" s="14" t="s">
        <v>137</v>
      </c>
      <c r="G84" s="105">
        <f>ROUND(H84/4,0)</f>
        <v>2500</v>
      </c>
      <c r="H84" s="105">
        <v>10000</v>
      </c>
      <c r="I84" s="105">
        <f>H84</f>
        <v>10000</v>
      </c>
      <c r="J84" s="104">
        <v>1013</v>
      </c>
      <c r="K84" s="230">
        <f>10/3600</f>
        <v>2.7777777777777779E-3</v>
      </c>
      <c r="L84" s="227">
        <f t="shared" si="57"/>
        <v>0.27154166666666668</v>
      </c>
      <c r="M84" s="132">
        <f t="shared" si="41"/>
        <v>7034.7222222222226</v>
      </c>
      <c r="N84" s="134">
        <f>M84*$C$8</f>
        <v>337174.23611111112</v>
      </c>
      <c r="O84" s="132">
        <f t="shared" si="44"/>
        <v>2532500</v>
      </c>
      <c r="P84" s="20">
        <f t="shared" si="49"/>
        <v>28138.888888888891</v>
      </c>
      <c r="Q84" s="28">
        <f>P84*$C$8</f>
        <v>1348696.9444444445</v>
      </c>
      <c r="R84" s="20">
        <f t="shared" si="42"/>
        <v>10130000</v>
      </c>
      <c r="S84" s="132">
        <f t="shared" si="50"/>
        <v>28138.888888888891</v>
      </c>
      <c r="T84" s="133">
        <f>S84*$C$8</f>
        <v>1348696.9444444445</v>
      </c>
      <c r="U84" s="132">
        <f t="shared" si="43"/>
        <v>10130000</v>
      </c>
      <c r="V84" s="29"/>
      <c r="X84" s="24"/>
      <c r="Y84" s="24"/>
      <c r="AB84" s="24"/>
      <c r="AE84" s="199"/>
    </row>
    <row r="85" spans="1:35">
      <c r="A85" s="196" t="s">
        <v>140</v>
      </c>
      <c r="B85" s="335" t="s">
        <v>66</v>
      </c>
      <c r="C85" s="334" t="s">
        <v>134</v>
      </c>
      <c r="D85" s="334" t="s">
        <v>142</v>
      </c>
      <c r="E85" s="218" t="s">
        <v>341</v>
      </c>
      <c r="F85" s="14" t="s">
        <v>137</v>
      </c>
      <c r="G85" s="105">
        <f>ROUND(H86/4,0)</f>
        <v>8</v>
      </c>
      <c r="H85" s="105">
        <f>H86-G85</f>
        <v>23</v>
      </c>
      <c r="I85" s="105">
        <v>1</v>
      </c>
      <c r="J85" s="104">
        <v>1</v>
      </c>
      <c r="K85" s="111">
        <f>1/2</f>
        <v>0.5</v>
      </c>
      <c r="L85" s="227">
        <f t="shared" si="57"/>
        <v>48.877499999999998</v>
      </c>
      <c r="M85" s="132">
        <f t="shared" si="41"/>
        <v>4</v>
      </c>
      <c r="N85" s="134">
        <f t="shared" si="58"/>
        <v>191.72</v>
      </c>
      <c r="O85" s="132">
        <f t="shared" si="44"/>
        <v>8</v>
      </c>
      <c r="P85" s="208">
        <f t="shared" si="49"/>
        <v>11.5</v>
      </c>
      <c r="Q85" s="28">
        <f t="shared" si="59"/>
        <v>551.19500000000005</v>
      </c>
      <c r="R85" s="20">
        <f t="shared" si="42"/>
        <v>23</v>
      </c>
      <c r="S85" s="132">
        <f t="shared" si="50"/>
        <v>0.5</v>
      </c>
      <c r="T85" s="133">
        <f t="shared" si="60"/>
        <v>23.965</v>
      </c>
      <c r="U85" s="132">
        <f t="shared" si="43"/>
        <v>1</v>
      </c>
      <c r="V85" s="29"/>
      <c r="X85" s="24"/>
      <c r="Y85" s="24"/>
      <c r="AB85" s="24"/>
    </row>
    <row r="86" spans="1:35">
      <c r="A86" s="196" t="s">
        <v>140</v>
      </c>
      <c r="B86" s="335" t="s">
        <v>66</v>
      </c>
      <c r="C86" s="334" t="s">
        <v>134</v>
      </c>
      <c r="D86" s="334" t="s">
        <v>143</v>
      </c>
      <c r="E86" s="218" t="s">
        <v>346</v>
      </c>
      <c r="F86" s="14" t="s">
        <v>137</v>
      </c>
      <c r="G86" s="105">
        <f>ROUND(H86/4,0)</f>
        <v>8</v>
      </c>
      <c r="H86" s="105">
        <v>31</v>
      </c>
      <c r="I86" s="105">
        <v>31</v>
      </c>
      <c r="J86" s="104">
        <f>J76</f>
        <v>105882</v>
      </c>
      <c r="K86" s="230">
        <f>20/3600</f>
        <v>5.5555555555555558E-3</v>
      </c>
      <c r="L86" s="227">
        <f t="shared" si="57"/>
        <v>0.54308333333333336</v>
      </c>
      <c r="M86" s="132">
        <f t="shared" si="41"/>
        <v>4705.8666666666668</v>
      </c>
      <c r="N86" s="134">
        <f t="shared" si="58"/>
        <v>225552.18933333334</v>
      </c>
      <c r="O86" s="132">
        <f t="shared" si="44"/>
        <v>847056</v>
      </c>
      <c r="P86" s="20">
        <f t="shared" si="49"/>
        <v>18235.233333333334</v>
      </c>
      <c r="Q86" s="28">
        <f t="shared" si="59"/>
        <v>874014.73366666667</v>
      </c>
      <c r="R86" s="20">
        <f t="shared" si="42"/>
        <v>3282342</v>
      </c>
      <c r="S86" s="132">
        <f t="shared" si="50"/>
        <v>18235.233333333334</v>
      </c>
      <c r="T86" s="133">
        <f t="shared" si="60"/>
        <v>874014.73366666667</v>
      </c>
      <c r="U86" s="132">
        <f t="shared" si="43"/>
        <v>3282342</v>
      </c>
      <c r="V86" s="29"/>
      <c r="X86" s="24"/>
      <c r="Y86" s="24"/>
      <c r="AB86" s="24"/>
    </row>
    <row r="87" spans="1:35">
      <c r="B87" s="21"/>
      <c r="C87" s="21"/>
      <c r="D87" s="120" t="s">
        <v>148</v>
      </c>
      <c r="E87" s="22"/>
      <c r="F87" s="22"/>
      <c r="G87" s="13">
        <f>SUM(G37:G86)</f>
        <v>3218421.2559796185</v>
      </c>
      <c r="H87" s="13">
        <f>SUM(H37:H86)</f>
        <v>3345825.7061220985</v>
      </c>
      <c r="I87" s="13">
        <f>SUM(I37:I86)</f>
        <v>3452003.5855958918</v>
      </c>
      <c r="J87" s="13">
        <f>SUM(J37:J86)</f>
        <v>265821.65343338239</v>
      </c>
      <c r="K87" s="13">
        <f>SUM(K37:K86)</f>
        <v>126.95277777777778</v>
      </c>
      <c r="L87" s="13"/>
      <c r="M87" s="136">
        <f t="shared" ref="M87:U87" si="64">SUM(M37:M86)</f>
        <v>166538.18375747779</v>
      </c>
      <c r="N87" s="137">
        <f t="shared" si="64"/>
        <v>12896991.259909745</v>
      </c>
      <c r="O87" s="136">
        <f t="shared" si="64"/>
        <v>8739279.2127136402</v>
      </c>
      <c r="P87" s="13">
        <f t="shared" si="64"/>
        <v>222259.70109666424</v>
      </c>
      <c r="Q87" s="23">
        <f t="shared" si="64"/>
        <v>15740028.386749398</v>
      </c>
      <c r="R87" s="13">
        <f t="shared" si="64"/>
        <v>21214466.33693989</v>
      </c>
      <c r="S87" s="161">
        <f t="shared" si="64"/>
        <v>223432.16201487969</v>
      </c>
      <c r="T87" s="162">
        <f t="shared" si="64"/>
        <v>15966834.143849988</v>
      </c>
      <c r="U87" s="136">
        <f t="shared" si="64"/>
        <v>21366295.800686926</v>
      </c>
      <c r="V87" s="29"/>
      <c r="X87" s="24"/>
      <c r="Y87" s="24"/>
      <c r="AB87" s="24"/>
    </row>
    <row r="88" spans="1:35">
      <c r="B88" s="209"/>
      <c r="C88" s="209"/>
      <c r="D88" s="120" t="s">
        <v>149</v>
      </c>
      <c r="E88" s="120"/>
      <c r="F88" s="120"/>
      <c r="G88" s="369">
        <f>SUM(G87:I87)</f>
        <v>10016250.547697607</v>
      </c>
      <c r="H88" s="369"/>
      <c r="I88" s="369"/>
      <c r="J88" s="13"/>
      <c r="K88" s="13"/>
      <c r="L88" s="13"/>
      <c r="M88" s="349"/>
      <c r="N88" s="350"/>
      <c r="O88" s="351"/>
      <c r="P88" s="359"/>
      <c r="Q88" s="360"/>
      <c r="R88" s="361"/>
      <c r="S88" s="349"/>
      <c r="T88" s="350"/>
      <c r="U88" s="351"/>
      <c r="V88" s="29"/>
      <c r="X88" s="24"/>
      <c r="Y88" s="24"/>
      <c r="AB88" s="24"/>
    </row>
    <row r="89" spans="1:35">
      <c r="B89" s="209"/>
      <c r="C89" s="209"/>
      <c r="D89" s="120" t="s">
        <v>150</v>
      </c>
      <c r="E89" s="120"/>
      <c r="F89" s="120"/>
      <c r="G89" s="369">
        <f>AVERAGE(G87:I87)</f>
        <v>3338750.1825658693</v>
      </c>
      <c r="H89" s="369"/>
      <c r="I89" s="369"/>
      <c r="J89" s="13"/>
      <c r="K89" s="13"/>
      <c r="L89" s="13"/>
      <c r="M89" s="341" t="s">
        <v>337</v>
      </c>
      <c r="N89" s="342" t="s">
        <v>338</v>
      </c>
      <c r="O89" s="343" t="s">
        <v>339</v>
      </c>
      <c r="P89" s="359"/>
      <c r="Q89" s="360"/>
      <c r="R89" s="361"/>
      <c r="S89" s="349"/>
      <c r="T89" s="350"/>
      <c r="U89" s="351"/>
      <c r="V89" s="29"/>
      <c r="X89" s="24"/>
      <c r="Y89" s="24"/>
      <c r="AB89" s="24"/>
    </row>
    <row r="90" spans="1:35">
      <c r="D90" s="210" t="s">
        <v>151</v>
      </c>
      <c r="E90" s="210"/>
      <c r="F90" s="211"/>
      <c r="G90" s="345">
        <f>SUM(G47,G48,G65,G71,G78,G80,G81,G83,G85)</f>
        <v>795919.99106514337</v>
      </c>
      <c r="H90" s="345">
        <f>SUM(H47,H48,H65,H71,H78,H80,H82,H83,H86)</f>
        <v>824996.46505472763</v>
      </c>
      <c r="I90" s="340">
        <f>SUM(I47,I48,I65,I71,I78,I80,I82,I84,I86)</f>
        <v>851304.45308495825</v>
      </c>
      <c r="J90" s="211"/>
      <c r="K90" s="211"/>
      <c r="L90" s="211"/>
      <c r="M90" s="214">
        <f>AVERAGE(N87,Q87,T87)</f>
        <v>14867951.263503045</v>
      </c>
      <c r="N90" s="213">
        <f>AVERAGE(O87,R87,U87)</f>
        <v>17106680.450113486</v>
      </c>
      <c r="O90" s="340">
        <f>AVERAGE(M87,P87,S87)</f>
        <v>204076.68228967392</v>
      </c>
      <c r="P90" s="212"/>
      <c r="Q90" s="212"/>
      <c r="R90" s="212"/>
      <c r="S90" s="212"/>
      <c r="T90" s="212"/>
      <c r="U90" s="212"/>
      <c r="V90" s="29"/>
      <c r="X90" s="24"/>
      <c r="Y90" s="24"/>
      <c r="AB90" s="24"/>
    </row>
    <row r="91" spans="1:35">
      <c r="K91" s="108"/>
      <c r="M91" s="9">
        <f>M87-AA46</f>
        <v>0</v>
      </c>
      <c r="N91" s="9">
        <f>N87-Z46</f>
        <v>0</v>
      </c>
      <c r="O91" s="316">
        <f>O87-Y46</f>
        <v>0</v>
      </c>
      <c r="P91" s="9">
        <f>P87-AD46</f>
        <v>0</v>
      </c>
      <c r="Q91" s="9">
        <f>Q87-AC46</f>
        <v>0</v>
      </c>
      <c r="R91" s="316">
        <f>R87-AB46</f>
        <v>0</v>
      </c>
      <c r="S91" s="9">
        <f>S87-AG46</f>
        <v>0</v>
      </c>
      <c r="T91" s="9">
        <f>T87-AF46</f>
        <v>0</v>
      </c>
      <c r="U91" s="9">
        <f>U87-AE46</f>
        <v>0</v>
      </c>
      <c r="V91" s="29"/>
      <c r="X91" s="24"/>
      <c r="Y91" s="24"/>
      <c r="AB91" s="24"/>
    </row>
    <row r="92" spans="1:35">
      <c r="B92" s="365" t="s">
        <v>50</v>
      </c>
      <c r="C92" s="365" t="s">
        <v>51</v>
      </c>
      <c r="D92" s="365" t="s">
        <v>52</v>
      </c>
      <c r="E92" s="358" t="s">
        <v>152</v>
      </c>
      <c r="F92" s="358"/>
      <c r="G92" s="358"/>
      <c r="H92" s="358"/>
      <c r="I92" s="358" t="s">
        <v>153</v>
      </c>
      <c r="J92" s="358" t="s">
        <v>154</v>
      </c>
      <c r="K92" s="358" t="s">
        <v>155</v>
      </c>
      <c r="L92" s="358" t="s">
        <v>156</v>
      </c>
      <c r="M92" s="358" t="s">
        <v>157</v>
      </c>
      <c r="N92" s="358"/>
      <c r="O92" s="358"/>
      <c r="P92" s="153"/>
      <c r="Q92" s="153"/>
      <c r="R92" s="153"/>
      <c r="S92" s="153"/>
      <c r="T92" s="153"/>
      <c r="V92" s="29"/>
      <c r="X92" s="24"/>
      <c r="Y92" s="24"/>
      <c r="AB92" s="24"/>
    </row>
    <row r="93" spans="1:35">
      <c r="B93" s="365"/>
      <c r="C93" s="365"/>
      <c r="D93" s="365"/>
      <c r="E93" s="332" t="s">
        <v>158</v>
      </c>
      <c r="F93" s="332" t="s">
        <v>11</v>
      </c>
      <c r="G93" s="332" t="s">
        <v>159</v>
      </c>
      <c r="H93" s="332" t="s">
        <v>160</v>
      </c>
      <c r="I93" s="358"/>
      <c r="J93" s="358"/>
      <c r="K93" s="358"/>
      <c r="L93" s="358"/>
      <c r="M93" s="358" t="s">
        <v>161</v>
      </c>
      <c r="N93" s="358" t="s">
        <v>59</v>
      </c>
      <c r="O93" s="358" t="s">
        <v>162</v>
      </c>
      <c r="Q93" s="153"/>
      <c r="R93" s="153"/>
      <c r="S93" s="153"/>
      <c r="T93" s="153"/>
      <c r="V93" s="29"/>
      <c r="X93" s="24"/>
      <c r="Y93" s="24"/>
      <c r="AB93" s="24"/>
    </row>
    <row r="94" spans="1:35" ht="25.5" customHeight="1">
      <c r="B94" s="365"/>
      <c r="C94" s="365"/>
      <c r="D94" s="365"/>
      <c r="E94" s="174">
        <f>$D$11</f>
        <v>129.23400000000001</v>
      </c>
      <c r="F94" s="174">
        <f>$D$9</f>
        <v>103.42500000000001</v>
      </c>
      <c r="G94" s="174">
        <f>$D$10</f>
        <v>97.754999999999995</v>
      </c>
      <c r="H94" s="174">
        <f>$D$12</f>
        <v>37.400999999999996</v>
      </c>
      <c r="I94" s="358"/>
      <c r="J94" s="358"/>
      <c r="K94" s="358"/>
      <c r="L94" s="358"/>
      <c r="M94" s="358"/>
      <c r="N94" s="358"/>
      <c r="O94" s="358"/>
      <c r="P94" s="29"/>
      <c r="Q94" s="29"/>
      <c r="R94" s="29"/>
      <c r="S94" s="29"/>
      <c r="T94" s="29"/>
      <c r="U94" s="29"/>
      <c r="V94" s="29"/>
      <c r="X94" s="24"/>
      <c r="Y94" s="24"/>
      <c r="AB94" s="24"/>
    </row>
    <row r="95" spans="1:35" ht="25.5" customHeight="1">
      <c r="B95" s="364" t="s">
        <v>163</v>
      </c>
      <c r="C95" s="333" t="s">
        <v>164</v>
      </c>
      <c r="D95" s="158" t="s">
        <v>165</v>
      </c>
      <c r="E95" s="154">
        <v>0</v>
      </c>
      <c r="F95" s="154">
        <v>0</v>
      </c>
      <c r="G95" s="154">
        <v>-3.35</v>
      </c>
      <c r="H95" s="154">
        <v>-1.65</v>
      </c>
      <c r="I95" s="154">
        <f t="shared" ref="I95:I111" si="65">SUM(E95:H95)</f>
        <v>-5</v>
      </c>
      <c r="J95" s="155">
        <f t="shared" ref="J95:J111" si="66">(E95*$E$94)+(F95*$F$94)+(G95*$G$94)+(H95*$H$94)</f>
        <v>-389.19089999999994</v>
      </c>
      <c r="K95" s="155">
        <v>0</v>
      </c>
      <c r="L95" s="155">
        <v>0</v>
      </c>
      <c r="M95" s="154">
        <v>63</v>
      </c>
      <c r="N95" s="154">
        <f>M95*I95</f>
        <v>-315</v>
      </c>
      <c r="O95" s="28">
        <f>(J95+K95+L95)*M95</f>
        <v>-24519.026699999995</v>
      </c>
      <c r="P95" s="29"/>
      <c r="Q95" s="29"/>
      <c r="R95" s="29"/>
      <c r="S95" s="29"/>
      <c r="T95" s="29"/>
      <c r="U95" s="29"/>
      <c r="V95" s="29"/>
      <c r="X95" s="24"/>
      <c r="Y95" s="24"/>
      <c r="AB95" s="24"/>
    </row>
    <row r="96" spans="1:35" ht="25.5" customHeight="1">
      <c r="B96" s="364"/>
      <c r="C96" s="333" t="s">
        <v>164</v>
      </c>
      <c r="D96" s="158" t="s">
        <v>166</v>
      </c>
      <c r="E96" s="154">
        <v>0</v>
      </c>
      <c r="F96" s="154">
        <v>0</v>
      </c>
      <c r="G96" s="154">
        <v>0</v>
      </c>
      <c r="H96" s="154">
        <v>-0.5</v>
      </c>
      <c r="I96" s="154">
        <f t="shared" si="65"/>
        <v>-0.5</v>
      </c>
      <c r="J96" s="155">
        <f t="shared" si="66"/>
        <v>-18.700499999999998</v>
      </c>
      <c r="K96" s="155">
        <v>0</v>
      </c>
      <c r="L96" s="155">
        <v>0</v>
      </c>
      <c r="M96" s="154">
        <v>63</v>
      </c>
      <c r="N96" s="154">
        <f t="shared" ref="N96:N111" si="67">M96*I96</f>
        <v>-31.5</v>
      </c>
      <c r="O96" s="28">
        <f t="shared" ref="O96:O111" si="68">(J96+K96+L96)*M96</f>
        <v>-1178.1315</v>
      </c>
      <c r="P96" s="19"/>
      <c r="Q96" s="19"/>
      <c r="R96" s="19"/>
      <c r="S96" s="19"/>
      <c r="T96" s="19"/>
      <c r="U96" s="153"/>
      <c r="V96" s="29"/>
      <c r="X96" s="24"/>
      <c r="Y96" s="24"/>
      <c r="AB96" s="24"/>
    </row>
    <row r="97" spans="2:28" ht="26.45" customHeight="1">
      <c r="B97" s="364"/>
      <c r="C97" s="333" t="s">
        <v>164</v>
      </c>
      <c r="D97" s="158" t="s">
        <v>167</v>
      </c>
      <c r="E97" s="154">
        <v>0</v>
      </c>
      <c r="F97" s="154">
        <v>0</v>
      </c>
      <c r="G97" s="154">
        <v>-7.5</v>
      </c>
      <c r="H97" s="154">
        <v>-2.5</v>
      </c>
      <c r="I97" s="154">
        <f t="shared" si="65"/>
        <v>-10</v>
      </c>
      <c r="J97" s="155">
        <f t="shared" si="66"/>
        <v>-826.66499999999996</v>
      </c>
      <c r="K97" s="155">
        <v>0</v>
      </c>
      <c r="L97" s="155">
        <v>0</v>
      </c>
      <c r="M97" s="154">
        <v>63</v>
      </c>
      <c r="N97" s="154">
        <f t="shared" si="67"/>
        <v>-630</v>
      </c>
      <c r="O97" s="28">
        <f t="shared" si="68"/>
        <v>-52079.894999999997</v>
      </c>
      <c r="P97" s="19"/>
      <c r="Q97" s="19"/>
      <c r="R97" s="19"/>
      <c r="S97" s="19"/>
      <c r="T97" s="19"/>
      <c r="U97" s="153"/>
      <c r="V97" s="29"/>
      <c r="X97" s="24"/>
      <c r="Y97" s="24"/>
      <c r="AB97" s="24"/>
    </row>
    <row r="98" spans="2:28" ht="26.45" customHeight="1">
      <c r="B98" s="364"/>
      <c r="C98" s="333" t="s">
        <v>164</v>
      </c>
      <c r="D98" s="158" t="s">
        <v>168</v>
      </c>
      <c r="E98" s="154">
        <v>0</v>
      </c>
      <c r="F98" s="154">
        <v>0</v>
      </c>
      <c r="G98" s="154">
        <v>0</v>
      </c>
      <c r="H98" s="154">
        <v>-1</v>
      </c>
      <c r="I98" s="154">
        <f t="shared" si="65"/>
        <v>-1</v>
      </c>
      <c r="J98" s="155">
        <f t="shared" si="66"/>
        <v>-37.400999999999996</v>
      </c>
      <c r="K98" s="155">
        <v>0</v>
      </c>
      <c r="L98" s="155">
        <v>0</v>
      </c>
      <c r="M98" s="154">
        <v>63</v>
      </c>
      <c r="N98" s="154">
        <f t="shared" si="67"/>
        <v>-63</v>
      </c>
      <c r="O98" s="28">
        <f t="shared" si="68"/>
        <v>-2356.2629999999999</v>
      </c>
      <c r="P98" s="19"/>
      <c r="Q98" s="19"/>
      <c r="R98" s="19"/>
      <c r="S98" s="19"/>
      <c r="T98" s="19"/>
      <c r="U98" s="29"/>
      <c r="V98" s="24"/>
      <c r="X98" s="24"/>
      <c r="Y98" s="24"/>
      <c r="AB98" s="24"/>
    </row>
    <row r="99" spans="2:28" ht="14.45" customHeight="1">
      <c r="B99" s="364"/>
      <c r="C99" s="333" t="s">
        <v>164</v>
      </c>
      <c r="D99" s="158" t="s">
        <v>169</v>
      </c>
      <c r="E99" s="154">
        <v>0</v>
      </c>
      <c r="F99" s="154">
        <v>0</v>
      </c>
      <c r="G99" s="154">
        <v>0</v>
      </c>
      <c r="H99" s="154">
        <v>-0.5</v>
      </c>
      <c r="I99" s="154">
        <f t="shared" si="65"/>
        <v>-0.5</v>
      </c>
      <c r="J99" s="155">
        <f t="shared" si="66"/>
        <v>-18.700499999999998</v>
      </c>
      <c r="K99" s="155">
        <v>0</v>
      </c>
      <c r="L99" s="155">
        <v>-4.87</v>
      </c>
      <c r="M99" s="154">
        <v>63</v>
      </c>
      <c r="N99" s="154">
        <f t="shared" si="67"/>
        <v>-31.5</v>
      </c>
      <c r="O99" s="28">
        <f t="shared" si="68"/>
        <v>-1484.9414999999999</v>
      </c>
      <c r="P99" s="19"/>
      <c r="Q99" s="19"/>
      <c r="R99" s="19"/>
      <c r="S99" s="19"/>
      <c r="T99" s="19"/>
      <c r="U99" s="29"/>
      <c r="V99" s="153"/>
      <c r="X99" s="24"/>
      <c r="Y99" s="24"/>
      <c r="AB99" s="24"/>
    </row>
    <row r="100" spans="2:28" ht="29.1" customHeight="1">
      <c r="B100" s="364"/>
      <c r="C100" s="333" t="s">
        <v>164</v>
      </c>
      <c r="D100" s="158" t="s">
        <v>170</v>
      </c>
      <c r="E100" s="154">
        <v>0</v>
      </c>
      <c r="F100" s="154">
        <v>0</v>
      </c>
      <c r="G100" s="154">
        <v>-5</v>
      </c>
      <c r="H100" s="154">
        <v>0</v>
      </c>
      <c r="I100" s="154">
        <f t="shared" si="65"/>
        <v>-5</v>
      </c>
      <c r="J100" s="155">
        <f t="shared" si="66"/>
        <v>-488.77499999999998</v>
      </c>
      <c r="K100" s="155">
        <v>0</v>
      </c>
      <c r="L100" s="155">
        <v>-0.1</v>
      </c>
      <c r="M100" s="154">
        <v>6</v>
      </c>
      <c r="N100" s="154">
        <f t="shared" si="67"/>
        <v>-30</v>
      </c>
      <c r="O100" s="28">
        <f t="shared" si="68"/>
        <v>-2933.25</v>
      </c>
      <c r="P100" s="77"/>
      <c r="Q100" s="77"/>
      <c r="R100" s="77"/>
      <c r="S100" s="77"/>
      <c r="T100" s="77"/>
      <c r="U100" s="19"/>
      <c r="V100" s="153"/>
      <c r="X100" s="24"/>
      <c r="Y100" s="24"/>
      <c r="AB100" s="24"/>
    </row>
    <row r="101" spans="2:28">
      <c r="B101" s="364" t="s">
        <v>171</v>
      </c>
      <c r="C101" s="333" t="s">
        <v>164</v>
      </c>
      <c r="D101" s="158" t="s">
        <v>172</v>
      </c>
      <c r="E101" s="154">
        <v>0</v>
      </c>
      <c r="F101" s="154">
        <v>0</v>
      </c>
      <c r="G101" s="154">
        <v>-0.22</v>
      </c>
      <c r="H101" s="154">
        <v>-1.5</v>
      </c>
      <c r="I101" s="154">
        <f t="shared" si="65"/>
        <v>-1.72</v>
      </c>
      <c r="J101" s="155">
        <f t="shared" si="66"/>
        <v>-77.607599999999991</v>
      </c>
      <c r="K101" s="155">
        <v>0</v>
      </c>
      <c r="L101" s="155">
        <v>0</v>
      </c>
      <c r="M101" s="154">
        <v>1</v>
      </c>
      <c r="N101" s="154">
        <f t="shared" si="67"/>
        <v>-1.72</v>
      </c>
      <c r="O101" s="28">
        <f t="shared" si="68"/>
        <v>-77.607599999999991</v>
      </c>
      <c r="P101" s="77"/>
      <c r="Q101" s="77"/>
      <c r="R101" s="77"/>
      <c r="S101" s="77"/>
      <c r="T101" s="77"/>
      <c r="U101" s="19"/>
      <c r="V101" s="65"/>
      <c r="X101" s="24"/>
      <c r="Y101" s="24"/>
      <c r="AB101" s="24"/>
    </row>
    <row r="102" spans="2:28" ht="87" customHeight="1">
      <c r="B102" s="364"/>
      <c r="C102" s="333" t="s">
        <v>164</v>
      </c>
      <c r="D102" s="158" t="s">
        <v>173</v>
      </c>
      <c r="E102" s="154">
        <v>-1.28</v>
      </c>
      <c r="F102" s="154">
        <v>0</v>
      </c>
      <c r="G102" s="154">
        <v>-0.9</v>
      </c>
      <c r="H102" s="154">
        <v>0</v>
      </c>
      <c r="I102" s="154">
        <f t="shared" si="65"/>
        <v>-2.1800000000000002</v>
      </c>
      <c r="J102" s="155">
        <f t="shared" si="66"/>
        <v>-253.39902000000001</v>
      </c>
      <c r="K102" s="155">
        <v>0</v>
      </c>
      <c r="L102" s="155">
        <v>0</v>
      </c>
      <c r="M102" s="154">
        <v>1</v>
      </c>
      <c r="N102" s="154">
        <f t="shared" si="67"/>
        <v>-2.1800000000000002</v>
      </c>
      <c r="O102" s="28">
        <f t="shared" si="68"/>
        <v>-253.39902000000001</v>
      </c>
      <c r="P102" s="29"/>
      <c r="Q102" s="29"/>
      <c r="R102" s="29"/>
      <c r="S102" s="29"/>
      <c r="T102" s="29"/>
      <c r="U102" s="19"/>
      <c r="V102" s="65"/>
      <c r="W102" s="24"/>
      <c r="Z102" s="24"/>
    </row>
    <row r="103" spans="2:28" ht="30">
      <c r="B103" s="364"/>
      <c r="C103" s="333" t="s">
        <v>164</v>
      </c>
      <c r="D103" s="158" t="s">
        <v>174</v>
      </c>
      <c r="E103" s="154">
        <v>0</v>
      </c>
      <c r="F103" s="154">
        <v>-0.1</v>
      </c>
      <c r="G103" s="154">
        <v>-0.9</v>
      </c>
      <c r="H103" s="154">
        <v>0</v>
      </c>
      <c r="I103" s="154">
        <f t="shared" si="65"/>
        <v>-1</v>
      </c>
      <c r="J103" s="155">
        <f t="shared" si="66"/>
        <v>-98.322000000000003</v>
      </c>
      <c r="K103" s="155">
        <v>0</v>
      </c>
      <c r="L103" s="155">
        <v>-11.35</v>
      </c>
      <c r="M103" s="154">
        <v>1</v>
      </c>
      <c r="N103" s="154">
        <f t="shared" si="67"/>
        <v>-1</v>
      </c>
      <c r="O103" s="28">
        <f t="shared" si="68"/>
        <v>-109.672</v>
      </c>
      <c r="P103" s="29"/>
      <c r="Q103" s="29"/>
      <c r="R103" s="29"/>
      <c r="S103" s="29"/>
      <c r="T103" s="29"/>
      <c r="U103" s="19"/>
      <c r="V103" s="77"/>
      <c r="W103" s="153"/>
      <c r="Z103" s="24"/>
    </row>
    <row r="104" spans="2:28">
      <c r="B104" s="364" t="s">
        <v>175</v>
      </c>
      <c r="C104" s="333" t="s">
        <v>164</v>
      </c>
      <c r="D104" s="158" t="s">
        <v>176</v>
      </c>
      <c r="E104" s="154">
        <v>0</v>
      </c>
      <c r="F104" s="154">
        <v>0</v>
      </c>
      <c r="G104" s="154">
        <v>-0.5</v>
      </c>
      <c r="H104" s="154">
        <v>0</v>
      </c>
      <c r="I104" s="154">
        <f t="shared" si="65"/>
        <v>-0.5</v>
      </c>
      <c r="J104" s="155">
        <f t="shared" si="66"/>
        <v>-48.877499999999998</v>
      </c>
      <c r="K104" s="155">
        <v>0</v>
      </c>
      <c r="L104" s="155">
        <v>0</v>
      </c>
      <c r="M104" s="154">
        <v>1</v>
      </c>
      <c r="N104" s="154">
        <f t="shared" si="67"/>
        <v>-0.5</v>
      </c>
      <c r="O104" s="28">
        <f t="shared" si="68"/>
        <v>-48.877499999999998</v>
      </c>
      <c r="U104" s="77"/>
      <c r="V104" s="77"/>
      <c r="W104" s="153"/>
      <c r="Z104" s="24"/>
    </row>
    <row r="105" spans="2:28" ht="18" customHeight="1">
      <c r="B105" s="364"/>
      <c r="C105" s="333" t="s">
        <v>164</v>
      </c>
      <c r="D105" s="158" t="s">
        <v>177</v>
      </c>
      <c r="E105" s="154">
        <v>0</v>
      </c>
      <c r="F105" s="154">
        <v>0</v>
      </c>
      <c r="G105" s="154">
        <v>0</v>
      </c>
      <c r="H105" s="154">
        <v>-0.1</v>
      </c>
      <c r="I105" s="154">
        <f t="shared" si="65"/>
        <v>-0.1</v>
      </c>
      <c r="J105" s="155">
        <f t="shared" si="66"/>
        <v>-3.7401</v>
      </c>
      <c r="K105" s="155">
        <v>0</v>
      </c>
      <c r="L105" s="155">
        <v>0</v>
      </c>
      <c r="M105" s="154">
        <v>1</v>
      </c>
      <c r="N105" s="154">
        <f t="shared" si="67"/>
        <v>-0.1</v>
      </c>
      <c r="O105" s="28">
        <f t="shared" si="68"/>
        <v>-3.7401</v>
      </c>
      <c r="U105" s="77"/>
      <c r="V105" s="24"/>
      <c r="W105" s="194"/>
      <c r="X105" s="195"/>
      <c r="Z105" s="24"/>
    </row>
    <row r="106" spans="2:28" ht="30">
      <c r="B106" s="364" t="s">
        <v>171</v>
      </c>
      <c r="C106" s="333" t="s">
        <v>164</v>
      </c>
      <c r="D106" s="158" t="s">
        <v>178</v>
      </c>
      <c r="E106" s="154">
        <v>0</v>
      </c>
      <c r="F106" s="154">
        <v>0</v>
      </c>
      <c r="G106" s="154">
        <v>-0.5</v>
      </c>
      <c r="H106" s="154">
        <v>0</v>
      </c>
      <c r="I106" s="154">
        <f t="shared" si="65"/>
        <v>-0.5</v>
      </c>
      <c r="J106" s="155">
        <f t="shared" si="66"/>
        <v>-48.877499999999998</v>
      </c>
      <c r="K106" s="155">
        <v>0</v>
      </c>
      <c r="L106" s="155">
        <v>0</v>
      </c>
      <c r="M106" s="154">
        <v>0</v>
      </c>
      <c r="N106" s="154">
        <f t="shared" si="67"/>
        <v>0</v>
      </c>
      <c r="O106" s="28">
        <f t="shared" si="68"/>
        <v>0</v>
      </c>
      <c r="U106" s="29"/>
      <c r="V106" s="24"/>
      <c r="W106" s="194"/>
      <c r="X106" s="195"/>
      <c r="Y106" s="5"/>
      <c r="Z106" s="24"/>
    </row>
    <row r="107" spans="2:28" ht="30">
      <c r="B107" s="364"/>
      <c r="C107" s="333" t="s">
        <v>164</v>
      </c>
      <c r="D107" s="158" t="s">
        <v>179</v>
      </c>
      <c r="E107" s="154">
        <v>0</v>
      </c>
      <c r="F107" s="154">
        <v>0</v>
      </c>
      <c r="G107" s="154">
        <v>-0.5</v>
      </c>
      <c r="H107" s="154">
        <v>0</v>
      </c>
      <c r="I107" s="154">
        <f t="shared" si="65"/>
        <v>-0.5</v>
      </c>
      <c r="J107" s="155">
        <f t="shared" si="66"/>
        <v>-48.877499999999998</v>
      </c>
      <c r="K107" s="155">
        <v>0</v>
      </c>
      <c r="L107" s="155">
        <v>-5.29</v>
      </c>
      <c r="M107" s="154">
        <v>0</v>
      </c>
      <c r="N107" s="154">
        <f t="shared" si="67"/>
        <v>0</v>
      </c>
      <c r="O107" s="28">
        <f t="shared" si="68"/>
        <v>0</v>
      </c>
      <c r="U107" s="29"/>
      <c r="V107" s="24"/>
      <c r="W107" s="24"/>
      <c r="Z107" s="24"/>
    </row>
    <row r="108" spans="2:28" ht="45">
      <c r="B108" s="364"/>
      <c r="C108" s="333" t="s">
        <v>164</v>
      </c>
      <c r="D108" s="158" t="s">
        <v>180</v>
      </c>
      <c r="E108" s="154">
        <v>0</v>
      </c>
      <c r="F108" s="154">
        <v>0</v>
      </c>
      <c r="G108" s="154">
        <v>-0.1</v>
      </c>
      <c r="H108" s="154">
        <v>0</v>
      </c>
      <c r="I108" s="154">
        <f t="shared" si="65"/>
        <v>-0.1</v>
      </c>
      <c r="J108" s="155">
        <f t="shared" si="66"/>
        <v>-9.775500000000001</v>
      </c>
      <c r="K108" s="155">
        <v>0</v>
      </c>
      <c r="L108" s="155">
        <v>0</v>
      </c>
      <c r="M108" s="154">
        <v>0</v>
      </c>
      <c r="N108" s="154">
        <f t="shared" si="67"/>
        <v>0</v>
      </c>
      <c r="O108" s="28">
        <f t="shared" si="68"/>
        <v>0</v>
      </c>
      <c r="V108" s="24"/>
      <c r="W108" s="24"/>
      <c r="Z108" s="24"/>
    </row>
    <row r="109" spans="2:28" ht="30">
      <c r="B109" s="364"/>
      <c r="C109" s="333" t="s">
        <v>164</v>
      </c>
      <c r="D109" s="158" t="s">
        <v>181</v>
      </c>
      <c r="E109" s="154">
        <v>0</v>
      </c>
      <c r="F109" s="154">
        <v>0</v>
      </c>
      <c r="G109" s="154">
        <v>0</v>
      </c>
      <c r="H109" s="154">
        <v>-0.1</v>
      </c>
      <c r="I109" s="154">
        <f t="shared" si="65"/>
        <v>-0.1</v>
      </c>
      <c r="J109" s="155">
        <f t="shared" si="66"/>
        <v>-3.7401</v>
      </c>
      <c r="K109" s="155">
        <v>0</v>
      </c>
      <c r="L109" s="155">
        <v>0</v>
      </c>
      <c r="M109" s="154">
        <v>0</v>
      </c>
      <c r="N109" s="154">
        <f t="shared" si="67"/>
        <v>0</v>
      </c>
      <c r="O109" s="28">
        <f t="shared" si="68"/>
        <v>0</v>
      </c>
      <c r="V109" s="24"/>
      <c r="W109" s="24"/>
    </row>
    <row r="110" spans="2:28" ht="30">
      <c r="B110" s="370" t="s">
        <v>182</v>
      </c>
      <c r="C110" s="333" t="s">
        <v>164</v>
      </c>
      <c r="D110" s="159" t="s">
        <v>183</v>
      </c>
      <c r="E110" s="154">
        <v>0</v>
      </c>
      <c r="F110" s="154">
        <v>0</v>
      </c>
      <c r="G110" s="154">
        <v>-0.25</v>
      </c>
      <c r="H110" s="154">
        <v>0</v>
      </c>
      <c r="I110" s="154">
        <f t="shared" si="65"/>
        <v>-0.25</v>
      </c>
      <c r="J110" s="155">
        <f t="shared" si="66"/>
        <v>-24.438749999999999</v>
      </c>
      <c r="K110" s="155">
        <v>0</v>
      </c>
      <c r="L110" s="155">
        <v>0</v>
      </c>
      <c r="M110" s="154">
        <v>63</v>
      </c>
      <c r="N110" s="154">
        <f t="shared" si="67"/>
        <v>-15.75</v>
      </c>
      <c r="O110" s="28">
        <f t="shared" si="68"/>
        <v>-1539.6412499999999</v>
      </c>
      <c r="V110" s="24"/>
      <c r="W110" s="24"/>
      <c r="X110" s="24"/>
      <c r="Y110" s="24"/>
      <c r="Z110" s="24"/>
    </row>
    <row r="111" spans="2:28" ht="14.45" customHeight="1">
      <c r="B111" s="370"/>
      <c r="C111" s="333" t="s">
        <v>164</v>
      </c>
      <c r="D111" s="159" t="s">
        <v>184</v>
      </c>
      <c r="E111" s="154">
        <v>0</v>
      </c>
      <c r="F111" s="154">
        <v>0</v>
      </c>
      <c r="G111" s="154">
        <v>-0.25</v>
      </c>
      <c r="H111" s="154">
        <v>0</v>
      </c>
      <c r="I111" s="154">
        <f t="shared" si="65"/>
        <v>-0.25</v>
      </c>
      <c r="J111" s="155">
        <f t="shared" si="66"/>
        <v>-24.438749999999999</v>
      </c>
      <c r="K111" s="155">
        <v>0</v>
      </c>
      <c r="L111" s="155">
        <v>0</v>
      </c>
      <c r="M111" s="154">
        <v>63</v>
      </c>
      <c r="N111" s="154">
        <f t="shared" si="67"/>
        <v>-15.75</v>
      </c>
      <c r="O111" s="28">
        <f t="shared" si="68"/>
        <v>-1539.6412499999999</v>
      </c>
      <c r="T111" s="16"/>
      <c r="V111" s="24"/>
      <c r="W111" s="24"/>
      <c r="X111" s="24"/>
      <c r="Y111" s="24"/>
      <c r="Z111" s="24"/>
    </row>
    <row r="112" spans="2:28">
      <c r="C112" s="29"/>
      <c r="D112" s="29"/>
      <c r="F112" s="29"/>
      <c r="G112" s="29"/>
      <c r="H112" s="29"/>
      <c r="I112" s="29"/>
      <c r="J112" s="29"/>
      <c r="K112" s="29"/>
      <c r="L112" s="156">
        <f>SUM(L95:L111)</f>
        <v>-21.61</v>
      </c>
      <c r="M112" s="156">
        <f>SUM(M95:M111)</f>
        <v>452</v>
      </c>
      <c r="N112" s="156">
        <f>SUM(N95:N111)</f>
        <v>-1138</v>
      </c>
      <c r="O112" s="157">
        <f>SUM(O95:O111)</f>
        <v>-88124.086420000007</v>
      </c>
      <c r="T112" s="16"/>
      <c r="V112" s="24"/>
      <c r="W112" s="24"/>
      <c r="X112" s="24"/>
      <c r="Y112" s="24"/>
      <c r="Z112" s="24"/>
    </row>
    <row r="113" spans="3:26">
      <c r="C113" s="29"/>
      <c r="D113" s="29"/>
      <c r="F113" s="29"/>
      <c r="G113" s="29"/>
      <c r="H113" s="29"/>
      <c r="I113" s="29"/>
      <c r="J113" s="29"/>
      <c r="K113" s="29"/>
      <c r="L113" s="29"/>
      <c r="M113" s="29"/>
      <c r="W113" s="24"/>
      <c r="X113" s="24"/>
      <c r="Y113" s="24"/>
      <c r="Z113" s="24"/>
    </row>
    <row r="114" spans="3:26">
      <c r="C114" s="29"/>
      <c r="D114" s="29"/>
      <c r="F114" s="29"/>
      <c r="G114" s="29"/>
      <c r="H114" s="29"/>
      <c r="I114" s="29"/>
      <c r="J114" s="29"/>
      <c r="K114" s="29"/>
      <c r="L114" s="29"/>
      <c r="M114" s="29"/>
      <c r="T114" s="24"/>
      <c r="W114" s="24"/>
      <c r="X114" s="24"/>
      <c r="Y114" s="24"/>
      <c r="Z114" s="24"/>
    </row>
    <row r="115" spans="3:26">
      <c r="C115" s="29"/>
      <c r="D115" s="29"/>
      <c r="F115" s="29"/>
      <c r="G115" s="29"/>
      <c r="H115" s="29"/>
      <c r="I115" s="29"/>
      <c r="J115" s="29"/>
      <c r="K115" s="29"/>
      <c r="L115" s="29"/>
      <c r="M115" s="29"/>
      <c r="T115" s="24"/>
      <c r="W115" s="24"/>
      <c r="X115" s="24"/>
      <c r="Y115" s="24"/>
      <c r="Z115" s="24"/>
    </row>
    <row r="116" spans="3:26">
      <c r="E116" s="186"/>
      <c r="F116" s="187"/>
      <c r="T116" s="24"/>
      <c r="W116" s="24"/>
      <c r="X116" s="24"/>
      <c r="Y116" s="24"/>
      <c r="Z116" s="24"/>
    </row>
    <row r="117" spans="3:26" ht="45" customHeight="1">
      <c r="E117" s="186"/>
      <c r="F117" s="187"/>
    </row>
    <row r="119" spans="3:26">
      <c r="L119" s="108"/>
    </row>
    <row r="120" spans="3:26">
      <c r="U120" s="24"/>
    </row>
    <row r="121" spans="3:26">
      <c r="L121" s="108"/>
    </row>
    <row r="122" spans="3:26" ht="51.6" customHeight="1"/>
  </sheetData>
  <mergeCells count="68">
    <mergeCell ref="AI36:AL36"/>
    <mergeCell ref="AN36:AP36"/>
    <mergeCell ref="B110:B111"/>
    <mergeCell ref="B35:B36"/>
    <mergeCell ref="D60:D61"/>
    <mergeCell ref="C35:C36"/>
    <mergeCell ref="D65:D66"/>
    <mergeCell ref="D41:D42"/>
    <mergeCell ref="D43:D44"/>
    <mergeCell ref="D57:D58"/>
    <mergeCell ref="D37:D38"/>
    <mergeCell ref="D39:D40"/>
    <mergeCell ref="D53:D54"/>
    <mergeCell ref="D35:D36"/>
    <mergeCell ref="D62:D63"/>
    <mergeCell ref="D49:D50"/>
    <mergeCell ref="D67:D68"/>
    <mergeCell ref="C92:C94"/>
    <mergeCell ref="D47:D48"/>
    <mergeCell ref="D51:D52"/>
    <mergeCell ref="D55:D56"/>
    <mergeCell ref="G88:I88"/>
    <mergeCell ref="G89:I89"/>
    <mergeCell ref="E55:E56"/>
    <mergeCell ref="E57:E58"/>
    <mergeCell ref="D69:D70"/>
    <mergeCell ref="B106:B109"/>
    <mergeCell ref="B92:B94"/>
    <mergeCell ref="B101:B103"/>
    <mergeCell ref="D92:D94"/>
    <mergeCell ref="B95:B100"/>
    <mergeCell ref="E92:H92"/>
    <mergeCell ref="M88:O88"/>
    <mergeCell ref="I92:I94"/>
    <mergeCell ref="J92:J94"/>
    <mergeCell ref="B104:B105"/>
    <mergeCell ref="D45:D46"/>
    <mergeCell ref="M92:O92"/>
    <mergeCell ref="K92:K94"/>
    <mergeCell ref="L92:L94"/>
    <mergeCell ref="M93:M94"/>
    <mergeCell ref="E45:E46"/>
    <mergeCell ref="E67:E68"/>
    <mergeCell ref="E47:E48"/>
    <mergeCell ref="E49:E50"/>
    <mergeCell ref="E69:E70"/>
    <mergeCell ref="E60:E61"/>
    <mergeCell ref="E51:E52"/>
    <mergeCell ref="E62:E63"/>
    <mergeCell ref="N93:N94"/>
    <mergeCell ref="O93:O94"/>
    <mergeCell ref="E53:E54"/>
    <mergeCell ref="E7:K7"/>
    <mergeCell ref="E8:K8"/>
    <mergeCell ref="S88:U88"/>
    <mergeCell ref="S89:U89"/>
    <mergeCell ref="L35:L36"/>
    <mergeCell ref="E35:E36"/>
    <mergeCell ref="K35:K36"/>
    <mergeCell ref="E41:E42"/>
    <mergeCell ref="F35:F36"/>
    <mergeCell ref="E37:E38"/>
    <mergeCell ref="E39:E40"/>
    <mergeCell ref="E43:E44"/>
    <mergeCell ref="J35:J36"/>
    <mergeCell ref="P88:R88"/>
    <mergeCell ref="P89:R89"/>
    <mergeCell ref="E65:E6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BFC-B8E1-434D-8D31-29161BA09651}">
  <dimension ref="B1:G28"/>
  <sheetViews>
    <sheetView topLeftCell="A8" workbookViewId="0">
      <selection activeCell="D28" sqref="D28"/>
    </sheetView>
  </sheetViews>
  <sheetFormatPr defaultRowHeight="15"/>
  <cols>
    <col min="2" max="2" width="32" customWidth="1"/>
    <col min="3" max="4" width="12.28515625" customWidth="1"/>
    <col min="5" max="5" width="14" customWidth="1"/>
    <col min="6" max="6" width="12.28515625" customWidth="1"/>
    <col min="7" max="7" width="13.28515625" customWidth="1"/>
  </cols>
  <sheetData>
    <row r="1" spans="2:7" ht="15.75">
      <c r="D1" s="328" t="s">
        <v>1</v>
      </c>
    </row>
    <row r="2" spans="2:7" ht="18.75">
      <c r="B2" s="17" t="s">
        <v>185</v>
      </c>
    </row>
    <row r="3" spans="2:7" ht="26.25" customHeight="1" thickBot="1"/>
    <row r="4" spans="2:7" ht="33.75" thickBot="1">
      <c r="B4" s="318" t="s">
        <v>23</v>
      </c>
      <c r="C4" s="319" t="s">
        <v>24</v>
      </c>
      <c r="D4" s="319" t="s">
        <v>25</v>
      </c>
      <c r="E4" s="319" t="s">
        <v>186</v>
      </c>
      <c r="F4" s="319" t="s">
        <v>187</v>
      </c>
      <c r="G4" s="319" t="s">
        <v>26</v>
      </c>
    </row>
    <row r="5" spans="2:7" ht="17.25" thickBot="1">
      <c r="B5" s="320" t="s">
        <v>188</v>
      </c>
      <c r="C5" s="321">
        <f>ROUND('Respondent Burden'!Y46,0)</f>
        <v>8739279</v>
      </c>
      <c r="D5" s="321">
        <f>ROUND('Respondent Burden'!AA46,0)</f>
        <v>166538</v>
      </c>
      <c r="E5" s="322">
        <f>ROUND('Respondent Burden'!Z46,2)</f>
        <v>12896991.26</v>
      </c>
      <c r="F5" s="322">
        <v>0</v>
      </c>
      <c r="G5" s="323">
        <f>SUM(E5:F5)</f>
        <v>12896991.26</v>
      </c>
    </row>
    <row r="6" spans="2:7" ht="17.25" thickBot="1">
      <c r="B6" s="320" t="s">
        <v>189</v>
      </c>
      <c r="C6" s="321">
        <f>'Respondent Burden'!AB46</f>
        <v>21214466.336939886</v>
      </c>
      <c r="D6" s="321">
        <f>'Respondent Burden'!AD46</f>
        <v>222259.70109666424</v>
      </c>
      <c r="E6" s="322">
        <f>'Respondent Burden'!AC46</f>
        <v>15740028.386749398</v>
      </c>
      <c r="F6" s="322">
        <v>0</v>
      </c>
      <c r="G6" s="323">
        <f t="shared" ref="G6:G7" si="0">SUM(E6:F6)</f>
        <v>15740028.386749398</v>
      </c>
    </row>
    <row r="7" spans="2:7" ht="17.25" thickBot="1">
      <c r="B7" s="320" t="s">
        <v>190</v>
      </c>
      <c r="C7" s="321">
        <f>'Respondent Burden'!AE46</f>
        <v>21366295.800686926</v>
      </c>
      <c r="D7" s="321">
        <f>'Respondent Burden'!AG46</f>
        <v>223432.16201487969</v>
      </c>
      <c r="E7" s="322">
        <f>'Respondent Burden'!AF46</f>
        <v>15966834.143849991</v>
      </c>
      <c r="F7" s="322">
        <v>0</v>
      </c>
      <c r="G7" s="323">
        <f t="shared" si="0"/>
        <v>15966834.143849991</v>
      </c>
    </row>
    <row r="8" spans="2:7" ht="28.5" customHeight="1" thickBot="1">
      <c r="B8" s="320" t="s">
        <v>191</v>
      </c>
      <c r="C8" s="321">
        <f>AVERAGE(C5:C7)</f>
        <v>17106680.379208937</v>
      </c>
      <c r="D8" s="321">
        <f t="shared" ref="D8:G8" si="1">AVERAGE(D5:D7)</f>
        <v>204076.62103718132</v>
      </c>
      <c r="E8" s="322">
        <f t="shared" si="1"/>
        <v>14867951.26353313</v>
      </c>
      <c r="F8" s="322">
        <f t="shared" si="1"/>
        <v>0</v>
      </c>
      <c r="G8" s="323">
        <f t="shared" si="1"/>
        <v>14867951.26353313</v>
      </c>
    </row>
    <row r="11" spans="2:7" ht="18.75">
      <c r="B11" s="17" t="s">
        <v>192</v>
      </c>
    </row>
    <row r="12" spans="2:7" ht="15.75" thickBot="1"/>
    <row r="13" spans="2:7" ht="33.75" thickBot="1">
      <c r="B13" s="318" t="s">
        <v>23</v>
      </c>
      <c r="C13" s="319" t="s">
        <v>24</v>
      </c>
      <c r="D13" s="319" t="s">
        <v>25</v>
      </c>
      <c r="E13" s="319" t="s">
        <v>186</v>
      </c>
      <c r="F13" s="319" t="s">
        <v>187</v>
      </c>
      <c r="G13" s="319" t="s">
        <v>26</v>
      </c>
    </row>
    <row r="14" spans="2:7" ht="17.25" thickBot="1">
      <c r="B14" s="320" t="s">
        <v>188</v>
      </c>
      <c r="C14" s="321">
        <f>'Respondent Burden'!Y48</f>
        <v>8739731.2127136402</v>
      </c>
      <c r="D14" s="321">
        <f>'Respondent Burden'!AA48</f>
        <v>165400.18375747779</v>
      </c>
      <c r="E14" s="322">
        <f>'Respondent Burden'!Z48</f>
        <v>12808867.173489748</v>
      </c>
      <c r="F14" s="322">
        <v>0</v>
      </c>
      <c r="G14" s="323">
        <f>SUM(E14:F14)</f>
        <v>12808867.173489748</v>
      </c>
    </row>
    <row r="15" spans="2:7" ht="17.25" thickBot="1">
      <c r="B15" s="320" t="s">
        <v>189</v>
      </c>
      <c r="C15" s="321">
        <f>'Respondent Burden'!AB48</f>
        <v>21214918.336939886</v>
      </c>
      <c r="D15" s="321">
        <f>'Respondent Burden'!AD48</f>
        <v>221121.70109666424</v>
      </c>
      <c r="E15" s="322">
        <f>'Respondent Burden'!AC48</f>
        <v>15651904.300329398</v>
      </c>
      <c r="F15" s="322">
        <v>0</v>
      </c>
      <c r="G15" s="323">
        <f t="shared" ref="G15:G16" si="2">SUM(E15:F15)</f>
        <v>15651904.300329398</v>
      </c>
    </row>
    <row r="16" spans="2:7" ht="17.25" thickBot="1">
      <c r="B16" s="320" t="s">
        <v>190</v>
      </c>
      <c r="C16" s="321">
        <f>'Respondent Burden'!AE48</f>
        <v>21366747.800686926</v>
      </c>
      <c r="D16" s="321">
        <f>'Respondent Burden'!AG48</f>
        <v>222294.16201487969</v>
      </c>
      <c r="E16" s="322">
        <f>'Respondent Burden'!AF48</f>
        <v>15878710.057429992</v>
      </c>
      <c r="F16" s="322">
        <v>0</v>
      </c>
      <c r="G16" s="323">
        <f t="shared" si="2"/>
        <v>15878710.057429992</v>
      </c>
    </row>
    <row r="17" spans="2:7" ht="31.5" customHeight="1" thickBot="1">
      <c r="B17" s="320" t="s">
        <v>191</v>
      </c>
      <c r="C17" s="321">
        <f>AVERAGE(C14:C16)</f>
        <v>17107132.450113486</v>
      </c>
      <c r="D17" s="321">
        <f t="shared" ref="D17" si="3">AVERAGE(D14:D16)</f>
        <v>202938.68228967392</v>
      </c>
      <c r="E17" s="322">
        <f t="shared" ref="E17" si="4">AVERAGE(E14:E16)</f>
        <v>14779827.177083045</v>
      </c>
      <c r="F17" s="322">
        <f t="shared" ref="F17" si="5">AVERAGE(F14:F16)</f>
        <v>0</v>
      </c>
      <c r="G17" s="323">
        <f t="shared" ref="G17" si="6">AVERAGE(G14:G16)</f>
        <v>14779827.177083045</v>
      </c>
    </row>
    <row r="18" spans="2:7">
      <c r="G18" s="15"/>
    </row>
    <row r="20" spans="2:7" ht="18.75">
      <c r="B20" s="374" t="s">
        <v>349</v>
      </c>
      <c r="C20" s="374"/>
      <c r="D20" s="374"/>
      <c r="E20" s="374"/>
      <c r="F20" s="374"/>
      <c r="G20" s="374"/>
    </row>
    <row r="21" spans="2:7" ht="15.75" thickBot="1"/>
    <row r="22" spans="2:7" ht="33.75" thickBot="1">
      <c r="B22" s="318" t="s">
        <v>23</v>
      </c>
      <c r="C22" s="319" t="s">
        <v>24</v>
      </c>
      <c r="D22" s="319" t="s">
        <v>25</v>
      </c>
      <c r="E22" s="319" t="s">
        <v>186</v>
      </c>
      <c r="F22" s="319" t="s">
        <v>187</v>
      </c>
      <c r="G22" s="319" t="s">
        <v>26</v>
      </c>
    </row>
    <row r="23" spans="2:7" ht="17.25" thickBot="1">
      <c r="B23" s="320" t="s">
        <v>188</v>
      </c>
      <c r="C23" s="321">
        <f>C5</f>
        <v>8739279</v>
      </c>
      <c r="D23" s="321">
        <f t="shared" ref="D23:G23" si="7">D5</f>
        <v>166538</v>
      </c>
      <c r="E23" s="322">
        <f t="shared" si="7"/>
        <v>12896991.26</v>
      </c>
      <c r="F23" s="322">
        <f t="shared" si="7"/>
        <v>0</v>
      </c>
      <c r="G23" s="323">
        <f t="shared" si="7"/>
        <v>12896991.26</v>
      </c>
    </row>
    <row r="24" spans="2:7" ht="17.25" thickBot="1">
      <c r="B24" s="320" t="s">
        <v>189</v>
      </c>
      <c r="C24" s="321">
        <f t="shared" ref="C24:G25" si="8">C6</f>
        <v>21214466.336939886</v>
      </c>
      <c r="D24" s="321">
        <f t="shared" si="8"/>
        <v>222259.70109666424</v>
      </c>
      <c r="E24" s="322">
        <f t="shared" si="8"/>
        <v>15740028.386749398</v>
      </c>
      <c r="F24" s="322">
        <f t="shared" si="8"/>
        <v>0</v>
      </c>
      <c r="G24" s="323">
        <f t="shared" si="8"/>
        <v>15740028.386749398</v>
      </c>
    </row>
    <row r="25" spans="2:7" ht="17.25" thickBot="1">
      <c r="B25" s="320" t="s">
        <v>190</v>
      </c>
      <c r="C25" s="347">
        <f t="shared" si="8"/>
        <v>21366295.800686926</v>
      </c>
      <c r="D25" s="347">
        <f t="shared" si="8"/>
        <v>223432.16201487969</v>
      </c>
      <c r="E25" s="322">
        <f t="shared" si="8"/>
        <v>15966834.143849991</v>
      </c>
      <c r="F25" s="322">
        <f t="shared" si="8"/>
        <v>0</v>
      </c>
      <c r="G25" s="346">
        <f t="shared" si="8"/>
        <v>15966834.143849991</v>
      </c>
    </row>
    <row r="26" spans="2:7" ht="17.25" thickBot="1">
      <c r="B26" s="320" t="s">
        <v>38</v>
      </c>
      <c r="C26" s="321">
        <f>AVERAGE(C23:C25)</f>
        <v>17106680.379208937</v>
      </c>
      <c r="D26" s="321">
        <f t="shared" ref="D26:G26" si="9">AVERAGE(D23:D25)</f>
        <v>204076.62103718132</v>
      </c>
      <c r="E26" s="322">
        <f t="shared" si="9"/>
        <v>14867951.26353313</v>
      </c>
      <c r="F26" s="322">
        <f t="shared" si="9"/>
        <v>0</v>
      </c>
      <c r="G26" s="323">
        <f t="shared" si="9"/>
        <v>14867951.26353313</v>
      </c>
    </row>
    <row r="27" spans="2:7" ht="33.75" thickBot="1">
      <c r="B27" s="320" t="s">
        <v>347</v>
      </c>
      <c r="C27" s="321">
        <v>452</v>
      </c>
      <c r="D27" s="321">
        <v>-1138</v>
      </c>
      <c r="E27" s="322">
        <v>-88124</v>
      </c>
      <c r="F27" s="322">
        <v>0</v>
      </c>
      <c r="G27" s="323">
        <v>-88124</v>
      </c>
    </row>
    <row r="28" spans="2:7" ht="17.25" thickBot="1">
      <c r="B28" s="320" t="s">
        <v>348</v>
      </c>
      <c r="C28" s="321">
        <f>C26+C27</f>
        <v>17107132.379208937</v>
      </c>
      <c r="D28" s="321">
        <f t="shared" ref="D28:G28" si="10">D26+D27</f>
        <v>202938.62103718132</v>
      </c>
      <c r="E28" s="322">
        <f t="shared" si="10"/>
        <v>14779827.26353313</v>
      </c>
      <c r="F28" s="322">
        <f t="shared" si="10"/>
        <v>0</v>
      </c>
      <c r="G28" s="323">
        <f t="shared" si="10"/>
        <v>14779827.26353313</v>
      </c>
    </row>
  </sheetData>
  <mergeCells count="1">
    <mergeCell ref="B20:G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D210A-C49A-49BF-BEAC-A73736783A2A}">
  <sheetPr>
    <pageSetUpPr fitToPage="1"/>
  </sheetPr>
  <dimension ref="A1:AH35"/>
  <sheetViews>
    <sheetView topLeftCell="B3" zoomScale="80" zoomScaleNormal="80" workbookViewId="0">
      <selection activeCell="E2" sqref="E2"/>
    </sheetView>
  </sheetViews>
  <sheetFormatPr defaultColWidth="9.140625" defaultRowHeight="15"/>
  <cols>
    <col min="1" max="1" width="22.5703125" customWidth="1"/>
    <col min="2" max="2" width="73.85546875" customWidth="1"/>
    <col min="3" max="3" width="20.7109375" customWidth="1"/>
    <col min="4" max="11" width="21.7109375" customWidth="1"/>
    <col min="12" max="13" width="14.5703125" customWidth="1"/>
    <col min="14" max="15" width="15.7109375" customWidth="1"/>
    <col min="16" max="16" width="18.5703125" customWidth="1"/>
    <col min="17" max="19" width="15.7109375" customWidth="1"/>
    <col min="22" max="22" width="25" customWidth="1"/>
    <col min="23" max="23" width="21.140625" customWidth="1"/>
    <col min="24" max="24" width="13.42578125" customWidth="1"/>
    <col min="26" max="26" width="12.7109375" customWidth="1"/>
    <col min="27" max="27" width="15.28515625" customWidth="1"/>
    <col min="28" max="28" width="13.140625" customWidth="1"/>
    <col min="29" max="29" width="11.5703125" customWidth="1"/>
    <col min="30" max="30" width="13.5703125" customWidth="1"/>
    <col min="34" max="34" width="11.140625" bestFit="1" customWidth="1"/>
  </cols>
  <sheetData>
    <row r="1" spans="2:31" ht="23.25">
      <c r="B1" s="1" t="s">
        <v>0</v>
      </c>
      <c r="F1" s="328" t="s">
        <v>1</v>
      </c>
      <c r="N1" s="2"/>
    </row>
    <row r="2" spans="2:31">
      <c r="B2" s="131" t="s">
        <v>227</v>
      </c>
      <c r="N2" s="2"/>
    </row>
    <row r="3" spans="2:31" ht="23.25">
      <c r="B3" s="3" t="s">
        <v>228</v>
      </c>
      <c r="N3" s="2"/>
    </row>
    <row r="4" spans="2:31">
      <c r="B4" s="375"/>
      <c r="C4" s="375"/>
      <c r="D4" s="375"/>
      <c r="E4" s="375"/>
      <c r="F4" s="375"/>
      <c r="G4" s="375"/>
      <c r="H4" s="375"/>
      <c r="I4" s="375"/>
      <c r="J4" s="375"/>
      <c r="K4" s="375"/>
      <c r="L4" s="375"/>
      <c r="M4" s="375"/>
      <c r="N4" s="375"/>
    </row>
    <row r="5" spans="2:31" ht="19.5" thickBot="1">
      <c r="B5" s="4" t="s">
        <v>3</v>
      </c>
    </row>
    <row r="6" spans="2:31" ht="18.75">
      <c r="B6" s="142"/>
      <c r="C6" s="143" t="s">
        <v>4</v>
      </c>
      <c r="D6" s="144" t="s">
        <v>5</v>
      </c>
    </row>
    <row r="7" spans="2:31">
      <c r="B7" s="298" t="s">
        <v>6</v>
      </c>
      <c r="C7" s="34"/>
      <c r="D7" s="176">
        <v>1.6</v>
      </c>
      <c r="E7" t="s">
        <v>229</v>
      </c>
      <c r="I7" s="175"/>
      <c r="J7" s="175"/>
      <c r="K7" s="175"/>
      <c r="L7" s="175"/>
      <c r="M7" s="175"/>
      <c r="N7" s="175"/>
    </row>
    <row r="8" spans="2:31">
      <c r="B8" s="298" t="s">
        <v>230</v>
      </c>
      <c r="C8" s="36">
        <v>69.06</v>
      </c>
      <c r="D8" s="147">
        <f>C8*$D$7</f>
        <v>110.49600000000001</v>
      </c>
      <c r="E8" t="s">
        <v>231</v>
      </c>
      <c r="F8" s="175"/>
      <c r="G8" s="175"/>
      <c r="H8" s="175"/>
      <c r="I8" s="175"/>
      <c r="J8" s="175"/>
      <c r="K8" s="175"/>
      <c r="L8" s="175"/>
      <c r="M8" s="175"/>
      <c r="N8" s="175"/>
    </row>
    <row r="9" spans="2:31">
      <c r="B9" s="298" t="s">
        <v>232</v>
      </c>
      <c r="C9" s="36">
        <v>49.68</v>
      </c>
      <c r="D9" s="147">
        <f t="shared" ref="D9:D10" si="0">C9*$D$7</f>
        <v>79.488</v>
      </c>
      <c r="E9" t="s">
        <v>231</v>
      </c>
      <c r="F9" s="175"/>
      <c r="G9" s="175"/>
      <c r="H9" s="175"/>
      <c r="I9" s="175"/>
      <c r="J9" s="175"/>
      <c r="K9" s="175"/>
      <c r="L9" s="175"/>
      <c r="M9" s="175"/>
      <c r="N9" s="175"/>
    </row>
    <row r="10" spans="2:31">
      <c r="B10" s="299" t="s">
        <v>233</v>
      </c>
      <c r="C10" s="295">
        <v>34.86</v>
      </c>
      <c r="D10" s="296">
        <f t="shared" si="0"/>
        <v>55.776000000000003</v>
      </c>
      <c r="E10" t="s">
        <v>231</v>
      </c>
      <c r="F10" s="175"/>
      <c r="G10" s="175"/>
      <c r="H10" s="175"/>
      <c r="I10" s="175"/>
      <c r="J10" s="175"/>
      <c r="K10" s="175"/>
      <c r="L10" s="175"/>
      <c r="M10" s="175"/>
      <c r="N10" s="175"/>
    </row>
    <row r="11" spans="2:31" ht="15.75" thickBot="1">
      <c r="B11" s="300" t="s">
        <v>234</v>
      </c>
      <c r="C11" s="190"/>
      <c r="D11" s="191">
        <f>(164.13+96.91)/2</f>
        <v>130.51999999999998</v>
      </c>
      <c r="E11" t="s">
        <v>235</v>
      </c>
      <c r="F11" s="175"/>
      <c r="G11" s="175"/>
      <c r="H11" s="175"/>
      <c r="I11" s="175"/>
      <c r="J11" s="175"/>
      <c r="K11" s="175"/>
      <c r="L11" s="175"/>
      <c r="M11" s="175"/>
      <c r="N11" s="175"/>
    </row>
    <row r="13" spans="2:31" ht="18.75">
      <c r="B13" s="4" t="s">
        <v>236</v>
      </c>
    </row>
    <row r="14" spans="2:31" ht="15.75">
      <c r="B14" s="112" t="s">
        <v>237</v>
      </c>
      <c r="C14" s="112"/>
      <c r="D14" s="112"/>
      <c r="E14" s="112"/>
      <c r="F14" s="112"/>
      <c r="G14" s="112"/>
      <c r="H14" s="112"/>
      <c r="I14" s="112"/>
      <c r="J14" s="112"/>
    </row>
    <row r="15" spans="2:31" ht="15.6" customHeight="1">
      <c r="B15" s="112"/>
      <c r="C15" s="338" t="s">
        <v>28</v>
      </c>
      <c r="D15" s="338" t="s">
        <v>29</v>
      </c>
      <c r="E15" s="338" t="s">
        <v>30</v>
      </c>
      <c r="F15" s="376" t="s">
        <v>55</v>
      </c>
      <c r="G15" s="380" t="s">
        <v>238</v>
      </c>
      <c r="H15" s="381"/>
      <c r="I15" s="381"/>
      <c r="J15" s="382"/>
      <c r="K15" s="338" t="s">
        <v>28</v>
      </c>
      <c r="L15" s="338" t="s">
        <v>28</v>
      </c>
      <c r="M15" s="338" t="s">
        <v>28</v>
      </c>
      <c r="N15" s="338" t="s">
        <v>29</v>
      </c>
      <c r="O15" s="338" t="s">
        <v>29</v>
      </c>
      <c r="P15" s="338" t="s">
        <v>29</v>
      </c>
      <c r="Q15" s="338" t="s">
        <v>30</v>
      </c>
      <c r="R15" s="338" t="s">
        <v>30</v>
      </c>
      <c r="S15" s="338" t="s">
        <v>30</v>
      </c>
      <c r="V15" s="8"/>
      <c r="W15" t="s">
        <v>28</v>
      </c>
      <c r="X15" s="18" t="s">
        <v>28</v>
      </c>
      <c r="Y15" s="18" t="s">
        <v>28</v>
      </c>
      <c r="Z15" s="18" t="s">
        <v>29</v>
      </c>
      <c r="AA15" s="18" t="s">
        <v>29</v>
      </c>
      <c r="AB15" s="18" t="s">
        <v>29</v>
      </c>
      <c r="AC15" s="18" t="s">
        <v>30</v>
      </c>
      <c r="AD15" s="18" t="s">
        <v>30</v>
      </c>
      <c r="AE15" s="18" t="s">
        <v>30</v>
      </c>
    </row>
    <row r="16" spans="2:31" ht="15.75">
      <c r="B16" s="112"/>
      <c r="C16" s="338"/>
      <c r="D16" s="338"/>
      <c r="E16" s="338"/>
      <c r="F16" s="376"/>
      <c r="G16" s="332" t="s">
        <v>239</v>
      </c>
      <c r="H16" s="332" t="s">
        <v>159</v>
      </c>
      <c r="I16" s="332" t="s">
        <v>160</v>
      </c>
      <c r="J16" s="332" t="s">
        <v>240</v>
      </c>
      <c r="K16" s="338"/>
      <c r="L16" s="338"/>
      <c r="M16" s="338"/>
      <c r="N16" s="338"/>
      <c r="O16" s="338"/>
      <c r="P16" s="338"/>
      <c r="Q16" s="338"/>
      <c r="R16" s="338"/>
      <c r="S16" s="338"/>
      <c r="V16" s="8"/>
      <c r="X16" s="18"/>
      <c r="Y16" s="18"/>
      <c r="Z16" s="18"/>
      <c r="AA16" s="18"/>
      <c r="AB16" s="18"/>
      <c r="AC16" s="18"/>
      <c r="AD16" s="18"/>
      <c r="AE16" s="18"/>
    </row>
    <row r="17" spans="1:34" ht="45">
      <c r="B17" s="338" t="s">
        <v>52</v>
      </c>
      <c r="C17" s="338" t="s">
        <v>58</v>
      </c>
      <c r="D17" s="338" t="s">
        <v>58</v>
      </c>
      <c r="E17" s="338" t="s">
        <v>58</v>
      </c>
      <c r="F17" s="377"/>
      <c r="G17" s="174">
        <f>$D$8</f>
        <v>110.49600000000001</v>
      </c>
      <c r="H17" s="174">
        <f>$D$9</f>
        <v>79.488</v>
      </c>
      <c r="I17" s="174">
        <f>$D$10</f>
        <v>55.776000000000003</v>
      </c>
      <c r="J17" s="293">
        <f>$D$11</f>
        <v>130.51999999999998</v>
      </c>
      <c r="K17" s="338" t="s">
        <v>241</v>
      </c>
      <c r="L17" s="338" t="s">
        <v>242</v>
      </c>
      <c r="M17" s="338" t="s">
        <v>61</v>
      </c>
      <c r="N17" s="338" t="s">
        <v>241</v>
      </c>
      <c r="O17" s="338" t="s">
        <v>242</v>
      </c>
      <c r="P17" s="338" t="s">
        <v>61</v>
      </c>
      <c r="Q17" s="338" t="s">
        <v>241</v>
      </c>
      <c r="R17" s="338" t="s">
        <v>242</v>
      </c>
      <c r="S17" s="338" t="s">
        <v>61</v>
      </c>
      <c r="V17" s="177" t="s">
        <v>71</v>
      </c>
      <c r="W17" s="178" t="s">
        <v>72</v>
      </c>
      <c r="X17" s="178" t="s">
        <v>73</v>
      </c>
      <c r="Y17" s="178" t="s">
        <v>74</v>
      </c>
      <c r="Z17" s="178" t="s">
        <v>72</v>
      </c>
      <c r="AA17" s="178" t="s">
        <v>73</v>
      </c>
      <c r="AB17" s="178" t="s">
        <v>74</v>
      </c>
      <c r="AC17" s="178" t="s">
        <v>72</v>
      </c>
      <c r="AD17" s="178" t="s">
        <v>73</v>
      </c>
      <c r="AE17" s="178" t="s">
        <v>74</v>
      </c>
    </row>
    <row r="18" spans="1:34" ht="30">
      <c r="B18" s="255" t="s">
        <v>243</v>
      </c>
      <c r="C18" s="256">
        <f>SUM('Respondent Burden'!G37:G38)</f>
        <v>274.7683967842716</v>
      </c>
      <c r="D18" s="256">
        <f>SUM('Respondent Burden'!H37:H38)</f>
        <v>284.63457312862329</v>
      </c>
      <c r="E18" s="256">
        <f>SUM('Respondent Burden'!I37:I38)</f>
        <v>294.40198046914702</v>
      </c>
      <c r="F18" s="256">
        <v>1</v>
      </c>
      <c r="G18" s="256">
        <v>0</v>
      </c>
      <c r="H18" s="257">
        <f>15/60</f>
        <v>0.25</v>
      </c>
      <c r="I18" s="256">
        <v>0</v>
      </c>
      <c r="J18" s="256">
        <v>0</v>
      </c>
      <c r="K18" s="138">
        <f>C18*$F18*SUM($G18:$J18)</f>
        <v>68.6920991960679</v>
      </c>
      <c r="L18" s="139">
        <f t="shared" ref="L18:L23" si="1">K18*$D$9</f>
        <v>5460.1975808970456</v>
      </c>
      <c r="M18" s="140">
        <f>C18*F18</f>
        <v>274.7683967842716</v>
      </c>
      <c r="N18" s="297">
        <f>D18*$F18*SUM($G18:$J18)</f>
        <v>71.158643282155822</v>
      </c>
      <c r="O18" s="113">
        <f t="shared" ref="O18:O23" si="2">N18*$D$9</f>
        <v>5656.2582372120023</v>
      </c>
      <c r="P18" s="114">
        <f>D18*$F18</f>
        <v>284.63457312862329</v>
      </c>
      <c r="Q18" s="138">
        <f>E18*$F18*SUM($G18:$J18)</f>
        <v>73.600495117286755</v>
      </c>
      <c r="R18" s="139">
        <f t="shared" ref="R18:R23" si="3">Q18*$D$9</f>
        <v>5850.3561558828897</v>
      </c>
      <c r="S18" s="140">
        <f>E18*F18</f>
        <v>294.40198046914702</v>
      </c>
      <c r="V18" s="165" t="s">
        <v>76</v>
      </c>
      <c r="W18" s="164">
        <f>SUM(M18:M22)</f>
        <v>874.68339501466585</v>
      </c>
      <c r="X18" s="64">
        <f>SUM(L18:L22)</f>
        <v>25784.254480276046</v>
      </c>
      <c r="Y18" s="148">
        <f>SUM(K18:K22)</f>
        <v>324.37920793422967</v>
      </c>
      <c r="Z18" s="164">
        <f>SUM(P18:P22)</f>
        <v>904.92008908256287</v>
      </c>
      <c r="AA18" s="64">
        <f>SUM(O18:O22)</f>
        <v>26675.987762963487</v>
      </c>
      <c r="AB18" s="148">
        <f>SUM(N18:N22)</f>
        <v>335.59767213873147</v>
      </c>
      <c r="AC18" s="164">
        <f>SUM(S18:S22)</f>
        <v>934.8624559522259</v>
      </c>
      <c r="AD18" s="64">
        <f>SUM(R18:R22)</f>
        <v>27559.037816853714</v>
      </c>
      <c r="AE18" s="148">
        <f>SUM(Q18:Q22)</f>
        <v>346.70689685051468</v>
      </c>
    </row>
    <row r="19" spans="1:34" ht="30">
      <c r="B19" s="255" t="s">
        <v>244</v>
      </c>
      <c r="C19" s="256">
        <f>SUM('Respondent Burden'!G39:G40)</f>
        <v>54.953679356854323</v>
      </c>
      <c r="D19" s="256">
        <f>SUM('Respondent Burden'!H39:H40)</f>
        <v>56.926914625724649</v>
      </c>
      <c r="E19" s="256">
        <f>SUM('Respondent Burden'!I39:I40)</f>
        <v>58.880396093829404</v>
      </c>
      <c r="F19" s="256">
        <v>1</v>
      </c>
      <c r="G19" s="256">
        <v>0</v>
      </c>
      <c r="H19" s="256">
        <v>1</v>
      </c>
      <c r="I19" s="256">
        <v>0</v>
      </c>
      <c r="J19" s="256">
        <v>0</v>
      </c>
      <c r="K19" s="138">
        <f t="shared" ref="K19:K24" si="4">C19*$F19*SUM($G19:$J19)</f>
        <v>54.953679356854323</v>
      </c>
      <c r="L19" s="139">
        <f t="shared" si="1"/>
        <v>4368.1580647176361</v>
      </c>
      <c r="M19" s="140">
        <f t="shared" ref="M19:M24" si="5">C19*F19</f>
        <v>54.953679356854323</v>
      </c>
      <c r="N19" s="297">
        <f t="shared" ref="N19:N24" si="6">D19*$F19*SUM($G19:$J19)</f>
        <v>56.926914625724649</v>
      </c>
      <c r="O19" s="113">
        <f t="shared" si="2"/>
        <v>4525.0065897696013</v>
      </c>
      <c r="P19" s="114">
        <f t="shared" ref="P19:P24" si="7">D19*$F19</f>
        <v>56.926914625724649</v>
      </c>
      <c r="Q19" s="138">
        <f>E19*F19*H19</f>
        <v>58.880396093829404</v>
      </c>
      <c r="R19" s="139">
        <f t="shared" si="3"/>
        <v>4680.2849247063114</v>
      </c>
      <c r="S19" s="140">
        <f t="shared" ref="S19:S24" si="8">E19*F19</f>
        <v>58.880396093829404</v>
      </c>
      <c r="V19" s="165" t="s">
        <v>85</v>
      </c>
      <c r="W19" s="164">
        <f>M23</f>
        <v>20</v>
      </c>
      <c r="X19" s="64">
        <f>L23</f>
        <v>794.88</v>
      </c>
      <c r="Y19" s="148">
        <f>K23</f>
        <v>10</v>
      </c>
      <c r="Z19" s="164">
        <f>P23</f>
        <v>20</v>
      </c>
      <c r="AA19" s="64">
        <f>O23</f>
        <v>794.88</v>
      </c>
      <c r="AB19" s="148">
        <f>N23</f>
        <v>10</v>
      </c>
      <c r="AC19" s="164">
        <f>S23</f>
        <v>20</v>
      </c>
      <c r="AD19" s="64">
        <f>R23</f>
        <v>794.88</v>
      </c>
      <c r="AE19" s="148">
        <f>Q23</f>
        <v>10</v>
      </c>
    </row>
    <row r="20" spans="1:34" ht="30">
      <c r="B20" s="255" t="s">
        <v>245</v>
      </c>
      <c r="C20" s="258">
        <f>SUM('Respondent Burden'!G41:G42)</f>
        <v>172.19335213311004</v>
      </c>
      <c r="D20" s="258">
        <f>SUM('Respondent Burden'!H41:H42)</f>
        <v>178.00124743981553</v>
      </c>
      <c r="E20" s="258">
        <f>SUM('Respondent Burden'!I41:I42)</f>
        <v>183.75368173254282</v>
      </c>
      <c r="F20" s="258">
        <v>1</v>
      </c>
      <c r="G20" s="258">
        <v>0</v>
      </c>
      <c r="H20" s="259">
        <f>5/60</f>
        <v>8.3333333333333329E-2</v>
      </c>
      <c r="I20" s="256">
        <v>0</v>
      </c>
      <c r="J20" s="256">
        <v>0</v>
      </c>
      <c r="K20" s="138">
        <f t="shared" si="4"/>
        <v>14.349446011092503</v>
      </c>
      <c r="L20" s="139">
        <f t="shared" si="1"/>
        <v>1140.6087645297209</v>
      </c>
      <c r="M20" s="140">
        <f t="shared" si="5"/>
        <v>172.19335213311004</v>
      </c>
      <c r="N20" s="297">
        <f t="shared" si="6"/>
        <v>14.833437286651293</v>
      </c>
      <c r="O20" s="113">
        <f t="shared" si="2"/>
        <v>1179.080263041338</v>
      </c>
      <c r="P20" s="114">
        <f t="shared" si="7"/>
        <v>178.00124743981553</v>
      </c>
      <c r="Q20" s="138">
        <f>E20*F20*H20</f>
        <v>15.312806811045235</v>
      </c>
      <c r="R20" s="139">
        <f t="shared" si="3"/>
        <v>1217.1843877963636</v>
      </c>
      <c r="S20" s="140">
        <f t="shared" si="8"/>
        <v>183.75368173254282</v>
      </c>
      <c r="V20" s="211" t="s">
        <v>225</v>
      </c>
      <c r="W20" s="303">
        <f>M24</f>
        <v>1</v>
      </c>
      <c r="X20" s="304">
        <f>L24</f>
        <v>1817963.5199999998</v>
      </c>
      <c r="Y20" s="303">
        <f>K24</f>
        <v>15120</v>
      </c>
      <c r="Z20" s="303">
        <f>P24</f>
        <v>1</v>
      </c>
      <c r="AA20" s="304">
        <f>O24</f>
        <v>1817963.5199999998</v>
      </c>
      <c r="AB20" s="303">
        <f>N24</f>
        <v>15120</v>
      </c>
      <c r="AC20" s="303">
        <f>S24</f>
        <v>0.75</v>
      </c>
      <c r="AD20" s="304">
        <f>R24</f>
        <v>1363472.64</v>
      </c>
      <c r="AE20" s="303">
        <f>Q24</f>
        <v>11340</v>
      </c>
    </row>
    <row r="21" spans="1:34" ht="45">
      <c r="B21" s="255" t="s">
        <v>246</v>
      </c>
      <c r="C21" s="258">
        <f>SUM('Respondent Burden'!G43:G44)</f>
        <v>365.27264019225618</v>
      </c>
      <c r="D21" s="258">
        <f>SUM('Respondent Burden'!H43:H44)</f>
        <v>377.59289080797441</v>
      </c>
      <c r="E21" s="258">
        <f>SUM('Respondent Burden'!I43:I44)</f>
        <v>389.79549233473176</v>
      </c>
      <c r="F21" s="258">
        <v>1</v>
      </c>
      <c r="G21" s="258">
        <v>0</v>
      </c>
      <c r="H21" s="259">
        <f>30/60</f>
        <v>0.5</v>
      </c>
      <c r="I21" s="256">
        <v>0</v>
      </c>
      <c r="J21" s="256">
        <v>0</v>
      </c>
      <c r="K21" s="138">
        <f t="shared" si="4"/>
        <v>182.63632009612809</v>
      </c>
      <c r="L21" s="139">
        <f t="shared" si="1"/>
        <v>14517.395811801029</v>
      </c>
      <c r="M21" s="140">
        <f t="shared" si="5"/>
        <v>365.27264019225618</v>
      </c>
      <c r="N21" s="297">
        <f t="shared" si="6"/>
        <v>188.79644540398721</v>
      </c>
      <c r="O21" s="113">
        <f t="shared" si="2"/>
        <v>15007.051852272136</v>
      </c>
      <c r="P21" s="114">
        <f t="shared" si="7"/>
        <v>377.59289080797441</v>
      </c>
      <c r="Q21" s="138">
        <f>E21*F21*H21</f>
        <v>194.89774616736588</v>
      </c>
      <c r="R21" s="139">
        <f t="shared" si="3"/>
        <v>15492.032047351579</v>
      </c>
      <c r="S21" s="140">
        <f t="shared" si="8"/>
        <v>389.79549233473176</v>
      </c>
      <c r="V21" s="165" t="s">
        <v>201</v>
      </c>
      <c r="W21" s="280">
        <f t="shared" ref="W21:AE21" si="9">SUM(W18:W20)</f>
        <v>895.68339501466585</v>
      </c>
      <c r="X21" s="281">
        <f t="shared" si="9"/>
        <v>1844542.6544802759</v>
      </c>
      <c r="Y21" s="339">
        <f t="shared" si="9"/>
        <v>15454.379207934229</v>
      </c>
      <c r="Z21" s="280">
        <f t="shared" si="9"/>
        <v>925.92008908256287</v>
      </c>
      <c r="AA21" s="281">
        <f t="shared" si="9"/>
        <v>1845434.3877629633</v>
      </c>
      <c r="AB21" s="339">
        <f t="shared" si="9"/>
        <v>15465.597672138731</v>
      </c>
      <c r="AC21" s="280">
        <f t="shared" si="9"/>
        <v>955.6124559522259</v>
      </c>
      <c r="AD21" s="281">
        <f t="shared" si="9"/>
        <v>1391826.5578168535</v>
      </c>
      <c r="AE21" s="339">
        <f t="shared" si="9"/>
        <v>11696.706896850515</v>
      </c>
    </row>
    <row r="22" spans="1:34" ht="45">
      <c r="B22" s="260" t="s">
        <v>247</v>
      </c>
      <c r="C22" s="258">
        <f>SUM('Respondent Burden'!G45:G46)</f>
        <v>7.4953265481736446</v>
      </c>
      <c r="D22" s="258">
        <f>SUM('Respondent Burden'!H45:H46)</f>
        <v>7.7644630804249939</v>
      </c>
      <c r="E22" s="258">
        <f>SUM('Respondent Burden'!I45:I46)</f>
        <v>8.0309053219748208</v>
      </c>
      <c r="F22" s="258">
        <v>1</v>
      </c>
      <c r="G22" s="290">
        <v>0</v>
      </c>
      <c r="H22" s="261">
        <v>0.5</v>
      </c>
      <c r="I22" s="256">
        <v>0</v>
      </c>
      <c r="J22" s="256">
        <v>0</v>
      </c>
      <c r="K22" s="138">
        <f t="shared" si="4"/>
        <v>3.7476632740868223</v>
      </c>
      <c r="L22" s="139">
        <f t="shared" si="1"/>
        <v>297.89425833061335</v>
      </c>
      <c r="M22" s="140">
        <f t="shared" si="5"/>
        <v>7.4953265481736446</v>
      </c>
      <c r="N22" s="297">
        <f t="shared" si="6"/>
        <v>3.8822315402124969</v>
      </c>
      <c r="O22" s="113">
        <f t="shared" si="2"/>
        <v>308.59082066841097</v>
      </c>
      <c r="P22" s="114">
        <f t="shared" si="7"/>
        <v>7.7644630804249939</v>
      </c>
      <c r="Q22" s="138">
        <f>E22*F22*H22</f>
        <v>4.0154526609874104</v>
      </c>
      <c r="R22" s="139">
        <f t="shared" si="3"/>
        <v>319.18030111656725</v>
      </c>
      <c r="S22" s="140">
        <f t="shared" si="8"/>
        <v>8.0309053219748208</v>
      </c>
      <c r="V22" s="202" t="s">
        <v>94</v>
      </c>
      <c r="W22" s="203">
        <f>O34</f>
        <v>3</v>
      </c>
      <c r="X22" s="204">
        <f>Q34</f>
        <v>-141.19200000000001</v>
      </c>
      <c r="Y22" s="205">
        <f>P34</f>
        <v>-2</v>
      </c>
      <c r="Z22" s="203">
        <f>$W$22</f>
        <v>3</v>
      </c>
      <c r="AA22" s="204">
        <f>$X$22</f>
        <v>-141.19200000000001</v>
      </c>
      <c r="AB22" s="205">
        <f>$Y$22</f>
        <v>-2</v>
      </c>
      <c r="AC22" s="203">
        <f>$W$22</f>
        <v>3</v>
      </c>
      <c r="AD22" s="204">
        <f>$X$22</f>
        <v>-141.19200000000001</v>
      </c>
      <c r="AE22" s="205">
        <f>$Y$22</f>
        <v>-2</v>
      </c>
      <c r="AG22" t="s">
        <v>248</v>
      </c>
      <c r="AH22" s="9">
        <f>AVERAGE(X23,AA23,AD23)</f>
        <v>1693793.3413533643</v>
      </c>
    </row>
    <row r="23" spans="1:34" ht="30" customHeight="1">
      <c r="B23" s="262" t="s">
        <v>249</v>
      </c>
      <c r="C23" s="256">
        <f>'Respondent Burden'!G71</f>
        <v>20</v>
      </c>
      <c r="D23" s="256">
        <f>'Respondent Burden'!H71</f>
        <v>20</v>
      </c>
      <c r="E23" s="256">
        <f>'Respondent Burden'!I71</f>
        <v>20</v>
      </c>
      <c r="F23" s="256">
        <v>1</v>
      </c>
      <c r="G23" s="287">
        <v>0</v>
      </c>
      <c r="H23" s="261">
        <v>0.5</v>
      </c>
      <c r="I23" s="256">
        <v>0</v>
      </c>
      <c r="J23" s="256">
        <v>0</v>
      </c>
      <c r="K23" s="138">
        <f t="shared" si="4"/>
        <v>10</v>
      </c>
      <c r="L23" s="139">
        <f t="shared" si="1"/>
        <v>794.88</v>
      </c>
      <c r="M23" s="140">
        <f t="shared" si="5"/>
        <v>20</v>
      </c>
      <c r="N23" s="297">
        <f t="shared" si="6"/>
        <v>10</v>
      </c>
      <c r="O23" s="113">
        <f t="shared" si="2"/>
        <v>794.88</v>
      </c>
      <c r="P23" s="114">
        <f t="shared" si="7"/>
        <v>20</v>
      </c>
      <c r="Q23" s="138">
        <f>E23*F23*H23</f>
        <v>10</v>
      </c>
      <c r="R23" s="139">
        <f t="shared" si="3"/>
        <v>794.88</v>
      </c>
      <c r="S23" s="140">
        <f t="shared" si="8"/>
        <v>20</v>
      </c>
      <c r="V23" s="57" t="s">
        <v>250</v>
      </c>
      <c r="W23" s="58">
        <f t="shared" ref="W23:AE23" si="10">SUM(W18:W20)+W22</f>
        <v>898.68339501466585</v>
      </c>
      <c r="X23" s="201">
        <f t="shared" si="10"/>
        <v>1844401.4624802759</v>
      </c>
      <c r="Y23" s="58">
        <f t="shared" si="10"/>
        <v>15452.379207934229</v>
      </c>
      <c r="Z23" s="58">
        <f t="shared" si="10"/>
        <v>928.92008908256287</v>
      </c>
      <c r="AA23" s="201">
        <f t="shared" si="10"/>
        <v>1845293.1957629633</v>
      </c>
      <c r="AB23" s="58">
        <f t="shared" si="10"/>
        <v>15463.597672138731</v>
      </c>
      <c r="AC23" s="58">
        <f t="shared" si="10"/>
        <v>958.6124559522259</v>
      </c>
      <c r="AD23" s="201">
        <f t="shared" si="10"/>
        <v>1391685.3658168535</v>
      </c>
      <c r="AE23" s="58">
        <f t="shared" si="10"/>
        <v>11694.706896850515</v>
      </c>
      <c r="AG23" t="s">
        <v>251</v>
      </c>
      <c r="AH23" s="9">
        <f>AH22+'Respondent Burden'!AL38</f>
        <v>1694430.8414872279</v>
      </c>
    </row>
    <row r="24" spans="1:34">
      <c r="B24" s="262" t="s">
        <v>252</v>
      </c>
      <c r="C24" s="302">
        <v>1</v>
      </c>
      <c r="D24" s="302">
        <v>1</v>
      </c>
      <c r="E24" s="257">
        <v>0.75</v>
      </c>
      <c r="F24" s="287">
        <v>1</v>
      </c>
      <c r="G24" s="287">
        <v>120</v>
      </c>
      <c r="H24" s="287">
        <v>3000</v>
      </c>
      <c r="I24" s="256">
        <v>0</v>
      </c>
      <c r="J24" s="287">
        <v>12000</v>
      </c>
      <c r="K24" s="138">
        <f t="shared" si="4"/>
        <v>15120</v>
      </c>
      <c r="L24" s="289">
        <f>($G$24*$G$17+$H$24*$H$17+$I$24*$I$17+$J$24*$J$17)*C24</f>
        <v>1817963.5199999998</v>
      </c>
      <c r="M24" s="140">
        <f t="shared" si="5"/>
        <v>1</v>
      </c>
      <c r="N24" s="297">
        <f t="shared" si="6"/>
        <v>15120</v>
      </c>
      <c r="O24" s="301">
        <f>($G$24*$G$17+$H$24*$H$17+$I$24*$I$17+$J$24*$J$17)*D24</f>
        <v>1817963.5199999998</v>
      </c>
      <c r="P24" s="114">
        <f t="shared" si="7"/>
        <v>1</v>
      </c>
      <c r="Q24" s="288">
        <f>E24*$F24*SUM($G24:$J24)</f>
        <v>11340</v>
      </c>
      <c r="R24" s="289">
        <f>($G$24*$G$17+$H$24*$H$17+$I$24*$I$17+$J$24*$J$17)*E24</f>
        <v>1363472.64</v>
      </c>
      <c r="S24" s="140">
        <f t="shared" si="8"/>
        <v>0.75</v>
      </c>
      <c r="X24" s="15">
        <f>AVERAGE(X23,AA23,AD23)</f>
        <v>1693793.3413533643</v>
      </c>
      <c r="Y24" s="9">
        <f>AVERAGE(Y23,AB23,AE23)</f>
        <v>14203.561258974491</v>
      </c>
    </row>
    <row r="25" spans="1:34">
      <c r="B25" s="116" t="s">
        <v>253</v>
      </c>
      <c r="C25" s="117">
        <f>SUM(C18:C24)</f>
        <v>895.68339501466585</v>
      </c>
      <c r="D25" s="117">
        <f t="shared" ref="D25:S25" si="11">SUM(D18:D24)</f>
        <v>925.92008908256287</v>
      </c>
      <c r="E25" s="117">
        <f t="shared" si="11"/>
        <v>955.6124559522259</v>
      </c>
      <c r="F25" s="117">
        <f t="shared" si="11"/>
        <v>7</v>
      </c>
      <c r="G25" s="117">
        <f t="shared" si="11"/>
        <v>120</v>
      </c>
      <c r="H25" s="117">
        <f t="shared" si="11"/>
        <v>3002.8333333333335</v>
      </c>
      <c r="I25" s="117">
        <f t="shared" si="11"/>
        <v>0</v>
      </c>
      <c r="J25" s="117"/>
      <c r="K25" s="117">
        <f t="shared" si="11"/>
        <v>15454.379207934229</v>
      </c>
      <c r="L25" s="118">
        <f>SUM(L18:L24)</f>
        <v>1844542.6544802759</v>
      </c>
      <c r="M25" s="117">
        <f t="shared" si="11"/>
        <v>895.68339501466585</v>
      </c>
      <c r="N25" s="117">
        <f t="shared" si="11"/>
        <v>15465.597672138731</v>
      </c>
      <c r="O25" s="118">
        <f>SUM(O18:O24)</f>
        <v>1845434.3877629633</v>
      </c>
      <c r="P25" s="117">
        <f t="shared" si="11"/>
        <v>925.92008908256287</v>
      </c>
      <c r="Q25" s="117">
        <f t="shared" si="11"/>
        <v>11696.706896850515</v>
      </c>
      <c r="R25" s="118">
        <f>SUM(R18:R24)</f>
        <v>1391826.5578168535</v>
      </c>
      <c r="S25" s="117">
        <f t="shared" si="11"/>
        <v>955.6124559522259</v>
      </c>
      <c r="X25" s="15"/>
      <c r="Y25" s="9"/>
    </row>
    <row r="26" spans="1:34">
      <c r="B26" s="2"/>
      <c r="I26" s="10"/>
      <c r="J26" s="10"/>
      <c r="L26" s="115"/>
      <c r="W26" t="s">
        <v>254</v>
      </c>
      <c r="X26" s="15">
        <f>X24+'Respondent Burden'!Z50</f>
        <v>1693793.3413533643</v>
      </c>
      <c r="Z26" s="9"/>
    </row>
    <row r="27" spans="1:34">
      <c r="L27" s="115"/>
      <c r="W27" s="9">
        <f>AVERAGE(W22,Z22,AC22)</f>
        <v>3</v>
      </c>
      <c r="X27" s="9">
        <f t="shared" ref="X27:Y27" si="12">AVERAGE(X22,AA22,AD22)</f>
        <v>-141.19200000000001</v>
      </c>
      <c r="Y27" s="9">
        <f t="shared" si="12"/>
        <v>-2</v>
      </c>
      <c r="Z27" s="9"/>
    </row>
    <row r="28" spans="1:34" ht="14.45" customHeight="1">
      <c r="A28" s="365" t="s">
        <v>50</v>
      </c>
      <c r="B28" s="365" t="s">
        <v>52</v>
      </c>
      <c r="C28" s="378"/>
      <c r="D28" s="291"/>
      <c r="E28" s="291"/>
      <c r="F28" s="292"/>
      <c r="G28" s="383" t="s">
        <v>152</v>
      </c>
      <c r="H28" s="384"/>
      <c r="I28" s="384"/>
      <c r="J28" s="385"/>
      <c r="K28" s="352" t="s">
        <v>153</v>
      </c>
      <c r="L28" s="352" t="s">
        <v>255</v>
      </c>
      <c r="M28" s="352" t="s">
        <v>256</v>
      </c>
      <c r="N28" s="352" t="s">
        <v>257</v>
      </c>
      <c r="O28" s="383" t="s">
        <v>157</v>
      </c>
      <c r="P28" s="384"/>
      <c r="Q28" s="385"/>
      <c r="V28" s="5"/>
      <c r="W28" s="26"/>
      <c r="X28" s="26"/>
      <c r="Y28" s="26"/>
      <c r="Z28" s="26"/>
      <c r="AA28" s="26"/>
      <c r="AB28" s="26"/>
      <c r="AC28" s="26"/>
      <c r="AD28" s="26"/>
      <c r="AE28" s="26"/>
    </row>
    <row r="29" spans="1:34" ht="14.45" customHeight="1">
      <c r="A29" s="365"/>
      <c r="B29" s="365"/>
      <c r="C29" s="378"/>
      <c r="D29" s="291"/>
      <c r="E29" s="291"/>
      <c r="F29" s="291"/>
      <c r="G29" s="332" t="s">
        <v>239</v>
      </c>
      <c r="H29" s="332" t="s">
        <v>159</v>
      </c>
      <c r="I29" s="332" t="s">
        <v>160</v>
      </c>
      <c r="J29" s="332" t="s">
        <v>240</v>
      </c>
      <c r="K29" s="379"/>
      <c r="L29" s="379"/>
      <c r="M29" s="379"/>
      <c r="N29" s="379"/>
      <c r="O29" s="352" t="s">
        <v>258</v>
      </c>
      <c r="P29" s="352" t="s">
        <v>59</v>
      </c>
      <c r="Q29" s="352" t="s">
        <v>162</v>
      </c>
      <c r="V29" s="27" t="s">
        <v>100</v>
      </c>
      <c r="W29" t="s">
        <v>28</v>
      </c>
      <c r="X29" t="s">
        <v>28</v>
      </c>
      <c r="Y29" s="5" t="s">
        <v>29</v>
      </c>
      <c r="Z29" s="5" t="s">
        <v>29</v>
      </c>
      <c r="AA29" t="s">
        <v>30</v>
      </c>
      <c r="AB29" t="s">
        <v>30</v>
      </c>
    </row>
    <row r="30" spans="1:34" ht="29.1" customHeight="1">
      <c r="A30" s="365"/>
      <c r="B30" s="365"/>
      <c r="C30" s="378"/>
      <c r="D30" s="291"/>
      <c r="E30" s="291"/>
      <c r="F30" s="291"/>
      <c r="G30" s="174">
        <f>$D$8</f>
        <v>110.49600000000001</v>
      </c>
      <c r="H30" s="174">
        <f>$D$9</f>
        <v>79.488</v>
      </c>
      <c r="I30" s="174">
        <f>$D$10</f>
        <v>55.776000000000003</v>
      </c>
      <c r="J30" s="294">
        <f>$D$11</f>
        <v>130.51999999999998</v>
      </c>
      <c r="K30" s="353"/>
      <c r="L30" s="353"/>
      <c r="M30" s="353"/>
      <c r="N30" s="353"/>
      <c r="O30" s="353"/>
      <c r="P30" s="353"/>
      <c r="Q30" s="353"/>
      <c r="V30" s="47" t="s">
        <v>103</v>
      </c>
      <c r="W30" s="149" t="s">
        <v>104</v>
      </c>
      <c r="X30" s="149" t="s">
        <v>259</v>
      </c>
      <c r="Y30" s="149" t="s">
        <v>104</v>
      </c>
      <c r="Z30" s="149" t="s">
        <v>259</v>
      </c>
      <c r="AA30" s="149" t="s">
        <v>104</v>
      </c>
      <c r="AB30" s="149" t="s">
        <v>259</v>
      </c>
    </row>
    <row r="31" spans="1:34" ht="30">
      <c r="A31" s="364" t="s">
        <v>171</v>
      </c>
      <c r="B31" s="159" t="s">
        <v>260</v>
      </c>
      <c r="C31" s="160"/>
      <c r="D31" s="291"/>
      <c r="E31" s="291"/>
      <c r="F31" s="291"/>
      <c r="G31" s="154">
        <v>0</v>
      </c>
      <c r="H31" s="154">
        <v>-0.5</v>
      </c>
      <c r="I31" s="154">
        <v>0</v>
      </c>
      <c r="J31" s="154">
        <v>0</v>
      </c>
      <c r="K31" s="154">
        <f>SUM(G31:J31)</f>
        <v>-0.5</v>
      </c>
      <c r="L31" s="155">
        <f>(G31*$G$30)+(H31*$H$30)+(I31*$I$30)</f>
        <v>-39.744</v>
      </c>
      <c r="M31" s="155">
        <v>0</v>
      </c>
      <c r="N31" s="155">
        <v>0</v>
      </c>
      <c r="O31" s="154">
        <v>1</v>
      </c>
      <c r="P31" s="154">
        <f>O31*K31</f>
        <v>-0.5</v>
      </c>
      <c r="Q31" s="28">
        <f>(L31+M31+N31)*O31</f>
        <v>-39.744</v>
      </c>
      <c r="V31" s="165" t="s">
        <v>76</v>
      </c>
      <c r="W31" s="63">
        <f>Y18/W18</f>
        <v>0.37085328220823349</v>
      </c>
      <c r="X31" s="64">
        <f>X18/W18</f>
        <v>29.478385696168065</v>
      </c>
      <c r="Y31" s="63">
        <f>AB18/Z18</f>
        <v>0.37085890366183738</v>
      </c>
      <c r="Z31" s="64">
        <f>AA18/Z18</f>
        <v>29.478832534272129</v>
      </c>
      <c r="AA31" s="63">
        <f>AE18/AC18</f>
        <v>0.37086407165358704</v>
      </c>
      <c r="AB31" s="64">
        <f>AD18/AC18</f>
        <v>29.479243327600329</v>
      </c>
    </row>
    <row r="32" spans="1:34" ht="30">
      <c r="A32" s="364"/>
      <c r="B32" s="159" t="s">
        <v>261</v>
      </c>
      <c r="C32" s="160"/>
      <c r="D32" s="291"/>
      <c r="E32" s="291"/>
      <c r="F32" s="291"/>
      <c r="G32" s="154">
        <v>0</v>
      </c>
      <c r="H32" s="154">
        <v>-0.5</v>
      </c>
      <c r="I32" s="154">
        <v>-0.5</v>
      </c>
      <c r="J32" s="154">
        <v>0</v>
      </c>
      <c r="K32" s="154">
        <f>SUM(G32:J32)</f>
        <v>-1</v>
      </c>
      <c r="L32" s="155">
        <f>(G32*$G$30)+(H32*$H$30)+(I32*$I$30)</f>
        <v>-67.632000000000005</v>
      </c>
      <c r="M32" s="155">
        <v>0</v>
      </c>
      <c r="N32" s="155">
        <v>0</v>
      </c>
      <c r="O32" s="154">
        <v>1</v>
      </c>
      <c r="P32" s="154">
        <f t="shared" ref="P32:P33" si="13">O32*K32</f>
        <v>-1</v>
      </c>
      <c r="Q32" s="28">
        <f t="shared" ref="Q32:Q33" si="14">(L32+M32+N32)*O32</f>
        <v>-67.632000000000005</v>
      </c>
      <c r="V32" s="165" t="s">
        <v>85</v>
      </c>
      <c r="W32" s="63">
        <f>Y19/W19</f>
        <v>0.5</v>
      </c>
      <c r="X32" s="64">
        <f>X19/W19</f>
        <v>39.744</v>
      </c>
      <c r="Y32" s="63">
        <f>AB19/Z19</f>
        <v>0.5</v>
      </c>
      <c r="Z32" s="64">
        <f>AA19/Z19</f>
        <v>39.744</v>
      </c>
      <c r="AA32" s="63">
        <f>AE19/AC19</f>
        <v>0.5</v>
      </c>
      <c r="AB32" s="64">
        <f>AD19/AC19</f>
        <v>39.744</v>
      </c>
    </row>
    <row r="33" spans="1:28">
      <c r="A33" s="386"/>
      <c r="B33" s="306" t="s">
        <v>262</v>
      </c>
      <c r="C33" s="307"/>
      <c r="D33" s="291"/>
      <c r="E33" s="291"/>
      <c r="F33" s="291"/>
      <c r="G33" s="154">
        <v>0</v>
      </c>
      <c r="H33" s="154">
        <v>-0.25</v>
      </c>
      <c r="I33" s="154">
        <v>-0.25</v>
      </c>
      <c r="J33" s="154">
        <v>0</v>
      </c>
      <c r="K33" s="154">
        <f>SUM(G33:J33)</f>
        <v>-0.5</v>
      </c>
      <c r="L33" s="155">
        <f>(G33*$G$30)+(H33*$H$30)+(I33*$I$30)</f>
        <v>-33.816000000000003</v>
      </c>
      <c r="M33" s="155">
        <v>0</v>
      </c>
      <c r="N33" s="155">
        <v>0</v>
      </c>
      <c r="O33" s="154">
        <v>1</v>
      </c>
      <c r="P33" s="154">
        <f t="shared" si="13"/>
        <v>-0.5</v>
      </c>
      <c r="Q33" s="28">
        <f t="shared" si="14"/>
        <v>-33.816000000000003</v>
      </c>
      <c r="V33" s="211" t="s">
        <v>225</v>
      </c>
      <c r="W33" s="63">
        <f>Y20/W20</f>
        <v>15120</v>
      </c>
      <c r="X33" s="64">
        <f>X20/W20</f>
        <v>1817963.5199999998</v>
      </c>
      <c r="Y33" s="63">
        <f>AB20/Z20</f>
        <v>15120</v>
      </c>
      <c r="Z33" s="64">
        <f>AA20/Z20</f>
        <v>1817963.5199999998</v>
      </c>
      <c r="AA33" s="63">
        <f>AE20/AC20</f>
        <v>15120</v>
      </c>
      <c r="AB33" s="64">
        <f>AD20/AC20</f>
        <v>1817963.5199999998</v>
      </c>
    </row>
    <row r="34" spans="1:28" ht="30">
      <c r="A34" s="308"/>
      <c r="B34" s="309"/>
      <c r="C34" s="309"/>
      <c r="D34" s="308"/>
      <c r="E34" s="308"/>
      <c r="F34" s="308"/>
      <c r="G34" s="305">
        <f>SUM(G31:G33)</f>
        <v>0</v>
      </c>
      <c r="H34" s="117">
        <f>SUM(H31:H33)</f>
        <v>-1.25</v>
      </c>
      <c r="I34" s="117">
        <f t="shared" ref="I34:Q34" si="15">SUM(I31:I33)</f>
        <v>-0.75</v>
      </c>
      <c r="J34" s="117">
        <f t="shared" si="15"/>
        <v>0</v>
      </c>
      <c r="K34" s="117">
        <f t="shared" si="15"/>
        <v>-2</v>
      </c>
      <c r="L34" s="117">
        <f t="shared" si="15"/>
        <v>-141.19200000000001</v>
      </c>
      <c r="M34" s="117">
        <f t="shared" si="15"/>
        <v>0</v>
      </c>
      <c r="N34" s="117">
        <f t="shared" si="15"/>
        <v>0</v>
      </c>
      <c r="O34" s="117">
        <f t="shared" si="15"/>
        <v>3</v>
      </c>
      <c r="P34" s="117">
        <f t="shared" si="15"/>
        <v>-2</v>
      </c>
      <c r="Q34" s="118">
        <f t="shared" si="15"/>
        <v>-141.19200000000001</v>
      </c>
      <c r="V34" s="202" t="s">
        <v>94</v>
      </c>
      <c r="W34" s="206">
        <f>Y22/W22</f>
        <v>-0.66666666666666663</v>
      </c>
      <c r="X34" s="204">
        <f>X22/W22</f>
        <v>-47.064</v>
      </c>
      <c r="Y34" s="206">
        <f>AB22/Z22</f>
        <v>-0.66666666666666663</v>
      </c>
      <c r="Z34" s="204">
        <f>AA22/Z22</f>
        <v>-47.064</v>
      </c>
      <c r="AA34" s="206">
        <f>AE22/AC22</f>
        <v>-0.66666666666666663</v>
      </c>
      <c r="AB34" s="204">
        <f>AD22/AC22</f>
        <v>-47.064</v>
      </c>
    </row>
    <row r="35" spans="1:28">
      <c r="V35" s="48" t="s">
        <v>263</v>
      </c>
      <c r="W35" s="63">
        <f>Y23/W23</f>
        <v>17.194463916496485</v>
      </c>
      <c r="X35" s="64">
        <f>X23/W23</f>
        <v>2052.33731112855</v>
      </c>
      <c r="Y35" s="63">
        <f>AB23/Z23</f>
        <v>16.646854615245939</v>
      </c>
      <c r="Z35" s="64">
        <f>AA23/Z23</f>
        <v>1986.4929367449095</v>
      </c>
      <c r="AA35" s="63">
        <f>AE23/AC23</f>
        <v>12.199619172727859</v>
      </c>
      <c r="AB35" s="64">
        <f>AD23/AC23</f>
        <v>1451.7705848443622</v>
      </c>
    </row>
  </sheetData>
  <mergeCells count="16">
    <mergeCell ref="O29:O30"/>
    <mergeCell ref="P29:P30"/>
    <mergeCell ref="Q29:Q30"/>
    <mergeCell ref="O28:Q28"/>
    <mergeCell ref="A31:A33"/>
    <mergeCell ref="B4:N4"/>
    <mergeCell ref="F15:F17"/>
    <mergeCell ref="A28:A30"/>
    <mergeCell ref="C28:C30"/>
    <mergeCell ref="B28:B30"/>
    <mergeCell ref="L28:L30"/>
    <mergeCell ref="M28:M30"/>
    <mergeCell ref="N28:N30"/>
    <mergeCell ref="K28:K30"/>
    <mergeCell ref="G15:J15"/>
    <mergeCell ref="G28:J28"/>
  </mergeCells>
  <pageMargins left="0.7" right="0.7" top="0.75" bottom="0.75" header="0.3" footer="0.3"/>
  <pageSetup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E5F58-A3A9-4266-BF5B-A473C7D0BF8A}">
  <dimension ref="A1:Z53"/>
  <sheetViews>
    <sheetView topLeftCell="P1" workbookViewId="0">
      <selection activeCell="F1" sqref="F1"/>
    </sheetView>
  </sheetViews>
  <sheetFormatPr defaultRowHeight="15"/>
  <cols>
    <col min="2" max="2" width="11.140625" customWidth="1"/>
    <col min="3" max="3" width="11.5703125" customWidth="1"/>
    <col min="6" max="6" width="9.5703125" bestFit="1" customWidth="1"/>
    <col min="12" max="12" width="9.5703125" bestFit="1" customWidth="1"/>
    <col min="13" max="14" width="10.85546875" bestFit="1" customWidth="1"/>
    <col min="18" max="18" width="42.7109375" customWidth="1"/>
    <col min="19" max="19" width="13.28515625" bestFit="1" customWidth="1"/>
    <col min="20" max="20" width="10.28515625" bestFit="1" customWidth="1"/>
    <col min="21" max="21" width="12.5703125" bestFit="1" customWidth="1"/>
    <col min="24" max="24" width="30.5703125" customWidth="1"/>
    <col min="25" max="25" width="10.85546875" customWidth="1"/>
    <col min="26" max="26" width="10.7109375" bestFit="1" customWidth="1"/>
  </cols>
  <sheetData>
    <row r="1" spans="1:26" ht="16.5" thickBot="1">
      <c r="A1" t="s">
        <v>193</v>
      </c>
      <c r="F1" s="328" t="s">
        <v>1</v>
      </c>
      <c r="R1" t="s">
        <v>194</v>
      </c>
      <c r="X1" t="s">
        <v>195</v>
      </c>
    </row>
    <row r="2" spans="1:26" ht="36.75" customHeight="1" thickBot="1">
      <c r="B2" s="391" t="s">
        <v>196</v>
      </c>
      <c r="C2" s="391" t="s">
        <v>197</v>
      </c>
      <c r="D2" s="391" t="s">
        <v>52</v>
      </c>
      <c r="E2" s="391" t="s">
        <v>54</v>
      </c>
      <c r="F2" s="396" t="s">
        <v>198</v>
      </c>
      <c r="G2" s="397"/>
      <c r="H2" s="398"/>
      <c r="I2" s="396" t="s">
        <v>199</v>
      </c>
      <c r="J2" s="397"/>
      <c r="K2" s="398"/>
      <c r="L2" s="396" t="s">
        <v>200</v>
      </c>
      <c r="M2" s="397"/>
      <c r="N2" s="398"/>
      <c r="R2" s="400" t="s">
        <v>23</v>
      </c>
      <c r="S2" s="264" t="s">
        <v>201</v>
      </c>
      <c r="T2" s="400" t="s">
        <v>25</v>
      </c>
      <c r="U2" s="264" t="s">
        <v>202</v>
      </c>
      <c r="X2" s="273" t="s">
        <v>23</v>
      </c>
      <c r="Y2" s="274" t="s">
        <v>25</v>
      </c>
      <c r="Z2" s="274" t="s">
        <v>26</v>
      </c>
    </row>
    <row r="3" spans="1:26" ht="15.75" thickBot="1">
      <c r="B3" s="392"/>
      <c r="C3" s="392"/>
      <c r="D3" s="392"/>
      <c r="E3" s="392"/>
      <c r="F3" s="249" t="s">
        <v>203</v>
      </c>
      <c r="G3" s="249" t="s">
        <v>204</v>
      </c>
      <c r="H3" s="249" t="s">
        <v>205</v>
      </c>
      <c r="I3" s="249" t="s">
        <v>203</v>
      </c>
      <c r="J3" s="249" t="s">
        <v>204</v>
      </c>
      <c r="K3" s="249" t="s">
        <v>205</v>
      </c>
      <c r="L3" s="249" t="s">
        <v>203</v>
      </c>
      <c r="M3" s="249" t="s">
        <v>204</v>
      </c>
      <c r="N3" s="249" t="s">
        <v>205</v>
      </c>
      <c r="R3" s="401"/>
      <c r="S3" s="265" t="s">
        <v>72</v>
      </c>
      <c r="T3" s="401"/>
      <c r="U3" s="265" t="s">
        <v>73</v>
      </c>
      <c r="X3" s="266" t="s">
        <v>28</v>
      </c>
      <c r="Y3" s="276">
        <f>AVERAGE('Agency Burden'!K25)</f>
        <v>15454.379207934229</v>
      </c>
      <c r="Z3" s="268">
        <f>'Agency Burden'!L25</f>
        <v>1844542.6544802759</v>
      </c>
    </row>
    <row r="4" spans="1:26" ht="84.75" customHeight="1" thickBot="1">
      <c r="B4" s="393" t="s">
        <v>206</v>
      </c>
      <c r="C4" s="389" t="s">
        <v>207</v>
      </c>
      <c r="D4" s="389" t="s">
        <v>68</v>
      </c>
      <c r="E4" s="250" t="s">
        <v>208</v>
      </c>
      <c r="F4" s="253">
        <f>'Respondent Burden'!G37</f>
        <v>137.3841983921358</v>
      </c>
      <c r="G4" s="253">
        <f>'Respondent Burden'!H37</f>
        <v>140.53601501643851</v>
      </c>
      <c r="H4" s="253">
        <f>'Respondent Burden'!I37</f>
        <v>143.66901126146078</v>
      </c>
      <c r="I4" s="252">
        <f>'Respondent Burden'!M37</f>
        <v>68.6920991960679</v>
      </c>
      <c r="J4" s="252">
        <f>'Respondent Burden'!P37</f>
        <v>70.268007508219256</v>
      </c>
      <c r="K4" s="252">
        <f>'Respondent Burden'!S37</f>
        <v>71.834505630730391</v>
      </c>
      <c r="L4" s="254">
        <f>'Respondent Burden'!N37</f>
        <v>6914.0658603818229</v>
      </c>
      <c r="M4" s="251">
        <f>'Respondent Burden'!Q37</f>
        <v>7072.6857597247936</v>
      </c>
      <c r="N4" s="251">
        <f>'Respondent Burden'!T37</f>
        <v>7230.3584952499068</v>
      </c>
      <c r="R4" s="266" t="s">
        <v>28</v>
      </c>
      <c r="S4" s="267">
        <f>'Respondent Burden'!Y46</f>
        <v>8739279.2127136402</v>
      </c>
      <c r="T4" s="267">
        <f>'Respondent Burden'!AA46</f>
        <v>166538.18375747779</v>
      </c>
      <c r="U4" s="271">
        <f>'Respondent Burden'!Z46</f>
        <v>12896991.259909747</v>
      </c>
      <c r="X4" s="266" t="s">
        <v>29</v>
      </c>
      <c r="Y4" s="276">
        <f>'Agency Burden'!N25</f>
        <v>15465.597672138731</v>
      </c>
      <c r="Z4" s="268">
        <f>'Agency Burden'!O25</f>
        <v>1845434.3877629633</v>
      </c>
    </row>
    <row r="5" spans="1:26" ht="24.75" thickBot="1">
      <c r="B5" s="394"/>
      <c r="C5" s="399"/>
      <c r="D5" s="390"/>
      <c r="E5" s="250" t="s">
        <v>209</v>
      </c>
      <c r="F5" s="253">
        <f>'Respondent Burden'!G38</f>
        <v>137.3841983921358</v>
      </c>
      <c r="G5" s="253">
        <f>'Respondent Burden'!H38</f>
        <v>144.09855811218475</v>
      </c>
      <c r="H5" s="253">
        <f>'Respondent Burden'!I38</f>
        <v>150.73296920768621</v>
      </c>
      <c r="I5" s="252">
        <f>'Respondent Burden'!M38</f>
        <v>68.6920991960679</v>
      </c>
      <c r="J5" s="252">
        <f>'Respondent Burden'!P38</f>
        <v>72.049279056092374</v>
      </c>
      <c r="K5" s="252">
        <f>'Respondent Burden'!S38</f>
        <v>75.366484603843105</v>
      </c>
      <c r="L5" s="254">
        <f>'Respondent Burden'!N38</f>
        <v>6914.0658603818229</v>
      </c>
      <c r="M5" s="251">
        <f>'Respondent Burden'!Q38</f>
        <v>7251.976084832866</v>
      </c>
      <c r="N5" s="251">
        <f>'Respondent Burden'!T38</f>
        <v>7585.8627748306208</v>
      </c>
      <c r="R5" s="266" t="s">
        <v>29</v>
      </c>
      <c r="S5" s="267">
        <f>'Respondent Burden'!AB46</f>
        <v>21214466.336939886</v>
      </c>
      <c r="T5" s="267">
        <f>'Respondent Burden'!AD46</f>
        <v>222259.70109666424</v>
      </c>
      <c r="U5" s="271">
        <f>'Respondent Burden'!AC46</f>
        <v>15740028.386749398</v>
      </c>
      <c r="X5" s="266" t="s">
        <v>30</v>
      </c>
      <c r="Y5" s="276">
        <f>'Agency Burden'!Q25</f>
        <v>11696.706896850515</v>
      </c>
      <c r="Z5" s="268">
        <f>'Agency Burden'!R25</f>
        <v>1391826.5578168535</v>
      </c>
    </row>
    <row r="6" spans="1:26" ht="84.75" customHeight="1" thickBot="1">
      <c r="B6" s="394"/>
      <c r="C6" s="399"/>
      <c r="D6" s="389" t="s">
        <v>77</v>
      </c>
      <c r="E6" s="250" t="s">
        <v>208</v>
      </c>
      <c r="F6" s="253">
        <f>'Respondent Burden'!G39</f>
        <v>27.476839678427162</v>
      </c>
      <c r="G6" s="253">
        <f>'Respondent Burden'!H39</f>
        <v>28.107203003287701</v>
      </c>
      <c r="H6" s="253">
        <f>'Respondent Burden'!I39</f>
        <v>28.733802252292154</v>
      </c>
      <c r="I6" s="252">
        <f>'Respondent Burden'!M39</f>
        <v>13.738419839213581</v>
      </c>
      <c r="J6" s="252">
        <f>'Respondent Burden'!P39</f>
        <v>14.05360150164385</v>
      </c>
      <c r="K6" s="252">
        <f>'Respondent Burden'!S39</f>
        <v>14.366901126146077</v>
      </c>
      <c r="L6" s="254">
        <f>'Respondent Burden'!N39</f>
        <v>1382.8131720763647</v>
      </c>
      <c r="M6" s="251">
        <f>'Respondent Burden'!Q39</f>
        <v>1414.5371519449586</v>
      </c>
      <c r="N6" s="251">
        <f>'Respondent Burden'!T39</f>
        <v>1446.0716990499811</v>
      </c>
      <c r="R6" s="266" t="s">
        <v>30</v>
      </c>
      <c r="S6" s="267">
        <f>'Respondent Burden'!AE46</f>
        <v>21366295.800686926</v>
      </c>
      <c r="T6" s="267">
        <f>'Respondent Burden'!AG46</f>
        <v>223432.16201487969</v>
      </c>
      <c r="U6" s="271">
        <f>'Respondent Burden'!AF46</f>
        <v>15966834.143849991</v>
      </c>
      <c r="X6" s="269" t="s">
        <v>38</v>
      </c>
      <c r="Y6" s="277">
        <f>AVERAGE(Y3:Y5)</f>
        <v>14205.561258974491</v>
      </c>
      <c r="Z6" s="278">
        <f>AVERAGE(Z3:Z5)</f>
        <v>1693934.5333533643</v>
      </c>
    </row>
    <row r="7" spans="1:26" ht="26.25" thickBot="1">
      <c r="B7" s="394"/>
      <c r="C7" s="399"/>
      <c r="D7" s="390"/>
      <c r="E7" s="250" t="s">
        <v>209</v>
      </c>
      <c r="F7" s="253">
        <f>'Respondent Burden'!G40</f>
        <v>27.476839678427162</v>
      </c>
      <c r="G7" s="253">
        <f>'Respondent Burden'!H40</f>
        <v>28.819711622436952</v>
      </c>
      <c r="H7" s="253">
        <f>'Respondent Burden'!I40</f>
        <v>30.146593841537246</v>
      </c>
      <c r="I7" s="252">
        <f>'Respondent Burden'!M40</f>
        <v>13.738419839213581</v>
      </c>
      <c r="J7" s="252">
        <f>'Respondent Burden'!P40</f>
        <v>14.409855811218476</v>
      </c>
      <c r="K7" s="252">
        <f>'Respondent Burden'!S40</f>
        <v>15.073296920768623</v>
      </c>
      <c r="L7" s="254">
        <f>'Respondent Burden'!N40</f>
        <v>1382.8131720763647</v>
      </c>
      <c r="M7" s="251">
        <f>'Respondent Burden'!Q40</f>
        <v>1450.3952169665733</v>
      </c>
      <c r="N7" s="251">
        <f>'Respondent Burden'!T40</f>
        <v>1517.1725549661244</v>
      </c>
      <c r="R7" s="269" t="s">
        <v>38</v>
      </c>
      <c r="S7" s="285">
        <f>AVERAGE(S4:S6)</f>
        <v>17106680.450113486</v>
      </c>
      <c r="T7" s="285">
        <f>AVERAGE(T4:T6)</f>
        <v>204076.68228967392</v>
      </c>
      <c r="U7" s="283">
        <f>AVERAGE(U4:U6)</f>
        <v>14867951.263503045</v>
      </c>
      <c r="X7" s="266" t="s">
        <v>210</v>
      </c>
      <c r="Y7" s="275">
        <f>AVERAGE('Agency Burden'!Y22,'Agency Burden'!AB22,'Agency Burden'!AE22)</f>
        <v>-2</v>
      </c>
      <c r="Z7" s="279">
        <f>AVERAGE('Agency Burden'!X22,'Agency Burden'!AA22,'Agency Burden'!AD22)</f>
        <v>-141.19200000000001</v>
      </c>
    </row>
    <row r="8" spans="1:26" ht="84.75" customHeight="1" thickBot="1">
      <c r="B8" s="394"/>
      <c r="C8" s="399"/>
      <c r="D8" s="389" t="s">
        <v>83</v>
      </c>
      <c r="E8" s="250" t="s">
        <v>208</v>
      </c>
      <c r="F8" s="253">
        <f>'Respondent Burden'!G41</f>
        <v>100.56160920364454</v>
      </c>
      <c r="G8" s="253">
        <f>'Respondent Burden'!H41</f>
        <v>102.86865583174365</v>
      </c>
      <c r="H8" s="253">
        <f>'Respondent Burden'!I41</f>
        <v>105.16192643866704</v>
      </c>
      <c r="I8" s="252">
        <f>'Respondent Burden'!M41</f>
        <v>50.280804601822268</v>
      </c>
      <c r="J8" s="252">
        <f>'Respondent Burden'!P41</f>
        <v>51.434327915871826</v>
      </c>
      <c r="K8" s="252">
        <f>'Respondent Burden'!S41</f>
        <v>52.580963219333519</v>
      </c>
      <c r="L8" s="254">
        <f>'Respondent Burden'!N41</f>
        <v>5060.9138255872167</v>
      </c>
      <c r="M8" s="251">
        <f>'Respondent Burden'!Q41</f>
        <v>5177.0194077162469</v>
      </c>
      <c r="N8" s="251">
        <f>'Respondent Burden'!T41</f>
        <v>5292.4316909155768</v>
      </c>
      <c r="R8" s="266" t="s">
        <v>211</v>
      </c>
      <c r="S8" s="270">
        <f>AVERAGE('Respondent Burden'!Y47,'Respondent Burden'!AB47,'Respondent Burden'!AE47)</f>
        <v>452</v>
      </c>
      <c r="T8" s="272">
        <f>AVERAGE('Respondent Burden'!AA47,'Respondent Burden'!AD47,'Respondent Burden'!AG47)</f>
        <v>-1138</v>
      </c>
      <c r="U8" s="271">
        <f>AVERAGE('Respondent Burden'!Z47,'Respondent Burden'!AC47,'Respondent Burden'!AF47)</f>
        <v>-88124.086420000007</v>
      </c>
      <c r="X8" s="269" t="s">
        <v>212</v>
      </c>
      <c r="Y8" s="282">
        <f>AVERAGE('Agency Burden'!Y23,'Agency Burden'!AB23,'Agency Burden'!AE23)</f>
        <v>14203.561258974491</v>
      </c>
      <c r="Z8" s="283">
        <f>AVERAGE('Agency Burden'!X23,'Agency Burden'!AA23,'Agency Burden'!AD23)</f>
        <v>1693793.3413533643</v>
      </c>
    </row>
    <row r="9" spans="1:26" ht="24.75" thickBot="1">
      <c r="B9" s="394"/>
      <c r="C9" s="399"/>
      <c r="D9" s="390"/>
      <c r="E9" s="250" t="s">
        <v>209</v>
      </c>
      <c r="F9" s="253">
        <f>'Respondent Burden'!G42</f>
        <v>71.631742929465503</v>
      </c>
      <c r="G9" s="253">
        <f>'Respondent Burden'!H42</f>
        <v>75.132591608071877</v>
      </c>
      <c r="H9" s="253">
        <f>'Respondent Burden'!I42</f>
        <v>78.591755293875778</v>
      </c>
      <c r="I9" s="252">
        <f>'Respondent Burden'!M42</f>
        <v>35.815871464732751</v>
      </c>
      <c r="J9" s="252">
        <f>'Respondent Burden'!P42</f>
        <v>37.566295804035938</v>
      </c>
      <c r="K9" s="252">
        <f>'Respondent Burden'!S42</f>
        <v>39.295877646937889</v>
      </c>
      <c r="L9" s="254">
        <f>'Respondent Burden'!N42</f>
        <v>3604.9749105397459</v>
      </c>
      <c r="M9" s="251">
        <f>'Respondent Burden'!Q42</f>
        <v>3781.1603715636297</v>
      </c>
      <c r="N9" s="251">
        <f>'Respondent Burden'!T42</f>
        <v>3955.2479727972395</v>
      </c>
      <c r="R9" s="269" t="s">
        <v>213</v>
      </c>
      <c r="S9" s="286">
        <f>AVERAGE('Respondent Burden'!Y48,'Respondent Burden'!AB48,'Respondent Burden'!AE48)</f>
        <v>17107132.450113486</v>
      </c>
      <c r="T9" s="286">
        <f>AVERAGE('Respondent Burden'!AA48,'Respondent Burden'!AD48,'Respondent Burden'!AG48)</f>
        <v>202938.68228967392</v>
      </c>
      <c r="U9" s="283">
        <f>AVERAGE('Respondent Burden'!Z48,'Respondent Burden'!AC48,'Respondent Burden'!AF48)</f>
        <v>14779827.177083045</v>
      </c>
      <c r="Z9" s="108"/>
    </row>
    <row r="10" spans="1:26" ht="204.75" customHeight="1" thickBot="1">
      <c r="B10" s="394"/>
      <c r="C10" s="399"/>
      <c r="D10" s="389" t="s">
        <v>87</v>
      </c>
      <c r="E10" s="250" t="s">
        <v>208</v>
      </c>
      <c r="F10" s="253">
        <f>'Respondent Burden'!G43</f>
        <v>213.32068886957961</v>
      </c>
      <c r="G10" s="253">
        <f>'Respondent Burden'!H43</f>
        <v>218.21461190698571</v>
      </c>
      <c r="H10" s="253">
        <f>'Respondent Burden'!I43</f>
        <v>223.07931196009031</v>
      </c>
      <c r="I10" s="253">
        <f>'Respondent Burden'!M43</f>
        <v>213.32068886957961</v>
      </c>
      <c r="J10" s="253">
        <f>'Respondent Burden'!P43</f>
        <v>218.21461190698571</v>
      </c>
      <c r="K10" s="253">
        <f>'Respondent Burden'!S43</f>
        <v>223.07931196009031</v>
      </c>
      <c r="L10" s="254">
        <f>'Respondent Burden'!N43</f>
        <v>21471.367296789798</v>
      </c>
      <c r="M10" s="251">
        <f>'Respondent Burden'!Q43</f>
        <v>21963.955332273836</v>
      </c>
      <c r="N10" s="251">
        <f>'Respondent Burden'!T43</f>
        <v>22453.601986718972</v>
      </c>
      <c r="S10" s="8"/>
      <c r="T10" s="8"/>
      <c r="U10" s="8"/>
    </row>
    <row r="11" spans="1:26" ht="24.75" thickBot="1">
      <c r="B11" s="394"/>
      <c r="C11" s="399"/>
      <c r="D11" s="390"/>
      <c r="E11" s="250" t="s">
        <v>209</v>
      </c>
      <c r="F11" s="253">
        <f>'Respondent Burden'!G44</f>
        <v>151.95195132267659</v>
      </c>
      <c r="G11" s="253">
        <f>'Respondent Burden'!H44</f>
        <v>159.37827890098868</v>
      </c>
      <c r="H11" s="253">
        <f>'Respondent Burden'!I44</f>
        <v>166.71618037464148</v>
      </c>
      <c r="I11" s="253">
        <f>'Respondent Burden'!M44</f>
        <v>151.95195132267659</v>
      </c>
      <c r="J11" s="253">
        <f>'Respondent Burden'!P44</f>
        <v>159.37827890098868</v>
      </c>
      <c r="K11" s="253">
        <f>'Respondent Burden'!S44</f>
        <v>166.71618037464148</v>
      </c>
      <c r="L11" s="254">
        <f>'Respondent Burden'!N44</f>
        <v>15294.419756481368</v>
      </c>
      <c r="M11" s="251">
        <f>'Respondent Burden'!Q44</f>
        <v>16041.901906221214</v>
      </c>
      <c r="N11" s="251">
        <f>'Respondent Burden'!T44</f>
        <v>16780.483703248789</v>
      </c>
    </row>
    <row r="12" spans="1:26" ht="168.75" customHeight="1" thickBot="1">
      <c r="B12" s="394"/>
      <c r="C12" s="399"/>
      <c r="D12" s="389" t="s">
        <v>89</v>
      </c>
      <c r="E12" s="250" t="s">
        <v>208</v>
      </c>
      <c r="F12" s="253">
        <f>'Respondent Burden'!G45</f>
        <v>3.7476632740868223</v>
      </c>
      <c r="G12" s="253">
        <f>'Respondent Burden'!H45</f>
        <v>3.8336407558335996</v>
      </c>
      <c r="H12" s="253">
        <f>'Respondent Burden'!I45</f>
        <v>3.9191048419711363</v>
      </c>
      <c r="I12" s="263">
        <f>'Respondent Burden'!M45</f>
        <v>9.3691581852170566E-2</v>
      </c>
      <c r="J12" s="263">
        <f>'Respondent Burden'!P45</f>
        <v>9.5841018895839999E-2</v>
      </c>
      <c r="K12" s="263">
        <f>'Respondent Burden'!S45</f>
        <v>9.7977621049278416E-2</v>
      </c>
      <c r="L12" s="254">
        <f>'Respondent Burden'!N45</f>
        <v>9.4303387881665248</v>
      </c>
      <c r="M12" s="251">
        <f>'Respondent Burden'!Q45</f>
        <v>9.6466860749229841</v>
      </c>
      <c r="N12" s="251">
        <f>'Respondent Burden'!T45</f>
        <v>9.8617414914730208</v>
      </c>
    </row>
    <row r="13" spans="1:26" ht="24.75" thickBot="1">
      <c r="B13" s="394"/>
      <c r="C13" s="399"/>
      <c r="D13" s="390"/>
      <c r="E13" s="250" t="s">
        <v>209</v>
      </c>
      <c r="F13" s="253">
        <f>'Respondent Burden'!G46</f>
        <v>3.7476632740868223</v>
      </c>
      <c r="G13" s="253">
        <f>'Respondent Burden'!H46</f>
        <v>3.9308223245913942</v>
      </c>
      <c r="H13" s="253">
        <f>'Respondent Burden'!I46</f>
        <v>4.1118004800036854</v>
      </c>
      <c r="I13" s="263">
        <f>'Respondent Burden'!M46</f>
        <v>9.3691581852170566E-2</v>
      </c>
      <c r="J13" s="263">
        <f>'Respondent Burden'!P46</f>
        <v>9.8270558114784856E-2</v>
      </c>
      <c r="K13" s="263">
        <f>'Respondent Burden'!S46</f>
        <v>0.10279501200009214</v>
      </c>
      <c r="L13" s="254">
        <f>'Respondent Burden'!N46</f>
        <v>9.4303387881665248</v>
      </c>
      <c r="M13" s="251">
        <f>'Respondent Burden'!Q46</f>
        <v>9.8912264859274401</v>
      </c>
      <c r="N13" s="251">
        <f>'Respondent Burden'!T46</f>
        <v>10.346626342845274</v>
      </c>
    </row>
    <row r="14" spans="1:26" ht="48.75" customHeight="1" thickBot="1">
      <c r="B14" s="394"/>
      <c r="C14" s="399"/>
      <c r="D14" s="389" t="s">
        <v>214</v>
      </c>
      <c r="E14" s="250" t="s">
        <v>208</v>
      </c>
      <c r="F14" s="253">
        <f>'Respondent Burden'!G47</f>
        <v>268969.17118569586</v>
      </c>
      <c r="G14" s="253">
        <f>'Respondent Burden'!H47</f>
        <v>275139.76078107482</v>
      </c>
      <c r="H14" s="253">
        <f>'Respondent Burden'!I47</f>
        <v>281273.50405878626</v>
      </c>
      <c r="I14" s="253">
        <f>'Respondent Burden'!M47</f>
        <v>19110.967426352076</v>
      </c>
      <c r="J14" s="253">
        <f>'Respondent Burden'!P47</f>
        <v>19549.40405549742</v>
      </c>
      <c r="K14" s="253">
        <f>'Respondent Burden'!S47</f>
        <v>19985.222656808499</v>
      </c>
      <c r="L14" s="254">
        <f>'Respondent Burden'!N47</f>
        <v>1923576.2043646155</v>
      </c>
      <c r="M14" s="251">
        <f>'Respondent Burden'!Q47</f>
        <v>1967706.1663979818</v>
      </c>
      <c r="N14" s="251">
        <f>'Respondent Burden'!T47</f>
        <v>2011572.616075746</v>
      </c>
    </row>
    <row r="15" spans="1:26" ht="24.75" thickBot="1">
      <c r="B15" s="394"/>
      <c r="C15" s="399"/>
      <c r="D15" s="390"/>
      <c r="E15" s="250" t="s">
        <v>209</v>
      </c>
      <c r="F15" s="253">
        <f>'Respondent Burden'!G48</f>
        <v>224324.81987944752</v>
      </c>
      <c r="G15" s="253">
        <f>'Respondent Burden'!H48</f>
        <v>235288.21707092554</v>
      </c>
      <c r="H15" s="253">
        <f>'Respondent Burden'!I48</f>
        <v>246121.07187826387</v>
      </c>
      <c r="I15" s="253">
        <f>'Respondent Burden'!M48</f>
        <v>15938.868780908115</v>
      </c>
      <c r="J15" s="253">
        <f>'Respondent Burden'!P48</f>
        <v>16717.847002407867</v>
      </c>
      <c r="K15" s="253">
        <f>'Respondent Burden'!S48</f>
        <v>17487.549843981906</v>
      </c>
      <c r="L15" s="254">
        <f>'Respondent Burden'!N48</f>
        <v>1604294.9594047447</v>
      </c>
      <c r="M15" s="251">
        <f>'Respondent Burden'!Q48</f>
        <v>1682701.4543333591</v>
      </c>
      <c r="N15" s="251">
        <f>'Respondent Burden'!T48</f>
        <v>1760174.3544463108</v>
      </c>
    </row>
    <row r="16" spans="1:26" ht="48.75" customHeight="1" thickBot="1">
      <c r="B16" s="394"/>
      <c r="C16" s="399"/>
      <c r="D16" s="389" t="s">
        <v>215</v>
      </c>
      <c r="E16" s="250" t="s">
        <v>208</v>
      </c>
      <c r="F16" s="253">
        <f>'Respondent Burden'!G49</f>
        <v>51283.333333333336</v>
      </c>
      <c r="G16" s="253">
        <f>'Respondent Burden'!H49</f>
        <v>52459.85628459954</v>
      </c>
      <c r="H16" s="253">
        <f>'Respondent Burden'!I49</f>
        <v>53629.353888006277</v>
      </c>
      <c r="I16" s="253">
        <f>'Respondent Burden'!M49</f>
        <v>1282.0833333333335</v>
      </c>
      <c r="J16" s="253">
        <f>'Respondent Burden'!P49</f>
        <v>1311.4964071149886</v>
      </c>
      <c r="K16" s="253">
        <f>'Respondent Burden'!S49</f>
        <v>1340.733847200157</v>
      </c>
      <c r="L16" s="254">
        <f>'Respondent Burden'!N49</f>
        <v>129045.53375000002</v>
      </c>
      <c r="M16" s="251">
        <f>'Respondent Burden'!Q49</f>
        <v>132006.04786534497</v>
      </c>
      <c r="N16" s="251">
        <f>'Respondent Burden'!T49</f>
        <v>134948.88392223741</v>
      </c>
    </row>
    <row r="17" spans="2:14" ht="24.75" thickBot="1">
      <c r="B17" s="394"/>
      <c r="C17" s="399"/>
      <c r="D17" s="390"/>
      <c r="E17" s="250" t="s">
        <v>209</v>
      </c>
      <c r="F17" s="253">
        <f>'Respondent Burden'!G50</f>
        <v>112828.81508568322</v>
      </c>
      <c r="G17" s="253">
        <f>'Respondent Burden'!H50</f>
        <v>118343.08281179988</v>
      </c>
      <c r="H17" s="253">
        <f>'Respondent Burden'!I50</f>
        <v>123791.69154160551</v>
      </c>
      <c r="I17" s="253">
        <f>'Respondent Burden'!M50</f>
        <v>2820.7203771420809</v>
      </c>
      <c r="J17" s="253">
        <f>'Respondent Burden'!P50</f>
        <v>2958.5770702949972</v>
      </c>
      <c r="K17" s="253">
        <f>'Respondent Burden'!S50</f>
        <v>3094.7922885401381</v>
      </c>
      <c r="L17" s="254">
        <f>'Respondent Burden'!N50</f>
        <v>283913.96812048188</v>
      </c>
      <c r="M17" s="251">
        <f>'Respondent Burden'!Q50</f>
        <v>297789.65785640239</v>
      </c>
      <c r="N17" s="251">
        <f>'Respondent Burden'!T50</f>
        <v>311500.12821843056</v>
      </c>
    </row>
    <row r="18" spans="2:14" ht="60.75" customHeight="1" thickBot="1">
      <c r="B18" s="394"/>
      <c r="C18" s="399"/>
      <c r="D18" s="389" t="s">
        <v>98</v>
      </c>
      <c r="E18" s="250" t="s">
        <v>208</v>
      </c>
      <c r="F18" s="253">
        <f>'Respondent Burden'!G51</f>
        <v>2011.2321840728905</v>
      </c>
      <c r="G18" s="253">
        <f>'Respondent Burden'!H51</f>
        <v>2057.373116634873</v>
      </c>
      <c r="H18" s="253">
        <f>'Respondent Burden'!I51</f>
        <v>2103.2385287733405</v>
      </c>
      <c r="I18" s="253">
        <f>'Respondent Burden'!M51</f>
        <v>16089.857472583124</v>
      </c>
      <c r="J18" s="253">
        <f>'Respondent Burden'!P51</f>
        <v>16458.984933078984</v>
      </c>
      <c r="K18" s="253">
        <f>'Respondent Burden'!S51</f>
        <v>16825.908230186724</v>
      </c>
      <c r="L18" s="254">
        <f>'Respondent Burden'!N51</f>
        <v>1619492.4241879093</v>
      </c>
      <c r="M18" s="251">
        <f>'Respondent Burden'!Q51</f>
        <v>1656646.2104691991</v>
      </c>
      <c r="N18" s="251">
        <f>'Respondent Burden'!T51</f>
        <v>1693578.1410929845</v>
      </c>
    </row>
    <row r="19" spans="2:14" ht="24.75" thickBot="1">
      <c r="B19" s="394"/>
      <c r="C19" s="399"/>
      <c r="D19" s="390"/>
      <c r="E19" s="250" t="s">
        <v>209</v>
      </c>
      <c r="F19" s="253">
        <f>'Respondent Burden'!G52</f>
        <v>1432.6348585893099</v>
      </c>
      <c r="G19" s="253">
        <f>'Respondent Burden'!H52</f>
        <v>1502.6518321614374</v>
      </c>
      <c r="H19" s="253">
        <f>'Respondent Burden'!I52</f>
        <v>1571.8351058775154</v>
      </c>
      <c r="I19" s="253">
        <f>'Respondent Burden'!M52</f>
        <v>11461.07886871448</v>
      </c>
      <c r="J19" s="253">
        <f>'Respondent Burden'!P52</f>
        <v>12021.214657291499</v>
      </c>
      <c r="K19" s="253">
        <f>'Respondent Burden'!S52</f>
        <v>12574.680847020123</v>
      </c>
      <c r="L19" s="254">
        <f>'Respondent Burden'!N52</f>
        <v>1153591.9713727187</v>
      </c>
      <c r="M19" s="251">
        <f>'Respondent Burden'!Q52</f>
        <v>1209971.3189003614</v>
      </c>
      <c r="N19" s="251">
        <f>'Respondent Burden'!T52</f>
        <v>1265679.3512951166</v>
      </c>
    </row>
    <row r="20" spans="2:14" ht="252.75" customHeight="1" thickBot="1">
      <c r="B20" s="394"/>
      <c r="C20" s="399"/>
      <c r="D20" s="389" t="s">
        <v>101</v>
      </c>
      <c r="E20" s="250" t="s">
        <v>208</v>
      </c>
      <c r="F20" s="253">
        <f>'Respondent Burden'!G53</f>
        <v>40.224643681457813</v>
      </c>
      <c r="G20" s="253">
        <f>'Respondent Burden'!H53</f>
        <v>41.147462332697465</v>
      </c>
      <c r="H20" s="253">
        <f>'Respondent Burden'!I53</f>
        <v>42.064770575466817</v>
      </c>
      <c r="I20" s="263">
        <f>'Respondent Burden'!M53</f>
        <v>1.0056160920364454</v>
      </c>
      <c r="J20" s="263">
        <f>'Respondent Burden'!P53</f>
        <v>1.0286865583174367</v>
      </c>
      <c r="K20" s="263">
        <f>'Respondent Burden'!S53</f>
        <v>1.0516192643866704</v>
      </c>
      <c r="L20" s="254">
        <f>'Respondent Burden'!N53</f>
        <v>101.21827651174435</v>
      </c>
      <c r="M20" s="251">
        <f>'Respondent Burden'!Q53</f>
        <v>103.54038815432496</v>
      </c>
      <c r="N20" s="251">
        <f>'Respondent Burden'!T53</f>
        <v>105.84863381831154</v>
      </c>
    </row>
    <row r="21" spans="2:14" ht="24.75" thickBot="1">
      <c r="B21" s="394"/>
      <c r="C21" s="399"/>
      <c r="D21" s="390"/>
      <c r="E21" s="250" t="s">
        <v>209</v>
      </c>
      <c r="F21" s="253">
        <f>'Respondent Burden'!G54</f>
        <v>28.652697171786201</v>
      </c>
      <c r="G21" s="253">
        <f>'Respondent Burden'!H54</f>
        <v>30.053036643228747</v>
      </c>
      <c r="H21" s="253">
        <f>'Respondent Burden'!I54</f>
        <v>31.436702117550304</v>
      </c>
      <c r="I21" s="263">
        <f>'Respondent Burden'!M54</f>
        <v>0.71631742929465503</v>
      </c>
      <c r="J21" s="263">
        <f>'Respondent Burden'!P54</f>
        <v>0.75132591608071875</v>
      </c>
      <c r="K21" s="263">
        <f>'Respondent Burden'!S54</f>
        <v>0.78591755293875765</v>
      </c>
      <c r="L21" s="254">
        <f>'Respondent Burden'!N54</f>
        <v>72.09949821079492</v>
      </c>
      <c r="M21" s="251">
        <f>'Respondent Burden'!Q54</f>
        <v>75.62320743127259</v>
      </c>
      <c r="N21" s="251">
        <f>'Respondent Burden'!T54</f>
        <v>79.10495945594478</v>
      </c>
    </row>
    <row r="22" spans="2:14" ht="120.75" customHeight="1" thickBot="1">
      <c r="B22" s="394"/>
      <c r="C22" s="399"/>
      <c r="D22" s="389" t="s">
        <v>106</v>
      </c>
      <c r="E22" s="250" t="s">
        <v>208</v>
      </c>
      <c r="F22" s="253">
        <f>'Respondent Burden'!G55</f>
        <v>3.7476632740868223</v>
      </c>
      <c r="G22" s="253">
        <f>'Respondent Burden'!H55</f>
        <v>3.8336407558335996</v>
      </c>
      <c r="H22" s="253">
        <f>'Respondent Burden'!I55</f>
        <v>3.9191048419711363</v>
      </c>
      <c r="I22" s="263">
        <f>'Respondent Burden'!M55</f>
        <v>9.3691581852170566E-2</v>
      </c>
      <c r="J22" s="263">
        <f>'Respondent Burden'!P55</f>
        <v>9.5841018895839999E-2</v>
      </c>
      <c r="K22" s="263">
        <f>'Respondent Burden'!S55</f>
        <v>9.7977621049278416E-2</v>
      </c>
      <c r="L22" s="254">
        <f>'Respondent Burden'!N55</f>
        <v>9.4303387881665248</v>
      </c>
      <c r="M22" s="251">
        <f>'Respondent Burden'!Q55</f>
        <v>9.6466860749229841</v>
      </c>
      <c r="N22" s="251">
        <f>'Respondent Burden'!T55</f>
        <v>9.8617414914730208</v>
      </c>
    </row>
    <row r="23" spans="2:14" ht="24.75" thickBot="1">
      <c r="B23" s="394"/>
      <c r="C23" s="399"/>
      <c r="D23" s="390"/>
      <c r="E23" s="250" t="s">
        <v>209</v>
      </c>
      <c r="F23" s="253">
        <f>'Respondent Burden'!G56</f>
        <v>3.7476632740868223</v>
      </c>
      <c r="G23" s="253">
        <f>'Respondent Burden'!H56</f>
        <v>3.9308223245913942</v>
      </c>
      <c r="H23" s="253">
        <f>'Respondent Burden'!I56</f>
        <v>4.1118004800036854</v>
      </c>
      <c r="I23" s="263">
        <f>'Respondent Burden'!M56</f>
        <v>9.3691581852170566E-2</v>
      </c>
      <c r="J23" s="263">
        <f>'Respondent Burden'!P56</f>
        <v>9.8270558114784856E-2</v>
      </c>
      <c r="K23" s="263">
        <f>'Respondent Burden'!S56</f>
        <v>0.10279501200009214</v>
      </c>
      <c r="L23" s="254">
        <f>'Respondent Burden'!N56</f>
        <v>9.4303387881665248</v>
      </c>
      <c r="M23" s="251">
        <f>'Respondent Burden'!Q56</f>
        <v>9.8912264859274401</v>
      </c>
      <c r="N23" s="251">
        <f>'Respondent Burden'!T56</f>
        <v>10.346626342845274</v>
      </c>
    </row>
    <row r="24" spans="2:14" ht="120.75" customHeight="1" thickBot="1">
      <c r="B24" s="394"/>
      <c r="C24" s="399"/>
      <c r="D24" s="389" t="s">
        <v>216</v>
      </c>
      <c r="E24" s="250" t="s">
        <v>208</v>
      </c>
      <c r="F24" s="253">
        <f>'Respondent Burden'!G57</f>
        <v>201123.21840728904</v>
      </c>
      <c r="G24" s="253">
        <f>'Respondent Burden'!H57</f>
        <v>205737.31166348729</v>
      </c>
      <c r="H24" s="253">
        <f>'Respondent Burden'!I57</f>
        <v>210323.85287733405</v>
      </c>
      <c r="I24" s="253">
        <f>'Respondent Burden'!M57</f>
        <v>5028.0804601822265</v>
      </c>
      <c r="J24" s="253">
        <f>'Respondent Burden'!P57</f>
        <v>5143.4327915871827</v>
      </c>
      <c r="K24" s="253">
        <f>'Respondent Burden'!S57</f>
        <v>5258.0963219333516</v>
      </c>
      <c r="L24" s="254">
        <f>'Respondent Burden'!N57</f>
        <v>506091.3825587217</v>
      </c>
      <c r="M24" s="251">
        <f>'Respondent Burden'!Q57</f>
        <v>517701.94077162474</v>
      </c>
      <c r="N24" s="251">
        <f>'Respondent Burden'!T57</f>
        <v>529243.16909155762</v>
      </c>
    </row>
    <row r="25" spans="2:14" ht="24.75" thickBot="1">
      <c r="B25" s="394"/>
      <c r="C25" s="399"/>
      <c r="D25" s="390"/>
      <c r="E25" s="250" t="s">
        <v>209</v>
      </c>
      <c r="F25" s="253">
        <f>'Respondent Burden'!G58</f>
        <v>143263.485858931</v>
      </c>
      <c r="G25" s="253">
        <f>'Respondent Burden'!H58</f>
        <v>150265.18321614375</v>
      </c>
      <c r="H25" s="253">
        <f>'Respondent Burden'!I58</f>
        <v>157183.51058775155</v>
      </c>
      <c r="I25" s="253">
        <f>'Respondent Burden'!M58</f>
        <v>3581.5871464732754</v>
      </c>
      <c r="J25" s="253">
        <f>'Respondent Burden'!P58</f>
        <v>3756.629580403594</v>
      </c>
      <c r="K25" s="253">
        <f>'Respondent Burden'!S58</f>
        <v>3929.5877646937888</v>
      </c>
      <c r="L25" s="254">
        <f>'Respondent Burden'!N58</f>
        <v>360497.49105397461</v>
      </c>
      <c r="M25" s="251">
        <f>'Respondent Burden'!Q58</f>
        <v>378116.03715636296</v>
      </c>
      <c r="N25" s="251">
        <f>'Respondent Burden'!T58</f>
        <v>395524.79727972392</v>
      </c>
    </row>
    <row r="26" spans="2:14" ht="60.75" thickBot="1">
      <c r="B26" s="394"/>
      <c r="C26" s="399"/>
      <c r="D26" s="250" t="s">
        <v>110</v>
      </c>
      <c r="E26" s="250" t="s">
        <v>112</v>
      </c>
      <c r="F26" s="253">
        <f>'Respondent Burden'!G59</f>
        <v>49372.547561969972</v>
      </c>
      <c r="G26" s="253">
        <f>'Respondent Burden'!H59</f>
        <v>51785.52553546353</v>
      </c>
      <c r="H26" s="253">
        <f>'Respondent Burden'!I59</f>
        <v>54169.77191308084</v>
      </c>
      <c r="I26" s="253">
        <f>'Respondent Burden'!M59</f>
        <v>3291.5031707979979</v>
      </c>
      <c r="J26" s="253">
        <f>'Respondent Burden'!P59</f>
        <v>3452.3683690309022</v>
      </c>
      <c r="K26" s="253">
        <f>'Respondent Burden'!S59</f>
        <v>3611.3181275387228</v>
      </c>
      <c r="L26" s="254">
        <f>'Respondent Burden'!N59</f>
        <v>331299.66865033092</v>
      </c>
      <c r="M26" s="251">
        <f>'Respondent Burden'!Q59</f>
        <v>347491.23344806739</v>
      </c>
      <c r="N26" s="251">
        <f>'Respondent Burden'!T59</f>
        <v>363490.0034911551</v>
      </c>
    </row>
    <row r="27" spans="2:14" ht="48.75" customHeight="1" thickBot="1">
      <c r="B27" s="394"/>
      <c r="C27" s="399"/>
      <c r="D27" s="389" t="s">
        <v>113</v>
      </c>
      <c r="E27" s="250" t="s">
        <v>208</v>
      </c>
      <c r="F27" s="253">
        <f>'Respondent Burden'!G60</f>
        <v>201123.21840728904</v>
      </c>
      <c r="G27" s="253">
        <f>'Respondent Burden'!H60</f>
        <v>205737.31166348729</v>
      </c>
      <c r="H27" s="253">
        <f>'Respondent Burden'!I60</f>
        <v>210323.85287733405</v>
      </c>
      <c r="I27" s="253">
        <f>'Respondent Burden'!M60</f>
        <v>3352.053640121484</v>
      </c>
      <c r="J27" s="253">
        <f>'Respondent Burden'!P60</f>
        <v>3428.9551943914548</v>
      </c>
      <c r="K27" s="253">
        <f>'Respondent Burden'!S60</f>
        <v>3505.3975479555675</v>
      </c>
      <c r="L27" s="254">
        <f>'Respondent Burden'!N60</f>
        <v>337394.25503914774</v>
      </c>
      <c r="M27" s="251">
        <f>'Respondent Burden'!Q60</f>
        <v>345134.62718108314</v>
      </c>
      <c r="N27" s="251">
        <f>'Respondent Burden'!T60</f>
        <v>352828.77939437173</v>
      </c>
    </row>
    <row r="28" spans="2:14" ht="24.75" thickBot="1">
      <c r="B28" s="394"/>
      <c r="C28" s="399"/>
      <c r="D28" s="390"/>
      <c r="E28" s="250" t="s">
        <v>209</v>
      </c>
      <c r="F28" s="253">
        <f>'Respondent Burden'!G61</f>
        <v>130920.34896843851</v>
      </c>
      <c r="G28" s="253">
        <f>'Respondent Burden'!H61</f>
        <v>137318.80183227788</v>
      </c>
      <c r="H28" s="253">
        <f>'Respondent Burden'!I61</f>
        <v>143641.06760948134</v>
      </c>
      <c r="I28" s="253">
        <f>'Respondent Burden'!M61</f>
        <v>2182.0058161406419</v>
      </c>
      <c r="J28" s="253">
        <f>'Respondent Burden'!P61</f>
        <v>2288.6466972046314</v>
      </c>
      <c r="K28" s="253">
        <f>'Respondent Burden'!S61</f>
        <v>2394.0177934913554</v>
      </c>
      <c r="L28" s="254">
        <f>'Respondent Burden'!N61</f>
        <v>219625.43141200405</v>
      </c>
      <c r="M28" s="251">
        <f>'Respondent Burden'!Q61</f>
        <v>230359.15601373778</v>
      </c>
      <c r="N28" s="251">
        <f>'Respondent Burden'!T61</f>
        <v>240965.07296828541</v>
      </c>
    </row>
    <row r="29" spans="2:14" ht="132.75" customHeight="1" thickBot="1">
      <c r="B29" s="394"/>
      <c r="C29" s="399"/>
      <c r="D29" s="389" t="s">
        <v>114</v>
      </c>
      <c r="E29" s="250" t="s">
        <v>208</v>
      </c>
      <c r="F29" s="253">
        <f>'Respondent Burden'!G62</f>
        <v>482.49099941787398</v>
      </c>
      <c r="G29" s="253">
        <f>'Respondent Burden'!H62</f>
        <v>493.56012651428927</v>
      </c>
      <c r="H29" s="253">
        <f>'Respondent Burden'!I62</f>
        <v>504.5631567544815</v>
      </c>
      <c r="I29" s="252">
        <f>'Respondent Burden'!M62</f>
        <v>8.041516656964566</v>
      </c>
      <c r="J29" s="252">
        <f>'Respondent Burden'!P62</f>
        <v>8.2260021085714872</v>
      </c>
      <c r="K29" s="252">
        <f>'Respondent Burden'!S62</f>
        <v>8.4093859459080242</v>
      </c>
      <c r="L29" s="254">
        <f>'Respondent Burden'!N62</f>
        <v>809.40277607345456</v>
      </c>
      <c r="M29" s="251">
        <f>'Respondent Burden'!Q62</f>
        <v>827.9717902340459</v>
      </c>
      <c r="N29" s="251">
        <f>'Respondent Burden'!T62</f>
        <v>846.42992361348047</v>
      </c>
    </row>
    <row r="30" spans="2:14" ht="24.75" thickBot="1">
      <c r="B30" s="394"/>
      <c r="C30" s="399"/>
      <c r="D30" s="390"/>
      <c r="E30" s="250" t="s">
        <v>209</v>
      </c>
      <c r="F30" s="253">
        <f>'Respondent Burden'!G63</f>
        <v>392.19239559679187</v>
      </c>
      <c r="G30" s="253">
        <f>'Respondent Burden'!H63</f>
        <v>411.35996256827366</v>
      </c>
      <c r="H30" s="253">
        <f>'Respondent Burden'!I63</f>
        <v>430.2992991977444</v>
      </c>
      <c r="I30" s="252">
        <f>'Respondent Burden'!M63</f>
        <v>6.536539926613198</v>
      </c>
      <c r="J30" s="252">
        <f>'Respondent Burden'!P63</f>
        <v>6.8559993761378939</v>
      </c>
      <c r="K30" s="252">
        <f>'Respondent Burden'!S63</f>
        <v>7.1716549866290729</v>
      </c>
      <c r="L30" s="254">
        <f>'Respondent Burden'!N63</f>
        <v>657.92235323339821</v>
      </c>
      <c r="M30" s="251">
        <f>'Respondent Burden'!Q63</f>
        <v>690.07690520640745</v>
      </c>
      <c r="N30" s="251">
        <f>'Respondent Burden'!T63</f>
        <v>721.84858936917612</v>
      </c>
    </row>
    <row r="31" spans="2:14" ht="409.6" thickBot="1">
      <c r="B31" s="394"/>
      <c r="C31" s="390"/>
      <c r="D31" s="250" t="s">
        <v>217</v>
      </c>
      <c r="E31" s="250" t="s">
        <v>119</v>
      </c>
      <c r="F31" s="253">
        <f>'Respondent Burden'!G64</f>
        <v>24657.690791448083</v>
      </c>
      <c r="G31" s="253">
        <f>'Respondent Burden'!H64</f>
        <v>25862.782845535417</v>
      </c>
      <c r="H31" s="253">
        <f>'Respondent Burden'!I64</f>
        <v>27053.525735116462</v>
      </c>
      <c r="I31" s="253">
        <f>'Respondent Burden'!M64</f>
        <v>410.96151319080138</v>
      </c>
      <c r="J31" s="253">
        <f>'Respondent Burden'!P64</f>
        <v>431.04638075892359</v>
      </c>
      <c r="K31" s="253">
        <f>'Respondent Burden'!S64</f>
        <v>450.89209558527438</v>
      </c>
      <c r="L31" s="254">
        <f>'Respondent Burden'!N64</f>
        <v>41364.509187193733</v>
      </c>
      <c r="M31" s="251">
        <f>'Respondent Burden'!Q64</f>
        <v>43386.111362527939</v>
      </c>
      <c r="N31" s="251">
        <f>'Respondent Burden'!T64</f>
        <v>45383.642096944626</v>
      </c>
    </row>
    <row r="32" spans="2:14" ht="120.75" customHeight="1" thickBot="1">
      <c r="B32" s="394"/>
      <c r="C32" s="389" t="s">
        <v>218</v>
      </c>
      <c r="D32" s="389" t="s">
        <v>122</v>
      </c>
      <c r="E32" s="250" t="s">
        <v>208</v>
      </c>
      <c r="F32" s="253">
        <f>'Respondent Burden'!G65</f>
        <v>300000</v>
      </c>
      <c r="G32" s="253">
        <f>'Respondent Burden'!H65</f>
        <v>306882.48720272724</v>
      </c>
      <c r="H32" s="253">
        <f>'Respondent Burden'!I65</f>
        <v>313723.87714790803</v>
      </c>
      <c r="I32" s="253">
        <f>'Respondent Burden'!M65</f>
        <v>3352.053640121484</v>
      </c>
      <c r="J32" s="253">
        <f>'Respondent Burden'!P65</f>
        <v>3428.9551943914553</v>
      </c>
      <c r="K32" s="253">
        <f>'Respondent Burden'!S65</f>
        <v>3505.3975479555679</v>
      </c>
      <c r="L32" s="254">
        <f>'Respondent Burden'!N65</f>
        <v>185063.52941746701</v>
      </c>
      <c r="M32" s="251">
        <f>'Respondent Burden'!Q65</f>
        <v>189309.18732715785</v>
      </c>
      <c r="N32" s="251">
        <f>'Respondent Burden'!T65</f>
        <v>193529.49322507897</v>
      </c>
    </row>
    <row r="33" spans="2:14" ht="24.75" thickBot="1">
      <c r="B33" s="394"/>
      <c r="C33" s="399"/>
      <c r="D33" s="390"/>
      <c r="E33" s="250" t="s">
        <v>209</v>
      </c>
      <c r="F33" s="253">
        <f>'Respondent Burden'!G66</f>
        <v>300000</v>
      </c>
      <c r="G33" s="253">
        <f>'Respondent Burden'!H66</f>
        <v>314661.86024003464</v>
      </c>
      <c r="H33" s="253">
        <f>'Respondent Burden'!I66</f>
        <v>329149.14008694584</v>
      </c>
      <c r="I33" s="253">
        <f>'Respondent Burden'!M66</f>
        <v>2387.7247643155165</v>
      </c>
      <c r="J33" s="253">
        <f>'Respondent Burden'!P66</f>
        <v>2504.4197202690625</v>
      </c>
      <c r="K33" s="253">
        <f>'Respondent Burden'!S66</f>
        <v>2619.7251764625257</v>
      </c>
      <c r="L33" s="254">
        <f>'Respondent Burden'!N66</f>
        <v>131823.89651309536</v>
      </c>
      <c r="M33" s="251">
        <f>'Respondent Burden'!Q66</f>
        <v>138266.50833633469</v>
      </c>
      <c r="N33" s="251">
        <f>'Respondent Burden'!T66</f>
        <v>144632.40726731959</v>
      </c>
    </row>
    <row r="34" spans="2:14" ht="192.75" customHeight="1" thickBot="1">
      <c r="B34" s="394"/>
      <c r="C34" s="399"/>
      <c r="D34" s="389" t="s">
        <v>123</v>
      </c>
      <c r="E34" s="250" t="s">
        <v>208</v>
      </c>
      <c r="F34" s="253">
        <f>'Respondent Burden'!G67</f>
        <v>300000</v>
      </c>
      <c r="G34" s="253">
        <f>'Respondent Burden'!H67</f>
        <v>306882.48720272724</v>
      </c>
      <c r="H34" s="253">
        <f>'Respondent Burden'!I67</f>
        <v>313723.87714790803</v>
      </c>
      <c r="I34" s="253">
        <f>'Respondent Burden'!M67</f>
        <v>3352.053640121484</v>
      </c>
      <c r="J34" s="253">
        <f>'Respondent Burden'!P67</f>
        <v>3428.9551943914553</v>
      </c>
      <c r="K34" s="253">
        <f>'Respondent Burden'!S67</f>
        <v>3505.3975479555679</v>
      </c>
      <c r="L34" s="254">
        <f>'Respondent Burden'!N67</f>
        <v>185063.52941746701</v>
      </c>
      <c r="M34" s="251">
        <f>'Respondent Burden'!Q67</f>
        <v>189309.18732715785</v>
      </c>
      <c r="N34" s="251">
        <f>'Respondent Burden'!T67</f>
        <v>193529.49322507897</v>
      </c>
    </row>
    <row r="35" spans="2:14" ht="24.75" thickBot="1">
      <c r="B35" s="394"/>
      <c r="C35" s="399"/>
      <c r="D35" s="390"/>
      <c r="E35" s="250" t="s">
        <v>209</v>
      </c>
      <c r="F35" s="253">
        <f>'Respondent Burden'!G68</f>
        <v>300000</v>
      </c>
      <c r="G35" s="253">
        <f>'Respondent Burden'!H68</f>
        <v>314661.86024003464</v>
      </c>
      <c r="H35" s="253">
        <f>'Respondent Burden'!I68</f>
        <v>329149.14008694584</v>
      </c>
      <c r="I35" s="253">
        <f>'Respondent Burden'!M68</f>
        <v>2387.7247643155165</v>
      </c>
      <c r="J35" s="253">
        <f>'Respondent Burden'!P68</f>
        <v>2504.4197202690625</v>
      </c>
      <c r="K35" s="253">
        <f>'Respondent Burden'!S68</f>
        <v>2619.7251764625257</v>
      </c>
      <c r="L35" s="254">
        <f>'Respondent Burden'!N68</f>
        <v>131823.89651309536</v>
      </c>
      <c r="M35" s="251">
        <f>'Respondent Burden'!Q68</f>
        <v>138266.50833633469</v>
      </c>
      <c r="N35" s="251">
        <f>'Respondent Burden'!T68</f>
        <v>144632.40726731959</v>
      </c>
    </row>
    <row r="36" spans="2:14" ht="120.75" customHeight="1" thickBot="1">
      <c r="B36" s="394"/>
      <c r="C36" s="399"/>
      <c r="D36" s="389" t="s">
        <v>219</v>
      </c>
      <c r="E36" s="250" t="s">
        <v>208</v>
      </c>
      <c r="F36" s="253">
        <f>'Respondent Burden'!G69</f>
        <v>300000</v>
      </c>
      <c r="G36" s="253">
        <f>'Respondent Burden'!H69</f>
        <v>306882.48720272724</v>
      </c>
      <c r="H36" s="253">
        <f>'Respondent Burden'!I69</f>
        <v>313723.87714790803</v>
      </c>
      <c r="I36" s="253">
        <f>'Respondent Burden'!M69</f>
        <v>25481.289901802767</v>
      </c>
      <c r="J36" s="253">
        <f>'Respondent Burden'!P69</f>
        <v>26065.872073996568</v>
      </c>
      <c r="K36" s="253">
        <f>'Respondent Burden'!S69</f>
        <v>26646.963542411337</v>
      </c>
      <c r="L36" s="254">
        <f>'Respondent Burden'!N69</f>
        <v>1406796.5341886291</v>
      </c>
      <c r="M36" s="251">
        <f>'Respondent Burden'!Q69</f>
        <v>1439070.7313332767</v>
      </c>
      <c r="N36" s="251">
        <f>'Respondent Burden'!T69</f>
        <v>1471152.2102129876</v>
      </c>
    </row>
    <row r="37" spans="2:14" ht="24.75" thickBot="1">
      <c r="B37" s="395"/>
      <c r="C37" s="390"/>
      <c r="D37" s="390"/>
      <c r="E37" s="250" t="s">
        <v>209</v>
      </c>
      <c r="F37" s="253">
        <f>'Respondent Burden'!G70</f>
        <v>300000</v>
      </c>
      <c r="G37" s="253">
        <f>'Respondent Burden'!H70</f>
        <v>314661.86024003464</v>
      </c>
      <c r="H37" s="253">
        <f>'Respondent Burden'!I70</f>
        <v>329149.14008694584</v>
      </c>
      <c r="I37" s="253">
        <f>'Respondent Burden'!M70</f>
        <v>21251.825041210817</v>
      </c>
      <c r="J37" s="253">
        <f>'Respondent Burden'!P70</f>
        <v>22290.462669877157</v>
      </c>
      <c r="K37" s="253">
        <f>'Respondent Burden'!S70</f>
        <v>23316.733125309212</v>
      </c>
      <c r="L37" s="254">
        <f>'Respondent Burden'!N70</f>
        <v>1173292.008700208</v>
      </c>
      <c r="M37" s="251">
        <f>'Respondent Burden'!Q70</f>
        <v>1230634.1535412481</v>
      </c>
      <c r="N37" s="251">
        <f>'Respondent Burden'!T70</f>
        <v>1287293.5191151963</v>
      </c>
    </row>
    <row r="38" spans="2:14" ht="48.75" customHeight="1" thickBot="1">
      <c r="B38" s="389" t="s">
        <v>62</v>
      </c>
      <c r="C38" s="389" t="s">
        <v>220</v>
      </c>
      <c r="D38" s="250" t="s">
        <v>221</v>
      </c>
      <c r="E38" s="389" t="s">
        <v>222</v>
      </c>
      <c r="F38" s="253">
        <f>'Respondent Burden'!G71</f>
        <v>20</v>
      </c>
      <c r="G38" s="253">
        <f>'Respondent Burden'!H71</f>
        <v>20</v>
      </c>
      <c r="H38" s="253">
        <f>'Respondent Burden'!I71</f>
        <v>20</v>
      </c>
      <c r="I38" s="253">
        <f>'Respondent Burden'!M71</f>
        <v>188</v>
      </c>
      <c r="J38" s="253">
        <f>'Respondent Burden'!P71</f>
        <v>188</v>
      </c>
      <c r="K38" s="253">
        <f>'Respondent Burden'!S71</f>
        <v>188</v>
      </c>
      <c r="L38" s="254">
        <f>'Respondent Burden'!N71</f>
        <v>9010.84</v>
      </c>
      <c r="M38" s="251">
        <f>'Respondent Burden'!Q71</f>
        <v>9010.84</v>
      </c>
      <c r="N38" s="251">
        <f>'Respondent Burden'!T71</f>
        <v>9010.84</v>
      </c>
    </row>
    <row r="39" spans="2:14" ht="24.75" thickBot="1">
      <c r="B39" s="399"/>
      <c r="C39" s="390"/>
      <c r="D39" s="250" t="s">
        <v>223</v>
      </c>
      <c r="E39" s="390"/>
      <c r="F39" s="253">
        <f>'Respondent Burden'!G72</f>
        <v>20</v>
      </c>
      <c r="G39" s="253">
        <f>'Respondent Burden'!H72</f>
        <v>20</v>
      </c>
      <c r="H39" s="253">
        <f>'Respondent Burden'!I72</f>
        <v>20</v>
      </c>
      <c r="I39" s="253">
        <f>'Respondent Burden'!M72</f>
        <v>800</v>
      </c>
      <c r="J39" s="253">
        <f>'Respondent Burden'!P72</f>
        <v>800</v>
      </c>
      <c r="K39" s="253">
        <f>'Respondent Burden'!S72</f>
        <v>800</v>
      </c>
      <c r="L39" s="254">
        <f>'Respondent Burden'!N72</f>
        <v>38344</v>
      </c>
      <c r="M39" s="251">
        <f>'Respondent Burden'!Q72</f>
        <v>38344</v>
      </c>
      <c r="N39" s="251">
        <f>'Respondent Burden'!T72</f>
        <v>38344</v>
      </c>
    </row>
    <row r="40" spans="2:14" ht="60.75" customHeight="1" thickBot="1">
      <c r="B40" s="399"/>
      <c r="C40" s="389" t="s">
        <v>224</v>
      </c>
      <c r="D40" s="250" t="s">
        <v>142</v>
      </c>
      <c r="E40" s="389" t="s">
        <v>137</v>
      </c>
      <c r="F40" s="253">
        <f>'Respondent Burden'!G75</f>
        <v>1</v>
      </c>
      <c r="G40" s="253">
        <f>'Respondent Burden'!H75</f>
        <v>3</v>
      </c>
      <c r="H40" s="253">
        <f>'Respondent Burden'!I75</f>
        <v>1</v>
      </c>
      <c r="I40" s="252">
        <f>'Respondent Burden'!M75</f>
        <v>0.5</v>
      </c>
      <c r="J40" s="252">
        <f>'Respondent Burden'!P75</f>
        <v>1.5</v>
      </c>
      <c r="K40" s="252">
        <f>'Respondent Burden'!S75</f>
        <v>0.5</v>
      </c>
      <c r="L40" s="254">
        <f>'Respondent Burden'!N75</f>
        <v>23.965</v>
      </c>
      <c r="M40" s="251">
        <f>'Respondent Burden'!Q75</f>
        <v>71.894999999999996</v>
      </c>
      <c r="N40" s="251">
        <f>'Respondent Burden'!T75</f>
        <v>23.965</v>
      </c>
    </row>
    <row r="41" spans="2:14" ht="48.75" thickBot="1">
      <c r="B41" s="390"/>
      <c r="C41" s="390"/>
      <c r="D41" s="250" t="s">
        <v>143</v>
      </c>
      <c r="E41" s="399"/>
      <c r="F41" s="253">
        <f>'Respondent Burden'!G76</f>
        <v>1</v>
      </c>
      <c r="G41" s="253">
        <f>'Respondent Burden'!H76</f>
        <v>4</v>
      </c>
      <c r="H41" s="253">
        <f>'Respondent Burden'!I76</f>
        <v>4</v>
      </c>
      <c r="I41" s="253">
        <f>'Respondent Burden'!M76</f>
        <v>588.23333333333335</v>
      </c>
      <c r="J41" s="253">
        <f>'Respondent Burden'!P76</f>
        <v>2352.9333333333334</v>
      </c>
      <c r="K41" s="253">
        <f>'Respondent Burden'!S76</f>
        <v>2352.9333333333334</v>
      </c>
      <c r="L41" s="254">
        <f>'Respondent Burden'!N76</f>
        <v>28194.023666666668</v>
      </c>
      <c r="M41" s="251">
        <f>'Respondent Burden'!Q76</f>
        <v>112776.09466666667</v>
      </c>
      <c r="N41" s="251">
        <f>'Respondent Burden'!T76</f>
        <v>112776.09466666667</v>
      </c>
    </row>
    <row r="42" spans="2:14" ht="36.75" thickBot="1">
      <c r="B42" s="387" t="s">
        <v>64</v>
      </c>
      <c r="C42" s="387" t="s">
        <v>134</v>
      </c>
      <c r="D42" s="250" t="s">
        <v>135</v>
      </c>
      <c r="E42" s="399"/>
      <c r="F42" s="253">
        <f>'Respondent Burden'!G73</f>
        <v>31</v>
      </c>
      <c r="G42" s="253">
        <f>'Respondent Burden'!H73</f>
        <v>0</v>
      </c>
      <c r="H42" s="253">
        <f>'Respondent Burden'!I73</f>
        <v>0</v>
      </c>
      <c r="I42" s="253">
        <f>'Respondent Burden'!M73</f>
        <v>279</v>
      </c>
      <c r="J42" s="253">
        <f>'Respondent Burden'!P73</f>
        <v>0</v>
      </c>
      <c r="K42" s="253">
        <f>'Respondent Burden'!S73</f>
        <v>0</v>
      </c>
      <c r="L42" s="254">
        <f>'Respondent Burden'!N73</f>
        <v>13372.47</v>
      </c>
      <c r="M42" s="251">
        <f>'Respondent Burden'!Q73</f>
        <v>0</v>
      </c>
      <c r="N42" s="251">
        <f>'Respondent Burden'!T73</f>
        <v>0</v>
      </c>
    </row>
    <row r="43" spans="2:14" ht="24.75" thickBot="1">
      <c r="B43" s="388"/>
      <c r="C43" s="388"/>
      <c r="D43" s="250" t="s">
        <v>223</v>
      </c>
      <c r="E43" s="399"/>
      <c r="F43" s="253">
        <f>'Respondent Burden'!G74</f>
        <v>0</v>
      </c>
      <c r="G43" s="253">
        <f>'Respondent Burden'!H74</f>
        <v>31</v>
      </c>
      <c r="H43" s="253">
        <f>'Respondent Burden'!I74</f>
        <v>31</v>
      </c>
      <c r="I43" s="253">
        <f>'Respondent Burden'!M74</f>
        <v>0</v>
      </c>
      <c r="J43" s="253">
        <f>'Respondent Burden'!P74</f>
        <v>1240</v>
      </c>
      <c r="K43" s="253">
        <f>'Respondent Burden'!S74</f>
        <v>1240</v>
      </c>
      <c r="L43" s="254">
        <f>'Respondent Burden'!N74</f>
        <v>0</v>
      </c>
      <c r="M43" s="251">
        <f>'Respondent Burden'!Q74</f>
        <v>59433.2</v>
      </c>
      <c r="N43" s="251">
        <f>'Respondent Burden'!T74</f>
        <v>59433.2</v>
      </c>
    </row>
    <row r="44" spans="2:14" ht="48.75" thickBot="1">
      <c r="B44" s="389" t="s">
        <v>225</v>
      </c>
      <c r="C44" s="389" t="s">
        <v>144</v>
      </c>
      <c r="D44" s="250" t="s">
        <v>142</v>
      </c>
      <c r="E44" s="399"/>
      <c r="F44" s="253">
        <f>'Respondent Burden'!G77</f>
        <v>10</v>
      </c>
      <c r="G44" s="253">
        <f>'Respondent Burden'!H77</f>
        <v>1</v>
      </c>
      <c r="H44" s="253">
        <f>'Respondent Burden'!I77</f>
        <v>1</v>
      </c>
      <c r="I44" s="252">
        <f>'Respondent Burden'!M77</f>
        <v>5</v>
      </c>
      <c r="J44" s="252">
        <f>'Respondent Burden'!P77</f>
        <v>0.5</v>
      </c>
      <c r="K44" s="252">
        <f>'Respondent Burden'!S77</f>
        <v>0.5</v>
      </c>
      <c r="L44" s="254">
        <f>'Respondent Burden'!N77</f>
        <v>239.65</v>
      </c>
      <c r="M44" s="251">
        <f>'Respondent Burden'!Q77</f>
        <v>23.965</v>
      </c>
      <c r="N44" s="251">
        <f>'Respondent Burden'!T77</f>
        <v>23.965</v>
      </c>
    </row>
    <row r="45" spans="2:14" ht="48.75" thickBot="1">
      <c r="B45" s="399"/>
      <c r="C45" s="390"/>
      <c r="D45" s="250" t="s">
        <v>143</v>
      </c>
      <c r="E45" s="399"/>
      <c r="F45" s="253">
        <f>'Respondent Burden'!G78</f>
        <v>10</v>
      </c>
      <c r="G45" s="253">
        <f>'Respondent Burden'!H78</f>
        <v>10</v>
      </c>
      <c r="H45" s="253">
        <f>'Respondent Burden'!I78</f>
        <v>10</v>
      </c>
      <c r="I45" s="253">
        <f>'Respondent Burden'!M78</f>
        <v>520</v>
      </c>
      <c r="J45" s="253">
        <f>'Respondent Burden'!P78</f>
        <v>520</v>
      </c>
      <c r="K45" s="253">
        <f>'Respondent Burden'!S78</f>
        <v>520</v>
      </c>
      <c r="L45" s="254">
        <f>'Respondent Burden'!N78</f>
        <v>24923.599999999999</v>
      </c>
      <c r="M45" s="251">
        <f>'Respondent Burden'!Q78</f>
        <v>24923.599999999999</v>
      </c>
      <c r="N45" s="251">
        <f>'Respondent Burden'!T78</f>
        <v>24923.599999999999</v>
      </c>
    </row>
    <row r="46" spans="2:14" ht="48.75" thickBot="1">
      <c r="B46" s="399"/>
      <c r="C46" s="389" t="s">
        <v>145</v>
      </c>
      <c r="D46" s="250" t="s">
        <v>142</v>
      </c>
      <c r="E46" s="399"/>
      <c r="F46" s="253">
        <f>'Respondent Burden'!G79</f>
        <v>75</v>
      </c>
      <c r="G46" s="253">
        <f>'Respondent Burden'!H79</f>
        <v>1</v>
      </c>
      <c r="H46" s="253">
        <f>'Respondent Burden'!I79</f>
        <v>1</v>
      </c>
      <c r="I46" s="252">
        <f>'Respondent Burden'!M79</f>
        <v>37.5</v>
      </c>
      <c r="J46" s="252">
        <f>'Respondent Burden'!P79</f>
        <v>0.5</v>
      </c>
      <c r="K46" s="252">
        <f>'Respondent Burden'!S79</f>
        <v>0.5</v>
      </c>
      <c r="L46" s="254">
        <f>'Respondent Burden'!N79</f>
        <v>1797.375</v>
      </c>
      <c r="M46" s="251">
        <f>'Respondent Burden'!Q79</f>
        <v>23.965</v>
      </c>
      <c r="N46" s="251">
        <f>'Respondent Burden'!T79</f>
        <v>23.965</v>
      </c>
    </row>
    <row r="47" spans="2:14" ht="48.75" thickBot="1">
      <c r="B47" s="399"/>
      <c r="C47" s="390"/>
      <c r="D47" s="250" t="s">
        <v>143</v>
      </c>
      <c r="E47" s="399"/>
      <c r="F47" s="253">
        <f>'Respondent Burden'!G80</f>
        <v>75</v>
      </c>
      <c r="G47" s="253">
        <f>'Respondent Burden'!H80</f>
        <v>75</v>
      </c>
      <c r="H47" s="253">
        <f>'Respondent Burden'!I80</f>
        <v>75</v>
      </c>
      <c r="I47" s="253">
        <f>'Respondent Burden'!M80</f>
        <v>3900</v>
      </c>
      <c r="J47" s="253">
        <f>'Respondent Burden'!P80</f>
        <v>3900</v>
      </c>
      <c r="K47" s="253">
        <f>'Respondent Burden'!S80</f>
        <v>3900</v>
      </c>
      <c r="L47" s="254">
        <f>'Respondent Burden'!N80</f>
        <v>186927</v>
      </c>
      <c r="M47" s="251">
        <f>'Respondent Burden'!Q80</f>
        <v>186927</v>
      </c>
      <c r="N47" s="251">
        <f>'Respondent Burden'!T80</f>
        <v>186927</v>
      </c>
    </row>
    <row r="48" spans="2:14" ht="48.75" thickBot="1">
      <c r="B48" s="399"/>
      <c r="C48" s="389" t="s">
        <v>226</v>
      </c>
      <c r="D48" s="250" t="s">
        <v>142</v>
      </c>
      <c r="E48" s="399"/>
      <c r="F48" s="253">
        <f>'Respondent Burden'!G81</f>
        <v>13</v>
      </c>
      <c r="G48" s="253">
        <f>'Respondent Burden'!H81</f>
        <v>37</v>
      </c>
      <c r="H48" s="253">
        <f>'Respondent Burden'!I81</f>
        <v>1</v>
      </c>
      <c r="I48" s="253">
        <f>'Respondent Burden'!M81</f>
        <v>6.5</v>
      </c>
      <c r="J48" s="252">
        <f>'Respondent Burden'!P81</f>
        <v>18.5</v>
      </c>
      <c r="K48" s="252">
        <f>'Respondent Burden'!S81</f>
        <v>0.5</v>
      </c>
      <c r="L48" s="254">
        <f>'Respondent Burden'!N81</f>
        <v>311.54500000000002</v>
      </c>
      <c r="M48" s="251">
        <f>'Respondent Burden'!Q81</f>
        <v>886.70500000000004</v>
      </c>
      <c r="N48" s="251">
        <f>'Respondent Burden'!T81</f>
        <v>23.965</v>
      </c>
    </row>
    <row r="49" spans="2:14" ht="48.75" thickBot="1">
      <c r="B49" s="399"/>
      <c r="C49" s="390"/>
      <c r="D49" s="250" t="s">
        <v>143</v>
      </c>
      <c r="E49" s="399"/>
      <c r="F49" s="253">
        <f>'Respondent Burden'!G82</f>
        <v>13</v>
      </c>
      <c r="G49" s="253">
        <f>'Respondent Burden'!H82</f>
        <v>50</v>
      </c>
      <c r="H49" s="253">
        <f>'Respondent Burden'!I82</f>
        <v>50</v>
      </c>
      <c r="I49" s="253">
        <f>'Respondent Burden'!M82</f>
        <v>3823.5166666666669</v>
      </c>
      <c r="J49" s="253">
        <f>'Respondent Burden'!P82</f>
        <v>14705.833333333334</v>
      </c>
      <c r="K49" s="253">
        <f>'Respondent Burden'!S82</f>
        <v>14705.833333333334</v>
      </c>
      <c r="L49" s="254">
        <f>'Respondent Burden'!N82</f>
        <v>183261.15383333334</v>
      </c>
      <c r="M49" s="251">
        <f>'Respondent Burden'!Q82</f>
        <v>704850.59166666667</v>
      </c>
      <c r="N49" s="251">
        <f>'Respondent Burden'!T82</f>
        <v>704850.59166666667</v>
      </c>
    </row>
    <row r="50" spans="2:14" ht="48.75" thickBot="1">
      <c r="B50" s="399"/>
      <c r="C50" s="389" t="s">
        <v>134</v>
      </c>
      <c r="D50" s="250" t="s">
        <v>142</v>
      </c>
      <c r="E50" s="399"/>
      <c r="F50" s="253">
        <f>'Respondent Burden'!G85</f>
        <v>8</v>
      </c>
      <c r="G50" s="253">
        <f>'Respondent Burden'!H85</f>
        <v>23</v>
      </c>
      <c r="H50" s="253">
        <f>'Respondent Burden'!I85</f>
        <v>1</v>
      </c>
      <c r="I50" s="252">
        <f>'Respondent Burden'!M83</f>
        <v>1250</v>
      </c>
      <c r="J50" s="252">
        <f>'Respondent Burden'!P85</f>
        <v>11.5</v>
      </c>
      <c r="K50" s="252">
        <f>'Respondent Burden'!S85</f>
        <v>0.5</v>
      </c>
      <c r="L50" s="254">
        <f>'Respondent Burden'!N85</f>
        <v>191.72</v>
      </c>
      <c r="M50" s="251">
        <f>'Respondent Burden'!Q85</f>
        <v>551.19500000000005</v>
      </c>
      <c r="N50" s="251">
        <f>'Respondent Burden'!T85</f>
        <v>23.965</v>
      </c>
    </row>
    <row r="51" spans="2:14" ht="48.75" thickBot="1">
      <c r="B51" s="399"/>
      <c r="C51" s="390"/>
      <c r="D51" s="250" t="s">
        <v>143</v>
      </c>
      <c r="E51" s="399"/>
      <c r="F51" s="253">
        <f>'Respondent Burden'!G86</f>
        <v>8</v>
      </c>
      <c r="G51" s="253">
        <f>'Respondent Burden'!H86</f>
        <v>31</v>
      </c>
      <c r="H51" s="253">
        <f>'Respondent Burden'!I86</f>
        <v>31</v>
      </c>
      <c r="I51" s="252">
        <f>'Respondent Burden'!M84</f>
        <v>7034.7222222222226</v>
      </c>
      <c r="J51" s="253">
        <f>'Respondent Burden'!P86</f>
        <v>18235.233333333334</v>
      </c>
      <c r="K51" s="253">
        <f>'Respondent Burden'!S86</f>
        <v>18235.233333333334</v>
      </c>
      <c r="L51" s="254">
        <f>'Respondent Burden'!N86</f>
        <v>225552.18933333334</v>
      </c>
      <c r="M51" s="251">
        <f>'Respondent Burden'!Q86</f>
        <v>874014.73366666667</v>
      </c>
      <c r="N51" s="251">
        <f>'Respondent Burden'!T86</f>
        <v>874014.73366666667</v>
      </c>
    </row>
    <row r="52" spans="2:14" ht="48.75" thickBot="1">
      <c r="B52" s="399"/>
      <c r="C52" s="389" t="s">
        <v>147</v>
      </c>
      <c r="D52" s="250" t="s">
        <v>142</v>
      </c>
      <c r="E52" s="399"/>
      <c r="F52" s="253">
        <f>'Respondent Burden'!G83</f>
        <v>2500</v>
      </c>
      <c r="G52" s="253">
        <f>'Respondent Burden'!H83</f>
        <v>7500</v>
      </c>
      <c r="H52" s="253">
        <f>'Respondent Burden'!I83</f>
        <v>1</v>
      </c>
      <c r="I52" s="252">
        <f>'Respondent Burden'!M85</f>
        <v>4</v>
      </c>
      <c r="J52" s="253">
        <f>'Respondent Burden'!P83</f>
        <v>3750</v>
      </c>
      <c r="K52" s="253">
        <f>'Respondent Burden'!S83</f>
        <v>0.5</v>
      </c>
      <c r="L52" s="254">
        <f>'Respondent Burden'!N83</f>
        <v>59912.5</v>
      </c>
      <c r="M52" s="251">
        <f>'Respondent Burden'!Q83</f>
        <v>179737.5</v>
      </c>
      <c r="N52" s="251">
        <f>'Respondent Burden'!T83</f>
        <v>23.965</v>
      </c>
    </row>
    <row r="53" spans="2:14" ht="48.75" thickBot="1">
      <c r="B53" s="390"/>
      <c r="C53" s="390"/>
      <c r="D53" s="250" t="s">
        <v>143</v>
      </c>
      <c r="E53" s="390"/>
      <c r="F53" s="253">
        <f>'Respondent Burden'!G84</f>
        <v>2500</v>
      </c>
      <c r="G53" s="253">
        <f>'Respondent Burden'!H84</f>
        <v>10000</v>
      </c>
      <c r="H53" s="253">
        <f>'Respondent Burden'!I84</f>
        <v>10000</v>
      </c>
      <c r="I53" s="253">
        <f>'Respondent Burden'!M86</f>
        <v>4705.8666666666668</v>
      </c>
      <c r="J53" s="253">
        <f>'Respondent Burden'!P84</f>
        <v>28138.888888888891</v>
      </c>
      <c r="K53" s="253">
        <f>'Respondent Burden'!S84</f>
        <v>28138.888888888891</v>
      </c>
      <c r="L53" s="254">
        <f>'Respondent Burden'!N84</f>
        <v>337174.23611111112</v>
      </c>
      <c r="M53" s="251">
        <f>'Respondent Burden'!Q84</f>
        <v>1348696.9444444445</v>
      </c>
      <c r="N53" s="251">
        <f>'Respondent Burden'!T84</f>
        <v>1348696.9444444445</v>
      </c>
    </row>
  </sheetData>
  <mergeCells count="41">
    <mergeCell ref="R2:R3"/>
    <mergeCell ref="T2:T3"/>
    <mergeCell ref="B38:B41"/>
    <mergeCell ref="C38:C39"/>
    <mergeCell ref="E38:E39"/>
    <mergeCell ref="C40:C41"/>
    <mergeCell ref="E40:E53"/>
    <mergeCell ref="B44:B53"/>
    <mergeCell ref="C44:C45"/>
    <mergeCell ref="C46:C47"/>
    <mergeCell ref="C48:C49"/>
    <mergeCell ref="C50:C51"/>
    <mergeCell ref="D20:D21"/>
    <mergeCell ref="D22:D23"/>
    <mergeCell ref="C32:C37"/>
    <mergeCell ref="C52:C53"/>
    <mergeCell ref="L2:N2"/>
    <mergeCell ref="C4:C31"/>
    <mergeCell ref="D4:D5"/>
    <mergeCell ref="D6:D7"/>
    <mergeCell ref="D8:D9"/>
    <mergeCell ref="D10:D11"/>
    <mergeCell ref="D12:D13"/>
    <mergeCell ref="D14:D15"/>
    <mergeCell ref="D16:D17"/>
    <mergeCell ref="D18:D19"/>
    <mergeCell ref="I2:K2"/>
    <mergeCell ref="D24:D25"/>
    <mergeCell ref="E2:E3"/>
    <mergeCell ref="F2:H2"/>
    <mergeCell ref="B42:B43"/>
    <mergeCell ref="C42:C43"/>
    <mergeCell ref="D27:D28"/>
    <mergeCell ref="D29:D30"/>
    <mergeCell ref="B2:B3"/>
    <mergeCell ref="C2:C3"/>
    <mergeCell ref="D2:D3"/>
    <mergeCell ref="D32:D33"/>
    <mergeCell ref="D34:D35"/>
    <mergeCell ref="D36:D37"/>
    <mergeCell ref="B4:B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ACCF9-D7ED-410E-BF5D-C9CD4380005A}">
  <sheetPr>
    <tabColor theme="2" tint="-9.9978637043366805E-2"/>
  </sheetPr>
  <dimension ref="A1:Q113"/>
  <sheetViews>
    <sheetView topLeftCell="A11" workbookViewId="0">
      <selection activeCell="M43" sqref="M43"/>
    </sheetView>
  </sheetViews>
  <sheetFormatPr defaultRowHeight="15"/>
  <cols>
    <col min="1" max="1" width="27.140625" customWidth="1"/>
    <col min="2" max="2" width="60.7109375" customWidth="1"/>
    <col min="3" max="3" width="17.140625" customWidth="1"/>
    <col min="4" max="4" width="16.85546875" bestFit="1" customWidth="1"/>
    <col min="5" max="5" width="15.85546875" style="9" customWidth="1"/>
    <col min="6" max="6" width="14.5703125" customWidth="1"/>
    <col min="7" max="7" width="16.140625" style="2" bestFit="1" customWidth="1"/>
    <col min="8" max="8" width="19.5703125" customWidth="1"/>
    <col min="9" max="9" width="20.42578125" style="9" customWidth="1"/>
    <col min="10" max="10" width="15.28515625" bestFit="1" customWidth="1"/>
    <col min="11" max="11" width="2.7109375" style="31" customWidth="1"/>
    <col min="14" max="14" width="23.85546875" bestFit="1" customWidth="1"/>
    <col min="15" max="15" width="27" bestFit="1" customWidth="1"/>
    <col min="16" max="16" width="37.5703125" bestFit="1" customWidth="1"/>
    <col min="17" max="17" width="16.28515625" customWidth="1"/>
  </cols>
  <sheetData>
    <row r="1" spans="1:10" ht="18.75">
      <c r="A1" s="179" t="s">
        <v>264</v>
      </c>
      <c r="B1" s="180"/>
      <c r="C1" s="180"/>
      <c r="D1" s="180"/>
      <c r="E1" s="181"/>
      <c r="F1" s="180"/>
      <c r="G1" s="182"/>
    </row>
    <row r="2" spans="1:10" ht="15.75">
      <c r="B2" s="328" t="s">
        <v>1</v>
      </c>
    </row>
    <row r="3" spans="1:10" ht="23.25">
      <c r="A3" s="1" t="s">
        <v>265</v>
      </c>
    </row>
    <row r="5" spans="1:10" ht="23.25">
      <c r="A5" s="3" t="s">
        <v>266</v>
      </c>
    </row>
    <row r="7" spans="1:10" ht="18.75">
      <c r="A7" s="4" t="s">
        <v>3</v>
      </c>
    </row>
    <row r="8" spans="1:10" ht="18.75">
      <c r="A8" s="4"/>
      <c r="B8" s="32" t="s">
        <v>4</v>
      </c>
      <c r="C8" s="32" t="s">
        <v>5</v>
      </c>
    </row>
    <row r="9" spans="1:10">
      <c r="A9" s="33"/>
      <c r="B9" s="34"/>
      <c r="C9" s="35">
        <v>1.1000000000000001</v>
      </c>
      <c r="E9"/>
      <c r="G9"/>
      <c r="I9"/>
    </row>
    <row r="10" spans="1:10" ht="60">
      <c r="A10" s="33" t="s">
        <v>267</v>
      </c>
      <c r="B10" s="36">
        <v>48.18</v>
      </c>
      <c r="C10" s="37">
        <f>B10+B10*$C$9</f>
        <v>101.178</v>
      </c>
      <c r="D10" s="409" t="s">
        <v>268</v>
      </c>
      <c r="E10" s="409"/>
      <c r="F10" s="409"/>
      <c r="G10" s="409"/>
      <c r="H10" s="409"/>
      <c r="I10" s="409"/>
      <c r="J10" s="409"/>
    </row>
    <row r="11" spans="1:10">
      <c r="A11" s="33" t="s">
        <v>269</v>
      </c>
      <c r="B11" s="36">
        <v>33.18</v>
      </c>
      <c r="C11" s="37">
        <f t="shared" ref="C11:C17" si="0">B11+B11*$C$9</f>
        <v>69.677999999999997</v>
      </c>
      <c r="D11" s="348" t="s">
        <v>270</v>
      </c>
      <c r="E11" s="348"/>
      <c r="F11" s="348"/>
      <c r="G11" s="348"/>
      <c r="H11" s="348"/>
      <c r="I11" s="348"/>
      <c r="J11" s="348"/>
    </row>
    <row r="12" spans="1:10">
      <c r="A12" s="33" t="s">
        <v>271</v>
      </c>
      <c r="B12" s="36">
        <v>34.81</v>
      </c>
      <c r="C12" s="37">
        <f t="shared" si="0"/>
        <v>73.100999999999999</v>
      </c>
      <c r="D12" s="348" t="s">
        <v>272</v>
      </c>
      <c r="E12" s="348"/>
      <c r="F12" s="348"/>
      <c r="G12" s="348"/>
      <c r="H12" s="348"/>
      <c r="I12" s="348"/>
      <c r="J12" s="348"/>
    </row>
    <row r="13" spans="1:10" ht="30">
      <c r="A13" s="33" t="s">
        <v>273</v>
      </c>
      <c r="B13" s="36">
        <v>33.92</v>
      </c>
      <c r="C13" s="37">
        <f t="shared" si="0"/>
        <v>71.231999999999999</v>
      </c>
      <c r="D13" s="348" t="s">
        <v>274</v>
      </c>
      <c r="E13" s="348"/>
      <c r="F13" s="348"/>
      <c r="G13" s="348"/>
      <c r="H13" s="348"/>
      <c r="I13" s="348"/>
      <c r="J13" s="348"/>
    </row>
    <row r="14" spans="1:10">
      <c r="A14" s="33" t="s">
        <v>275</v>
      </c>
      <c r="B14" s="36">
        <v>26.29</v>
      </c>
      <c r="C14" s="37">
        <f t="shared" si="0"/>
        <v>55.209000000000003</v>
      </c>
      <c r="D14" s="348" t="s">
        <v>276</v>
      </c>
      <c r="E14" s="348"/>
      <c r="F14" s="348"/>
      <c r="G14" s="348"/>
      <c r="H14" s="348"/>
      <c r="I14" s="348"/>
      <c r="J14" s="348"/>
    </row>
    <row r="15" spans="1:10">
      <c r="A15" s="33" t="s">
        <v>124</v>
      </c>
      <c r="B15" s="106">
        <v>26.29</v>
      </c>
      <c r="C15" s="107">
        <f>B15+B15*$C$9</f>
        <v>55.209000000000003</v>
      </c>
      <c r="D15" s="348" t="s">
        <v>277</v>
      </c>
      <c r="E15" s="348"/>
      <c r="F15" s="348"/>
      <c r="G15" s="348"/>
      <c r="H15" s="348"/>
      <c r="I15" s="348"/>
      <c r="J15" s="348"/>
    </row>
    <row r="16" spans="1:10">
      <c r="A16" s="33" t="s">
        <v>9</v>
      </c>
      <c r="B16" s="106">
        <v>47.93</v>
      </c>
      <c r="C16" s="107">
        <f>B16+B16*$C$9</f>
        <v>100.65300000000001</v>
      </c>
      <c r="D16" s="348" t="s">
        <v>278</v>
      </c>
      <c r="E16" s="348"/>
      <c r="F16" s="348"/>
      <c r="G16" s="348"/>
      <c r="H16" s="348"/>
      <c r="I16" s="348"/>
      <c r="J16" s="348"/>
    </row>
    <row r="17" spans="1:17">
      <c r="A17" s="33" t="s">
        <v>279</v>
      </c>
      <c r="B17" s="36">
        <v>19.010000000000002</v>
      </c>
      <c r="C17" s="37">
        <f t="shared" si="0"/>
        <v>39.921000000000006</v>
      </c>
      <c r="D17" s="348" t="s">
        <v>280</v>
      </c>
      <c r="E17" s="348"/>
      <c r="F17" s="348"/>
      <c r="G17" s="348"/>
      <c r="H17" s="348"/>
      <c r="I17" s="348"/>
      <c r="J17" s="348"/>
    </row>
    <row r="18" spans="1:17">
      <c r="N18" s="27"/>
      <c r="O18" s="5"/>
    </row>
    <row r="19" spans="1:17" ht="18.75">
      <c r="A19" s="4" t="s">
        <v>281</v>
      </c>
      <c r="H19" s="38"/>
      <c r="N19" s="39"/>
    </row>
    <row r="20" spans="1:17">
      <c r="A20" s="403" t="s">
        <v>282</v>
      </c>
      <c r="B20" s="404" t="s">
        <v>52</v>
      </c>
      <c r="C20" s="403" t="s">
        <v>58</v>
      </c>
      <c r="D20" s="403" t="s">
        <v>55</v>
      </c>
      <c r="E20" s="403" t="s">
        <v>56</v>
      </c>
      <c r="F20" s="404" t="s">
        <v>283</v>
      </c>
      <c r="G20" s="404"/>
      <c r="H20" s="404" t="s">
        <v>284</v>
      </c>
      <c r="I20" s="404"/>
      <c r="J20" s="404"/>
      <c r="N20" s="39"/>
    </row>
    <row r="21" spans="1:17" ht="45">
      <c r="A21" s="403"/>
      <c r="B21" s="404"/>
      <c r="C21" s="403"/>
      <c r="D21" s="403"/>
      <c r="E21" s="403"/>
      <c r="F21" s="338" t="s">
        <v>285</v>
      </c>
      <c r="G21" s="338" t="s">
        <v>286</v>
      </c>
      <c r="H21" s="40" t="s">
        <v>285</v>
      </c>
      <c r="I21" s="338" t="s">
        <v>287</v>
      </c>
      <c r="J21" s="40" t="s">
        <v>61</v>
      </c>
    </row>
    <row r="22" spans="1:17" s="5" customFormat="1">
      <c r="A22" s="405" t="s">
        <v>288</v>
      </c>
      <c r="B22" s="41" t="s">
        <v>289</v>
      </c>
      <c r="C22" s="42">
        <v>0</v>
      </c>
      <c r="D22" s="42">
        <v>1</v>
      </c>
      <c r="E22" s="43">
        <v>8</v>
      </c>
      <c r="F22" s="44">
        <f t="shared" ref="F22:F55" si="1">D22*E22</f>
        <v>8</v>
      </c>
      <c r="G22" s="45">
        <f>F22*$C$10</f>
        <v>809.42399999999998</v>
      </c>
      <c r="H22" s="42">
        <f>C22*D22*E22</f>
        <v>0</v>
      </c>
      <c r="I22" s="46">
        <f>H22*$C$10</f>
        <v>0</v>
      </c>
      <c r="J22" s="42">
        <f>C22*D22</f>
        <v>0</v>
      </c>
      <c r="K22" s="31">
        <v>1</v>
      </c>
      <c r="P22"/>
    </row>
    <row r="23" spans="1:17" s="5" customFormat="1">
      <c r="A23" s="405"/>
      <c r="B23" s="41" t="s">
        <v>290</v>
      </c>
      <c r="C23" s="42">
        <v>2</v>
      </c>
      <c r="D23" s="42">
        <v>1</v>
      </c>
      <c r="E23" s="43">
        <v>0.5</v>
      </c>
      <c r="F23" s="44">
        <f t="shared" si="1"/>
        <v>0.5</v>
      </c>
      <c r="G23" s="45">
        <f>F23*$C$10</f>
        <v>50.588999999999999</v>
      </c>
      <c r="H23" s="42">
        <f t="shared" ref="H23:H44" si="2">C23*D23*E23</f>
        <v>1</v>
      </c>
      <c r="I23" s="46">
        <f>H23*$C$10</f>
        <v>101.178</v>
      </c>
      <c r="J23" s="42">
        <f>C23*D23</f>
        <v>2</v>
      </c>
      <c r="K23" s="31">
        <v>1</v>
      </c>
      <c r="N23" s="47" t="s">
        <v>71</v>
      </c>
      <c r="O23" s="47" t="s">
        <v>72</v>
      </c>
      <c r="P23" s="47" t="s">
        <v>73</v>
      </c>
      <c r="Q23" s="47" t="s">
        <v>74</v>
      </c>
    </row>
    <row r="24" spans="1:17" s="5" customFormat="1">
      <c r="A24" s="405"/>
      <c r="B24" s="41" t="s">
        <v>291</v>
      </c>
      <c r="C24" s="42">
        <v>2</v>
      </c>
      <c r="D24" s="42">
        <v>1</v>
      </c>
      <c r="E24" s="43">
        <v>0.5</v>
      </c>
      <c r="F24" s="44">
        <f t="shared" si="1"/>
        <v>0.5</v>
      </c>
      <c r="G24" s="45">
        <f>F24*$C$10</f>
        <v>50.588999999999999</v>
      </c>
      <c r="H24" s="43">
        <f t="shared" si="2"/>
        <v>1</v>
      </c>
      <c r="I24" s="46">
        <f>H24*$C$10</f>
        <v>101.178</v>
      </c>
      <c r="J24" s="42">
        <f>C24*D24</f>
        <v>2</v>
      </c>
      <c r="K24" s="31">
        <v>3</v>
      </c>
      <c r="N24" s="48" t="s">
        <v>66</v>
      </c>
      <c r="O24" s="49">
        <f>SUMIF($K$22:$K$55, "1", $J$22:$J$55)</f>
        <v>372</v>
      </c>
      <c r="P24" s="50">
        <f>SUMIF($K$22:$K$55, "1", $I$22:$I$55)</f>
        <v>63879.837925655032</v>
      </c>
      <c r="Q24" s="51">
        <f>SUMIF($K$22:$K$55, "1", $H$22:$H$55)</f>
        <v>849.17285837215536</v>
      </c>
    </row>
    <row r="25" spans="1:17" s="5" customFormat="1">
      <c r="A25" s="405"/>
      <c r="B25" s="52" t="s">
        <v>292</v>
      </c>
      <c r="C25" s="53">
        <v>2</v>
      </c>
      <c r="D25" s="53">
        <v>1</v>
      </c>
      <c r="E25" s="54">
        <v>0.5</v>
      </c>
      <c r="F25" s="44">
        <f t="shared" si="1"/>
        <v>0.5</v>
      </c>
      <c r="G25" s="45">
        <f>F25*$C$10</f>
        <v>50.588999999999999</v>
      </c>
      <c r="H25" s="55">
        <f>C25*D25*E25</f>
        <v>1</v>
      </c>
      <c r="I25" s="46">
        <f>H25*$C$10</f>
        <v>101.178</v>
      </c>
      <c r="J25" s="56">
        <f t="shared" ref="J25:J45" si="3">C25*D25</f>
        <v>2</v>
      </c>
      <c r="K25" s="31">
        <v>2</v>
      </c>
      <c r="N25" s="48" t="s">
        <v>79</v>
      </c>
      <c r="O25" s="49">
        <f>SUMIF($K$22:$K$55, "2", $J$22:$J$55)</f>
        <v>12248596.937850252</v>
      </c>
      <c r="P25" s="50">
        <f>SUMIF($K$22:$K$55, "2", $I$22:$I$55)</f>
        <v>28881883.454053599</v>
      </c>
      <c r="Q25" s="51">
        <f>SUMIF($K$22:$K$55, "2", $H$22:$H$55)</f>
        <v>379615.16939604853</v>
      </c>
    </row>
    <row r="26" spans="1:17" s="5" customFormat="1">
      <c r="A26" s="406" t="s">
        <v>269</v>
      </c>
      <c r="B26" s="41" t="s">
        <v>293</v>
      </c>
      <c r="C26" s="42">
        <v>56</v>
      </c>
      <c r="D26" s="42">
        <v>1</v>
      </c>
      <c r="E26" s="43">
        <v>9.36915818521706</v>
      </c>
      <c r="F26" s="44">
        <f t="shared" si="1"/>
        <v>9.36915818521706</v>
      </c>
      <c r="G26" s="45">
        <f>F26*$C$11</f>
        <v>652.82420402955427</v>
      </c>
      <c r="H26" s="42">
        <f t="shared" si="2"/>
        <v>524.67285837215536</v>
      </c>
      <c r="I26" s="46">
        <f>H26*$C$11</f>
        <v>36558.155425655037</v>
      </c>
      <c r="J26" s="42">
        <f t="shared" si="3"/>
        <v>56</v>
      </c>
      <c r="K26" s="31">
        <v>1</v>
      </c>
      <c r="N26" s="48" t="s">
        <v>294</v>
      </c>
      <c r="O26" s="49">
        <f>SUMIF($K$22:$K$55, "3", $J$22:$J$55)</f>
        <v>1449543.98799928</v>
      </c>
      <c r="P26" s="344">
        <f>SUMIF($K$22:$K$55, "3", $I$22:$I$55)</f>
        <v>2487182.8722650753</v>
      </c>
      <c r="Q26" s="51">
        <f>SUMIF($K$22:$K$55, "3", $H$22:$H$55)</f>
        <v>45049.482933309337</v>
      </c>
    </row>
    <row r="27" spans="1:17" s="5" customFormat="1" ht="30">
      <c r="A27" s="406"/>
      <c r="B27" s="41" t="s">
        <v>295</v>
      </c>
      <c r="C27" s="42">
        <v>2</v>
      </c>
      <c r="D27" s="42">
        <v>1</v>
      </c>
      <c r="E27" s="43">
        <v>5</v>
      </c>
      <c r="F27" s="44">
        <f t="shared" si="1"/>
        <v>5</v>
      </c>
      <c r="G27" s="45">
        <f>F27*$C$11</f>
        <v>348.39</v>
      </c>
      <c r="H27" s="42">
        <f>C27*D27*E27</f>
        <v>10</v>
      </c>
      <c r="I27" s="46">
        <f>H27*$C$11</f>
        <v>696.78</v>
      </c>
      <c r="J27" s="42">
        <f t="shared" si="3"/>
        <v>2</v>
      </c>
      <c r="K27" s="31">
        <v>1</v>
      </c>
      <c r="N27" s="57" t="s">
        <v>201</v>
      </c>
      <c r="O27" s="58">
        <f>O24+O25+O26</f>
        <v>13698512.925849531</v>
      </c>
      <c r="P27" s="58">
        <f>P24+P25+P26</f>
        <v>31432946.164244328</v>
      </c>
      <c r="Q27" s="59">
        <f t="shared" ref="Q27" si="4">Q24+Q25+Q26</f>
        <v>425513.82518773002</v>
      </c>
    </row>
    <row r="28" spans="1:17" s="5" customFormat="1">
      <c r="A28" s="406"/>
      <c r="B28" s="41" t="s">
        <v>296</v>
      </c>
      <c r="C28" s="53">
        <f>C26</f>
        <v>56</v>
      </c>
      <c r="D28" s="53">
        <v>50</v>
      </c>
      <c r="E28" s="54">
        <f>14/60</f>
        <v>0.23333333333333334</v>
      </c>
      <c r="F28" s="44">
        <f t="shared" si="1"/>
        <v>11.666666666666666</v>
      </c>
      <c r="G28" s="45">
        <f>F28*$C$11</f>
        <v>812.91</v>
      </c>
      <c r="H28" s="53">
        <f t="shared" si="2"/>
        <v>653.33333333333337</v>
      </c>
      <c r="I28" s="46">
        <f>H28*$C$11</f>
        <v>45522.96</v>
      </c>
      <c r="J28" s="56">
        <f t="shared" si="3"/>
        <v>2800</v>
      </c>
      <c r="K28" s="31">
        <v>2</v>
      </c>
      <c r="O28" s="26">
        <f>O27-J56</f>
        <v>0</v>
      </c>
      <c r="P28" s="26">
        <f>P27-I56</f>
        <v>0</v>
      </c>
      <c r="Q28" s="26">
        <f>Q27-H56</f>
        <v>0</v>
      </c>
    </row>
    <row r="29" spans="1:17" s="5" customFormat="1" ht="30">
      <c r="A29" s="406"/>
      <c r="B29" s="41" t="s">
        <v>297</v>
      </c>
      <c r="C29" s="42">
        <f>C26</f>
        <v>56</v>
      </c>
      <c r="D29" s="42">
        <f>5*52</f>
        <v>260</v>
      </c>
      <c r="E29" s="43">
        <f>1/60</f>
        <v>1.6666666666666666E-2</v>
      </c>
      <c r="F29" s="44">
        <f t="shared" si="1"/>
        <v>4.333333333333333</v>
      </c>
      <c r="G29" s="45">
        <f>F29*$C$11</f>
        <v>301.93799999999999</v>
      </c>
      <c r="H29" s="53">
        <f t="shared" si="2"/>
        <v>242.66666666666666</v>
      </c>
      <c r="I29" s="46">
        <f>H29*$C$11</f>
        <v>16908.527999999998</v>
      </c>
      <c r="J29" s="56">
        <f t="shared" si="3"/>
        <v>14560</v>
      </c>
      <c r="K29" s="31">
        <v>2</v>
      </c>
      <c r="N29" s="27" t="s">
        <v>100</v>
      </c>
      <c r="O29" s="9">
        <f>C60</f>
        <v>13698512.925849531</v>
      </c>
      <c r="P29"/>
    </row>
    <row r="30" spans="1:17" s="5" customFormat="1" ht="45">
      <c r="A30" s="60" t="s">
        <v>271</v>
      </c>
      <c r="B30" s="41" t="s">
        <v>298</v>
      </c>
      <c r="C30" s="53">
        <v>10000</v>
      </c>
      <c r="D30" s="61">
        <f>5*52</f>
        <v>260</v>
      </c>
      <c r="E30" s="54">
        <f>2/60</f>
        <v>3.3333333333333333E-2</v>
      </c>
      <c r="F30" s="44">
        <f t="shared" si="1"/>
        <v>8.6666666666666661</v>
      </c>
      <c r="G30" s="45">
        <f>F30*$C$12</f>
        <v>633.54199999999992</v>
      </c>
      <c r="H30" s="53">
        <f t="shared" si="2"/>
        <v>86666.666666666672</v>
      </c>
      <c r="I30" s="62">
        <f>H30*$C$12</f>
        <v>6335420</v>
      </c>
      <c r="J30" s="56">
        <f t="shared" si="3"/>
        <v>2600000</v>
      </c>
      <c r="K30" s="31">
        <v>2</v>
      </c>
      <c r="N30" s="47" t="s">
        <v>103</v>
      </c>
      <c r="O30" s="47" t="s">
        <v>104</v>
      </c>
      <c r="P30" s="47" t="s">
        <v>105</v>
      </c>
    </row>
    <row r="31" spans="1:17" s="5" customFormat="1">
      <c r="A31" s="407" t="s">
        <v>273</v>
      </c>
      <c r="B31" s="41" t="s">
        <v>289</v>
      </c>
      <c r="C31" s="42">
        <v>3</v>
      </c>
      <c r="D31" s="42">
        <v>1</v>
      </c>
      <c r="E31" s="43">
        <v>5</v>
      </c>
      <c r="F31" s="44">
        <f t="shared" si="1"/>
        <v>5</v>
      </c>
      <c r="G31" s="45">
        <f>F31*$C$13</f>
        <v>356.15999999999997</v>
      </c>
      <c r="H31" s="42">
        <f t="shared" si="2"/>
        <v>15</v>
      </c>
      <c r="I31" s="46">
        <f>H31*$C$13</f>
        <v>1068.48</v>
      </c>
      <c r="J31" s="42">
        <f t="shared" si="3"/>
        <v>3</v>
      </c>
      <c r="K31" s="31">
        <v>1</v>
      </c>
      <c r="N31" s="48" t="s">
        <v>66</v>
      </c>
      <c r="O31" s="63">
        <f>Q24/$O24</f>
        <v>2.2827227375595576</v>
      </c>
      <c r="P31" s="64">
        <f>P24/O24</f>
        <v>171.71999442380385</v>
      </c>
    </row>
    <row r="32" spans="1:17" s="5" customFormat="1">
      <c r="A32" s="407"/>
      <c r="B32" s="41" t="s">
        <v>299</v>
      </c>
      <c r="C32" s="42">
        <v>74</v>
      </c>
      <c r="D32" s="42">
        <v>2</v>
      </c>
      <c r="E32" s="43">
        <f>5/60</f>
        <v>8.3333333333333329E-2</v>
      </c>
      <c r="F32" s="44">
        <f t="shared" si="1"/>
        <v>0.16666666666666666</v>
      </c>
      <c r="G32" s="45">
        <f>F32*$C$13</f>
        <v>11.872</v>
      </c>
      <c r="H32" s="42">
        <f t="shared" si="2"/>
        <v>12.333333333333332</v>
      </c>
      <c r="I32" s="46">
        <f>H32*$C$13</f>
        <v>878.52799999999991</v>
      </c>
      <c r="J32" s="42">
        <f t="shared" si="3"/>
        <v>148</v>
      </c>
      <c r="K32" s="31">
        <v>2</v>
      </c>
      <c r="N32" s="48" t="s">
        <v>79</v>
      </c>
      <c r="O32" s="63">
        <f t="shared" ref="O32:O33" si="5">Q25/$O25</f>
        <v>3.0992543172269224E-2</v>
      </c>
      <c r="P32" s="64">
        <f t="shared" ref="P32:P34" si="6">P25/O25</f>
        <v>2.3579748440250863</v>
      </c>
    </row>
    <row r="33" spans="1:17" s="5" customFormat="1">
      <c r="A33" s="407"/>
      <c r="B33" s="41" t="s">
        <v>300</v>
      </c>
      <c r="C33" s="42">
        <v>74</v>
      </c>
      <c r="D33" s="42">
        <v>2</v>
      </c>
      <c r="E33" s="43">
        <v>1</v>
      </c>
      <c r="F33" s="44">
        <f t="shared" si="1"/>
        <v>2</v>
      </c>
      <c r="G33" s="45">
        <f>F33*$C$13</f>
        <v>142.464</v>
      </c>
      <c r="H33" s="42">
        <f t="shared" si="2"/>
        <v>148</v>
      </c>
      <c r="I33" s="46">
        <f>H33*$C$13</f>
        <v>10542.335999999999</v>
      </c>
      <c r="J33" s="42">
        <f t="shared" si="3"/>
        <v>148</v>
      </c>
      <c r="K33" s="31">
        <v>1</v>
      </c>
      <c r="N33" s="48" t="s">
        <v>294</v>
      </c>
      <c r="O33" s="63">
        <f t="shared" si="5"/>
        <v>3.1078382792293514E-2</v>
      </c>
      <c r="P33" s="64">
        <f t="shared" si="6"/>
        <v>1.7158381483117233</v>
      </c>
    </row>
    <row r="34" spans="1:17" s="5" customFormat="1">
      <c r="A34" s="407"/>
      <c r="B34" s="41" t="s">
        <v>301</v>
      </c>
      <c r="C34" s="53">
        <v>1</v>
      </c>
      <c r="D34" s="53">
        <v>1</v>
      </c>
      <c r="E34" s="54">
        <v>8</v>
      </c>
      <c r="F34" s="44">
        <f t="shared" si="1"/>
        <v>8</v>
      </c>
      <c r="G34" s="45">
        <f>F34*$C$13</f>
        <v>569.85599999999999</v>
      </c>
      <c r="H34" s="53">
        <f t="shared" si="2"/>
        <v>8</v>
      </c>
      <c r="I34" s="46">
        <f>H34*$C$13</f>
        <v>569.85599999999999</v>
      </c>
      <c r="J34" s="56">
        <f t="shared" si="3"/>
        <v>1</v>
      </c>
      <c r="K34" s="31">
        <v>1</v>
      </c>
      <c r="N34" s="48" t="s">
        <v>263</v>
      </c>
      <c r="O34" s="63">
        <f>Q27/$O27</f>
        <v>3.1062775024635839E-2</v>
      </c>
      <c r="P34" s="64">
        <f t="shared" si="6"/>
        <v>2.2946247037464449</v>
      </c>
    </row>
    <row r="35" spans="1:17" s="5" customFormat="1">
      <c r="A35" s="407"/>
      <c r="B35" s="41" t="s">
        <v>302</v>
      </c>
      <c r="C35" s="53">
        <v>74</v>
      </c>
      <c r="D35" s="53">
        <v>1</v>
      </c>
      <c r="E35" s="54">
        <v>5</v>
      </c>
      <c r="F35" s="44">
        <f t="shared" si="1"/>
        <v>5</v>
      </c>
      <c r="G35" s="45">
        <f>F35*$C$13</f>
        <v>356.15999999999997</v>
      </c>
      <c r="H35" s="53">
        <f t="shared" si="2"/>
        <v>370</v>
      </c>
      <c r="I35" s="46">
        <f>H35*$C$13</f>
        <v>26355.84</v>
      </c>
      <c r="J35" s="56">
        <f t="shared" si="3"/>
        <v>74</v>
      </c>
      <c r="K35" s="31">
        <v>2</v>
      </c>
      <c r="N35" s="65" t="s">
        <v>303</v>
      </c>
      <c r="O35"/>
      <c r="P35"/>
    </row>
    <row r="36" spans="1:17" ht="30">
      <c r="A36" s="60" t="s">
        <v>275</v>
      </c>
      <c r="B36" s="41" t="s">
        <v>304</v>
      </c>
      <c r="C36" s="53">
        <v>7500</v>
      </c>
      <c r="D36" s="61">
        <f>5*52</f>
        <v>260</v>
      </c>
      <c r="E36" s="54">
        <f>3.5/60</f>
        <v>5.8333333333333334E-2</v>
      </c>
      <c r="F36" s="44">
        <f t="shared" si="1"/>
        <v>15.166666666666666</v>
      </c>
      <c r="G36" s="45">
        <f>F36*$C$14</f>
        <v>837.3365</v>
      </c>
      <c r="H36" s="53">
        <f t="shared" si="2"/>
        <v>113750</v>
      </c>
      <c r="I36" s="62">
        <f>H36*$C$14</f>
        <v>6280023.75</v>
      </c>
      <c r="J36" s="56">
        <f t="shared" si="3"/>
        <v>1950000</v>
      </c>
      <c r="K36" s="31">
        <v>2</v>
      </c>
      <c r="N36" s="47" t="s">
        <v>305</v>
      </c>
      <c r="O36" s="47" t="s">
        <v>306</v>
      </c>
      <c r="P36" s="47" t="s">
        <v>307</v>
      </c>
      <c r="Q36" s="5"/>
    </row>
    <row r="37" spans="1:17" s="5" customFormat="1">
      <c r="A37" s="408" t="s">
        <v>124</v>
      </c>
      <c r="B37" s="41" t="s">
        <v>308</v>
      </c>
      <c r="C37" s="53">
        <f>C38*0.1</f>
        <v>30000</v>
      </c>
      <c r="D37" s="53">
        <v>1</v>
      </c>
      <c r="E37" s="54">
        <f>1/60</f>
        <v>1.6666666666666666E-2</v>
      </c>
      <c r="F37" s="66">
        <f t="shared" si="1"/>
        <v>1.6666666666666666E-2</v>
      </c>
      <c r="G37" s="45">
        <f t="shared" ref="G37:G42" si="7">F37*$C$15</f>
        <v>0.92015000000000002</v>
      </c>
      <c r="H37" s="53">
        <f>C37*D37*E37</f>
        <v>500</v>
      </c>
      <c r="I37" s="62">
        <f t="shared" ref="I37:I42" si="8">H37*$C$15</f>
        <v>27604.5</v>
      </c>
      <c r="J37" s="56">
        <f>C37*D37</f>
        <v>30000</v>
      </c>
      <c r="K37" s="31">
        <v>3</v>
      </c>
      <c r="N37" s="48" t="s">
        <v>66</v>
      </c>
      <c r="O37" s="67">
        <f>Q24</f>
        <v>849.17285837215536</v>
      </c>
      <c r="P37" s="68" t="s">
        <v>309</v>
      </c>
      <c r="Q37"/>
    </row>
    <row r="38" spans="1:17" s="5" customFormat="1">
      <c r="A38" s="408"/>
      <c r="B38" s="41" t="s">
        <v>310</v>
      </c>
      <c r="C38" s="53">
        <v>300000</v>
      </c>
      <c r="D38" s="53">
        <v>1</v>
      </c>
      <c r="E38" s="54">
        <f>1/60</f>
        <v>1.6666666666666666E-2</v>
      </c>
      <c r="F38" s="66">
        <f t="shared" si="1"/>
        <v>1.6666666666666666E-2</v>
      </c>
      <c r="G38" s="45">
        <f t="shared" si="7"/>
        <v>0.92015000000000002</v>
      </c>
      <c r="H38" s="53">
        <f>C38*D38*E38</f>
        <v>5000</v>
      </c>
      <c r="I38" s="62">
        <f t="shared" si="8"/>
        <v>276045</v>
      </c>
      <c r="J38" s="56">
        <f>C38*D38</f>
        <v>300000</v>
      </c>
      <c r="K38" s="31">
        <v>2</v>
      </c>
      <c r="N38" s="48" t="s">
        <v>79</v>
      </c>
      <c r="O38" s="67">
        <f t="shared" ref="O38:O39" si="9">Q25</f>
        <v>379615.16939604853</v>
      </c>
      <c r="P38" s="68" t="s">
        <v>309</v>
      </c>
    </row>
    <row r="39" spans="1:17" s="5" customFormat="1" ht="30">
      <c r="A39" s="408"/>
      <c r="B39" s="41" t="s">
        <v>311</v>
      </c>
      <c r="C39" s="53">
        <v>300000</v>
      </c>
      <c r="D39" s="69">
        <v>2.2078899599975998</v>
      </c>
      <c r="E39" s="54">
        <f>2/60</f>
        <v>3.3333333333333333E-2</v>
      </c>
      <c r="F39" s="44">
        <f t="shared" si="1"/>
        <v>7.3596331999919995E-2</v>
      </c>
      <c r="G39" s="45">
        <f t="shared" si="7"/>
        <v>4.063179893383583</v>
      </c>
      <c r="H39" s="53">
        <f t="shared" si="2"/>
        <v>22078.899599976001</v>
      </c>
      <c r="I39" s="46">
        <f t="shared" si="8"/>
        <v>1218953.9680150752</v>
      </c>
      <c r="J39" s="56">
        <f t="shared" si="3"/>
        <v>662366.98799927998</v>
      </c>
      <c r="K39" s="31">
        <v>3</v>
      </c>
      <c r="L39" s="70"/>
      <c r="N39" s="48" t="s">
        <v>294</v>
      </c>
      <c r="O39" s="67">
        <f t="shared" si="9"/>
        <v>45049.482933309337</v>
      </c>
      <c r="P39" s="68" t="s">
        <v>309</v>
      </c>
    </row>
    <row r="40" spans="1:17" s="5" customFormat="1" ht="30">
      <c r="A40" s="408"/>
      <c r="B40" s="41" t="s">
        <v>312</v>
      </c>
      <c r="C40" s="53">
        <v>300000</v>
      </c>
      <c r="D40" s="69">
        <v>1.97</v>
      </c>
      <c r="E40" s="54">
        <f>2/60</f>
        <v>3.3333333333333333E-2</v>
      </c>
      <c r="F40" s="44">
        <f t="shared" si="1"/>
        <v>6.5666666666666665E-2</v>
      </c>
      <c r="G40" s="45">
        <f t="shared" si="7"/>
        <v>3.625391</v>
      </c>
      <c r="H40" s="53">
        <f t="shared" si="2"/>
        <v>19700</v>
      </c>
      <c r="I40" s="46">
        <f t="shared" si="8"/>
        <v>1087617.3</v>
      </c>
      <c r="J40" s="56">
        <f t="shared" si="3"/>
        <v>591000</v>
      </c>
      <c r="K40" s="31">
        <v>3</v>
      </c>
      <c r="O40" s="71"/>
    </row>
    <row r="41" spans="1:17" s="5" customFormat="1">
      <c r="A41" s="408"/>
      <c r="B41" s="41" t="s">
        <v>313</v>
      </c>
      <c r="C41" s="53">
        <v>300000</v>
      </c>
      <c r="D41" s="54">
        <f>C50/C41</f>
        <v>0.55391666666666661</v>
      </c>
      <c r="E41" s="54">
        <f>1/60</f>
        <v>1.6666666666666666E-2</v>
      </c>
      <c r="F41" s="44">
        <f t="shared" si="1"/>
        <v>9.2319444444444437E-3</v>
      </c>
      <c r="G41" s="45">
        <f t="shared" si="7"/>
        <v>0.50968642083333326</v>
      </c>
      <c r="H41" s="53">
        <f t="shared" si="2"/>
        <v>2769.583333333333</v>
      </c>
      <c r="I41" s="46">
        <f t="shared" si="8"/>
        <v>152905.92624999999</v>
      </c>
      <c r="J41" s="56">
        <f t="shared" si="3"/>
        <v>166174.99999999997</v>
      </c>
      <c r="K41" s="31">
        <v>3</v>
      </c>
      <c r="O41" s="71"/>
    </row>
    <row r="42" spans="1:17" s="5" customFormat="1" ht="30">
      <c r="A42" s="408"/>
      <c r="B42" s="41" t="s">
        <v>314</v>
      </c>
      <c r="C42" s="53">
        <v>300000</v>
      </c>
      <c r="D42" s="53">
        <v>12</v>
      </c>
      <c r="E42" s="54">
        <f>1/60</f>
        <v>1.6666666666666666E-2</v>
      </c>
      <c r="F42" s="44">
        <f t="shared" si="1"/>
        <v>0.2</v>
      </c>
      <c r="G42" s="45">
        <f t="shared" si="7"/>
        <v>11.041800000000002</v>
      </c>
      <c r="H42" s="53">
        <f t="shared" si="2"/>
        <v>60000</v>
      </c>
      <c r="I42" s="62">
        <f t="shared" si="8"/>
        <v>3312540</v>
      </c>
      <c r="J42" s="56">
        <f t="shared" si="3"/>
        <v>3600000</v>
      </c>
      <c r="K42" s="31">
        <v>2</v>
      </c>
    </row>
    <row r="43" spans="1:17" s="5" customFormat="1" ht="30">
      <c r="A43" s="407" t="s">
        <v>9</v>
      </c>
      <c r="B43" s="41" t="s">
        <v>68</v>
      </c>
      <c r="C43" s="42">
        <v>25</v>
      </c>
      <c r="D43" s="42">
        <v>1</v>
      </c>
      <c r="E43" s="43">
        <v>0.5</v>
      </c>
      <c r="F43" s="44">
        <f t="shared" si="1"/>
        <v>0.5</v>
      </c>
      <c r="G43" s="45">
        <f t="shared" ref="G43:G54" si="10">F43*$C$16</f>
        <v>50.326500000000003</v>
      </c>
      <c r="H43" s="42">
        <f t="shared" si="2"/>
        <v>12.5</v>
      </c>
      <c r="I43" s="46">
        <f>H43*$C$16</f>
        <v>1258.1625000000001</v>
      </c>
      <c r="J43" s="42">
        <f t="shared" si="3"/>
        <v>25</v>
      </c>
      <c r="K43" s="31">
        <v>1</v>
      </c>
      <c r="N43"/>
      <c r="O43"/>
      <c r="P43"/>
    </row>
    <row r="44" spans="1:17" s="5" customFormat="1" ht="30">
      <c r="A44" s="407"/>
      <c r="B44" s="41" t="s">
        <v>315</v>
      </c>
      <c r="C44" s="42">
        <v>5</v>
      </c>
      <c r="D44" s="42">
        <v>1</v>
      </c>
      <c r="E44" s="43">
        <v>0.5</v>
      </c>
      <c r="F44" s="44">
        <f t="shared" si="1"/>
        <v>0.5</v>
      </c>
      <c r="G44" s="45">
        <f t="shared" si="10"/>
        <v>50.326500000000003</v>
      </c>
      <c r="H44" s="42">
        <f t="shared" si="2"/>
        <v>2.5</v>
      </c>
      <c r="I44" s="46">
        <f>H44*$C$16</f>
        <v>251.63250000000002</v>
      </c>
      <c r="J44" s="42">
        <f t="shared" si="3"/>
        <v>5</v>
      </c>
      <c r="K44" s="31">
        <v>1</v>
      </c>
    </row>
    <row r="45" spans="1:17" s="5" customFormat="1" ht="30">
      <c r="A45" s="407"/>
      <c r="B45" s="41" t="s">
        <v>316</v>
      </c>
      <c r="C45" s="42">
        <v>5</v>
      </c>
      <c r="D45" s="42">
        <v>1</v>
      </c>
      <c r="E45" s="43">
        <v>0.5</v>
      </c>
      <c r="F45" s="44">
        <f t="shared" si="1"/>
        <v>0.5</v>
      </c>
      <c r="G45" s="45">
        <f t="shared" si="10"/>
        <v>50.326500000000003</v>
      </c>
      <c r="H45" s="42">
        <f>C45*D45*E45</f>
        <v>2.5</v>
      </c>
      <c r="I45" s="46">
        <f>H45*$C$16</f>
        <v>251.63250000000002</v>
      </c>
      <c r="J45" s="42">
        <f t="shared" si="3"/>
        <v>5</v>
      </c>
      <c r="K45" s="31">
        <v>1</v>
      </c>
    </row>
    <row r="46" spans="1:17" s="5" customFormat="1" ht="30">
      <c r="A46" s="407"/>
      <c r="B46" s="41" t="s">
        <v>317</v>
      </c>
      <c r="C46" s="42">
        <v>125</v>
      </c>
      <c r="D46" s="42">
        <v>1</v>
      </c>
      <c r="E46" s="43">
        <v>1</v>
      </c>
      <c r="F46" s="44">
        <f t="shared" si="1"/>
        <v>1</v>
      </c>
      <c r="G46" s="45">
        <f t="shared" si="10"/>
        <v>100.65300000000001</v>
      </c>
      <c r="H46" s="42">
        <f>C46*D46*E46</f>
        <v>125</v>
      </c>
      <c r="I46" s="46">
        <f>H46*$C$16</f>
        <v>12581.625</v>
      </c>
      <c r="J46" s="42">
        <f>C46*D46</f>
        <v>125</v>
      </c>
      <c r="K46" s="31">
        <v>1</v>
      </c>
    </row>
    <row r="47" spans="1:17" s="5" customFormat="1">
      <c r="A47" s="407"/>
      <c r="B47" s="41" t="s">
        <v>318</v>
      </c>
      <c r="C47" s="53">
        <v>255083</v>
      </c>
      <c r="D47" s="53">
        <v>1</v>
      </c>
      <c r="E47" s="54">
        <f>3/60</f>
        <v>0.05</v>
      </c>
      <c r="F47" s="44">
        <f t="shared" si="1"/>
        <v>0.05</v>
      </c>
      <c r="G47" s="45">
        <f t="shared" si="10"/>
        <v>5.0326500000000003</v>
      </c>
      <c r="H47" s="53">
        <f>C47*D47*E47</f>
        <v>12754.150000000001</v>
      </c>
      <c r="I47" s="46">
        <f t="shared" ref="I47:I48" si="11">H47*$C$16</f>
        <v>1283743.4599500003</v>
      </c>
      <c r="J47" s="56">
        <f t="shared" ref="J47:J49" si="12">C47*D47</f>
        <v>255083</v>
      </c>
      <c r="K47" s="31">
        <v>2</v>
      </c>
    </row>
    <row r="48" spans="1:17" s="75" customFormat="1">
      <c r="A48" s="407"/>
      <c r="B48" s="41" t="s">
        <v>319</v>
      </c>
      <c r="C48" s="53">
        <v>255083</v>
      </c>
      <c r="D48" s="72">
        <v>6.2539446771971843</v>
      </c>
      <c r="E48" s="73">
        <f>1/60</f>
        <v>1.6666666666666666E-2</v>
      </c>
      <c r="F48" s="44">
        <f t="shared" si="1"/>
        <v>0.10423241128661974</v>
      </c>
      <c r="G48" s="45">
        <f t="shared" si="10"/>
        <v>10.491304893232137</v>
      </c>
      <c r="H48" s="53">
        <f>C48*D48*E48</f>
        <v>26587.916168224823</v>
      </c>
      <c r="I48" s="46">
        <f t="shared" si="11"/>
        <v>2676153.5260803332</v>
      </c>
      <c r="J48" s="56">
        <f t="shared" si="12"/>
        <v>1595274.9700934894</v>
      </c>
      <c r="K48" s="74">
        <v>2</v>
      </c>
      <c r="N48" s="5"/>
      <c r="O48" s="5"/>
      <c r="P48" s="5"/>
      <c r="Q48" s="5"/>
    </row>
    <row r="49" spans="1:17" s="77" customFormat="1">
      <c r="A49" s="407"/>
      <c r="B49" s="41" t="s">
        <v>214</v>
      </c>
      <c r="C49" s="53">
        <v>255083</v>
      </c>
      <c r="D49" s="72">
        <v>6.2539446771971843</v>
      </c>
      <c r="E49" s="54">
        <f>1.5/60</f>
        <v>2.5000000000000001E-2</v>
      </c>
      <c r="F49" s="44">
        <f t="shared" si="1"/>
        <v>0.15634861692992963</v>
      </c>
      <c r="G49" s="45">
        <f t="shared" si="10"/>
        <v>15.736957339848209</v>
      </c>
      <c r="H49" s="53">
        <f t="shared" ref="H49:H51" si="13">C49*D49*E49</f>
        <v>39881.874252337235</v>
      </c>
      <c r="I49" s="62">
        <v>5236883.43715363</v>
      </c>
      <c r="J49" s="56">
        <f t="shared" si="12"/>
        <v>1595274.9700934894</v>
      </c>
      <c r="K49" s="76">
        <v>2</v>
      </c>
      <c r="N49" s="5"/>
      <c r="O49" s="5"/>
      <c r="P49" s="5"/>
      <c r="Q49" s="75"/>
    </row>
    <row r="50" spans="1:17" s="5" customFormat="1">
      <c r="A50" s="407"/>
      <c r="B50" s="41" t="s">
        <v>320</v>
      </c>
      <c r="C50" s="53">
        <v>166175</v>
      </c>
      <c r="D50" s="72">
        <v>2.7346095503792762</v>
      </c>
      <c r="E50" s="73">
        <f>1/60</f>
        <v>1.6666666666666666E-2</v>
      </c>
      <c r="F50" s="66">
        <f t="shared" si="1"/>
        <v>4.5576825839654604E-2</v>
      </c>
      <c r="G50" s="45">
        <f t="shared" si="10"/>
        <v>4.5874442512387548</v>
      </c>
      <c r="H50" s="53">
        <f t="shared" si="13"/>
        <v>7573.729033904604</v>
      </c>
      <c r="I50" s="46">
        <f>H50*$C$16</f>
        <v>762318.54844960012</v>
      </c>
      <c r="J50" s="56">
        <f>J41</f>
        <v>166174.99999999997</v>
      </c>
      <c r="K50" s="31">
        <v>2</v>
      </c>
      <c r="Q50" s="77"/>
    </row>
    <row r="51" spans="1:17" s="5" customFormat="1">
      <c r="A51" s="407"/>
      <c r="B51" s="41" t="s">
        <v>321</v>
      </c>
      <c r="C51" s="53">
        <v>166175</v>
      </c>
      <c r="D51" s="53">
        <v>1</v>
      </c>
      <c r="E51" s="54">
        <f>1.5/60</f>
        <v>2.5000000000000001E-2</v>
      </c>
      <c r="F51" s="66">
        <f t="shared" si="1"/>
        <v>2.5000000000000001E-2</v>
      </c>
      <c r="G51" s="45">
        <f t="shared" si="10"/>
        <v>2.5163250000000001</v>
      </c>
      <c r="H51" s="53">
        <f t="shared" si="13"/>
        <v>4154.375</v>
      </c>
      <c r="I51" s="46">
        <f>H51*$C$16</f>
        <v>418150.30687500001</v>
      </c>
      <c r="J51" s="56">
        <f>C51*D51</f>
        <v>166175</v>
      </c>
      <c r="K51" s="31">
        <v>2</v>
      </c>
    </row>
    <row r="52" spans="1:17" s="5" customFormat="1" ht="30">
      <c r="A52" s="407"/>
      <c r="B52" s="41" t="s">
        <v>322</v>
      </c>
      <c r="C52" s="53">
        <v>2745</v>
      </c>
      <c r="D52" s="53">
        <v>1</v>
      </c>
      <c r="E52" s="54">
        <v>8</v>
      </c>
      <c r="F52" s="44">
        <f t="shared" si="1"/>
        <v>8</v>
      </c>
      <c r="G52" s="45">
        <f t="shared" si="10"/>
        <v>805.22400000000005</v>
      </c>
      <c r="H52" s="78">
        <f>C52*D52*E52</f>
        <v>21960</v>
      </c>
      <c r="I52" s="46">
        <f>H52*$C$16</f>
        <v>2210339.8800000004</v>
      </c>
      <c r="J52" s="56">
        <f>C52*D52</f>
        <v>2745</v>
      </c>
      <c r="K52" s="31">
        <v>2</v>
      </c>
      <c r="O52" s="75"/>
    </row>
    <row r="53" spans="1:17" s="5" customFormat="1">
      <c r="A53" s="407"/>
      <c r="B53" s="41" t="s">
        <v>323</v>
      </c>
      <c r="C53" s="53">
        <f>0.05*C52</f>
        <v>137.25</v>
      </c>
      <c r="D53" s="53">
        <v>1</v>
      </c>
      <c r="E53" s="54">
        <f>1.5/60</f>
        <v>2.5000000000000001E-2</v>
      </c>
      <c r="F53" s="66">
        <f t="shared" si="1"/>
        <v>2.5000000000000001E-2</v>
      </c>
      <c r="G53" s="45">
        <f t="shared" si="10"/>
        <v>2.5163250000000001</v>
      </c>
      <c r="H53" s="53">
        <f t="shared" ref="H53:H54" si="14">C53*D53*E53</f>
        <v>3.4312500000000004</v>
      </c>
      <c r="I53" s="46">
        <f t="shared" ref="I53" si="15">H53*$C$16</f>
        <v>345.36560625000004</v>
      </c>
      <c r="J53" s="56">
        <f t="shared" ref="J53" si="16">C53*D53</f>
        <v>137.25</v>
      </c>
      <c r="K53" s="31">
        <v>2</v>
      </c>
      <c r="O53" s="77"/>
    </row>
    <row r="54" spans="1:17" s="5" customFormat="1">
      <c r="A54" s="407"/>
      <c r="B54" s="41" t="s">
        <v>324</v>
      </c>
      <c r="C54" s="53">
        <v>3.7476632740868223</v>
      </c>
      <c r="D54" s="53">
        <v>1</v>
      </c>
      <c r="E54" s="54">
        <f>1.5/60</f>
        <v>2.5000000000000001E-2</v>
      </c>
      <c r="F54" s="66">
        <f t="shared" si="1"/>
        <v>2.5000000000000001E-2</v>
      </c>
      <c r="G54" s="45">
        <f t="shared" si="10"/>
        <v>2.5163250000000001</v>
      </c>
      <c r="H54" s="78">
        <f t="shared" si="14"/>
        <v>9.3691581852170566E-2</v>
      </c>
      <c r="I54" s="46">
        <f>H54*$C$16</f>
        <v>9.4303387881665248</v>
      </c>
      <c r="J54" s="56">
        <f>C54*D54</f>
        <v>3.7476632740868223</v>
      </c>
      <c r="K54" s="31">
        <v>2</v>
      </c>
    </row>
    <row r="55" spans="1:17" s="5" customFormat="1" ht="30">
      <c r="A55" s="79" t="s">
        <v>279</v>
      </c>
      <c r="B55" s="41" t="s">
        <v>325</v>
      </c>
      <c r="C55" s="53">
        <v>12</v>
      </c>
      <c r="D55" s="53">
        <v>12</v>
      </c>
      <c r="E55" s="54">
        <f>1.5/60</f>
        <v>2.5000000000000001E-2</v>
      </c>
      <c r="F55" s="44">
        <f t="shared" si="1"/>
        <v>0.30000000000000004</v>
      </c>
      <c r="G55" s="45">
        <f>F55*$C$17</f>
        <v>11.976300000000004</v>
      </c>
      <c r="H55" s="53">
        <f>C55*D55*E55</f>
        <v>3.6</v>
      </c>
      <c r="I55" s="62">
        <f>H55*C17</f>
        <v>143.71560000000002</v>
      </c>
      <c r="J55" s="56">
        <f>C55*D55</f>
        <v>144</v>
      </c>
      <c r="K55" s="31">
        <v>2</v>
      </c>
      <c r="N55" s="75"/>
      <c r="P55" s="75"/>
    </row>
    <row r="56" spans="1:17">
      <c r="A56" s="80" t="s">
        <v>253</v>
      </c>
      <c r="B56" s="81"/>
      <c r="C56" s="82">
        <f>C36+C30+C23+C26+C32+C39+C47+C55</f>
        <v>572727</v>
      </c>
      <c r="D56" s="83" t="s">
        <v>326</v>
      </c>
      <c r="E56" s="83" t="s">
        <v>326</v>
      </c>
      <c r="F56" s="84" t="s">
        <v>326</v>
      </c>
      <c r="G56" s="84" t="s">
        <v>326</v>
      </c>
      <c r="H56" s="82">
        <f>SUM(H22:H55)</f>
        <v>425513.82518773002</v>
      </c>
      <c r="I56" s="85">
        <f>SUM(I22:I55)</f>
        <v>31432946.164244328</v>
      </c>
      <c r="J56" s="84">
        <f>SUM(J22:J55)</f>
        <v>13698512.925849531</v>
      </c>
      <c r="N56" s="77"/>
      <c r="O56" s="5"/>
      <c r="P56" s="77"/>
      <c r="Q56" s="5"/>
    </row>
    <row r="57" spans="1:17">
      <c r="A57" s="86"/>
      <c r="B57" s="12"/>
      <c r="C57" s="12"/>
      <c r="D57" s="12"/>
      <c r="E57" s="87"/>
      <c r="F57" s="12"/>
      <c r="G57" s="86"/>
      <c r="H57" s="88"/>
      <c r="I57" s="87"/>
      <c r="J57" s="12"/>
      <c r="N57" s="5"/>
      <c r="O57" s="5"/>
      <c r="P57" s="5"/>
    </row>
    <row r="58" spans="1:17">
      <c r="A58" s="2"/>
      <c r="G58" s="89"/>
      <c r="N58" s="5"/>
      <c r="O58" s="5"/>
      <c r="P58" s="5"/>
    </row>
    <row r="59" spans="1:17" ht="45">
      <c r="A59" s="6"/>
      <c r="B59" s="90" t="s">
        <v>327</v>
      </c>
      <c r="C59" s="90" t="s">
        <v>328</v>
      </c>
      <c r="D59" s="90" t="s">
        <v>329</v>
      </c>
      <c r="E59" s="91" t="s">
        <v>330</v>
      </c>
      <c r="J59" s="38"/>
      <c r="N59" s="5"/>
      <c r="O59" s="5"/>
      <c r="P59" s="5"/>
    </row>
    <row r="60" spans="1:17">
      <c r="A60" s="7"/>
      <c r="B60" s="92">
        <f>C56</f>
        <v>572727</v>
      </c>
      <c r="C60" s="92">
        <f>$J$56</f>
        <v>13698512.925849531</v>
      </c>
      <c r="D60" s="92">
        <f>$H$56</f>
        <v>425513.82518773002</v>
      </c>
      <c r="E60" s="93">
        <f>$I$56</f>
        <v>31432946.164244328</v>
      </c>
      <c r="H60" s="8"/>
      <c r="N60" s="5"/>
      <c r="P60" s="5"/>
    </row>
    <row r="61" spans="1:17">
      <c r="A61" s="7"/>
      <c r="B61" s="9"/>
      <c r="C61" s="9"/>
      <c r="D61" s="9"/>
      <c r="H61" s="11"/>
      <c r="N61" s="5"/>
      <c r="P61" s="5"/>
    </row>
    <row r="62" spans="1:17">
      <c r="F62" s="15"/>
      <c r="H62" s="10"/>
      <c r="N62" s="5"/>
      <c r="P62" s="5"/>
    </row>
    <row r="63" spans="1:17">
      <c r="E63" s="9">
        <f>MIN(E22:E55)</f>
        <v>1.6666666666666666E-2</v>
      </c>
      <c r="F63" s="9">
        <f>60*E63</f>
        <v>1</v>
      </c>
    </row>
    <row r="64" spans="1:17">
      <c r="E64" s="94">
        <f>MAX(E22:E55)</f>
        <v>9.36915818521706</v>
      </c>
    </row>
    <row r="66" spans="1:11">
      <c r="E66"/>
      <c r="G66"/>
      <c r="I66"/>
      <c r="K66"/>
    </row>
    <row r="67" spans="1:11">
      <c r="E67"/>
      <c r="G67"/>
      <c r="I67"/>
      <c r="K67"/>
    </row>
    <row r="68" spans="1:11">
      <c r="A68" s="95"/>
    </row>
    <row r="69" spans="1:11">
      <c r="A69" s="95"/>
    </row>
    <row r="70" spans="1:11">
      <c r="A70" s="95"/>
    </row>
    <row r="71" spans="1:11">
      <c r="A71" s="95"/>
    </row>
    <row r="72" spans="1:11">
      <c r="A72" s="95"/>
    </row>
    <row r="73" spans="1:11">
      <c r="A73" s="95"/>
    </row>
    <row r="74" spans="1:11">
      <c r="A74" s="95"/>
    </row>
    <row r="75" spans="1:11">
      <c r="A75" s="95"/>
    </row>
    <row r="76" spans="1:11">
      <c r="A76" s="337"/>
    </row>
    <row r="77" spans="1:11">
      <c r="A77" s="95"/>
    </row>
    <row r="78" spans="1:11">
      <c r="A78" s="95"/>
    </row>
    <row r="79" spans="1:11">
      <c r="A79" s="95"/>
    </row>
    <row r="80" spans="1:11">
      <c r="A80" s="95"/>
      <c r="B80" s="96"/>
    </row>
    <row r="81" spans="1:2">
      <c r="A81" s="95"/>
      <c r="B81" s="96"/>
    </row>
    <row r="82" spans="1:2">
      <c r="A82" s="337"/>
      <c r="B82" s="96"/>
    </row>
    <row r="83" spans="1:2">
      <c r="A83" s="95"/>
      <c r="B83" s="96"/>
    </row>
    <row r="84" spans="1:2">
      <c r="A84" s="337"/>
      <c r="B84" s="96"/>
    </row>
    <row r="85" spans="1:2">
      <c r="A85" s="337"/>
      <c r="B85" s="96"/>
    </row>
    <row r="86" spans="1:2">
      <c r="A86" s="337"/>
      <c r="B86" s="96"/>
    </row>
    <row r="87" spans="1:2">
      <c r="A87" s="337"/>
      <c r="B87" s="96"/>
    </row>
    <row r="88" spans="1:2">
      <c r="A88" s="337"/>
      <c r="B88" s="96"/>
    </row>
    <row r="89" spans="1:2">
      <c r="A89" s="337"/>
      <c r="B89" s="96"/>
    </row>
    <row r="90" spans="1:2">
      <c r="A90" s="95"/>
      <c r="B90" s="96"/>
    </row>
    <row r="91" spans="1:2">
      <c r="A91" s="97"/>
      <c r="B91" s="96"/>
    </row>
    <row r="92" spans="1:2">
      <c r="A92" s="98"/>
      <c r="B92" s="96"/>
    </row>
    <row r="93" spans="1:2">
      <c r="A93" s="98"/>
      <c r="B93" s="96"/>
    </row>
    <row r="94" spans="1:2">
      <c r="A94" s="98"/>
      <c r="B94" s="96"/>
    </row>
    <row r="95" spans="1:2">
      <c r="A95" s="337"/>
      <c r="B95" s="96"/>
    </row>
    <row r="96" spans="1:2">
      <c r="A96" s="98"/>
      <c r="B96" s="96"/>
    </row>
    <row r="97" spans="1:2">
      <c r="A97" s="98"/>
      <c r="B97" s="96"/>
    </row>
    <row r="98" spans="1:2">
      <c r="A98" s="98"/>
      <c r="B98" s="96"/>
    </row>
    <row r="99" spans="1:2">
      <c r="A99" s="95"/>
      <c r="B99" s="96"/>
    </row>
    <row r="100" spans="1:2">
      <c r="A100" s="97"/>
      <c r="B100" s="96"/>
    </row>
    <row r="101" spans="1:2">
      <c r="A101" s="95"/>
      <c r="B101" s="96"/>
    </row>
    <row r="102" spans="1:2">
      <c r="B102" s="96"/>
    </row>
    <row r="103" spans="1:2">
      <c r="A103" s="95"/>
      <c r="B103" s="96"/>
    </row>
    <row r="104" spans="1:2">
      <c r="A104" s="337"/>
      <c r="B104" s="96"/>
    </row>
    <row r="105" spans="1:2">
      <c r="A105" s="402"/>
      <c r="B105" s="96"/>
    </row>
    <row r="106" spans="1:2">
      <c r="A106" s="402"/>
      <c r="B106" s="96"/>
    </row>
    <row r="107" spans="1:2">
      <c r="A107" s="402"/>
      <c r="B107" s="96"/>
    </row>
    <row r="108" spans="1:2">
      <c r="B108" s="96"/>
    </row>
    <row r="109" spans="1:2">
      <c r="A109" s="337"/>
      <c r="B109" s="96"/>
    </row>
    <row r="110" spans="1:2">
      <c r="A110" s="337"/>
      <c r="B110" s="96"/>
    </row>
    <row r="111" spans="1:2">
      <c r="A111" s="95"/>
      <c r="B111" s="96"/>
    </row>
    <row r="112" spans="1:2">
      <c r="A112" s="99"/>
      <c r="B112" s="96"/>
    </row>
    <row r="113" spans="1:2">
      <c r="A113" s="95"/>
      <c r="B113" s="96"/>
    </row>
  </sheetData>
  <mergeCells count="21">
    <mergeCell ref="D15:J15"/>
    <mergeCell ref="D10:J10"/>
    <mergeCell ref="D11:J11"/>
    <mergeCell ref="D12:J12"/>
    <mergeCell ref="D13:J13"/>
    <mergeCell ref="D14:J14"/>
    <mergeCell ref="A105:A107"/>
    <mergeCell ref="D16:J16"/>
    <mergeCell ref="D17:J17"/>
    <mergeCell ref="A20:A21"/>
    <mergeCell ref="B20:B21"/>
    <mergeCell ref="C20:C21"/>
    <mergeCell ref="D20:D21"/>
    <mergeCell ref="E20:E21"/>
    <mergeCell ref="F20:G20"/>
    <mergeCell ref="H20:J20"/>
    <mergeCell ref="A22:A25"/>
    <mergeCell ref="A26:A29"/>
    <mergeCell ref="A31:A35"/>
    <mergeCell ref="A37:A42"/>
    <mergeCell ref="A43:A5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046ED-5633-4A5B-9A7C-12D6D7572EE7}">
  <dimension ref="B2:D5"/>
  <sheetViews>
    <sheetView workbookViewId="0">
      <selection activeCell="A7" sqref="A7:XFD7"/>
    </sheetView>
  </sheetViews>
  <sheetFormatPr defaultRowHeight="15"/>
  <cols>
    <col min="2" max="3" width="17.7109375" customWidth="1"/>
    <col min="4" max="4" width="31.7109375" customWidth="1"/>
  </cols>
  <sheetData>
    <row r="2" spans="2:4">
      <c r="B2" s="27" t="s">
        <v>331</v>
      </c>
      <c r="C2" s="27"/>
      <c r="D2" s="27"/>
    </row>
    <row r="3" spans="2:4">
      <c r="B3" s="310" t="s">
        <v>52</v>
      </c>
      <c r="C3" s="310" t="s">
        <v>332</v>
      </c>
      <c r="D3" s="310" t="s">
        <v>333</v>
      </c>
    </row>
    <row r="4" spans="2:4" ht="24">
      <c r="B4" s="311" t="s">
        <v>334</v>
      </c>
      <c r="C4" s="312">
        <v>3.5</v>
      </c>
      <c r="D4" s="313" t="s">
        <v>335</v>
      </c>
    </row>
    <row r="5" spans="2:4" ht="24">
      <c r="B5" s="314" t="s">
        <v>336</v>
      </c>
      <c r="C5" s="312">
        <v>5.5</v>
      </c>
      <c r="D5" s="31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8" ma:contentTypeDescription="Create a new document." ma:contentTypeScope="" ma:versionID="3810b0d63c220196821a7734d9c17824">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d5357a3a0ff076c13a1bffd27f72514c"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element ref="ns5:MediaLengthInSeconds" minOccurs="0"/>
                <xsd:element ref="ns5:MediaServiceObjectDetectorVersions"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LengthInSeconds" ma:index="41" nillable="true" ma:displayName="MediaLengthInSeconds" ma:hidden="true" ma:internalName="MediaLengthInSeconds" ma:readOnly="true">
      <xsd:simpleType>
        <xsd:restriction base="dms:Unknown"/>
      </xsd:simple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Location" ma:index="4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20af4edb-1540-4aba-b7d0-294715a11a7a">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2023-08-16T19:52:17+00:00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SharedWithUsers xmlns="8c57eaaf-0617-4b5e-abd8-c9c87ce9c094">
      <UserInfo>
        <DisplayName>Newberg, Cindy</DisplayName>
        <AccountId>35</AccountId>
        <AccountType/>
      </UserInfo>
      <UserInfo>
        <DisplayName>Farquharson, Chenise</DisplayName>
        <AccountId>24</AccountId>
        <AccountType/>
      </UserInfo>
      <UserInfo>
        <DisplayName>Maranion, Bella</DisplayName>
        <AccountId>29</AccountId>
        <AccountType/>
      </UserInfo>
      <UserInfo>
        <DisplayName>Wisniewski, Christian (he/him/his)</DisplayName>
        <AccountId>287</AccountId>
        <AccountType/>
      </UserInfo>
      <UserInfo>
        <DisplayName>Williams, Melina</DisplayName>
        <AccountId>32</AccountId>
        <AccountType/>
      </UserInfo>
      <UserInfo>
        <DisplayName>Cyrs, Thomas</DisplayName>
        <AccountId>293</AccountId>
        <AccountType/>
      </UserInfo>
      <UserInfo>
        <DisplayName>Landolfi, Robert (he/him/his)</DisplayName>
        <AccountId>26</AccountId>
        <AccountType/>
      </UserInfo>
      <UserInfo>
        <DisplayName>Godwin, Dave</DisplayName>
        <AccountId>52</AccountId>
        <AccountType/>
      </UserInfo>
      <UserInfo>
        <DisplayName>Kemme, Sara</DisplayName>
        <AccountId>582</AccountId>
        <AccountType/>
      </UserInfo>
      <UserInfo>
        <DisplayName>Kee, Annie</DisplayName>
        <AccountId>330</AccountId>
        <AccountType/>
      </UserInfo>
    </SharedWithUsers>
  </documentManagement>
</p:properties>
</file>

<file path=customXml/itemProps1.xml><?xml version="1.0" encoding="utf-8"?>
<ds:datastoreItem xmlns:ds="http://schemas.openxmlformats.org/officeDocument/2006/customXml" ds:itemID="{0CA37645-EF71-4C1B-8BC8-7F1127BF409C}">
  <ds:schemaRefs>
    <ds:schemaRef ds:uri="Microsoft.SharePoint.Taxonomy.ContentTypeSync"/>
  </ds:schemaRefs>
</ds:datastoreItem>
</file>

<file path=customXml/itemProps2.xml><?xml version="1.0" encoding="utf-8"?>
<ds:datastoreItem xmlns:ds="http://schemas.openxmlformats.org/officeDocument/2006/customXml" ds:itemID="{6E3D2619-E5E2-4DED-AD6B-E2655B72ED18}">
  <ds:schemaRefs>
    <ds:schemaRef ds:uri="http://schemas.microsoft.com/sharepoint/v3/contenttype/forms"/>
  </ds:schemaRefs>
</ds:datastoreItem>
</file>

<file path=customXml/itemProps3.xml><?xml version="1.0" encoding="utf-8"?>
<ds:datastoreItem xmlns:ds="http://schemas.openxmlformats.org/officeDocument/2006/customXml" ds:itemID="{1F786040-5800-49DB-B21B-A0E8F39E6D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56B3AF2-3E21-4916-A3BB-4937FDBE9C50}">
  <ds:schemaRefs>
    <ds:schemaRef ds:uri="http://schemas.microsoft.com/office/2006/metadata/properties"/>
    <ds:schemaRef ds:uri="8c57eaaf-0617-4b5e-abd8-c9c87ce9c094"/>
    <ds:schemaRef ds:uri="http://schemas.microsoft.com/sharepoint.v3"/>
    <ds:schemaRef ds:uri="http://schemas.microsoft.com/sharepoint/v3"/>
    <ds:schemaRef ds:uri="4ffa91fb-a0ff-4ac5-b2db-65c790d184a4"/>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www.w3.org/XML/1998/namespace"/>
    <ds:schemaRef ds:uri="20af4edb-1540-4aba-b7d0-294715a11a7a"/>
    <ds:schemaRef ds:uri="http://schemas.microsoft.com/sharepoint/v3/fields"/>
    <ds:schemaRef ds:uri="http://purl.org/dc/dcmitype/"/>
    <ds:schemaRef ds:uri="http://purl.org/dc/te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Respondent Burden</vt:lpstr>
      <vt:lpstr>Respondent Burden Summary</vt:lpstr>
      <vt:lpstr>Agency Burden</vt:lpstr>
      <vt:lpstr>Tables for Supporting Statement</vt:lpstr>
      <vt:lpstr>ICR 1626.18 9-6-2022</vt:lpstr>
      <vt:lpstr>Labeling Burden Estimates</vt:lpstr>
    </vt:vector>
  </TitlesOfParts>
  <Manager/>
  <Company>ICF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CG</dc:creator>
  <cp:keywords/>
  <dc:description/>
  <cp:lastModifiedBy>Schultz, Eric</cp:lastModifiedBy>
  <cp:revision/>
  <dcterms:created xsi:type="dcterms:W3CDTF">2015-02-02T15:31:16Z</dcterms:created>
  <dcterms:modified xsi:type="dcterms:W3CDTF">2023-10-24T17:05:07Z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MediaServiceImageTags">
    <vt:lpwstr/>
  </property>
  <property fmtid="{D5CDD505-2E9C-101B-9397-08002B2CF9AE}" pid="4" name="TaxKeyword">
    <vt:lpwstr/>
  </property>
  <property fmtid="{D5CDD505-2E9C-101B-9397-08002B2CF9AE}" pid="5" name="Document_x0020_Type">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