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thematica.Net\NDrive\Project\51130_SNAP_RCE\MA1\Task 8_OMB\OMB\8.5i Comments from OMB\"/>
    </mc:Choice>
  </mc:AlternateContent>
  <xr:revisionPtr revIDLastSave="0" documentId="13_ncr:1_{E8D6D0C9-C6A1-4D96-8F15-B0AA67E06920}" xr6:coauthVersionLast="47" xr6:coauthVersionMax="47" xr10:uidLastSave="{00000000-0000-0000-0000-000000000000}"/>
  <bookViews>
    <workbookView xWindow="29925" yWindow="165" windowWidth="26220" windowHeight="15090" xr2:uid="{AD6D74C3-982E-46A3-B178-25CCC8CC98C5}"/>
  </bookViews>
  <sheets>
    <sheet name="Burden Tabl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5" l="1"/>
  <c r="G60" i="5"/>
  <c r="F8" i="5"/>
  <c r="F9" i="5"/>
  <c r="E9" i="5"/>
  <c r="E8" i="5"/>
  <c r="E5" i="5"/>
  <c r="F5" i="5" s="1"/>
  <c r="K46" i="5"/>
  <c r="M46" i="5" s="1"/>
  <c r="O46" i="5" s="1"/>
  <c r="P46" i="5" s="1"/>
  <c r="R46" i="5" s="1"/>
  <c r="H46" i="5"/>
  <c r="J46" i="5" s="1"/>
  <c r="K53" i="5"/>
  <c r="M53" i="5" s="1"/>
  <c r="O53" i="5" s="1"/>
  <c r="H53" i="5"/>
  <c r="J53" i="5" s="1"/>
  <c r="K42" i="5"/>
  <c r="M42" i="5" s="1"/>
  <c r="O42" i="5" s="1"/>
  <c r="J42" i="5"/>
  <c r="H42" i="5"/>
  <c r="E4" i="5"/>
  <c r="E11" i="5"/>
  <c r="F11" i="5" s="1"/>
  <c r="H11" i="5" s="1"/>
  <c r="J11" i="5" s="1"/>
  <c r="K9" i="5" l="1"/>
  <c r="K8" i="5"/>
  <c r="S46" i="5"/>
  <c r="T46" i="5" s="1"/>
  <c r="P53" i="5"/>
  <c r="R53" i="5" s="1"/>
  <c r="P42" i="5"/>
  <c r="R42" i="5" s="1"/>
  <c r="S42" i="5" s="1"/>
  <c r="T42" i="5" s="1"/>
  <c r="K11" i="5"/>
  <c r="M11" i="5" s="1"/>
  <c r="O11" i="5" s="1"/>
  <c r="P11" i="5" s="1"/>
  <c r="R11" i="5" s="1"/>
  <c r="S11" i="5" s="1"/>
  <c r="T11" i="5" s="1"/>
  <c r="H16" i="5"/>
  <c r="J16" i="5" s="1"/>
  <c r="K16" i="5"/>
  <c r="M16" i="5" s="1"/>
  <c r="O16" i="5" s="1"/>
  <c r="E12" i="5"/>
  <c r="S53" i="5" l="1"/>
  <c r="T53" i="5" s="1"/>
  <c r="P16" i="5"/>
  <c r="R16" i="5" s="1"/>
  <c r="S16" i="5" s="1"/>
  <c r="T16" i="5" s="1"/>
  <c r="E52" i="5"/>
  <c r="F59" i="5"/>
  <c r="E59" i="5"/>
  <c r="F52" i="5" l="1"/>
  <c r="K48" i="5"/>
  <c r="M48" i="5" s="1"/>
  <c r="O48" i="5" s="1"/>
  <c r="H48" i="5"/>
  <c r="J48" i="5" s="1"/>
  <c r="K55" i="5"/>
  <c r="M55" i="5" s="1"/>
  <c r="O55" i="5" s="1"/>
  <c r="H55" i="5"/>
  <c r="J55" i="5" s="1"/>
  <c r="P48" i="5" l="1"/>
  <c r="R48" i="5" s="1"/>
  <c r="S48" i="5" s="1"/>
  <c r="T48" i="5" s="1"/>
  <c r="P55" i="5"/>
  <c r="R55" i="5" s="1"/>
  <c r="S55" i="5" l="1"/>
  <c r="T55" i="5" s="1"/>
  <c r="F12" i="5" l="1"/>
  <c r="F14" i="5"/>
  <c r="H14" i="5" s="1"/>
  <c r="J14" i="5" s="1"/>
  <c r="E10" i="5"/>
  <c r="F10" i="5" s="1"/>
  <c r="H10" i="5" s="1"/>
  <c r="J10" i="5" s="1"/>
  <c r="K58" i="5"/>
  <c r="M58" i="5" s="1"/>
  <c r="O58" i="5" s="1"/>
  <c r="H58" i="5"/>
  <c r="J58" i="5" s="1"/>
  <c r="K57" i="5"/>
  <c r="M57" i="5" s="1"/>
  <c r="O57" i="5" s="1"/>
  <c r="H57" i="5"/>
  <c r="J57" i="5" s="1"/>
  <c r="K56" i="5"/>
  <c r="M56" i="5" s="1"/>
  <c r="O56" i="5" s="1"/>
  <c r="H56" i="5"/>
  <c r="J56" i="5" s="1"/>
  <c r="K54" i="5"/>
  <c r="H54" i="5"/>
  <c r="J54" i="5" s="1"/>
  <c r="K51" i="5"/>
  <c r="M51" i="5" s="1"/>
  <c r="O51" i="5" s="1"/>
  <c r="H51" i="5"/>
  <c r="J51" i="5" s="1"/>
  <c r="K50" i="5"/>
  <c r="M50" i="5" s="1"/>
  <c r="O50" i="5" s="1"/>
  <c r="H50" i="5"/>
  <c r="J50" i="5" s="1"/>
  <c r="H49" i="5"/>
  <c r="J49" i="5" s="1"/>
  <c r="K49" i="5"/>
  <c r="M49" i="5" s="1"/>
  <c r="O49" i="5" s="1"/>
  <c r="K47" i="5"/>
  <c r="M47" i="5" s="1"/>
  <c r="O47" i="5" s="1"/>
  <c r="H47" i="5"/>
  <c r="J47" i="5" s="1"/>
  <c r="K45" i="5"/>
  <c r="M45" i="5" s="1"/>
  <c r="O45" i="5" s="1"/>
  <c r="H45" i="5"/>
  <c r="K44" i="5"/>
  <c r="M44" i="5" s="1"/>
  <c r="O44" i="5" s="1"/>
  <c r="H44" i="5"/>
  <c r="J44" i="5" s="1"/>
  <c r="K43" i="5"/>
  <c r="M43" i="5" s="1"/>
  <c r="O43" i="5" s="1"/>
  <c r="H43" i="5"/>
  <c r="J43" i="5" s="1"/>
  <c r="K41" i="5"/>
  <c r="M41" i="5" s="1"/>
  <c r="O41" i="5" s="1"/>
  <c r="H41" i="5"/>
  <c r="J41" i="5" s="1"/>
  <c r="K40" i="5"/>
  <c r="H40" i="5"/>
  <c r="J40" i="5" s="1"/>
  <c r="K37" i="5"/>
  <c r="M37" i="5" s="1"/>
  <c r="O37" i="5" s="1"/>
  <c r="H37" i="5"/>
  <c r="J37" i="5" s="1"/>
  <c r="H36" i="5"/>
  <c r="J36" i="5" s="1"/>
  <c r="E36" i="5"/>
  <c r="K36" i="5" s="1"/>
  <c r="M36" i="5" s="1"/>
  <c r="O36" i="5" s="1"/>
  <c r="K35" i="5"/>
  <c r="M35" i="5" s="1"/>
  <c r="O35" i="5" s="1"/>
  <c r="H35" i="5"/>
  <c r="J35" i="5" s="1"/>
  <c r="H34" i="5"/>
  <c r="J34" i="5" s="1"/>
  <c r="E34" i="5"/>
  <c r="K34" i="5" s="1"/>
  <c r="M34" i="5" s="1"/>
  <c r="O34" i="5" s="1"/>
  <c r="H33" i="5"/>
  <c r="J33" i="5" s="1"/>
  <c r="E33" i="5"/>
  <c r="K33" i="5" s="1"/>
  <c r="M33" i="5" s="1"/>
  <c r="O33" i="5" s="1"/>
  <c r="K32" i="5"/>
  <c r="M32" i="5" s="1"/>
  <c r="O32" i="5" s="1"/>
  <c r="H32" i="5"/>
  <c r="J32" i="5" s="1"/>
  <c r="I31" i="5"/>
  <c r="F31" i="5"/>
  <c r="F25" i="5"/>
  <c r="H25" i="5" s="1"/>
  <c r="J25" i="5" s="1"/>
  <c r="F24" i="5"/>
  <c r="H24" i="5" s="1"/>
  <c r="J24" i="5" s="1"/>
  <c r="I23" i="5"/>
  <c r="I22" i="5"/>
  <c r="E20" i="5"/>
  <c r="E19" i="5"/>
  <c r="F19" i="5" s="1"/>
  <c r="H19" i="5" s="1"/>
  <c r="J19" i="5" s="1"/>
  <c r="E18" i="5"/>
  <c r="E17" i="5"/>
  <c r="F17" i="5" s="1"/>
  <c r="F15" i="5"/>
  <c r="H15" i="5" s="1"/>
  <c r="J15" i="5" s="1"/>
  <c r="F13" i="5"/>
  <c r="K13" i="5" s="1"/>
  <c r="H9" i="5"/>
  <c r="J9" i="5" s="1"/>
  <c r="E7" i="5"/>
  <c r="F7" i="5" s="1"/>
  <c r="E6" i="5"/>
  <c r="F6" i="5" s="1"/>
  <c r="H6" i="5" s="1"/>
  <c r="J6" i="5" s="1"/>
  <c r="H5" i="5" l="1"/>
  <c r="J5" i="5" s="1"/>
  <c r="E38" i="5"/>
  <c r="E60" i="5" s="1"/>
  <c r="M13" i="5"/>
  <c r="O13" i="5" s="1"/>
  <c r="K59" i="5"/>
  <c r="K52" i="5"/>
  <c r="H31" i="5"/>
  <c r="J31" i="5" s="1"/>
  <c r="P50" i="5"/>
  <c r="R50" i="5" s="1"/>
  <c r="S50" i="5" s="1"/>
  <c r="T50" i="5" s="1"/>
  <c r="P35" i="5"/>
  <c r="R35" i="5" s="1"/>
  <c r="S35" i="5" s="1"/>
  <c r="T35" i="5" s="1"/>
  <c r="P37" i="5"/>
  <c r="R37" i="5" s="1"/>
  <c r="S37" i="5" s="1"/>
  <c r="T37" i="5" s="1"/>
  <c r="H12" i="5"/>
  <c r="J12" i="5" s="1"/>
  <c r="K12" i="5"/>
  <c r="M12" i="5" s="1"/>
  <c r="O12" i="5" s="1"/>
  <c r="K14" i="5"/>
  <c r="M14" i="5" s="1"/>
  <c r="O14" i="5" s="1"/>
  <c r="P14" i="5" s="1"/>
  <c r="R14" i="5" s="1"/>
  <c r="P58" i="5"/>
  <c r="R58" i="5" s="1"/>
  <c r="S58" i="5" s="1"/>
  <c r="T58" i="5" s="1"/>
  <c r="K15" i="5"/>
  <c r="M15" i="5" s="1"/>
  <c r="O15" i="5" s="1"/>
  <c r="P15" i="5" s="1"/>
  <c r="R15" i="5" s="1"/>
  <c r="S15" i="5" s="1"/>
  <c r="T15" i="5" s="1"/>
  <c r="K10" i="5"/>
  <c r="M10" i="5" s="1"/>
  <c r="O10" i="5" s="1"/>
  <c r="P10" i="5" s="1"/>
  <c r="R10" i="5" s="1"/>
  <c r="P57" i="5"/>
  <c r="R57" i="5" s="1"/>
  <c r="S57" i="5" s="1"/>
  <c r="P51" i="5"/>
  <c r="R51" i="5" s="1"/>
  <c r="S51" i="5" s="1"/>
  <c r="T51" i="5" s="1"/>
  <c r="P41" i="5"/>
  <c r="R41" i="5" s="1"/>
  <c r="S41" i="5" s="1"/>
  <c r="T41" i="5" s="1"/>
  <c r="M9" i="5"/>
  <c r="O9" i="5" s="1"/>
  <c r="P9" i="5" s="1"/>
  <c r="R9" i="5" s="1"/>
  <c r="P32" i="5"/>
  <c r="R32" i="5" s="1"/>
  <c r="S32" i="5" s="1"/>
  <c r="T32" i="5" s="1"/>
  <c r="P47" i="5"/>
  <c r="R47" i="5" s="1"/>
  <c r="S47" i="5" s="1"/>
  <c r="T47" i="5" s="1"/>
  <c r="M54" i="5"/>
  <c r="M59" i="5" s="1"/>
  <c r="K24" i="5"/>
  <c r="M24" i="5" s="1"/>
  <c r="O24" i="5" s="1"/>
  <c r="P24" i="5" s="1"/>
  <c r="R24" i="5" s="1"/>
  <c r="P43" i="5"/>
  <c r="R43" i="5" s="1"/>
  <c r="S43" i="5" s="1"/>
  <c r="T43" i="5" s="1"/>
  <c r="P44" i="5"/>
  <c r="R44" i="5" s="1"/>
  <c r="S44" i="5" s="1"/>
  <c r="T44" i="5" s="1"/>
  <c r="P56" i="5"/>
  <c r="R56" i="5" s="1"/>
  <c r="S56" i="5" s="1"/>
  <c r="T56" i="5" s="1"/>
  <c r="J59" i="5"/>
  <c r="M40" i="5"/>
  <c r="K19" i="5"/>
  <c r="M19" i="5" s="1"/>
  <c r="O19" i="5" s="1"/>
  <c r="P19" i="5" s="1"/>
  <c r="R19" i="5" s="1"/>
  <c r="H52" i="5"/>
  <c r="P33" i="5"/>
  <c r="R33" i="5" s="1"/>
  <c r="S33" i="5" s="1"/>
  <c r="H59" i="5"/>
  <c r="G59" i="5" s="1"/>
  <c r="P34" i="5"/>
  <c r="R34" i="5" s="1"/>
  <c r="P49" i="5"/>
  <c r="R49" i="5" s="1"/>
  <c r="K17" i="5"/>
  <c r="M17" i="5" s="1"/>
  <c r="O17" i="5" s="1"/>
  <c r="H17" i="5"/>
  <c r="J17" i="5" s="1"/>
  <c r="K6" i="5"/>
  <c r="M6" i="5" s="1"/>
  <c r="O6" i="5" s="1"/>
  <c r="P6" i="5" s="1"/>
  <c r="R6" i="5" s="1"/>
  <c r="P36" i="5"/>
  <c r="R36" i="5" s="1"/>
  <c r="K7" i="5"/>
  <c r="M7" i="5" s="1"/>
  <c r="O7" i="5" s="1"/>
  <c r="H7" i="5"/>
  <c r="J7" i="5" s="1"/>
  <c r="H8" i="5"/>
  <c r="J8" i="5" s="1"/>
  <c r="F18" i="5"/>
  <c r="H18" i="5" s="1"/>
  <c r="J18" i="5" s="1"/>
  <c r="E21" i="5"/>
  <c r="K25" i="5"/>
  <c r="F20" i="5"/>
  <c r="H20" i="5" s="1"/>
  <c r="J20" i="5" s="1"/>
  <c r="J45" i="5"/>
  <c r="J52" i="5" s="1"/>
  <c r="F4" i="5"/>
  <c r="H13" i="5"/>
  <c r="J13" i="5" s="1"/>
  <c r="K31" i="5"/>
  <c r="K5" i="5" l="1"/>
  <c r="M5" i="5" s="1"/>
  <c r="O5" i="5" s="1"/>
  <c r="P5" i="5" s="1"/>
  <c r="R5" i="5" s="1"/>
  <c r="S5" i="5" s="1"/>
  <c r="T5" i="5" s="1"/>
  <c r="P13" i="5"/>
  <c r="R13" i="5" s="1"/>
  <c r="S13" i="5" s="1"/>
  <c r="T13" i="5" s="1"/>
  <c r="P17" i="5"/>
  <c r="R17" i="5" s="1"/>
  <c r="S17" i="5" s="1"/>
  <c r="T17" i="5" s="1"/>
  <c r="L59" i="5"/>
  <c r="F38" i="5"/>
  <c r="F60" i="5" s="1"/>
  <c r="I59" i="5"/>
  <c r="T57" i="5"/>
  <c r="G52" i="5"/>
  <c r="H4" i="5"/>
  <c r="J4" i="5" s="1"/>
  <c r="P12" i="5"/>
  <c r="R12" i="5" s="1"/>
  <c r="S14" i="5"/>
  <c r="T14" i="5" s="1"/>
  <c r="S19" i="5"/>
  <c r="T19" i="5" s="1"/>
  <c r="O54" i="5"/>
  <c r="O59" i="5" s="1"/>
  <c r="T33" i="5"/>
  <c r="S10" i="5"/>
  <c r="T10" i="5" s="1"/>
  <c r="S9" i="5"/>
  <c r="T9" i="5" s="1"/>
  <c r="M52" i="5"/>
  <c r="L52" i="5" s="1"/>
  <c r="O40" i="5"/>
  <c r="I52" i="5"/>
  <c r="S6" i="5"/>
  <c r="T6" i="5" s="1"/>
  <c r="K4" i="5"/>
  <c r="M4" i="5" s="1"/>
  <c r="P7" i="5"/>
  <c r="R7" i="5" s="1"/>
  <c r="S49" i="5"/>
  <c r="T49" i="5" s="1"/>
  <c r="K20" i="5"/>
  <c r="M20" i="5" s="1"/>
  <c r="O20" i="5" s="1"/>
  <c r="P20" i="5" s="1"/>
  <c r="R20" i="5" s="1"/>
  <c r="K18" i="5"/>
  <c r="M18" i="5" s="1"/>
  <c r="O18" i="5" s="1"/>
  <c r="P18" i="5" s="1"/>
  <c r="R18" i="5" s="1"/>
  <c r="M25" i="5"/>
  <c r="O25" i="5" s="1"/>
  <c r="P25" i="5" s="1"/>
  <c r="R25" i="5" s="1"/>
  <c r="E26" i="5"/>
  <c r="P45" i="5"/>
  <c r="R45" i="5" s="1"/>
  <c r="M31" i="5"/>
  <c r="O31" i="5" s="1"/>
  <c r="P31" i="5" s="1"/>
  <c r="R31" i="5" s="1"/>
  <c r="S36" i="5"/>
  <c r="T36" i="5" s="1"/>
  <c r="S34" i="5"/>
  <c r="T34" i="5" s="1"/>
  <c r="E22" i="5"/>
  <c r="F21" i="5"/>
  <c r="H21" i="5" s="1"/>
  <c r="J21" i="5" s="1"/>
  <c r="M8" i="5"/>
  <c r="O8" i="5" s="1"/>
  <c r="P8" i="5" s="1"/>
  <c r="R8" i="5" s="1"/>
  <c r="S24" i="5"/>
  <c r="T24" i="5" s="1"/>
  <c r="K38" i="5" l="1"/>
  <c r="K60" i="5" s="1"/>
  <c r="P54" i="5"/>
  <c r="R54" i="5" s="1"/>
  <c r="S54" i="5" s="1"/>
  <c r="T54" i="5" s="1"/>
  <c r="S12" i="5"/>
  <c r="T12" i="5" s="1"/>
  <c r="P40" i="5"/>
  <c r="R40" i="5" s="1"/>
  <c r="R52" i="5" s="1"/>
  <c r="O52" i="5"/>
  <c r="S20" i="5"/>
  <c r="T20" i="5" s="1"/>
  <c r="S8" i="5"/>
  <c r="T8" i="5" s="1"/>
  <c r="S18" i="5"/>
  <c r="T18" i="5" s="1"/>
  <c r="S31" i="5"/>
  <c r="T31" i="5" s="1"/>
  <c r="S7" i="5"/>
  <c r="T7" i="5" s="1"/>
  <c r="S45" i="5"/>
  <c r="T45" i="5" s="1"/>
  <c r="P59" i="5"/>
  <c r="N59" i="5"/>
  <c r="F26" i="5"/>
  <c r="H26" i="5" s="1"/>
  <c r="J26" i="5" s="1"/>
  <c r="O4" i="5"/>
  <c r="P4" i="5" s="1"/>
  <c r="R4" i="5" s="1"/>
  <c r="E23" i="5"/>
  <c r="F22" i="5"/>
  <c r="H22" i="5" s="1"/>
  <c r="J22" i="5" s="1"/>
  <c r="S25" i="5"/>
  <c r="T25" i="5" s="1"/>
  <c r="K21" i="5"/>
  <c r="M21" i="5" s="1"/>
  <c r="O21" i="5" s="1"/>
  <c r="P21" i="5" s="1"/>
  <c r="R21" i="5" s="1"/>
  <c r="R59" i="5" l="1"/>
  <c r="S59" i="5" s="1"/>
  <c r="T59" i="5" s="1"/>
  <c r="P52" i="5"/>
  <c r="N52" i="5"/>
  <c r="S40" i="5"/>
  <c r="T40" i="5" s="1"/>
  <c r="S21" i="5"/>
  <c r="T21" i="5" s="1"/>
  <c r="S4" i="5"/>
  <c r="T4" i="5" s="1"/>
  <c r="K26" i="5"/>
  <c r="K22" i="5"/>
  <c r="M22" i="5" s="1"/>
  <c r="S52" i="5"/>
  <c r="T52" i="5" s="1"/>
  <c r="F23" i="5"/>
  <c r="H23" i="5" s="1"/>
  <c r="J23" i="5" s="1"/>
  <c r="K23" i="5" l="1"/>
  <c r="M23" i="5" s="1"/>
  <c r="O23" i="5" s="1"/>
  <c r="P23" i="5" s="1"/>
  <c r="R23" i="5" s="1"/>
  <c r="O22" i="5"/>
  <c r="E27" i="5"/>
  <c r="M26" i="5"/>
  <c r="O26" i="5" s="1"/>
  <c r="P26" i="5" s="1"/>
  <c r="R26" i="5" s="1"/>
  <c r="S26" i="5" l="1"/>
  <c r="T26" i="5" s="1"/>
  <c r="P22" i="5"/>
  <c r="R22" i="5" s="1"/>
  <c r="S23" i="5"/>
  <c r="T23" i="5" s="1"/>
  <c r="F27" i="5"/>
  <c r="H27" i="5" s="1"/>
  <c r="S22" i="5" l="1"/>
  <c r="T22" i="5" s="1"/>
  <c r="J27" i="5"/>
  <c r="K27" i="5"/>
  <c r="M27" i="5" l="1"/>
  <c r="E28" i="5"/>
  <c r="F28" i="5" l="1"/>
  <c r="H28" i="5" s="1"/>
  <c r="O27" i="5"/>
  <c r="P27" i="5" l="1"/>
  <c r="R27" i="5" s="1"/>
  <c r="J28" i="5"/>
  <c r="K28" i="5"/>
  <c r="M28" i="5" l="1"/>
  <c r="E29" i="5"/>
  <c r="S27" i="5"/>
  <c r="T27" i="5" s="1"/>
  <c r="F29" i="5" l="1"/>
  <c r="H29" i="5" s="1"/>
  <c r="J29" i="5" s="1"/>
  <c r="O28" i="5"/>
  <c r="K29" i="5" l="1"/>
  <c r="E30" i="5" s="1"/>
  <c r="P28" i="5"/>
  <c r="R28" i="5" s="1"/>
  <c r="M29" i="5" l="1"/>
  <c r="O29" i="5" s="1"/>
  <c r="P29" i="5" s="1"/>
  <c r="R29" i="5" s="1"/>
  <c r="S29" i="5" s="1"/>
  <c r="T29" i="5" s="1"/>
  <c r="F30" i="5"/>
  <c r="H30" i="5" s="1"/>
  <c r="S28" i="5"/>
  <c r="T28" i="5" s="1"/>
  <c r="J30" i="5" l="1"/>
  <c r="H38" i="5"/>
  <c r="H60" i="5" s="1"/>
  <c r="K30" i="5"/>
  <c r="M30" i="5" s="1"/>
  <c r="M38" i="5" s="1"/>
  <c r="M60" i="5" s="1"/>
  <c r="L60" i="5" s="1"/>
  <c r="G38" i="5" l="1"/>
  <c r="O30" i="5"/>
  <c r="O38" i="5" s="1"/>
  <c r="J38" i="5"/>
  <c r="N38" i="5" l="1"/>
  <c r="O60" i="5"/>
  <c r="P30" i="5"/>
  <c r="R30" i="5" s="1"/>
  <c r="I38" i="5"/>
  <c r="P38" i="5"/>
  <c r="P60" i="5" s="1"/>
  <c r="I60" i="5"/>
  <c r="L38" i="5"/>
  <c r="N60" i="5" l="1"/>
  <c r="S30" i="5"/>
  <c r="T30" i="5" s="1"/>
  <c r="R38" i="5"/>
  <c r="S38" i="5" l="1"/>
  <c r="T38" i="5" s="1"/>
  <c r="R60" i="5"/>
  <c r="S60" i="5" l="1"/>
  <c r="T60" i="5" s="1"/>
</calcChain>
</file>

<file path=xl/sharedStrings.xml><?xml version="1.0" encoding="utf-8"?>
<sst xmlns="http://schemas.openxmlformats.org/spreadsheetml/2006/main" count="224" uniqueCount="127">
  <si>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</si>
  <si>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</si>
  <si>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</si>
  <si>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</si>
  <si>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</si>
  <si>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</si>
  <si>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</si>
  <si>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</si>
  <si>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</si>
  <si>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</si>
  <si>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</si>
  <si>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</si>
  <si>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</si>
  <si>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State Program Staff</t>
  </si>
  <si>
    <t>Local Program Staff</t>
  </si>
  <si>
    <t>Grand Total Annual Burden Estimate (hours)</t>
  </si>
  <si>
    <t>Hourly Wage Rate</t>
  </si>
  <si>
    <t>Total Annualized Cost of Respondent Burden</t>
  </si>
  <si>
    <t>State Government</t>
  </si>
  <si>
    <t>Instruments</t>
  </si>
  <si>
    <t>(A)
3 Categories: 
- Individual / Household
- State/ Local/ Tribal Government
- Business (Profit, Non-Profit, or Farm)</t>
  </si>
  <si>
    <t>(B)
(Optional) Describe the respondent more specifically, if it adds clarity.</t>
  </si>
  <si>
    <t>(C)
Description or Name of Instrument.  For rules, this will be the CFR citation.</t>
  </si>
  <si>
    <t>(D) Appendix ID</t>
  </si>
  <si>
    <t>(E)
Sample size for each instrument</t>
  </si>
  <si>
    <t>(F)
Number of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</si>
  <si>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</si>
  <si>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</si>
  <si>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</si>
  <si>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</si>
  <si>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(K) 
Number of persons from the sample who are non-responsive</t>
  </si>
  <si>
    <t>(L)
Number of attempts for response</t>
  </si>
  <si>
    <t>(M)
(= K x L)
Total non- responses per year for each instrument</t>
  </si>
  <si>
    <t>(N)
Average Time (in hours) it will take each for each non-response.</t>
  </si>
  <si>
    <t>(O)
(= M x N) Average total time (in hours) spent for non-response.</t>
  </si>
  <si>
    <t>(P)
(= N x O)
Total of Responsive and Non-Responsive Annual Burden</t>
  </si>
  <si>
    <t>(Q)
BLS Hourly Wage. Use a wage rate that best fits the respondent.</t>
  </si>
  <si>
    <t>(R)
= Hourly Wage Rate (Q) x Total Burden (P)</t>
  </si>
  <si>
    <t>-</t>
  </si>
  <si>
    <t>Individuals/ Household Sub-Total</t>
  </si>
  <si>
    <t>Local Government</t>
  </si>
  <si>
    <t>Sub-Total Calculation Notes:</t>
  </si>
  <si>
    <t>Subtotal G = Subtotal H / Subtotal F.
The sub-total is the average number of responses for all respondents.  In this example, every respondent will receive at least 3 instruments (Survey or Focus Group + Brochure + Recruitment Letter or Phone call.  Additionally, only the Focus Group will receive the consent letter.)</t>
  </si>
  <si>
    <t>Sum of all values</t>
  </si>
  <si>
    <t>Subtotal I = Subtotal J / Subtotal H.
The sub-total is the average time it takes to respond to all instruments.</t>
  </si>
  <si>
    <t>Total unique non-respondents</t>
  </si>
  <si>
    <t>Subtotal L = 
Subtotal M/ Subtotal K.</t>
  </si>
  <si>
    <t>Subtotal N = 
Subtotal O/ Subtotal M.</t>
  </si>
  <si>
    <t>No Sub-Total</t>
  </si>
  <si>
    <t>State / Local Government Sub-Total</t>
  </si>
  <si>
    <t>Advance letter</t>
  </si>
  <si>
    <t>Reminder postcard</t>
  </si>
  <si>
    <t>Reminder letter</t>
  </si>
  <si>
    <t>Participant survey respondents</t>
  </si>
  <si>
    <t xml:space="preserve">Kansas: SNAP E&amp;T program-eligible individuals </t>
  </si>
  <si>
    <t xml:space="preserve">Colorado: SNAP E&amp;T program-eligible individuals </t>
  </si>
  <si>
    <t xml:space="preserve">Connecticut: SNAP E&amp;T program-eligible individuals </t>
  </si>
  <si>
    <t xml:space="preserve">DC: SNAP E&amp;T program-eligible individuals </t>
  </si>
  <si>
    <t xml:space="preserve">Rhode Island: SNAP E&amp;T program-eligible individuals </t>
  </si>
  <si>
    <t xml:space="preserve">Minnesota - Hennepin: SNAP E&amp;T program-eligible individuals </t>
  </si>
  <si>
    <t xml:space="preserve">Minnesota - Rural: SNAP E&amp;T program-eligible individuals </t>
  </si>
  <si>
    <t xml:space="preserve">Massachusetts: SNAP E&amp;T program-eligible individuals </t>
  </si>
  <si>
    <t>Individual / Household</t>
  </si>
  <si>
    <t>Focus group respondents</t>
  </si>
  <si>
    <t>IDI Respondents</t>
  </si>
  <si>
    <t>CO Intervention: 2 Texts and 2 emails</t>
  </si>
  <si>
    <t>Reminder email/text</t>
  </si>
  <si>
    <t>Invitation email/text</t>
  </si>
  <si>
    <r>
      <rPr>
        <i/>
        <vertAlign val="superscript"/>
        <sz val="10"/>
        <rFont val="Calibri"/>
        <family val="2"/>
        <scheme val="minor"/>
      </rPr>
      <t xml:space="preserve">a </t>
    </r>
    <r>
      <rPr>
        <i/>
        <sz val="10"/>
        <rFont val="Calibri"/>
        <family val="2"/>
        <scheme val="minor"/>
      </rPr>
      <t>Note that there will likely be some small overlap between staff taking the questionnaire and those participating in the semi-structured interviews. For burden purposes, this table currently assumes no overlap so as not to underestimate burden.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</si>
  <si>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 in the sample population.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</si>
  <si>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respondents.</t>
    </r>
  </si>
  <si>
    <t>Total Annualized Cost of Respondent Burden with Fully Loaded Wage Rates</t>
  </si>
  <si>
    <t>Business (Profit, Non-Profit, or Farm)</t>
  </si>
  <si>
    <t>Business (Profit, Non-profit, or Farm) Sub-Total</t>
  </si>
  <si>
    <r>
      <t>Staff questionnaire advance email/FAQ</t>
    </r>
    <r>
      <rPr>
        <vertAlign val="superscript"/>
        <sz val="10"/>
        <rFont val="Calibri"/>
        <family val="2"/>
        <scheme val="minor"/>
      </rPr>
      <t>a</t>
    </r>
  </si>
  <si>
    <t>Staff questionnaire</t>
  </si>
  <si>
    <t>Fully Loaded Wages (33%)</t>
  </si>
  <si>
    <t>B2</t>
  </si>
  <si>
    <t>CT Intervention: Assessment</t>
  </si>
  <si>
    <t>B3</t>
  </si>
  <si>
    <t>CT Intervention: Text</t>
  </si>
  <si>
    <t>DC Intervention: Assessment</t>
  </si>
  <si>
    <t>N/A</t>
  </si>
  <si>
    <t>E5.1</t>
  </si>
  <si>
    <t>E5.2</t>
  </si>
  <si>
    <t>E5.3</t>
  </si>
  <si>
    <t>E5.5</t>
  </si>
  <si>
    <t>E5.4</t>
  </si>
  <si>
    <t>E1-E4</t>
  </si>
  <si>
    <t>F2.2</t>
  </si>
  <si>
    <t>G1</t>
  </si>
  <si>
    <t>G2.2</t>
  </si>
  <si>
    <t>H1</t>
  </si>
  <si>
    <t>H2</t>
  </si>
  <si>
    <t>I2</t>
  </si>
  <si>
    <t xml:space="preserve">DC Intervention: Text </t>
  </si>
  <si>
    <t>CO Intervention: Text (two per month)</t>
  </si>
  <si>
    <t>RI Intervention: Assessment</t>
  </si>
  <si>
    <t>RI Intervention: Text or email (2 total)</t>
  </si>
  <si>
    <t>F1/F1.1</t>
  </si>
  <si>
    <t>CO Intervention: Text (three per month)</t>
  </si>
  <si>
    <t>CO Intervention: 2 Postcards</t>
  </si>
  <si>
    <t>MN H Intervention: Text (3 text messages)</t>
  </si>
  <si>
    <t>MN H Intervention: Text (2 text messages)</t>
  </si>
  <si>
    <t>MN R Intervention: Text (3 text messages)</t>
  </si>
  <si>
    <t>MA Intervention: Text (2 text messages)</t>
  </si>
  <si>
    <t>MA Intervention: Screener</t>
  </si>
  <si>
    <t>MA Intervention: Assessment</t>
  </si>
  <si>
    <t>MA Intervention: Career planning handoff</t>
  </si>
  <si>
    <t>Participant survey</t>
  </si>
  <si>
    <t>Recruitment email/text and FAQ</t>
  </si>
  <si>
    <t>F2.1/F3.1</t>
  </si>
  <si>
    <t>Confirmation and reminder emails/texts</t>
  </si>
  <si>
    <t>Focus group discussion guide and information form</t>
  </si>
  <si>
    <t>G2.1/F3.1</t>
  </si>
  <si>
    <t>IDI discussion guide</t>
  </si>
  <si>
    <t>Semi-structured interview invitation email</t>
  </si>
  <si>
    <t>Semi-structured interview guide</t>
  </si>
  <si>
    <t>Administrative data request</t>
  </si>
  <si>
    <t>CT Intervention: Consent form</t>
  </si>
  <si>
    <t>KS Intervention: Texts (reminders and/or nudges)</t>
  </si>
  <si>
    <t>Administrative data notification</t>
  </si>
  <si>
    <t>D1</t>
  </si>
  <si>
    <t>D2</t>
  </si>
  <si>
    <t>I1/I1.1</t>
  </si>
  <si>
    <t>R</t>
  </si>
  <si>
    <t>Sources: Department of Labor Wage and Hour Division (http://www.dol.gov/whd/minimumwage.htm). Bureau of Labor Statistics, Occupational Employment Statistics Survey, May 2020.  (http://www.bls.gov/oes/current/oes_nat.htm) 
Individuals/Participant: State and Federal minimum wage. State Program Staff: Average hourly earnings of workers in management occupations; Local Program Staff: Average hourly earnings of workers in community and social services occupations.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</si>
</sst>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0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3" fontId="2" fillId="0" borderId="1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horizontal="right" wrapText="1"/>
    </xf>
    <xf numFmtId="3" fontId="2" fillId="0" borderId="18" xfId="0" applyNumberFormat="1" applyFont="1" applyFill="1" applyBorder="1" applyAlignment="1">
      <alignment wrapText="1"/>
    </xf>
    <xf numFmtId="165" fontId="2" fillId="0" borderId="26" xfId="0" applyNumberFormat="1" applyFont="1" applyFill="1" applyBorder="1" applyAlignment="1">
      <alignment horizontal="right" wrapText="1"/>
    </xf>
    <xf numFmtId="165" fontId="2" fillId="0" borderId="30" xfId="0" applyNumberFormat="1" applyFont="1" applyFill="1" applyBorder="1" applyAlignment="1"/>
    <xf numFmtId="3" fontId="2" fillId="0" borderId="22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right" wrapText="1"/>
    </xf>
    <xf numFmtId="0" fontId="2" fillId="0" borderId="2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right" wrapText="1"/>
    </xf>
    <xf numFmtId="0" fontId="2" fillId="0" borderId="18" xfId="0" applyFont="1" applyFill="1" applyBorder="1" applyAlignment="1">
      <alignment wrapText="1"/>
    </xf>
    <xf numFmtId="0" fontId="2" fillId="0" borderId="26" xfId="0" applyFont="1" applyFill="1" applyBorder="1" applyAlignment="1">
      <alignment horizontal="right" wrapText="1"/>
    </xf>
    <xf numFmtId="0" fontId="2" fillId="0" borderId="30" xfId="0" applyFont="1" applyFill="1" applyBorder="1" applyAlignment="1"/>
    <xf numFmtId="3" fontId="2" fillId="0" borderId="8" xfId="0" applyNumberFormat="1" applyFont="1" applyFill="1" applyBorder="1" applyAlignment="1">
      <alignment horizontal="right" wrapText="1"/>
    </xf>
    <xf numFmtId="2" fontId="2" fillId="0" borderId="30" xfId="0" applyNumberFormat="1" applyFont="1" applyFill="1" applyBorder="1" applyAlignment="1"/>
    <xf numFmtId="0" fontId="2" fillId="0" borderId="53" xfId="0" applyFont="1" applyFill="1" applyBorder="1" applyAlignment="1">
      <alignment horizontal="center" wrapText="1"/>
    </xf>
    <xf numFmtId="3" fontId="2" fillId="0" borderId="53" xfId="0" applyNumberFormat="1" applyFont="1" applyFill="1" applyBorder="1" applyAlignment="1">
      <alignment horizontal="right" wrapText="1"/>
    </xf>
    <xf numFmtId="3" fontId="2" fillId="0" borderId="55" xfId="0" applyNumberFormat="1" applyFont="1" applyFill="1" applyBorder="1" applyAlignment="1">
      <alignment horizontal="right" wrapText="1"/>
    </xf>
    <xf numFmtId="3" fontId="2" fillId="0" borderId="58" xfId="0" applyNumberFormat="1" applyFont="1" applyFill="1" applyBorder="1" applyAlignment="1">
      <alignment wrapText="1"/>
    </xf>
    <xf numFmtId="0" fontId="2" fillId="0" borderId="59" xfId="0" applyFont="1" applyFill="1" applyBorder="1" applyAlignment="1">
      <alignment horizontal="right" wrapText="1"/>
    </xf>
    <xf numFmtId="2" fontId="2" fillId="0" borderId="60" xfId="0" applyNumberFormat="1" applyFont="1" applyFill="1" applyBorder="1" applyAlignment="1"/>
    <xf numFmtId="44" fontId="2" fillId="0" borderId="7" xfId="1" applyFont="1" applyFill="1" applyBorder="1" applyAlignment="1">
      <alignment horizontal="center"/>
    </xf>
    <xf numFmtId="44" fontId="2" fillId="0" borderId="57" xfId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51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right" wrapText="1"/>
    </xf>
    <xf numFmtId="44" fontId="2" fillId="0" borderId="7" xfId="1" applyFont="1" applyFill="1" applyBorder="1" applyAlignment="1"/>
    <xf numFmtId="0" fontId="3" fillId="0" borderId="0" xfId="0" applyFont="1" applyFill="1" applyAlignment="1"/>
    <xf numFmtId="0" fontId="4" fillId="0" borderId="4" xfId="0" applyFont="1" applyFill="1" applyBorder="1" applyAlignment="1">
      <alignment textRotation="90" wrapText="1"/>
    </xf>
    <xf numFmtId="0" fontId="4" fillId="0" borderId="19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wrapText="1" readingOrder="1"/>
    </xf>
    <xf numFmtId="0" fontId="4" fillId="0" borderId="10" xfId="0" applyFont="1" applyFill="1" applyBorder="1" applyAlignment="1">
      <alignment horizontal="center" wrapText="1" readingOrder="1"/>
    </xf>
    <xf numFmtId="0" fontId="4" fillId="0" borderId="11" xfId="0" applyFont="1" applyFill="1" applyBorder="1" applyAlignment="1">
      <alignment horizontal="center" textRotation="90" wrapText="1" readingOrder="1"/>
    </xf>
    <xf numFmtId="0" fontId="4" fillId="0" borderId="20" xfId="0" applyFont="1" applyFill="1" applyBorder="1" applyAlignment="1">
      <alignment horizontal="center" wrapText="1" readingOrder="1"/>
    </xf>
    <xf numFmtId="0" fontId="4" fillId="0" borderId="9" xfId="0" applyFont="1" applyFill="1" applyBorder="1" applyAlignment="1">
      <alignment horizontal="center" wrapText="1" readingOrder="1"/>
    </xf>
    <xf numFmtId="0" fontId="4" fillId="0" borderId="11" xfId="0" applyFont="1" applyFill="1" applyBorder="1" applyAlignment="1">
      <alignment horizontal="center" wrapText="1" readingOrder="1"/>
    </xf>
    <xf numFmtId="0" fontId="4" fillId="0" borderId="16" xfId="0" applyFont="1" applyFill="1" applyBorder="1" applyAlignment="1">
      <alignment horizontal="center" wrapText="1" readingOrder="1"/>
    </xf>
    <xf numFmtId="0" fontId="4" fillId="0" borderId="24" xfId="0" applyFont="1" applyFill="1" applyBorder="1" applyAlignment="1">
      <alignment horizontal="center" wrapText="1" readingOrder="1"/>
    </xf>
    <xf numFmtId="0" fontId="4" fillId="0" borderId="2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 readingOrder="1"/>
    </xf>
    <xf numFmtId="0" fontId="2" fillId="0" borderId="13" xfId="0" applyFont="1" applyFill="1" applyBorder="1" applyAlignment="1">
      <alignment horizontal="center" wrapText="1" readingOrder="1"/>
    </xf>
    <xf numFmtId="0" fontId="2" fillId="0" borderId="14" xfId="0" applyFont="1" applyFill="1" applyBorder="1" applyAlignment="1">
      <alignment horizontal="center" textRotation="90" wrapText="1" readingOrder="1"/>
    </xf>
    <xf numFmtId="0" fontId="2" fillId="0" borderId="21" xfId="0" applyFont="1" applyFill="1" applyBorder="1" applyAlignment="1">
      <alignment horizontal="center" wrapText="1" readingOrder="1"/>
    </xf>
    <xf numFmtId="0" fontId="2" fillId="0" borderId="32" xfId="0" applyFont="1" applyFill="1" applyBorder="1" applyAlignment="1">
      <alignment horizontal="center" wrapText="1" readingOrder="1"/>
    </xf>
    <xf numFmtId="0" fontId="2" fillId="0" borderId="45" xfId="0" applyFont="1" applyFill="1" applyBorder="1" applyAlignment="1">
      <alignment horizontal="center" wrapText="1" readingOrder="1"/>
    </xf>
    <xf numFmtId="0" fontId="2" fillId="0" borderId="46" xfId="0" applyFont="1" applyFill="1" applyBorder="1" applyAlignment="1">
      <alignment horizontal="center" wrapText="1" readingOrder="1"/>
    </xf>
    <xf numFmtId="0" fontId="2" fillId="0" borderId="17" xfId="0" applyFont="1" applyFill="1" applyBorder="1" applyAlignment="1">
      <alignment horizontal="center" wrapText="1" readingOrder="1"/>
    </xf>
    <xf numFmtId="0" fontId="2" fillId="0" borderId="25" xfId="0" applyFont="1" applyFill="1" applyBorder="1" applyAlignment="1">
      <alignment horizontal="center" wrapText="1" readingOrder="1"/>
    </xf>
    <xf numFmtId="0" fontId="2" fillId="0" borderId="2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3" fontId="2" fillId="0" borderId="4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 wrapText="1"/>
    </xf>
    <xf numFmtId="166" fontId="2" fillId="0" borderId="5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51" xfId="0" applyFont="1" applyFill="1" applyBorder="1" applyAlignment="1">
      <alignment wrapText="1"/>
    </xf>
    <xf numFmtId="0" fontId="2" fillId="0" borderId="51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wrapText="1"/>
    </xf>
    <xf numFmtId="3" fontId="2" fillId="2" borderId="41" xfId="0" applyNumberFormat="1" applyFont="1" applyFill="1" applyBorder="1" applyAlignment="1">
      <alignment wrapText="1"/>
    </xf>
    <xf numFmtId="2" fontId="2" fillId="2" borderId="39" xfId="0" applyNumberFormat="1" applyFont="1" applyFill="1" applyBorder="1" applyAlignment="1">
      <alignment horizontal="center" wrapText="1"/>
    </xf>
    <xf numFmtId="3" fontId="2" fillId="2" borderId="39" xfId="0" applyNumberFormat="1" applyFont="1" applyFill="1" applyBorder="1" applyAlignment="1">
      <alignment horizontal="right" wrapText="1"/>
    </xf>
    <xf numFmtId="164" fontId="2" fillId="2" borderId="39" xfId="0" applyNumberFormat="1" applyFont="1" applyFill="1" applyBorder="1" applyAlignment="1">
      <alignment horizontal="right" wrapText="1"/>
    </xf>
    <xf numFmtId="164" fontId="2" fillId="2" borderId="54" xfId="0" applyNumberFormat="1" applyFont="1" applyFill="1" applyBorder="1" applyAlignment="1">
      <alignment horizontal="center" wrapText="1"/>
    </xf>
    <xf numFmtId="2" fontId="2" fillId="2" borderId="39" xfId="0" applyNumberFormat="1" applyFont="1" applyFill="1" applyBorder="1" applyAlignment="1">
      <alignment horizontal="right" wrapText="1"/>
    </xf>
    <xf numFmtId="165" fontId="2" fillId="2" borderId="43" xfId="0" applyNumberFormat="1" applyFont="1" applyFill="1" applyBorder="1" applyAlignment="1">
      <alignment horizontal="right" wrapText="1"/>
    </xf>
    <xf numFmtId="2" fontId="2" fillId="2" borderId="44" xfId="0" applyNumberFormat="1" applyFont="1" applyFill="1" applyBorder="1" applyAlignment="1"/>
    <xf numFmtId="44" fontId="2" fillId="2" borderId="38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66" fontId="2" fillId="0" borderId="53" xfId="0" applyNumberFormat="1" applyFont="1" applyFill="1" applyBorder="1" applyAlignment="1">
      <alignment horizontal="right" wrapText="1"/>
    </xf>
    <xf numFmtId="0" fontId="4" fillId="0" borderId="33" xfId="0" applyFont="1" applyFill="1" applyBorder="1" applyAlignment="1">
      <alignment textRotation="90" wrapText="1"/>
    </xf>
    <xf numFmtId="0" fontId="4" fillId="0" borderId="34" xfId="0" applyFont="1" applyFill="1" applyBorder="1" applyAlignment="1">
      <alignment wrapText="1"/>
    </xf>
    <xf numFmtId="0" fontId="4" fillId="0" borderId="34" xfId="0" applyFont="1" applyFill="1" applyBorder="1" applyAlignment="1">
      <alignment horizontal="left" wrapText="1"/>
    </xf>
    <xf numFmtId="0" fontId="4" fillId="0" borderId="37" xfId="0" applyFont="1" applyFill="1" applyBorder="1" applyAlignment="1">
      <alignment wrapText="1"/>
    </xf>
    <xf numFmtId="3" fontId="4" fillId="0" borderId="3" xfId="0" applyNumberFormat="1" applyFont="1" applyFill="1" applyBorder="1" applyAlignment="1">
      <alignment wrapText="1"/>
    </xf>
    <xf numFmtId="3" fontId="4" fillId="0" borderId="36" xfId="0" applyNumberFormat="1" applyFont="1" applyFill="1" applyBorder="1" applyAlignment="1">
      <alignment wrapText="1"/>
    </xf>
    <xf numFmtId="164" fontId="4" fillId="0" borderId="34" xfId="0" applyNumberFormat="1" applyFont="1" applyFill="1" applyBorder="1" applyAlignment="1">
      <alignment horizontal="center" wrapText="1"/>
    </xf>
    <xf numFmtId="3" fontId="4" fillId="0" borderId="34" xfId="0" applyNumberFormat="1" applyFont="1" applyFill="1" applyBorder="1" applyAlignment="1">
      <alignment wrapText="1"/>
    </xf>
    <xf numFmtId="3" fontId="4" fillId="0" borderId="33" xfId="0" applyNumberFormat="1" applyFont="1" applyFill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165" fontId="4" fillId="0" borderId="34" xfId="0" applyNumberFormat="1" applyFont="1" applyFill="1" applyBorder="1" applyAlignment="1">
      <alignment wrapText="1"/>
    </xf>
    <xf numFmtId="43" fontId="3" fillId="0" borderId="0" xfId="2" applyFont="1" applyFill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Alignment="1">
      <alignment vertical="top" wrapText="1"/>
    </xf>
    <xf numFmtId="44" fontId="2" fillId="0" borderId="26" xfId="0" applyNumberFormat="1" applyFont="1" applyFill="1" applyBorder="1" applyAlignment="1"/>
    <xf numFmtId="44" fontId="2" fillId="2" borderId="43" xfId="0" applyNumberFormat="1" applyFont="1" applyFill="1" applyBorder="1" applyAlignment="1"/>
    <xf numFmtId="44" fontId="2" fillId="0" borderId="59" xfId="0" applyNumberFormat="1" applyFont="1" applyFill="1" applyBorder="1" applyAlignment="1"/>
    <xf numFmtId="44" fontId="4" fillId="0" borderId="37" xfId="1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3" fontId="4" fillId="0" borderId="21" xfId="0" applyNumberFormat="1" applyFont="1" applyFill="1" applyBorder="1" applyAlignment="1">
      <alignment horizontal="center" wrapText="1"/>
    </xf>
    <xf numFmtId="4" fontId="4" fillId="0" borderId="12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 wrapText="1"/>
    </xf>
    <xf numFmtId="3" fontId="4" fillId="0" borderId="17" xfId="0" applyNumberFormat="1" applyFont="1" applyFill="1" applyBorder="1" applyAlignment="1">
      <alignment horizontal="center" wrapText="1"/>
    </xf>
    <xf numFmtId="0" fontId="4" fillId="0" borderId="29" xfId="0" applyFont="1" applyFill="1" applyBorder="1" applyAlignment="1">
      <alignment wrapText="1"/>
    </xf>
    <xf numFmtId="44" fontId="4" fillId="0" borderId="12" xfId="1" applyFont="1" applyFill="1" applyBorder="1" applyAlignment="1">
      <alignment wrapText="1"/>
    </xf>
    <xf numFmtId="0" fontId="10" fillId="0" borderId="0" xfId="0" applyFont="1" applyFill="1" applyAlignment="1"/>
    <xf numFmtId="0" fontId="4" fillId="0" borderId="10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44" fontId="3" fillId="0" borderId="0" xfId="0" applyNumberFormat="1" applyFont="1" applyFill="1" applyAlignment="1"/>
    <xf numFmtId="2" fontId="3" fillId="0" borderId="0" xfId="0" applyNumberFormat="1" applyFont="1" applyFill="1" applyAlignment="1"/>
    <xf numFmtId="0" fontId="4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3" fontId="2" fillId="0" borderId="17" xfId="0" applyNumberFormat="1" applyFont="1" applyFill="1" applyBorder="1" applyAlignment="1">
      <alignment wrapText="1"/>
    </xf>
    <xf numFmtId="166" fontId="2" fillId="0" borderId="13" xfId="0" applyNumberFormat="1" applyFont="1" applyFill="1" applyBorder="1" applyAlignment="1">
      <alignment horizontal="right" wrapText="1"/>
    </xf>
    <xf numFmtId="0" fontId="2" fillId="0" borderId="25" xfId="0" applyFont="1" applyFill="1" applyBorder="1" applyAlignment="1">
      <alignment horizontal="right" wrapText="1"/>
    </xf>
    <xf numFmtId="0" fontId="2" fillId="0" borderId="31" xfId="0" applyFont="1" applyFill="1" applyBorder="1" applyAlignment="1">
      <alignment wrapText="1"/>
    </xf>
    <xf numFmtId="166" fontId="2" fillId="2" borderId="39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wrapText="1"/>
    </xf>
    <xf numFmtId="164" fontId="2" fillId="2" borderId="39" xfId="0" applyNumberFormat="1" applyFont="1" applyFill="1" applyBorder="1" applyAlignment="1">
      <alignment horizontal="center" wrapText="1"/>
    </xf>
    <xf numFmtId="165" fontId="2" fillId="2" borderId="40" xfId="0" applyNumberFormat="1" applyFont="1" applyFill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56" xfId="0" applyNumberFormat="1" applyFont="1" applyBorder="1" applyAlignment="1">
      <alignment wrapText="1"/>
    </xf>
    <xf numFmtId="3" fontId="2" fillId="0" borderId="57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13" xfId="0" applyNumberFormat="1" applyFont="1" applyFill="1" applyBorder="1" applyAlignment="1">
      <alignment horizontal="right" wrapText="1"/>
    </xf>
    <xf numFmtId="3" fontId="2" fillId="0" borderId="7" xfId="0" applyNumberFormat="1" applyFont="1" applyBorder="1" applyAlignment="1">
      <alignment wrapText="1"/>
    </xf>
    <xf numFmtId="3" fontId="2" fillId="0" borderId="14" xfId="0" applyNumberFormat="1" applyFont="1" applyFill="1" applyBorder="1" applyAlignment="1">
      <alignment horizontal="right" wrapText="1"/>
    </xf>
    <xf numFmtId="3" fontId="2" fillId="0" borderId="30" xfId="0" applyNumberFormat="1" applyFont="1" applyBorder="1" applyAlignment="1">
      <alignment wrapText="1"/>
    </xf>
    <xf numFmtId="164" fontId="2" fillId="0" borderId="53" xfId="0" applyNumberFormat="1" applyFont="1" applyFill="1" applyBorder="1" applyAlignment="1">
      <alignment horizontal="right" wrapText="1"/>
    </xf>
    <xf numFmtId="3" fontId="2" fillId="2" borderId="38" xfId="0" applyNumberFormat="1" applyFont="1" applyFill="1" applyBorder="1" applyAlignment="1">
      <alignment wrapText="1"/>
    </xf>
    <xf numFmtId="4" fontId="4" fillId="0" borderId="35" xfId="0" applyNumberFormat="1" applyFont="1" applyFill="1" applyBorder="1" applyAlignment="1">
      <alignment wrapText="1"/>
    </xf>
    <xf numFmtId="0" fontId="2" fillId="0" borderId="53" xfId="0" applyFont="1" applyFill="1" applyBorder="1" applyAlignment="1">
      <alignment horizontal="left" wrapText="1"/>
    </xf>
    <xf numFmtId="43" fontId="2" fillId="2" borderId="44" xfId="2" applyFont="1" applyFill="1" applyBorder="1" applyAlignment="1"/>
    <xf numFmtId="3" fontId="3" fillId="0" borderId="0" xfId="0" applyNumberFormat="1" applyFont="1" applyFill="1" applyAlignment="1"/>
    <xf numFmtId="0" fontId="2" fillId="0" borderId="2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right" wrapText="1"/>
    </xf>
    <xf numFmtId="0" fontId="2" fillId="0" borderId="29" xfId="0" applyFont="1" applyFill="1" applyBorder="1" applyAlignment="1"/>
    <xf numFmtId="44" fontId="2" fillId="0" borderId="25" xfId="0" applyNumberFormat="1" applyFont="1" applyFill="1" applyBorder="1" applyAlignment="1"/>
    <xf numFmtId="0" fontId="2" fillId="0" borderId="56" xfId="0" applyFont="1" applyFill="1" applyBorder="1" applyAlignment="1">
      <alignment wrapText="1"/>
    </xf>
    <xf numFmtId="0" fontId="2" fillId="0" borderId="57" xfId="0" applyFont="1" applyFill="1" applyBorder="1" applyAlignment="1">
      <alignment wrapText="1"/>
    </xf>
    <xf numFmtId="0" fontId="2" fillId="0" borderId="53" xfId="0" applyFont="1" applyFill="1" applyBorder="1" applyAlignment="1">
      <alignment wrapText="1"/>
    </xf>
    <xf numFmtId="0" fontId="2" fillId="0" borderId="55" xfId="0" applyFont="1" applyFill="1" applyBorder="1" applyAlignment="1">
      <alignment horizontal="right" wrapText="1"/>
    </xf>
    <xf numFmtId="0" fontId="2" fillId="0" borderId="58" xfId="0" applyFont="1" applyFill="1" applyBorder="1" applyAlignment="1">
      <alignment wrapText="1"/>
    </xf>
    <xf numFmtId="2" fontId="2" fillId="0" borderId="53" xfId="0" applyNumberFormat="1" applyFont="1" applyFill="1" applyBorder="1" applyAlignment="1">
      <alignment horizontal="right" wrapText="1"/>
    </xf>
    <xf numFmtId="0" fontId="2" fillId="0" borderId="60" xfId="0" applyFont="1" applyFill="1" applyBorder="1" applyAlignment="1"/>
    <xf numFmtId="44" fontId="2" fillId="0" borderId="31" xfId="1" applyFont="1" applyFill="1" applyBorder="1" applyAlignment="1">
      <alignment horizontal="center"/>
    </xf>
    <xf numFmtId="0" fontId="2" fillId="2" borderId="66" xfId="0" applyFont="1" applyFill="1" applyBorder="1" applyAlignment="1">
      <alignment wrapText="1"/>
    </xf>
    <xf numFmtId="3" fontId="2" fillId="2" borderId="64" xfId="0" applyNumberFormat="1" applyFont="1" applyFill="1" applyBorder="1" applyAlignment="1">
      <alignment wrapText="1"/>
    </xf>
    <xf numFmtId="3" fontId="2" fillId="2" borderId="0" xfId="0" applyNumberFormat="1" applyFont="1" applyFill="1" applyBorder="1" applyAlignment="1">
      <alignment wrapText="1"/>
    </xf>
    <xf numFmtId="2" fontId="2" fillId="2" borderId="61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right" wrapText="1"/>
    </xf>
    <xf numFmtId="166" fontId="2" fillId="2" borderId="61" xfId="0" applyNumberFormat="1" applyFont="1" applyFill="1" applyBorder="1" applyAlignment="1">
      <alignment horizontal="right" wrapText="1"/>
    </xf>
    <xf numFmtId="164" fontId="2" fillId="2" borderId="45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2" fontId="2" fillId="2" borderId="47" xfId="0" applyNumberFormat="1" applyFont="1" applyFill="1" applyBorder="1" applyAlignment="1"/>
    <xf numFmtId="44" fontId="2" fillId="2" borderId="65" xfId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right" wrapText="1"/>
    </xf>
    <xf numFmtId="0" fontId="2" fillId="0" borderId="27" xfId="0" applyFont="1" applyFill="1" applyBorder="1" applyAlignment="1"/>
    <xf numFmtId="0" fontId="2" fillId="0" borderId="19" xfId="0" applyFont="1" applyFill="1" applyBorder="1" applyAlignment="1"/>
    <xf numFmtId="0" fontId="2" fillId="0" borderId="21" xfId="0" applyFont="1" applyFill="1" applyBorder="1" applyAlignment="1"/>
    <xf numFmtId="0" fontId="2" fillId="0" borderId="0" xfId="0" applyFont="1" applyFill="1" applyAlignment="1"/>
    <xf numFmtId="44" fontId="2" fillId="0" borderId="13" xfId="0" applyNumberFormat="1" applyFont="1" applyFill="1" applyBorder="1" applyAlignment="1"/>
    <xf numFmtId="44" fontId="2" fillId="0" borderId="13" xfId="3" applyNumberFormat="1" applyFont="1" applyFill="1" applyBorder="1" applyAlignment="1"/>
    <xf numFmtId="44" fontId="2" fillId="0" borderId="1" xfId="0" applyNumberFormat="1" applyFont="1" applyFill="1" applyBorder="1" applyAlignment="1"/>
    <xf numFmtId="44" fontId="2" fillId="0" borderId="1" xfId="3" applyNumberFormat="1" applyFont="1" applyFill="1" applyBorder="1" applyAlignment="1"/>
    <xf numFmtId="44" fontId="2" fillId="0" borderId="51" xfId="0" applyNumberFormat="1" applyFont="1" applyFill="1" applyBorder="1" applyAlignment="1"/>
    <xf numFmtId="44" fontId="2" fillId="0" borderId="51" xfId="3" applyNumberFormat="1" applyFont="1" applyFill="1" applyBorder="1" applyAlignment="1"/>
    <xf numFmtId="44" fontId="4" fillId="2" borderId="39" xfId="0" applyNumberFormat="1" applyFont="1" applyFill="1" applyBorder="1" applyAlignment="1"/>
    <xf numFmtId="44" fontId="4" fillId="2" borderId="39" xfId="3" applyNumberFormat="1" applyFont="1" applyFill="1" applyBorder="1" applyAlignment="1"/>
    <xf numFmtId="44" fontId="4" fillId="0" borderId="25" xfId="0" applyNumberFormat="1" applyFont="1" applyFill="1" applyBorder="1" applyAlignment="1">
      <alignment wrapText="1"/>
    </xf>
    <xf numFmtId="44" fontId="4" fillId="0" borderId="13" xfId="0" applyNumberFormat="1" applyFont="1" applyFill="1" applyBorder="1" applyAlignment="1"/>
    <xf numFmtId="44" fontId="4" fillId="0" borderId="13" xfId="3" applyNumberFormat="1" applyFont="1" applyFill="1" applyBorder="1" applyAlignment="1"/>
    <xf numFmtId="44" fontId="2" fillId="2" borderId="39" xfId="0" applyNumberFormat="1" applyFont="1" applyFill="1" applyBorder="1" applyAlignment="1"/>
    <xf numFmtId="44" fontId="2" fillId="2" borderId="39" xfId="3" applyNumberFormat="1" applyFont="1" applyFill="1" applyBorder="1" applyAlignment="1"/>
    <xf numFmtId="44" fontId="2" fillId="0" borderId="53" xfId="0" applyNumberFormat="1" applyFont="1" applyFill="1" applyBorder="1" applyAlignment="1"/>
    <xf numFmtId="44" fontId="2" fillId="0" borderId="53" xfId="3" applyNumberFormat="1" applyFont="1" applyFill="1" applyBorder="1" applyAlignment="1"/>
    <xf numFmtId="44" fontId="2" fillId="2" borderId="2" xfId="0" applyNumberFormat="1" applyFont="1" applyFill="1" applyBorder="1" applyAlignment="1"/>
    <xf numFmtId="44" fontId="2" fillId="2" borderId="63" xfId="0" applyNumberFormat="1" applyFont="1" applyFill="1" applyBorder="1" applyAlignment="1"/>
    <xf numFmtId="44" fontId="2" fillId="2" borderId="63" xfId="3" applyNumberFormat="1" applyFont="1" applyFill="1" applyBorder="1" applyAlignment="1"/>
    <xf numFmtId="0" fontId="2" fillId="0" borderId="33" xfId="0" applyFont="1" applyFill="1" applyBorder="1" applyAlignment="1"/>
    <xf numFmtId="4" fontId="3" fillId="0" borderId="0" xfId="0" applyNumberFormat="1" applyFont="1" applyFill="1" applyAlignment="1"/>
    <xf numFmtId="165" fontId="4" fillId="0" borderId="37" xfId="0" applyNumberFormat="1" applyFont="1" applyFill="1" applyBorder="1" applyAlignment="1">
      <alignment wrapText="1"/>
    </xf>
    <xf numFmtId="165" fontId="4" fillId="0" borderId="33" xfId="0" applyNumberFormat="1" applyFont="1" applyFill="1" applyBorder="1" applyAlignment="1">
      <alignment wrapText="1"/>
    </xf>
    <xf numFmtId="165" fontId="2" fillId="2" borderId="62" xfId="0" applyNumberFormat="1" applyFont="1" applyFill="1" applyBorder="1" applyAlignment="1">
      <alignment horizontal="right" wrapText="1"/>
    </xf>
    <xf numFmtId="4" fontId="4" fillId="0" borderId="34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119C-9B54-4EED-A0D8-AD7EBD60F1BF}">
  <sheetPr>
    <pageSetUpPr fitToPage="1"/>
  </sheetPr>
  <dimension ref="A1:V6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" sqref="H8"/>
    </sheetView>
  </sheetViews>
  <sheetFormatPr defaultColWidth="9.140625" defaultRowHeight="15" x14ac:dyDescent="0.25"/>
  <cols>
    <col min="1" max="1" width="15.85546875" style="33" customWidth="1"/>
    <col min="2" max="2" width="26" style="119" customWidth="1"/>
    <col min="3" max="3" width="42.140625" style="119" customWidth="1"/>
    <col min="4" max="4" width="9.42578125" style="33" bestFit="1" customWidth="1"/>
    <col min="5" max="5" width="11.85546875" style="33" customWidth="1"/>
    <col min="6" max="6" width="12.42578125" style="33" customWidth="1"/>
    <col min="7" max="7" width="10.5703125" style="33" customWidth="1"/>
    <col min="8" max="8" width="10.85546875" style="33" customWidth="1"/>
    <col min="9" max="9" width="14.140625" style="33" customWidth="1"/>
    <col min="10" max="10" width="12.28515625" style="33" customWidth="1"/>
    <col min="11" max="11" width="12.140625" style="33" customWidth="1"/>
    <col min="12" max="12" width="11.42578125" style="33" customWidth="1"/>
    <col min="13" max="13" width="10.85546875" style="33" customWidth="1"/>
    <col min="14" max="14" width="13.140625" style="33" customWidth="1"/>
    <col min="15" max="15" width="11.42578125" style="33" customWidth="1"/>
    <col min="16" max="16" width="15.140625" style="33" customWidth="1"/>
    <col min="17" max="17" width="10.42578125" style="33" customWidth="1"/>
    <col min="18" max="18" width="12.7109375" style="33" customWidth="1"/>
    <col min="19" max="19" width="12.28515625" style="33" bestFit="1" customWidth="1"/>
    <col min="20" max="20" width="19.42578125" style="33" customWidth="1"/>
    <col min="21" max="21" width="9.140625" style="33"/>
    <col min="22" max="22" width="23" style="33" customWidth="1"/>
    <col min="23" max="16384" width="9.140625" style="33"/>
  </cols>
  <sheetData>
    <row r="1" spans="1:20" x14ac:dyDescent="0.25">
      <c r="A1" s="34"/>
      <c r="B1" s="202"/>
      <c r="C1" s="202"/>
      <c r="D1" s="203"/>
      <c r="E1" s="35"/>
      <c r="F1" s="211" t="s">
        <v>2</v>
      </c>
      <c r="G1" s="212"/>
      <c r="H1" s="212"/>
      <c r="I1" s="212"/>
      <c r="J1" s="213"/>
      <c r="K1" s="214" t="s">
        <v>3</v>
      </c>
      <c r="L1" s="212"/>
      <c r="M1" s="212"/>
      <c r="N1" s="212"/>
      <c r="O1" s="215"/>
      <c r="P1" s="36"/>
      <c r="Q1" s="174"/>
      <c r="R1" s="175"/>
      <c r="S1" s="176"/>
      <c r="T1" s="176"/>
    </row>
    <row r="2" spans="1:20" ht="65.25" thickBot="1" x14ac:dyDescent="0.3">
      <c r="A2" s="37" t="s">
        <v>12</v>
      </c>
      <c r="B2" s="38" t="s">
        <v>4</v>
      </c>
      <c r="C2" s="38" t="s">
        <v>19</v>
      </c>
      <c r="D2" s="39" t="s">
        <v>1</v>
      </c>
      <c r="E2" s="40" t="s">
        <v>5</v>
      </c>
      <c r="F2" s="41" t="s">
        <v>6</v>
      </c>
      <c r="G2" s="38" t="s">
        <v>7</v>
      </c>
      <c r="H2" s="38" t="s">
        <v>8</v>
      </c>
      <c r="I2" s="38" t="s">
        <v>9</v>
      </c>
      <c r="J2" s="42" t="s">
        <v>10</v>
      </c>
      <c r="K2" s="43" t="s">
        <v>11</v>
      </c>
      <c r="L2" s="38" t="s">
        <v>7</v>
      </c>
      <c r="M2" s="38" t="s">
        <v>8</v>
      </c>
      <c r="N2" s="38" t="s">
        <v>9</v>
      </c>
      <c r="O2" s="44" t="s">
        <v>10</v>
      </c>
      <c r="P2" s="45" t="s">
        <v>15</v>
      </c>
      <c r="Q2" s="46" t="s">
        <v>16</v>
      </c>
      <c r="R2" s="118" t="s">
        <v>17</v>
      </c>
      <c r="S2" s="118" t="s">
        <v>76</v>
      </c>
      <c r="T2" s="122" t="s">
        <v>71</v>
      </c>
    </row>
    <row r="3" spans="1:20" ht="129" hidden="1" thickBot="1" x14ac:dyDescent="0.3">
      <c r="A3" s="47" t="s">
        <v>20</v>
      </c>
      <c r="B3" s="48" t="s">
        <v>21</v>
      </c>
      <c r="C3" s="48" t="s">
        <v>22</v>
      </c>
      <c r="D3" s="49" t="s">
        <v>23</v>
      </c>
      <c r="E3" s="50" t="s">
        <v>24</v>
      </c>
      <c r="F3" s="51" t="s">
        <v>25</v>
      </c>
      <c r="G3" s="52" t="s">
        <v>26</v>
      </c>
      <c r="H3" s="52" t="s">
        <v>27</v>
      </c>
      <c r="I3" s="52" t="s">
        <v>28</v>
      </c>
      <c r="J3" s="53" t="s">
        <v>29</v>
      </c>
      <c r="K3" s="54" t="s">
        <v>30</v>
      </c>
      <c r="L3" s="48" t="s">
        <v>31</v>
      </c>
      <c r="M3" s="48" t="s">
        <v>32</v>
      </c>
      <c r="N3" s="48" t="s">
        <v>33</v>
      </c>
      <c r="O3" s="55" t="s">
        <v>34</v>
      </c>
      <c r="P3" s="56" t="s">
        <v>35</v>
      </c>
      <c r="Q3" s="57" t="s">
        <v>36</v>
      </c>
      <c r="R3" s="58" t="s">
        <v>37</v>
      </c>
      <c r="S3" s="177"/>
      <c r="T3" s="177"/>
    </row>
    <row r="4" spans="1:20" ht="26.25" x14ac:dyDescent="0.25">
      <c r="A4" s="216" t="s">
        <v>62</v>
      </c>
      <c r="B4" s="28" t="s">
        <v>54</v>
      </c>
      <c r="C4" s="28" t="s">
        <v>120</v>
      </c>
      <c r="D4" s="30" t="s">
        <v>77</v>
      </c>
      <c r="E4" s="6">
        <f>1200-300</f>
        <v>900</v>
      </c>
      <c r="F4" s="59">
        <f t="shared" ref="F4:F23" si="0">E4*0.8</f>
        <v>720</v>
      </c>
      <c r="G4" s="60">
        <v>8</v>
      </c>
      <c r="H4" s="61">
        <f t="shared" ref="H4:H37" si="1">F4*G4</f>
        <v>5760</v>
      </c>
      <c r="I4" s="62">
        <v>1.67E-2</v>
      </c>
      <c r="J4" s="63">
        <f t="shared" ref="J4:J37" si="2">H4*I4</f>
        <v>96.191999999999993</v>
      </c>
      <c r="K4" s="3">
        <f t="shared" ref="K4:K37" si="3">+E4-F4</f>
        <v>180</v>
      </c>
      <c r="L4" s="7">
        <v>8</v>
      </c>
      <c r="M4" s="1">
        <f t="shared" ref="M4:M25" si="4">K4*L4</f>
        <v>1440</v>
      </c>
      <c r="N4" s="31">
        <v>1.67E-2</v>
      </c>
      <c r="O4" s="4">
        <f t="shared" ref="O4:O37" si="5">M4*N4</f>
        <v>24.047999999999998</v>
      </c>
      <c r="P4" s="5">
        <f t="shared" ref="P4:P38" si="6">J4+O4</f>
        <v>120.24</v>
      </c>
      <c r="Q4" s="32">
        <v>7.25</v>
      </c>
      <c r="R4" s="101">
        <f t="shared" ref="R4:R25" si="7">+P4*Q4</f>
        <v>871.74</v>
      </c>
      <c r="S4" s="178">
        <f>R4*0.33</f>
        <v>287.67420000000004</v>
      </c>
      <c r="T4" s="179">
        <f>R4+S4</f>
        <v>1159.4142000000002</v>
      </c>
    </row>
    <row r="5" spans="1:20" ht="26.25" x14ac:dyDescent="0.25">
      <c r="A5" s="217"/>
      <c r="B5" s="64" t="s">
        <v>55</v>
      </c>
      <c r="C5" s="64" t="s">
        <v>100</v>
      </c>
      <c r="D5" s="30" t="s">
        <v>77</v>
      </c>
      <c r="E5" s="6">
        <f>(9000*(1/5))</f>
        <v>1800</v>
      </c>
      <c r="F5" s="26">
        <f>E5*0.8</f>
        <v>1440</v>
      </c>
      <c r="G5" s="7">
        <v>3</v>
      </c>
      <c r="H5" s="1">
        <f t="shared" si="1"/>
        <v>4320</v>
      </c>
      <c r="I5" s="31">
        <v>1.67E-2</v>
      </c>
      <c r="J5" s="2">
        <f t="shared" si="2"/>
        <v>72.143999999999991</v>
      </c>
      <c r="K5" s="3">
        <f t="shared" si="3"/>
        <v>360</v>
      </c>
      <c r="L5" s="7">
        <v>3</v>
      </c>
      <c r="M5" s="1">
        <f>K5*L5</f>
        <v>1080</v>
      </c>
      <c r="N5" s="31">
        <v>1.67E-2</v>
      </c>
      <c r="O5" s="4">
        <f t="shared" si="5"/>
        <v>18.035999999999998</v>
      </c>
      <c r="P5" s="5">
        <f t="shared" si="6"/>
        <v>90.179999999999993</v>
      </c>
      <c r="Q5" s="32">
        <v>13.65</v>
      </c>
      <c r="R5" s="101">
        <f>+P5*Q5</f>
        <v>1230.9569999999999</v>
      </c>
      <c r="S5" s="180">
        <f t="shared" ref="S5:S51" si="8">R5*0.33</f>
        <v>406.21580999999998</v>
      </c>
      <c r="T5" s="181">
        <f t="shared" ref="T5:T27" si="9">R5+S5</f>
        <v>1637.1728099999998</v>
      </c>
    </row>
    <row r="6" spans="1:20" ht="31.5" customHeight="1" x14ac:dyDescent="0.25">
      <c r="A6" s="217"/>
      <c r="B6" s="64" t="s">
        <v>55</v>
      </c>
      <c r="C6" s="64" t="s">
        <v>96</v>
      </c>
      <c r="D6" s="30" t="s">
        <v>77</v>
      </c>
      <c r="E6" s="6">
        <f>9000*(1/5)</f>
        <v>1800</v>
      </c>
      <c r="F6" s="26">
        <f t="shared" si="0"/>
        <v>1440</v>
      </c>
      <c r="G6" s="7">
        <v>2</v>
      </c>
      <c r="H6" s="1">
        <f t="shared" si="1"/>
        <v>2880</v>
      </c>
      <c r="I6" s="31">
        <v>1.67E-2</v>
      </c>
      <c r="J6" s="2">
        <f t="shared" si="2"/>
        <v>48.095999999999997</v>
      </c>
      <c r="K6" s="3">
        <f t="shared" si="3"/>
        <v>360</v>
      </c>
      <c r="L6" s="7">
        <v>2</v>
      </c>
      <c r="M6" s="1">
        <f t="shared" ref="M6:M23" si="10">K6*L6</f>
        <v>720</v>
      </c>
      <c r="N6" s="31">
        <v>1.67E-2</v>
      </c>
      <c r="O6" s="4">
        <f t="shared" si="5"/>
        <v>12.023999999999999</v>
      </c>
      <c r="P6" s="5">
        <f t="shared" si="6"/>
        <v>60.12</v>
      </c>
      <c r="Q6" s="32">
        <v>13.65</v>
      </c>
      <c r="R6" s="101">
        <f t="shared" ref="R6:R23" si="11">+P6*Q6</f>
        <v>820.63800000000003</v>
      </c>
      <c r="S6" s="180">
        <f t="shared" si="8"/>
        <v>270.81054</v>
      </c>
      <c r="T6" s="181">
        <f t="shared" si="9"/>
        <v>1091.4485400000001</v>
      </c>
    </row>
    <row r="7" spans="1:20" ht="26.25" x14ac:dyDescent="0.25">
      <c r="A7" s="217"/>
      <c r="B7" s="64" t="s">
        <v>55</v>
      </c>
      <c r="C7" s="64" t="s">
        <v>65</v>
      </c>
      <c r="D7" s="30" t="s">
        <v>77</v>
      </c>
      <c r="E7" s="6">
        <f>9000*(2/5)</f>
        <v>3600</v>
      </c>
      <c r="F7" s="26">
        <f t="shared" si="0"/>
        <v>2880</v>
      </c>
      <c r="G7" s="7">
        <v>4</v>
      </c>
      <c r="H7" s="1">
        <f t="shared" si="1"/>
        <v>11520</v>
      </c>
      <c r="I7" s="31">
        <v>1.67E-2</v>
      </c>
      <c r="J7" s="2">
        <f t="shared" si="2"/>
        <v>192.38399999999999</v>
      </c>
      <c r="K7" s="3">
        <f t="shared" si="3"/>
        <v>720</v>
      </c>
      <c r="L7" s="7">
        <v>4</v>
      </c>
      <c r="M7" s="1">
        <f t="shared" si="10"/>
        <v>2880</v>
      </c>
      <c r="N7" s="31">
        <v>1.67E-2</v>
      </c>
      <c r="O7" s="4">
        <f t="shared" si="5"/>
        <v>48.095999999999997</v>
      </c>
      <c r="P7" s="5">
        <f t="shared" si="6"/>
        <v>240.48</v>
      </c>
      <c r="Q7" s="32">
        <v>13.65</v>
      </c>
      <c r="R7" s="101">
        <f t="shared" si="11"/>
        <v>3282.5520000000001</v>
      </c>
      <c r="S7" s="180">
        <f t="shared" si="8"/>
        <v>1083.24216</v>
      </c>
      <c r="T7" s="181">
        <f t="shared" si="9"/>
        <v>4365.7941600000004</v>
      </c>
    </row>
    <row r="8" spans="1:20" ht="26.25" x14ac:dyDescent="0.25">
      <c r="A8" s="217"/>
      <c r="B8" s="64" t="s">
        <v>55</v>
      </c>
      <c r="C8" s="64" t="s">
        <v>65</v>
      </c>
      <c r="D8" s="30" t="s">
        <v>77</v>
      </c>
      <c r="E8" s="6">
        <f>ROUND(2500*(1/3),0)</f>
        <v>833</v>
      </c>
      <c r="F8" s="26">
        <f>ROUND(E8*0.8,0)</f>
        <v>666</v>
      </c>
      <c r="G8" s="7">
        <v>4</v>
      </c>
      <c r="H8" s="1">
        <f t="shared" si="1"/>
        <v>2664</v>
      </c>
      <c r="I8" s="31">
        <v>1.67E-2</v>
      </c>
      <c r="J8" s="2">
        <f t="shared" si="2"/>
        <v>44.488799999999998</v>
      </c>
      <c r="K8" s="3">
        <f>ROUND(E8-F8,0)</f>
        <v>167</v>
      </c>
      <c r="L8" s="7">
        <v>4</v>
      </c>
      <c r="M8" s="1">
        <f t="shared" si="10"/>
        <v>668</v>
      </c>
      <c r="N8" s="31">
        <v>1.67E-2</v>
      </c>
      <c r="O8" s="4">
        <f t="shared" si="5"/>
        <v>11.1556</v>
      </c>
      <c r="P8" s="5">
        <f t="shared" si="6"/>
        <v>55.644399999999997</v>
      </c>
      <c r="Q8" s="32">
        <v>13.65</v>
      </c>
      <c r="R8" s="101">
        <f t="shared" si="11"/>
        <v>759.54606000000001</v>
      </c>
      <c r="S8" s="180">
        <f t="shared" si="8"/>
        <v>250.65019980000002</v>
      </c>
      <c r="T8" s="181">
        <f t="shared" si="9"/>
        <v>1010.1962598</v>
      </c>
    </row>
    <row r="9" spans="1:20" ht="26.25" x14ac:dyDescent="0.25">
      <c r="A9" s="217"/>
      <c r="B9" s="64" t="s">
        <v>55</v>
      </c>
      <c r="C9" s="64" t="s">
        <v>101</v>
      </c>
      <c r="D9" s="30" t="s">
        <v>77</v>
      </c>
      <c r="E9" s="6">
        <f>ROUND(2500*(1/3),0)</f>
        <v>833</v>
      </c>
      <c r="F9" s="26">
        <f>ROUND(E9*0.8,0)</f>
        <v>666</v>
      </c>
      <c r="G9" s="7">
        <v>2</v>
      </c>
      <c r="H9" s="1">
        <f t="shared" si="1"/>
        <v>1332</v>
      </c>
      <c r="I9" s="31">
        <v>1.67E-2</v>
      </c>
      <c r="J9" s="2">
        <f t="shared" si="2"/>
        <v>22.244399999999999</v>
      </c>
      <c r="K9" s="3">
        <f>ROUND(E9-F9,0)</f>
        <v>167</v>
      </c>
      <c r="L9" s="7">
        <v>2</v>
      </c>
      <c r="M9" s="1">
        <f t="shared" si="10"/>
        <v>334</v>
      </c>
      <c r="N9" s="31">
        <v>1.67E-2</v>
      </c>
      <c r="O9" s="4">
        <f t="shared" si="5"/>
        <v>5.5777999999999999</v>
      </c>
      <c r="P9" s="5">
        <f t="shared" si="6"/>
        <v>27.822199999999999</v>
      </c>
      <c r="Q9" s="32">
        <v>13.65</v>
      </c>
      <c r="R9" s="101">
        <f t="shared" si="11"/>
        <v>379.77303000000001</v>
      </c>
      <c r="S9" s="180">
        <f t="shared" si="8"/>
        <v>125.32509990000001</v>
      </c>
      <c r="T9" s="181">
        <f t="shared" si="9"/>
        <v>505.0981299</v>
      </c>
    </row>
    <row r="10" spans="1:20" ht="26.25" x14ac:dyDescent="0.25">
      <c r="A10" s="217"/>
      <c r="B10" s="65" t="s">
        <v>56</v>
      </c>
      <c r="C10" s="65" t="s">
        <v>80</v>
      </c>
      <c r="D10" s="30" t="s">
        <v>77</v>
      </c>
      <c r="E10" s="6">
        <f>450*(0.5)</f>
        <v>225</v>
      </c>
      <c r="F10" s="26">
        <f t="shared" ref="F10:F12" si="12">E10*0.8</f>
        <v>180</v>
      </c>
      <c r="G10" s="7">
        <v>1</v>
      </c>
      <c r="H10" s="1">
        <f t="shared" ref="H10:H12" si="13">F10*G10</f>
        <v>180</v>
      </c>
      <c r="I10" s="31">
        <v>1.67E-2</v>
      </c>
      <c r="J10" s="2">
        <f t="shared" si="2"/>
        <v>3.0059999999999998</v>
      </c>
      <c r="K10" s="3">
        <f t="shared" si="3"/>
        <v>45</v>
      </c>
      <c r="L10" s="7">
        <v>1</v>
      </c>
      <c r="M10" s="1">
        <f t="shared" ref="M10:M12" si="14">K10*L10</f>
        <v>45</v>
      </c>
      <c r="N10" s="31">
        <v>1.67E-2</v>
      </c>
      <c r="O10" s="4">
        <f t="shared" si="5"/>
        <v>0.75149999999999995</v>
      </c>
      <c r="P10" s="5">
        <f t="shared" si="6"/>
        <v>3.7574999999999998</v>
      </c>
      <c r="Q10" s="32">
        <v>14</v>
      </c>
      <c r="R10" s="101">
        <f t="shared" ref="R10:R12" si="15">+P10*Q10</f>
        <v>52.604999999999997</v>
      </c>
      <c r="S10" s="180">
        <f t="shared" ref="S10:S12" si="16">R10*0.33</f>
        <v>17.359649999999998</v>
      </c>
      <c r="T10" s="181">
        <f t="shared" ref="T10:T12" si="17">R10+S10</f>
        <v>69.964649999999992</v>
      </c>
    </row>
    <row r="11" spans="1:20" ht="26.25" x14ac:dyDescent="0.25">
      <c r="A11" s="217"/>
      <c r="B11" s="65" t="s">
        <v>56</v>
      </c>
      <c r="C11" s="65" t="s">
        <v>119</v>
      </c>
      <c r="D11" s="30" t="s">
        <v>125</v>
      </c>
      <c r="E11" s="6">
        <f>450*(0.5)</f>
        <v>225</v>
      </c>
      <c r="F11" s="26">
        <f t="shared" ref="F11" si="18">E11*0.8</f>
        <v>180</v>
      </c>
      <c r="G11" s="7">
        <v>1</v>
      </c>
      <c r="H11" s="1">
        <f t="shared" si="13"/>
        <v>180</v>
      </c>
      <c r="I11" s="31">
        <v>8.3299999999999999E-2</v>
      </c>
      <c r="J11" s="2">
        <f t="shared" si="2"/>
        <v>14.994</v>
      </c>
      <c r="K11" s="3">
        <f t="shared" si="3"/>
        <v>45</v>
      </c>
      <c r="L11" s="7">
        <v>1</v>
      </c>
      <c r="M11" s="1">
        <f t="shared" si="14"/>
        <v>45</v>
      </c>
      <c r="N11" s="31">
        <v>8.3299999999999999E-2</v>
      </c>
      <c r="O11" s="4">
        <f t="shared" si="5"/>
        <v>3.7484999999999999</v>
      </c>
      <c r="P11" s="5">
        <f t="shared" si="6"/>
        <v>18.7425</v>
      </c>
      <c r="Q11" s="32">
        <v>14</v>
      </c>
      <c r="R11" s="101">
        <f t="shared" ref="R11" si="19">+P11*Q11</f>
        <v>262.39499999999998</v>
      </c>
      <c r="S11" s="180">
        <f t="shared" ref="S11" si="20">R11*0.33</f>
        <v>86.590350000000001</v>
      </c>
      <c r="T11" s="181">
        <f t="shared" ref="T11" si="21">R11+S11</f>
        <v>348.98534999999998</v>
      </c>
    </row>
    <row r="12" spans="1:20" ht="26.25" x14ac:dyDescent="0.25">
      <c r="A12" s="217"/>
      <c r="B12" s="65" t="s">
        <v>56</v>
      </c>
      <c r="C12" s="65" t="s">
        <v>78</v>
      </c>
      <c r="D12" s="30" t="s">
        <v>79</v>
      </c>
      <c r="E12" s="6">
        <f>450*(0.5)</f>
        <v>225</v>
      </c>
      <c r="F12" s="26">
        <f t="shared" si="12"/>
        <v>180</v>
      </c>
      <c r="G12" s="7">
        <v>1</v>
      </c>
      <c r="H12" s="1">
        <f t="shared" si="13"/>
        <v>180</v>
      </c>
      <c r="I12" s="8">
        <v>0.5</v>
      </c>
      <c r="J12" s="2">
        <f t="shared" si="2"/>
        <v>90</v>
      </c>
      <c r="K12" s="3">
        <f t="shared" si="3"/>
        <v>45</v>
      </c>
      <c r="L12" s="7">
        <v>1</v>
      </c>
      <c r="M12" s="1">
        <f t="shared" si="14"/>
        <v>45</v>
      </c>
      <c r="N12" s="31">
        <v>3.3399999999999999E-2</v>
      </c>
      <c r="O12" s="4">
        <f t="shared" si="5"/>
        <v>1.5029999999999999</v>
      </c>
      <c r="P12" s="5">
        <f t="shared" si="6"/>
        <v>91.503</v>
      </c>
      <c r="Q12" s="32">
        <v>14</v>
      </c>
      <c r="R12" s="101">
        <f t="shared" si="15"/>
        <v>1281.0419999999999</v>
      </c>
      <c r="S12" s="180">
        <f t="shared" si="16"/>
        <v>422.74385999999998</v>
      </c>
      <c r="T12" s="181">
        <f t="shared" si="17"/>
        <v>1703.78586</v>
      </c>
    </row>
    <row r="13" spans="1:20" ht="26.25" x14ac:dyDescent="0.25">
      <c r="A13" s="217"/>
      <c r="B13" s="66" t="s">
        <v>57</v>
      </c>
      <c r="C13" s="66" t="s">
        <v>95</v>
      </c>
      <c r="D13" s="30" t="s">
        <v>77</v>
      </c>
      <c r="E13" s="6">
        <v>300</v>
      </c>
      <c r="F13" s="26">
        <f t="shared" si="0"/>
        <v>240</v>
      </c>
      <c r="G13" s="7">
        <v>5</v>
      </c>
      <c r="H13" s="1">
        <f t="shared" si="1"/>
        <v>1200</v>
      </c>
      <c r="I13" s="31">
        <v>1.67E-2</v>
      </c>
      <c r="J13" s="2">
        <f t="shared" si="2"/>
        <v>20.04</v>
      </c>
      <c r="K13" s="3">
        <f t="shared" si="3"/>
        <v>60</v>
      </c>
      <c r="L13" s="7">
        <v>5</v>
      </c>
      <c r="M13" s="1">
        <f>K13*L13</f>
        <v>300</v>
      </c>
      <c r="N13" s="31">
        <v>1.67E-2</v>
      </c>
      <c r="O13" s="4">
        <f t="shared" si="5"/>
        <v>5.01</v>
      </c>
      <c r="P13" s="5">
        <f t="shared" si="6"/>
        <v>25.049999999999997</v>
      </c>
      <c r="Q13" s="32">
        <v>16.5</v>
      </c>
      <c r="R13" s="101">
        <f t="shared" si="11"/>
        <v>413.32499999999993</v>
      </c>
      <c r="S13" s="180">
        <f t="shared" si="8"/>
        <v>136.39724999999999</v>
      </c>
      <c r="T13" s="181">
        <f t="shared" si="9"/>
        <v>549.72224999999992</v>
      </c>
    </row>
    <row r="14" spans="1:20" ht="26.25" x14ac:dyDescent="0.25">
      <c r="A14" s="217"/>
      <c r="B14" s="66" t="s">
        <v>57</v>
      </c>
      <c r="C14" s="66" t="s">
        <v>81</v>
      </c>
      <c r="D14" s="30" t="s">
        <v>79</v>
      </c>
      <c r="E14" s="6">
        <v>300</v>
      </c>
      <c r="F14" s="26">
        <f t="shared" ref="F14" si="22">E14*0.8</f>
        <v>240</v>
      </c>
      <c r="G14" s="7">
        <v>1</v>
      </c>
      <c r="H14" s="1">
        <f t="shared" ref="H14" si="23">F14*G14</f>
        <v>240</v>
      </c>
      <c r="I14" s="8">
        <v>0.5</v>
      </c>
      <c r="J14" s="2">
        <f t="shared" si="2"/>
        <v>120</v>
      </c>
      <c r="K14" s="3">
        <f t="shared" si="3"/>
        <v>60</v>
      </c>
      <c r="L14" s="7">
        <v>1</v>
      </c>
      <c r="M14" s="1">
        <f t="shared" ref="M14" si="24">K14*L14</f>
        <v>60</v>
      </c>
      <c r="N14" s="31">
        <v>3.3399999999999999E-2</v>
      </c>
      <c r="O14" s="4">
        <f t="shared" si="5"/>
        <v>2.004</v>
      </c>
      <c r="P14" s="5">
        <f t="shared" si="6"/>
        <v>122.004</v>
      </c>
      <c r="Q14" s="32">
        <v>16.5</v>
      </c>
      <c r="R14" s="101">
        <f t="shared" ref="R14" si="25">+P14*Q14</f>
        <v>2013.066</v>
      </c>
      <c r="S14" s="180">
        <f t="shared" ref="S14" si="26">R14*0.33</f>
        <v>664.31178</v>
      </c>
      <c r="T14" s="181">
        <f t="shared" ref="T14" si="27">R14+S14</f>
        <v>2677.3777799999998</v>
      </c>
    </row>
    <row r="15" spans="1:20" ht="26.25" x14ac:dyDescent="0.25">
      <c r="A15" s="217"/>
      <c r="B15" s="68" t="s">
        <v>58</v>
      </c>
      <c r="C15" s="68" t="s">
        <v>98</v>
      </c>
      <c r="D15" s="30" t="s">
        <v>77</v>
      </c>
      <c r="E15" s="6">
        <v>5000</v>
      </c>
      <c r="F15" s="26">
        <f t="shared" si="0"/>
        <v>4000</v>
      </c>
      <c r="G15" s="7">
        <v>2</v>
      </c>
      <c r="H15" s="1">
        <f t="shared" si="1"/>
        <v>8000</v>
      </c>
      <c r="I15" s="31">
        <v>1.67E-2</v>
      </c>
      <c r="J15" s="2">
        <f t="shared" si="2"/>
        <v>133.6</v>
      </c>
      <c r="K15" s="3">
        <f t="shared" si="3"/>
        <v>1000</v>
      </c>
      <c r="L15" s="7">
        <v>2</v>
      </c>
      <c r="M15" s="1">
        <f t="shared" si="10"/>
        <v>2000</v>
      </c>
      <c r="N15" s="31">
        <v>1.67E-2</v>
      </c>
      <c r="O15" s="4">
        <f t="shared" si="5"/>
        <v>33.4</v>
      </c>
      <c r="P15" s="5">
        <f t="shared" si="6"/>
        <v>167</v>
      </c>
      <c r="Q15" s="32">
        <v>13</v>
      </c>
      <c r="R15" s="101">
        <f t="shared" si="11"/>
        <v>2171</v>
      </c>
      <c r="S15" s="180">
        <f t="shared" si="8"/>
        <v>716.43000000000006</v>
      </c>
      <c r="T15" s="181">
        <f t="shared" si="9"/>
        <v>2887.4300000000003</v>
      </c>
    </row>
    <row r="16" spans="1:20" ht="26.25" x14ac:dyDescent="0.25">
      <c r="A16" s="217"/>
      <c r="B16" s="68" t="s">
        <v>58</v>
      </c>
      <c r="C16" s="68" t="s">
        <v>97</v>
      </c>
      <c r="D16" s="30" t="s">
        <v>79</v>
      </c>
      <c r="E16" s="6">
        <v>1000</v>
      </c>
      <c r="F16" s="26">
        <v>900</v>
      </c>
      <c r="G16" s="7">
        <v>1</v>
      </c>
      <c r="H16" s="1">
        <f t="shared" si="1"/>
        <v>900</v>
      </c>
      <c r="I16" s="8">
        <v>0.5</v>
      </c>
      <c r="J16" s="2">
        <f t="shared" si="2"/>
        <v>450</v>
      </c>
      <c r="K16" s="3">
        <f t="shared" si="3"/>
        <v>100</v>
      </c>
      <c r="L16" s="7">
        <v>1</v>
      </c>
      <c r="M16" s="1">
        <f t="shared" si="10"/>
        <v>100</v>
      </c>
      <c r="N16" s="31">
        <v>3.3399999999999999E-2</v>
      </c>
      <c r="O16" s="4">
        <f t="shared" si="5"/>
        <v>3.34</v>
      </c>
      <c r="P16" s="5">
        <f t="shared" si="6"/>
        <v>453.34</v>
      </c>
      <c r="Q16" s="32">
        <v>13</v>
      </c>
      <c r="R16" s="101">
        <f>+P16*Q16</f>
        <v>5893.42</v>
      </c>
      <c r="S16" s="180">
        <f t="shared" ref="S16" si="28">R16*0.33</f>
        <v>1944.8286000000001</v>
      </c>
      <c r="T16" s="181">
        <f t="shared" ref="T16" si="29">R16+S16</f>
        <v>7838.2485999999999</v>
      </c>
    </row>
    <row r="17" spans="1:20" ht="39" x14ac:dyDescent="0.25">
      <c r="A17" s="217"/>
      <c r="B17" s="69" t="s">
        <v>59</v>
      </c>
      <c r="C17" s="69" t="s">
        <v>102</v>
      </c>
      <c r="D17" s="30" t="s">
        <v>77</v>
      </c>
      <c r="E17" s="6">
        <f>4700*(2/4)</f>
        <v>2350</v>
      </c>
      <c r="F17" s="26">
        <f t="shared" si="0"/>
        <v>1880</v>
      </c>
      <c r="G17" s="7">
        <v>3</v>
      </c>
      <c r="H17" s="1">
        <f t="shared" si="1"/>
        <v>5640</v>
      </c>
      <c r="I17" s="31">
        <v>1.67E-2</v>
      </c>
      <c r="J17" s="2">
        <f t="shared" si="2"/>
        <v>94.188000000000002</v>
      </c>
      <c r="K17" s="3">
        <f t="shared" si="3"/>
        <v>470</v>
      </c>
      <c r="L17" s="7">
        <v>3</v>
      </c>
      <c r="M17" s="1">
        <f t="shared" si="10"/>
        <v>1410</v>
      </c>
      <c r="N17" s="31">
        <v>1.67E-2</v>
      </c>
      <c r="O17" s="4">
        <f t="shared" si="5"/>
        <v>23.547000000000001</v>
      </c>
      <c r="P17" s="5">
        <f t="shared" si="6"/>
        <v>117.735</v>
      </c>
      <c r="Q17" s="32">
        <v>10.59</v>
      </c>
      <c r="R17" s="101">
        <f t="shared" si="11"/>
        <v>1246.8136500000001</v>
      </c>
      <c r="S17" s="180">
        <f t="shared" si="8"/>
        <v>411.44850450000001</v>
      </c>
      <c r="T17" s="181">
        <f t="shared" si="9"/>
        <v>1658.2621545000002</v>
      </c>
    </row>
    <row r="18" spans="1:20" ht="39" x14ac:dyDescent="0.25">
      <c r="A18" s="217"/>
      <c r="B18" s="69" t="s">
        <v>59</v>
      </c>
      <c r="C18" s="69" t="s">
        <v>103</v>
      </c>
      <c r="D18" s="30" t="s">
        <v>77</v>
      </c>
      <c r="E18" s="6">
        <f>4700*(1/4)</f>
        <v>1175</v>
      </c>
      <c r="F18" s="26">
        <f t="shared" si="0"/>
        <v>940</v>
      </c>
      <c r="G18" s="7">
        <v>2</v>
      </c>
      <c r="H18" s="1">
        <f t="shared" si="1"/>
        <v>1880</v>
      </c>
      <c r="I18" s="31">
        <v>1.67E-2</v>
      </c>
      <c r="J18" s="2">
        <f t="shared" si="2"/>
        <v>31.396000000000001</v>
      </c>
      <c r="K18" s="3">
        <f t="shared" si="3"/>
        <v>235</v>
      </c>
      <c r="L18" s="7">
        <v>2</v>
      </c>
      <c r="M18" s="1">
        <f t="shared" si="10"/>
        <v>470</v>
      </c>
      <c r="N18" s="31">
        <v>1.67E-2</v>
      </c>
      <c r="O18" s="4">
        <f t="shared" si="5"/>
        <v>7.8490000000000002</v>
      </c>
      <c r="P18" s="5">
        <f t="shared" si="6"/>
        <v>39.245000000000005</v>
      </c>
      <c r="Q18" s="32">
        <v>10.59</v>
      </c>
      <c r="R18" s="101">
        <f t="shared" si="11"/>
        <v>415.60455000000002</v>
      </c>
      <c r="S18" s="180">
        <f t="shared" si="8"/>
        <v>137.14950150000001</v>
      </c>
      <c r="T18" s="181">
        <f t="shared" si="9"/>
        <v>552.75405150000006</v>
      </c>
    </row>
    <row r="19" spans="1:20" ht="26.25" x14ac:dyDescent="0.25">
      <c r="A19" s="217"/>
      <c r="B19" s="70" t="s">
        <v>60</v>
      </c>
      <c r="C19" s="70" t="s">
        <v>104</v>
      </c>
      <c r="D19" s="30" t="s">
        <v>77</v>
      </c>
      <c r="E19" s="6">
        <f>1000*0.5</f>
        <v>500</v>
      </c>
      <c r="F19" s="26">
        <f t="shared" si="0"/>
        <v>400</v>
      </c>
      <c r="G19" s="7">
        <v>3</v>
      </c>
      <c r="H19" s="1">
        <f t="shared" si="1"/>
        <v>1200</v>
      </c>
      <c r="I19" s="31">
        <v>1.67E-2</v>
      </c>
      <c r="J19" s="2">
        <f t="shared" si="2"/>
        <v>20.04</v>
      </c>
      <c r="K19" s="3">
        <f t="shared" si="3"/>
        <v>100</v>
      </c>
      <c r="L19" s="7">
        <v>3</v>
      </c>
      <c r="M19" s="1">
        <f t="shared" si="10"/>
        <v>300</v>
      </c>
      <c r="N19" s="31">
        <v>1.67E-2</v>
      </c>
      <c r="O19" s="4">
        <f t="shared" si="5"/>
        <v>5.01</v>
      </c>
      <c r="P19" s="5">
        <f t="shared" si="6"/>
        <v>25.049999999999997</v>
      </c>
      <c r="Q19" s="32">
        <v>10.59</v>
      </c>
      <c r="R19" s="101">
        <f t="shared" si="11"/>
        <v>265.27949999999998</v>
      </c>
      <c r="S19" s="180">
        <f t="shared" si="8"/>
        <v>87.542235000000005</v>
      </c>
      <c r="T19" s="181">
        <f t="shared" si="9"/>
        <v>352.82173499999999</v>
      </c>
    </row>
    <row r="20" spans="1:20" ht="26.25" x14ac:dyDescent="0.25">
      <c r="A20" s="217"/>
      <c r="B20" s="71" t="s">
        <v>61</v>
      </c>
      <c r="C20" s="71" t="s">
        <v>105</v>
      </c>
      <c r="D20" s="30" t="s">
        <v>77</v>
      </c>
      <c r="E20" s="6">
        <f>50000*0.8</f>
        <v>40000</v>
      </c>
      <c r="F20" s="26">
        <f t="shared" si="0"/>
        <v>32000</v>
      </c>
      <c r="G20" s="7">
        <v>2</v>
      </c>
      <c r="H20" s="1">
        <f t="shared" si="1"/>
        <v>64000</v>
      </c>
      <c r="I20" s="31">
        <v>1.67E-2</v>
      </c>
      <c r="J20" s="2">
        <f t="shared" si="2"/>
        <v>1068.8</v>
      </c>
      <c r="K20" s="3">
        <f t="shared" si="3"/>
        <v>8000</v>
      </c>
      <c r="L20" s="7">
        <v>2</v>
      </c>
      <c r="M20" s="1">
        <f t="shared" si="10"/>
        <v>16000</v>
      </c>
      <c r="N20" s="31">
        <v>1.67E-2</v>
      </c>
      <c r="O20" s="4">
        <f t="shared" si="5"/>
        <v>267.2</v>
      </c>
      <c r="P20" s="5">
        <f t="shared" si="6"/>
        <v>1336</v>
      </c>
      <c r="Q20" s="32">
        <v>15</v>
      </c>
      <c r="R20" s="101">
        <f t="shared" si="11"/>
        <v>20040</v>
      </c>
      <c r="S20" s="180">
        <f t="shared" si="8"/>
        <v>6613.2000000000007</v>
      </c>
      <c r="T20" s="181">
        <f t="shared" si="9"/>
        <v>26653.200000000001</v>
      </c>
    </row>
    <row r="21" spans="1:20" ht="26.25" x14ac:dyDescent="0.25">
      <c r="A21" s="217"/>
      <c r="B21" s="71" t="s">
        <v>61</v>
      </c>
      <c r="C21" s="71" t="s">
        <v>106</v>
      </c>
      <c r="D21" s="30" t="s">
        <v>79</v>
      </c>
      <c r="E21" s="6">
        <f>E20*(0.9)</f>
        <v>36000</v>
      </c>
      <c r="F21" s="26">
        <f t="shared" si="0"/>
        <v>28800</v>
      </c>
      <c r="G21" s="7">
        <v>1</v>
      </c>
      <c r="H21" s="1">
        <f t="shared" si="1"/>
        <v>28800</v>
      </c>
      <c r="I21" s="31">
        <v>8.3500000000000005E-2</v>
      </c>
      <c r="J21" s="2">
        <f t="shared" si="2"/>
        <v>2404.8000000000002</v>
      </c>
      <c r="K21" s="3">
        <f t="shared" si="3"/>
        <v>7200</v>
      </c>
      <c r="L21" s="7">
        <v>1</v>
      </c>
      <c r="M21" s="1">
        <f t="shared" si="10"/>
        <v>7200</v>
      </c>
      <c r="N21" s="31">
        <v>1.67E-2</v>
      </c>
      <c r="O21" s="4">
        <f t="shared" si="5"/>
        <v>120.24</v>
      </c>
      <c r="P21" s="5">
        <f t="shared" si="6"/>
        <v>2525.04</v>
      </c>
      <c r="Q21" s="32">
        <v>15</v>
      </c>
      <c r="R21" s="101">
        <f t="shared" si="11"/>
        <v>37875.599999999999</v>
      </c>
      <c r="S21" s="180">
        <f t="shared" si="8"/>
        <v>12498.948</v>
      </c>
      <c r="T21" s="181">
        <f t="shared" si="9"/>
        <v>50374.547999999995</v>
      </c>
    </row>
    <row r="22" spans="1:20" ht="26.25" x14ac:dyDescent="0.25">
      <c r="A22" s="217"/>
      <c r="B22" s="71" t="s">
        <v>61</v>
      </c>
      <c r="C22" s="71" t="s">
        <v>107</v>
      </c>
      <c r="D22" s="30" t="s">
        <v>79</v>
      </c>
      <c r="E22" s="6">
        <f>E21*(0.5)</f>
        <v>18000</v>
      </c>
      <c r="F22" s="26">
        <f t="shared" si="0"/>
        <v>14400</v>
      </c>
      <c r="G22" s="7">
        <v>1</v>
      </c>
      <c r="H22" s="1">
        <f t="shared" si="1"/>
        <v>14400</v>
      </c>
      <c r="I22" s="27">
        <f>30/60</f>
        <v>0.5</v>
      </c>
      <c r="J22" s="2">
        <f t="shared" si="2"/>
        <v>7200</v>
      </c>
      <c r="K22" s="3">
        <f t="shared" si="3"/>
        <v>3600</v>
      </c>
      <c r="L22" s="7">
        <v>1</v>
      </c>
      <c r="M22" s="1">
        <f t="shared" si="10"/>
        <v>3600</v>
      </c>
      <c r="N22" s="31">
        <v>1.67E-2</v>
      </c>
      <c r="O22" s="4">
        <f t="shared" si="5"/>
        <v>60.12</v>
      </c>
      <c r="P22" s="5">
        <f t="shared" si="6"/>
        <v>7260.12</v>
      </c>
      <c r="Q22" s="32">
        <v>15</v>
      </c>
      <c r="R22" s="101">
        <f t="shared" si="11"/>
        <v>108901.8</v>
      </c>
      <c r="S22" s="180">
        <f t="shared" si="8"/>
        <v>35937.594000000005</v>
      </c>
      <c r="T22" s="181">
        <f t="shared" si="9"/>
        <v>144839.394</v>
      </c>
    </row>
    <row r="23" spans="1:20" ht="26.25" x14ac:dyDescent="0.25">
      <c r="A23" s="217"/>
      <c r="B23" s="71" t="s">
        <v>61</v>
      </c>
      <c r="C23" s="71" t="s">
        <v>108</v>
      </c>
      <c r="D23" s="30" t="s">
        <v>82</v>
      </c>
      <c r="E23" s="6">
        <f>E22*(0.8)*(0.5)</f>
        <v>7200</v>
      </c>
      <c r="F23" s="26">
        <f t="shared" si="0"/>
        <v>5760</v>
      </c>
      <c r="G23" s="7">
        <v>1</v>
      </c>
      <c r="H23" s="1">
        <f t="shared" si="1"/>
        <v>5760</v>
      </c>
      <c r="I23" s="67">
        <f>10/60</f>
        <v>0.16666666666666666</v>
      </c>
      <c r="J23" s="2">
        <f t="shared" si="2"/>
        <v>960</v>
      </c>
      <c r="K23" s="3">
        <f t="shared" si="3"/>
        <v>1440</v>
      </c>
      <c r="L23" s="7">
        <v>1</v>
      </c>
      <c r="M23" s="1">
        <f t="shared" si="10"/>
        <v>1440</v>
      </c>
      <c r="N23" s="31">
        <v>1.67E-2</v>
      </c>
      <c r="O23" s="4">
        <f t="shared" si="5"/>
        <v>24.047999999999998</v>
      </c>
      <c r="P23" s="5">
        <f t="shared" si="6"/>
        <v>984.048</v>
      </c>
      <c r="Q23" s="32">
        <v>15</v>
      </c>
      <c r="R23" s="101">
        <f t="shared" si="11"/>
        <v>14760.72</v>
      </c>
      <c r="S23" s="180">
        <f t="shared" si="8"/>
        <v>4871.0375999999997</v>
      </c>
      <c r="T23" s="181">
        <f t="shared" si="9"/>
        <v>19631.757599999997</v>
      </c>
    </row>
    <row r="24" spans="1:20" ht="26.25" x14ac:dyDescent="0.25">
      <c r="A24" s="217"/>
      <c r="B24" s="28" t="s">
        <v>53</v>
      </c>
      <c r="C24" s="28" t="s">
        <v>50</v>
      </c>
      <c r="D24" s="30" t="s">
        <v>83</v>
      </c>
      <c r="E24" s="6">
        <v>4000</v>
      </c>
      <c r="F24" s="26">
        <f>0.8*E24</f>
        <v>3200</v>
      </c>
      <c r="G24" s="7">
        <v>1</v>
      </c>
      <c r="H24" s="1">
        <f t="shared" si="1"/>
        <v>3200</v>
      </c>
      <c r="I24" s="31">
        <v>5.0099999999999999E-2</v>
      </c>
      <c r="J24" s="2">
        <f t="shared" si="2"/>
        <v>160.32</v>
      </c>
      <c r="K24" s="3">
        <f t="shared" si="3"/>
        <v>800</v>
      </c>
      <c r="L24" s="7">
        <v>1</v>
      </c>
      <c r="M24" s="1">
        <f t="shared" si="4"/>
        <v>800</v>
      </c>
      <c r="N24" s="31">
        <v>5.0099999999999999E-2</v>
      </c>
      <c r="O24" s="4">
        <f t="shared" si="5"/>
        <v>40.08</v>
      </c>
      <c r="P24" s="5">
        <f t="shared" si="6"/>
        <v>200.39999999999998</v>
      </c>
      <c r="Q24" s="32">
        <v>7.25</v>
      </c>
      <c r="R24" s="101">
        <f t="shared" si="7"/>
        <v>1452.8999999999999</v>
      </c>
      <c r="S24" s="180">
        <f t="shared" si="8"/>
        <v>479.45699999999999</v>
      </c>
      <c r="T24" s="181">
        <f t="shared" si="9"/>
        <v>1932.357</v>
      </c>
    </row>
    <row r="25" spans="1:20" ht="26.25" x14ac:dyDescent="0.25">
      <c r="A25" s="217"/>
      <c r="B25" s="28" t="s">
        <v>53</v>
      </c>
      <c r="C25" s="29" t="s">
        <v>67</v>
      </c>
      <c r="D25" s="30" t="s">
        <v>84</v>
      </c>
      <c r="E25" s="6">
        <v>4000</v>
      </c>
      <c r="F25" s="26">
        <f>4000*0.2</f>
        <v>800</v>
      </c>
      <c r="G25" s="7">
        <v>2</v>
      </c>
      <c r="H25" s="1">
        <f t="shared" si="1"/>
        <v>1600</v>
      </c>
      <c r="I25" s="31">
        <v>1.67E-2</v>
      </c>
      <c r="J25" s="2">
        <f t="shared" si="2"/>
        <v>26.72</v>
      </c>
      <c r="K25" s="3">
        <f t="shared" si="3"/>
        <v>3200</v>
      </c>
      <c r="L25" s="7">
        <v>2</v>
      </c>
      <c r="M25" s="1">
        <f t="shared" si="4"/>
        <v>6400</v>
      </c>
      <c r="N25" s="31">
        <v>1.67E-2</v>
      </c>
      <c r="O25" s="4">
        <f t="shared" si="5"/>
        <v>106.88</v>
      </c>
      <c r="P25" s="5">
        <f t="shared" si="6"/>
        <v>133.6</v>
      </c>
      <c r="Q25" s="32">
        <v>7.25</v>
      </c>
      <c r="R25" s="101">
        <f t="shared" si="7"/>
        <v>968.59999999999991</v>
      </c>
      <c r="S25" s="180">
        <f t="shared" si="8"/>
        <v>319.63799999999998</v>
      </c>
      <c r="T25" s="181">
        <f t="shared" si="9"/>
        <v>1288.2379999999998</v>
      </c>
    </row>
    <row r="26" spans="1:20" ht="26.25" x14ac:dyDescent="0.25">
      <c r="A26" s="217"/>
      <c r="B26" s="28" t="s">
        <v>53</v>
      </c>
      <c r="C26" s="29" t="s">
        <v>66</v>
      </c>
      <c r="D26" s="30" t="s">
        <v>85</v>
      </c>
      <c r="E26" s="6">
        <f>K25</f>
        <v>3200</v>
      </c>
      <c r="F26" s="26">
        <f>E26*0.15</f>
        <v>480</v>
      </c>
      <c r="G26" s="7">
        <v>2</v>
      </c>
      <c r="H26" s="1">
        <f t="shared" si="1"/>
        <v>960</v>
      </c>
      <c r="I26" s="31">
        <v>1.67E-2</v>
      </c>
      <c r="J26" s="2">
        <f t="shared" si="2"/>
        <v>16.032</v>
      </c>
      <c r="K26" s="3">
        <f t="shared" si="3"/>
        <v>2720</v>
      </c>
      <c r="L26" s="7">
        <v>2</v>
      </c>
      <c r="M26" s="1">
        <f>K26*L26</f>
        <v>5440</v>
      </c>
      <c r="N26" s="31">
        <v>1.67E-2</v>
      </c>
      <c r="O26" s="4">
        <f t="shared" si="5"/>
        <v>90.847999999999999</v>
      </c>
      <c r="P26" s="5">
        <f t="shared" si="6"/>
        <v>106.88</v>
      </c>
      <c r="Q26" s="32">
        <v>7.25</v>
      </c>
      <c r="R26" s="101">
        <f>+P26*Q26</f>
        <v>774.88</v>
      </c>
      <c r="S26" s="180">
        <f t="shared" si="8"/>
        <v>255.71040000000002</v>
      </c>
      <c r="T26" s="181">
        <f t="shared" si="9"/>
        <v>1030.5904</v>
      </c>
    </row>
    <row r="27" spans="1:20" ht="26.25" x14ac:dyDescent="0.25">
      <c r="A27" s="217"/>
      <c r="B27" s="28" t="s">
        <v>53</v>
      </c>
      <c r="C27" s="28" t="s">
        <v>51</v>
      </c>
      <c r="D27" s="30" t="s">
        <v>86</v>
      </c>
      <c r="E27" s="6">
        <f>K26</f>
        <v>2720</v>
      </c>
      <c r="F27" s="26">
        <f>E27*0.15</f>
        <v>408</v>
      </c>
      <c r="G27" s="7">
        <v>1</v>
      </c>
      <c r="H27" s="1">
        <f t="shared" si="1"/>
        <v>408</v>
      </c>
      <c r="I27" s="31">
        <v>1.67E-2</v>
      </c>
      <c r="J27" s="2">
        <f t="shared" si="2"/>
        <v>6.8136000000000001</v>
      </c>
      <c r="K27" s="3">
        <f t="shared" si="3"/>
        <v>2312</v>
      </c>
      <c r="L27" s="7">
        <v>1</v>
      </c>
      <c r="M27" s="1">
        <f>K27*L27</f>
        <v>2312</v>
      </c>
      <c r="N27" s="31">
        <v>1.67E-2</v>
      </c>
      <c r="O27" s="4">
        <f t="shared" si="5"/>
        <v>38.610399999999998</v>
      </c>
      <c r="P27" s="5">
        <f t="shared" si="6"/>
        <v>45.423999999999999</v>
      </c>
      <c r="Q27" s="32">
        <v>7.25</v>
      </c>
      <c r="R27" s="101">
        <f>+P27*Q27</f>
        <v>329.32400000000001</v>
      </c>
      <c r="S27" s="180">
        <f t="shared" si="8"/>
        <v>108.67692000000001</v>
      </c>
      <c r="T27" s="181">
        <f t="shared" si="9"/>
        <v>438.00092000000001</v>
      </c>
    </row>
    <row r="28" spans="1:20" ht="26.25" x14ac:dyDescent="0.25">
      <c r="A28" s="217"/>
      <c r="B28" s="28" t="s">
        <v>53</v>
      </c>
      <c r="C28" s="29" t="s">
        <v>66</v>
      </c>
      <c r="D28" s="30" t="s">
        <v>85</v>
      </c>
      <c r="E28" s="6">
        <f>K27</f>
        <v>2312</v>
      </c>
      <c r="F28" s="26">
        <f>E28*0.05</f>
        <v>115.60000000000001</v>
      </c>
      <c r="G28" s="7">
        <v>2</v>
      </c>
      <c r="H28" s="1">
        <f t="shared" si="1"/>
        <v>231.20000000000002</v>
      </c>
      <c r="I28" s="31">
        <v>1.67E-2</v>
      </c>
      <c r="J28" s="2">
        <f t="shared" si="2"/>
        <v>3.86104</v>
      </c>
      <c r="K28" s="3">
        <f t="shared" si="3"/>
        <v>2196.4</v>
      </c>
      <c r="L28" s="7">
        <v>2</v>
      </c>
      <c r="M28" s="1">
        <f>K28*L28</f>
        <v>4392.8</v>
      </c>
      <c r="N28" s="31">
        <v>1.67E-2</v>
      </c>
      <c r="O28" s="4">
        <f t="shared" si="5"/>
        <v>73.359759999999994</v>
      </c>
      <c r="P28" s="5">
        <f t="shared" si="6"/>
        <v>77.220799999999997</v>
      </c>
      <c r="Q28" s="32">
        <v>7.25</v>
      </c>
      <c r="R28" s="101">
        <f>+P28*Q28</f>
        <v>559.85079999999994</v>
      </c>
      <c r="S28" s="180">
        <f t="shared" si="8"/>
        <v>184.75076399999998</v>
      </c>
      <c r="T28" s="181">
        <f>R28+S28</f>
        <v>744.60156399999994</v>
      </c>
    </row>
    <row r="29" spans="1:20" ht="26.25" x14ac:dyDescent="0.25">
      <c r="A29" s="217"/>
      <c r="B29" s="28" t="s">
        <v>53</v>
      </c>
      <c r="C29" s="28" t="s">
        <v>52</v>
      </c>
      <c r="D29" s="30" t="s">
        <v>87</v>
      </c>
      <c r="E29" s="6">
        <f>K28</f>
        <v>2196.4</v>
      </c>
      <c r="F29" s="26">
        <f>E29*0.25</f>
        <v>549.1</v>
      </c>
      <c r="G29" s="7">
        <v>1</v>
      </c>
      <c r="H29" s="1">
        <f t="shared" si="1"/>
        <v>549.1</v>
      </c>
      <c r="I29" s="31">
        <v>5.0099999999999999E-2</v>
      </c>
      <c r="J29" s="2">
        <f t="shared" si="2"/>
        <v>27.509910000000001</v>
      </c>
      <c r="K29" s="3">
        <f t="shared" si="3"/>
        <v>1647.3000000000002</v>
      </c>
      <c r="L29" s="7">
        <v>1</v>
      </c>
      <c r="M29" s="1">
        <f t="shared" ref="M29" si="30">K29*L29</f>
        <v>1647.3000000000002</v>
      </c>
      <c r="N29" s="31">
        <v>5.0099999999999999E-2</v>
      </c>
      <c r="O29" s="4">
        <f t="shared" si="5"/>
        <v>82.529730000000001</v>
      </c>
      <c r="P29" s="5">
        <f t="shared" si="6"/>
        <v>110.03964000000001</v>
      </c>
      <c r="Q29" s="32">
        <v>7.25</v>
      </c>
      <c r="R29" s="101">
        <f t="shared" ref="R29" si="31">+P29*Q29</f>
        <v>797.78739000000007</v>
      </c>
      <c r="S29" s="180">
        <f t="shared" si="8"/>
        <v>263.26983870000004</v>
      </c>
      <c r="T29" s="181">
        <f t="shared" ref="T29:T51" si="32">R29+S29</f>
        <v>1061.0572287</v>
      </c>
    </row>
    <row r="30" spans="1:20" ht="26.25" x14ac:dyDescent="0.25">
      <c r="A30" s="217"/>
      <c r="B30" s="28" t="s">
        <v>53</v>
      </c>
      <c r="C30" s="29" t="s">
        <v>66</v>
      </c>
      <c r="D30" s="30" t="s">
        <v>85</v>
      </c>
      <c r="E30" s="6">
        <f>K29</f>
        <v>1647.3000000000002</v>
      </c>
      <c r="F30" s="26">
        <f>E30*0.05</f>
        <v>82.365000000000009</v>
      </c>
      <c r="G30" s="7">
        <v>2</v>
      </c>
      <c r="H30" s="1">
        <f t="shared" si="1"/>
        <v>164.73000000000002</v>
      </c>
      <c r="I30" s="31">
        <v>1.67E-2</v>
      </c>
      <c r="J30" s="2">
        <f t="shared" si="2"/>
        <v>2.7509910000000004</v>
      </c>
      <c r="K30" s="3">
        <f t="shared" si="3"/>
        <v>1564.9350000000002</v>
      </c>
      <c r="L30" s="7">
        <v>2</v>
      </c>
      <c r="M30" s="1">
        <f>K30*L30</f>
        <v>3129.8700000000003</v>
      </c>
      <c r="N30" s="31">
        <v>1.67E-2</v>
      </c>
      <c r="O30" s="4">
        <f t="shared" si="5"/>
        <v>52.268829000000004</v>
      </c>
      <c r="P30" s="5">
        <f t="shared" si="6"/>
        <v>55.019820000000003</v>
      </c>
      <c r="Q30" s="32">
        <v>7.25</v>
      </c>
      <c r="R30" s="101">
        <f>+P30*Q30</f>
        <v>398.89369500000004</v>
      </c>
      <c r="S30" s="180">
        <f t="shared" si="8"/>
        <v>131.63491935000002</v>
      </c>
      <c r="T30" s="181">
        <f t="shared" si="32"/>
        <v>530.52861435</v>
      </c>
    </row>
    <row r="31" spans="1:20" ht="26.25" x14ac:dyDescent="0.25">
      <c r="A31" s="217"/>
      <c r="B31" s="28" t="s">
        <v>53</v>
      </c>
      <c r="C31" s="28" t="s">
        <v>109</v>
      </c>
      <c r="D31" s="30" t="s">
        <v>88</v>
      </c>
      <c r="E31" s="6">
        <v>4000</v>
      </c>
      <c r="F31" s="26">
        <f>0.8*E31</f>
        <v>3200</v>
      </c>
      <c r="G31" s="7">
        <v>1</v>
      </c>
      <c r="H31" s="1">
        <f t="shared" si="1"/>
        <v>3200</v>
      </c>
      <c r="I31" s="67">
        <f>15/60</f>
        <v>0.25</v>
      </c>
      <c r="J31" s="2">
        <f t="shared" si="2"/>
        <v>800</v>
      </c>
      <c r="K31" s="3">
        <f t="shared" si="3"/>
        <v>800</v>
      </c>
      <c r="L31" s="7">
        <v>1</v>
      </c>
      <c r="M31" s="1">
        <f>K31*L31</f>
        <v>800</v>
      </c>
      <c r="N31" s="31">
        <v>5.0099999999999999E-2</v>
      </c>
      <c r="O31" s="4">
        <f t="shared" si="5"/>
        <v>40.08</v>
      </c>
      <c r="P31" s="5">
        <f t="shared" si="6"/>
        <v>840.08</v>
      </c>
      <c r="Q31" s="32">
        <v>7.25</v>
      </c>
      <c r="R31" s="101">
        <f>+P31*Q31</f>
        <v>6090.58</v>
      </c>
      <c r="S31" s="180">
        <f t="shared" si="8"/>
        <v>2009.8914</v>
      </c>
      <c r="T31" s="181">
        <f t="shared" si="32"/>
        <v>8100.4714000000004</v>
      </c>
    </row>
    <row r="32" spans="1:20" x14ac:dyDescent="0.25">
      <c r="A32" s="217"/>
      <c r="B32" s="11" t="s">
        <v>63</v>
      </c>
      <c r="C32" s="11" t="s">
        <v>110</v>
      </c>
      <c r="D32" s="30" t="s">
        <v>111</v>
      </c>
      <c r="E32" s="6">
        <v>800</v>
      </c>
      <c r="F32" s="26">
        <v>200</v>
      </c>
      <c r="G32" s="7">
        <v>1</v>
      </c>
      <c r="H32" s="1">
        <f t="shared" si="1"/>
        <v>200</v>
      </c>
      <c r="I32" s="31">
        <v>3.3000000000000002E-2</v>
      </c>
      <c r="J32" s="2">
        <f t="shared" si="2"/>
        <v>6.6000000000000005</v>
      </c>
      <c r="K32" s="3">
        <f t="shared" si="3"/>
        <v>600</v>
      </c>
      <c r="L32" s="7">
        <v>1</v>
      </c>
      <c r="M32" s="1">
        <f t="shared" ref="M32" si="33">K32*L32</f>
        <v>600</v>
      </c>
      <c r="N32" s="31">
        <v>3.3000000000000002E-2</v>
      </c>
      <c r="O32" s="4">
        <f t="shared" si="5"/>
        <v>19.8</v>
      </c>
      <c r="P32" s="5">
        <f t="shared" si="6"/>
        <v>26.400000000000002</v>
      </c>
      <c r="Q32" s="32">
        <v>7.25</v>
      </c>
      <c r="R32" s="101">
        <f t="shared" ref="R32:R37" si="34">+P32*Q32</f>
        <v>191.4</v>
      </c>
      <c r="S32" s="180">
        <f t="shared" si="8"/>
        <v>63.162000000000006</v>
      </c>
      <c r="T32" s="181">
        <f t="shared" si="32"/>
        <v>254.56200000000001</v>
      </c>
    </row>
    <row r="33" spans="1:22" x14ac:dyDescent="0.25">
      <c r="A33" s="217"/>
      <c r="B33" s="11" t="s">
        <v>63</v>
      </c>
      <c r="C33" s="72" t="s">
        <v>112</v>
      </c>
      <c r="D33" s="30" t="s">
        <v>89</v>
      </c>
      <c r="E33" s="6">
        <f>F32</f>
        <v>200</v>
      </c>
      <c r="F33" s="26">
        <v>160</v>
      </c>
      <c r="G33" s="7">
        <v>3</v>
      </c>
      <c r="H33" s="1">
        <f t="shared" si="1"/>
        <v>480</v>
      </c>
      <c r="I33" s="31">
        <v>1.67E-2</v>
      </c>
      <c r="J33" s="2">
        <f t="shared" si="2"/>
        <v>8.016</v>
      </c>
      <c r="K33" s="3">
        <f t="shared" si="3"/>
        <v>40</v>
      </c>
      <c r="L33" s="7">
        <v>3</v>
      </c>
      <c r="M33" s="1">
        <f>K33*L33</f>
        <v>120</v>
      </c>
      <c r="N33" s="31">
        <v>1.67E-2</v>
      </c>
      <c r="O33" s="4">
        <f t="shared" si="5"/>
        <v>2.004</v>
      </c>
      <c r="P33" s="5">
        <f t="shared" si="6"/>
        <v>10.02</v>
      </c>
      <c r="Q33" s="32">
        <v>7.25</v>
      </c>
      <c r="R33" s="101">
        <f t="shared" si="34"/>
        <v>72.644999999999996</v>
      </c>
      <c r="S33" s="180">
        <f t="shared" si="8"/>
        <v>23.972850000000001</v>
      </c>
      <c r="T33" s="181">
        <f t="shared" si="32"/>
        <v>96.617850000000004</v>
      </c>
    </row>
    <row r="34" spans="1:22" ht="26.25" x14ac:dyDescent="0.25">
      <c r="A34" s="217"/>
      <c r="B34" s="11" t="s">
        <v>63</v>
      </c>
      <c r="C34" s="72" t="s">
        <v>113</v>
      </c>
      <c r="D34" s="30" t="s">
        <v>99</v>
      </c>
      <c r="E34" s="6">
        <f>F33</f>
        <v>160</v>
      </c>
      <c r="F34" s="26">
        <v>160</v>
      </c>
      <c r="G34" s="7">
        <v>1</v>
      </c>
      <c r="H34" s="1">
        <f t="shared" si="1"/>
        <v>160</v>
      </c>
      <c r="I34" s="27">
        <v>1.5</v>
      </c>
      <c r="J34" s="2">
        <f t="shared" si="2"/>
        <v>240</v>
      </c>
      <c r="K34" s="3">
        <f t="shared" si="3"/>
        <v>0</v>
      </c>
      <c r="L34" s="7">
        <v>1</v>
      </c>
      <c r="M34" s="1">
        <f t="shared" ref="M34" si="35">K34*L34</f>
        <v>0</v>
      </c>
      <c r="N34" s="31">
        <v>8.3000000000000001E-3</v>
      </c>
      <c r="O34" s="4">
        <f t="shared" si="5"/>
        <v>0</v>
      </c>
      <c r="P34" s="5">
        <f t="shared" si="6"/>
        <v>240</v>
      </c>
      <c r="Q34" s="32">
        <v>7.25</v>
      </c>
      <c r="R34" s="101">
        <f t="shared" si="34"/>
        <v>1740</v>
      </c>
      <c r="S34" s="180">
        <f t="shared" si="8"/>
        <v>574.20000000000005</v>
      </c>
      <c r="T34" s="181">
        <f t="shared" si="32"/>
        <v>2314.1999999999998</v>
      </c>
    </row>
    <row r="35" spans="1:22" x14ac:dyDescent="0.25">
      <c r="A35" s="217"/>
      <c r="B35" s="11" t="s">
        <v>64</v>
      </c>
      <c r="C35" s="72" t="s">
        <v>110</v>
      </c>
      <c r="D35" s="30" t="s">
        <v>114</v>
      </c>
      <c r="E35" s="6">
        <v>240</v>
      </c>
      <c r="F35" s="26">
        <v>75</v>
      </c>
      <c r="G35" s="7">
        <v>1</v>
      </c>
      <c r="H35" s="1">
        <f t="shared" si="1"/>
        <v>75</v>
      </c>
      <c r="I35" s="31">
        <v>3.3000000000000002E-2</v>
      </c>
      <c r="J35" s="2">
        <f t="shared" si="2"/>
        <v>2.4750000000000001</v>
      </c>
      <c r="K35" s="3">
        <f t="shared" si="3"/>
        <v>165</v>
      </c>
      <c r="L35" s="73">
        <v>1</v>
      </c>
      <c r="M35" s="1">
        <f>K35*L35</f>
        <v>165</v>
      </c>
      <c r="N35" s="31">
        <v>3.3000000000000002E-2</v>
      </c>
      <c r="O35" s="4">
        <f t="shared" si="5"/>
        <v>5.4450000000000003</v>
      </c>
      <c r="P35" s="5">
        <f t="shared" si="6"/>
        <v>7.92</v>
      </c>
      <c r="Q35" s="32">
        <v>7.25</v>
      </c>
      <c r="R35" s="101">
        <f t="shared" si="34"/>
        <v>57.42</v>
      </c>
      <c r="S35" s="180">
        <f t="shared" si="8"/>
        <v>18.948600000000003</v>
      </c>
      <c r="T35" s="181">
        <f t="shared" si="32"/>
        <v>76.368600000000001</v>
      </c>
    </row>
    <row r="36" spans="1:22" x14ac:dyDescent="0.25">
      <c r="A36" s="217"/>
      <c r="B36" s="11" t="s">
        <v>64</v>
      </c>
      <c r="C36" s="72" t="s">
        <v>112</v>
      </c>
      <c r="D36" s="30" t="s">
        <v>91</v>
      </c>
      <c r="E36" s="6">
        <f>F35</f>
        <v>75</v>
      </c>
      <c r="F36" s="26">
        <v>60</v>
      </c>
      <c r="G36" s="7">
        <v>1</v>
      </c>
      <c r="H36" s="1">
        <f t="shared" si="1"/>
        <v>60</v>
      </c>
      <c r="I36" s="31">
        <v>1.67E-2</v>
      </c>
      <c r="J36" s="2">
        <f t="shared" si="2"/>
        <v>1.002</v>
      </c>
      <c r="K36" s="3">
        <f t="shared" si="3"/>
        <v>15</v>
      </c>
      <c r="L36" s="73">
        <v>1</v>
      </c>
      <c r="M36" s="1">
        <f t="shared" ref="M36:M37" si="36">K36*L36</f>
        <v>15</v>
      </c>
      <c r="N36" s="31">
        <v>1.67E-2</v>
      </c>
      <c r="O36" s="4">
        <f t="shared" si="5"/>
        <v>0.2505</v>
      </c>
      <c r="P36" s="5">
        <f t="shared" si="6"/>
        <v>1.2524999999999999</v>
      </c>
      <c r="Q36" s="32">
        <v>7.25</v>
      </c>
      <c r="R36" s="101">
        <f t="shared" si="34"/>
        <v>9.0806249999999995</v>
      </c>
      <c r="S36" s="180">
        <f t="shared" si="8"/>
        <v>2.9966062500000001</v>
      </c>
      <c r="T36" s="181">
        <f t="shared" si="32"/>
        <v>12.077231250000001</v>
      </c>
    </row>
    <row r="37" spans="1:22" ht="15.75" thickBot="1" x14ac:dyDescent="0.3">
      <c r="A37" s="218"/>
      <c r="B37" s="11" t="s">
        <v>64</v>
      </c>
      <c r="C37" s="72" t="s">
        <v>115</v>
      </c>
      <c r="D37" s="30" t="s">
        <v>90</v>
      </c>
      <c r="E37" s="6">
        <v>60</v>
      </c>
      <c r="F37" s="26">
        <v>60</v>
      </c>
      <c r="G37" s="7">
        <v>1</v>
      </c>
      <c r="H37" s="1">
        <f t="shared" si="1"/>
        <v>60</v>
      </c>
      <c r="I37" s="27">
        <v>1.5</v>
      </c>
      <c r="J37" s="2">
        <f t="shared" si="2"/>
        <v>90</v>
      </c>
      <c r="K37" s="3">
        <f t="shared" si="3"/>
        <v>0</v>
      </c>
      <c r="L37" s="18">
        <v>1</v>
      </c>
      <c r="M37" s="1">
        <f t="shared" si="36"/>
        <v>0</v>
      </c>
      <c r="N37" s="31">
        <v>8.3000000000000001E-3</v>
      </c>
      <c r="O37" s="4">
        <f t="shared" si="5"/>
        <v>0</v>
      </c>
      <c r="P37" s="5">
        <f t="shared" si="6"/>
        <v>90</v>
      </c>
      <c r="Q37" s="32">
        <v>7.25</v>
      </c>
      <c r="R37" s="101">
        <f t="shared" si="34"/>
        <v>652.5</v>
      </c>
      <c r="S37" s="182">
        <f t="shared" si="8"/>
        <v>215.32500000000002</v>
      </c>
      <c r="T37" s="183">
        <f t="shared" si="32"/>
        <v>867.82500000000005</v>
      </c>
    </row>
    <row r="38" spans="1:22" ht="16.5" thickTop="1" thickBot="1" x14ac:dyDescent="0.3">
      <c r="A38" s="219" t="s">
        <v>39</v>
      </c>
      <c r="B38" s="220"/>
      <c r="C38" s="221"/>
      <c r="D38" s="74"/>
      <c r="E38" s="75">
        <f>SUM(E4:E10,E13,E15,E17,E18,E19,E20,E31/2)</f>
        <v>61316</v>
      </c>
      <c r="F38" s="143">
        <f>SUM(F4:F10,F13,F15,F17,F18,F19,F20,F31/2)</f>
        <v>49052</v>
      </c>
      <c r="G38" s="76">
        <f>H38/F38</f>
        <v>3.5143119546603612</v>
      </c>
      <c r="H38" s="77">
        <f>SUM(H4:H37)</f>
        <v>172384.03000000003</v>
      </c>
      <c r="I38" s="78">
        <f>+J38/H38</f>
        <v>8.3461975804835262E-2</v>
      </c>
      <c r="J38" s="131">
        <f>SUM(J4:J35)</f>
        <v>14387.511740999998</v>
      </c>
      <c r="K38" s="143">
        <f>SUM(K4:K10,K13,K15,K17,K18,K19,K20,K31/2)</f>
        <v>12264</v>
      </c>
      <c r="L38" s="79">
        <f>IFERROR(M38/K38,"")</f>
        <v>5.3782591324200917</v>
      </c>
      <c r="M38" s="77">
        <f>SUM(M4:M37)</f>
        <v>65958.97</v>
      </c>
      <c r="N38" s="80">
        <f>IFERROR(O38/M38,"")</f>
        <v>1.8626945190320585E-2</v>
      </c>
      <c r="O38" s="81">
        <f>SUM(O4:O35)</f>
        <v>1228.6141189999998</v>
      </c>
      <c r="P38" s="146">
        <f t="shared" si="6"/>
        <v>15616.125859999998</v>
      </c>
      <c r="Q38" s="83" t="s">
        <v>38</v>
      </c>
      <c r="R38" s="102">
        <f>SUM(R4:R35)</f>
        <v>216372.15767499997</v>
      </c>
      <c r="S38" s="184">
        <f t="shared" si="8"/>
        <v>71402.812032749993</v>
      </c>
      <c r="T38" s="185">
        <f>R38+S38</f>
        <v>287774.96970774996</v>
      </c>
      <c r="V38" s="120"/>
    </row>
    <row r="39" spans="1:22" s="117" customFormat="1" ht="396.75" hidden="1" thickTop="1" x14ac:dyDescent="0.25">
      <c r="A39" s="105" t="s">
        <v>41</v>
      </c>
      <c r="B39" s="106"/>
      <c r="C39" s="106"/>
      <c r="D39" s="107"/>
      <c r="E39" s="108" t="s">
        <v>69</v>
      </c>
      <c r="F39" s="109" t="s">
        <v>70</v>
      </c>
      <c r="G39" s="110" t="s">
        <v>42</v>
      </c>
      <c r="H39" s="111" t="s">
        <v>43</v>
      </c>
      <c r="I39" s="112" t="s">
        <v>44</v>
      </c>
      <c r="J39" s="113" t="s">
        <v>43</v>
      </c>
      <c r="K39" s="114" t="s">
        <v>45</v>
      </c>
      <c r="L39" s="110" t="s">
        <v>46</v>
      </c>
      <c r="M39" s="111" t="s">
        <v>43</v>
      </c>
      <c r="N39" s="110" t="s">
        <v>47</v>
      </c>
      <c r="O39" s="111" t="s">
        <v>43</v>
      </c>
      <c r="P39" s="115" t="s">
        <v>43</v>
      </c>
      <c r="Q39" s="116" t="s">
        <v>48</v>
      </c>
      <c r="R39" s="186" t="s">
        <v>43</v>
      </c>
      <c r="S39" s="187"/>
      <c r="T39" s="188"/>
    </row>
    <row r="40" spans="1:22" ht="15.75" thickTop="1" x14ac:dyDescent="0.25">
      <c r="A40" s="216" t="s">
        <v>18</v>
      </c>
      <c r="B40" s="11" t="s">
        <v>13</v>
      </c>
      <c r="C40" s="84" t="s">
        <v>116</v>
      </c>
      <c r="D40" s="30" t="s">
        <v>93</v>
      </c>
      <c r="E40" s="9">
        <v>172</v>
      </c>
      <c r="F40" s="10">
        <v>165</v>
      </c>
      <c r="G40" s="7">
        <v>1</v>
      </c>
      <c r="H40" s="11">
        <f t="shared" ref="H40:H51" si="37">+F40*G40</f>
        <v>165</v>
      </c>
      <c r="I40" s="31">
        <v>1.67E-2</v>
      </c>
      <c r="J40" s="12">
        <f t="shared" ref="J40:J51" si="38">+H40*I40</f>
        <v>2.7555000000000001</v>
      </c>
      <c r="K40" s="3">
        <f t="shared" ref="K40:K51" si="39">+E40-F40</f>
        <v>7</v>
      </c>
      <c r="L40" s="7">
        <v>1</v>
      </c>
      <c r="M40" s="11">
        <f>+K40*L40</f>
        <v>7</v>
      </c>
      <c r="N40" s="31">
        <v>1.67E-2</v>
      </c>
      <c r="O40" s="14">
        <f t="shared" ref="O40:O51" si="40">M40*N40</f>
        <v>0.1169</v>
      </c>
      <c r="P40" s="15">
        <f t="shared" ref="P40:P59" si="41">+O40+J40</f>
        <v>2.8723999999999998</v>
      </c>
      <c r="Q40" s="24">
        <v>59.31</v>
      </c>
      <c r="R40" s="101">
        <f t="shared" ref="R40:R51" si="42">Q40*P40</f>
        <v>170.362044</v>
      </c>
      <c r="S40" s="180">
        <f t="shared" si="8"/>
        <v>56.219474519999999</v>
      </c>
      <c r="T40" s="181">
        <f t="shared" si="32"/>
        <v>226.58151852</v>
      </c>
    </row>
    <row r="41" spans="1:22" x14ac:dyDescent="0.25">
      <c r="A41" s="217"/>
      <c r="B41" s="11" t="s">
        <v>13</v>
      </c>
      <c r="C41" s="84" t="s">
        <v>117</v>
      </c>
      <c r="D41" s="30" t="s">
        <v>92</v>
      </c>
      <c r="E41" s="9">
        <v>165</v>
      </c>
      <c r="F41" s="10">
        <v>165</v>
      </c>
      <c r="G41" s="7">
        <v>1</v>
      </c>
      <c r="H41" s="11">
        <f t="shared" si="37"/>
        <v>165</v>
      </c>
      <c r="I41" s="8">
        <v>1.5</v>
      </c>
      <c r="J41" s="12">
        <f t="shared" si="38"/>
        <v>247.5</v>
      </c>
      <c r="K41" s="13">
        <f t="shared" si="39"/>
        <v>0</v>
      </c>
      <c r="L41" s="7">
        <v>1</v>
      </c>
      <c r="M41" s="11">
        <f t="shared" ref="M41:M51" si="43">+K41*L41</f>
        <v>0</v>
      </c>
      <c r="N41" s="31">
        <v>8.3000000000000001E-3</v>
      </c>
      <c r="O41" s="14">
        <f t="shared" si="40"/>
        <v>0</v>
      </c>
      <c r="P41" s="15">
        <f t="shared" si="41"/>
        <v>247.5</v>
      </c>
      <c r="Q41" s="24">
        <v>59.31</v>
      </c>
      <c r="R41" s="101">
        <f t="shared" si="42"/>
        <v>14679.225</v>
      </c>
      <c r="S41" s="180">
        <f t="shared" si="8"/>
        <v>4844.1442500000003</v>
      </c>
      <c r="T41" s="181">
        <f t="shared" si="32"/>
        <v>19523.36925</v>
      </c>
    </row>
    <row r="42" spans="1:22" x14ac:dyDescent="0.25">
      <c r="A42" s="217"/>
      <c r="B42" s="11" t="s">
        <v>13</v>
      </c>
      <c r="C42" s="84" t="s">
        <v>121</v>
      </c>
      <c r="D42" s="30" t="s">
        <v>122</v>
      </c>
      <c r="E42" s="9">
        <v>8</v>
      </c>
      <c r="F42" s="127">
        <v>8</v>
      </c>
      <c r="G42" s="7">
        <v>1</v>
      </c>
      <c r="H42" s="11">
        <f t="shared" ref="H42" si="44">+F42*G42</f>
        <v>8</v>
      </c>
      <c r="I42" s="31">
        <v>1.67E-2</v>
      </c>
      <c r="J42" s="12">
        <f t="shared" ref="J42" si="45">+H42*I42</f>
        <v>0.1336</v>
      </c>
      <c r="K42" s="13">
        <f t="shared" ref="K42" si="46">+E42-F42</f>
        <v>0</v>
      </c>
      <c r="L42" s="7">
        <v>1</v>
      </c>
      <c r="M42" s="11">
        <f t="shared" ref="M42" si="47">+K42*L42</f>
        <v>0</v>
      </c>
      <c r="N42" s="8">
        <v>0</v>
      </c>
      <c r="O42" s="14">
        <f t="shared" ref="O42" si="48">M42*N42</f>
        <v>0</v>
      </c>
      <c r="P42" s="15">
        <f t="shared" ref="P42" si="49">+O42+J42</f>
        <v>0.1336</v>
      </c>
      <c r="Q42" s="24">
        <v>59.31</v>
      </c>
      <c r="R42" s="101">
        <f t="shared" ref="R42" si="50">Q42*P42</f>
        <v>7.9238160000000004</v>
      </c>
      <c r="S42" s="180">
        <f t="shared" ref="S42" si="51">R42*0.33</f>
        <v>2.6148592800000001</v>
      </c>
      <c r="T42" s="181">
        <f t="shared" ref="T42" si="52">R42+S42</f>
        <v>10.53867528</v>
      </c>
    </row>
    <row r="43" spans="1:22" x14ac:dyDescent="0.25">
      <c r="A43" s="217"/>
      <c r="B43" s="11" t="s">
        <v>13</v>
      </c>
      <c r="C43" s="84" t="s">
        <v>118</v>
      </c>
      <c r="D43" s="30" t="s">
        <v>123</v>
      </c>
      <c r="E43" s="9">
        <v>8</v>
      </c>
      <c r="F43" s="127">
        <v>8</v>
      </c>
      <c r="G43" s="7">
        <v>1</v>
      </c>
      <c r="H43" s="11">
        <f t="shared" si="37"/>
        <v>8</v>
      </c>
      <c r="I43" s="8">
        <v>8</v>
      </c>
      <c r="J43" s="12">
        <f t="shared" si="38"/>
        <v>64</v>
      </c>
      <c r="K43" s="13">
        <f t="shared" si="39"/>
        <v>0</v>
      </c>
      <c r="L43" s="7">
        <v>1</v>
      </c>
      <c r="M43" s="11">
        <f t="shared" si="43"/>
        <v>0</v>
      </c>
      <c r="N43" s="8">
        <v>0</v>
      </c>
      <c r="O43" s="14">
        <f t="shared" si="40"/>
        <v>0</v>
      </c>
      <c r="P43" s="15">
        <f t="shared" si="41"/>
        <v>64</v>
      </c>
      <c r="Q43" s="24">
        <v>59.31</v>
      </c>
      <c r="R43" s="101">
        <f t="shared" si="42"/>
        <v>3795.84</v>
      </c>
      <c r="S43" s="180">
        <f t="shared" si="8"/>
        <v>1252.6272000000001</v>
      </c>
      <c r="T43" s="181">
        <f t="shared" si="32"/>
        <v>5048.4672</v>
      </c>
      <c r="V43" s="120"/>
    </row>
    <row r="44" spans="1:22" ht="15.75" x14ac:dyDescent="0.25">
      <c r="A44" s="217"/>
      <c r="B44" s="11" t="s">
        <v>13</v>
      </c>
      <c r="C44" s="84" t="s">
        <v>74</v>
      </c>
      <c r="D44" s="30" t="s">
        <v>94</v>
      </c>
      <c r="E44" s="132">
        <v>138</v>
      </c>
      <c r="F44" s="133">
        <v>110</v>
      </c>
      <c r="G44" s="7">
        <v>1</v>
      </c>
      <c r="H44" s="1">
        <f t="shared" si="37"/>
        <v>110</v>
      </c>
      <c r="I44" s="31">
        <v>1.67E-2</v>
      </c>
      <c r="J44" s="16">
        <f t="shared" si="38"/>
        <v>1.837</v>
      </c>
      <c r="K44" s="3">
        <f t="shared" si="39"/>
        <v>28</v>
      </c>
      <c r="L44" s="7">
        <v>1</v>
      </c>
      <c r="M44" s="1">
        <f t="shared" si="43"/>
        <v>28</v>
      </c>
      <c r="N44" s="31">
        <v>8.3000000000000001E-3</v>
      </c>
      <c r="O44" s="14">
        <f t="shared" si="40"/>
        <v>0.2324</v>
      </c>
      <c r="P44" s="15">
        <f t="shared" si="41"/>
        <v>2.0693999999999999</v>
      </c>
      <c r="Q44" s="24">
        <v>59.31</v>
      </c>
      <c r="R44" s="101">
        <f t="shared" si="42"/>
        <v>122.736114</v>
      </c>
      <c r="S44" s="180">
        <f t="shared" si="8"/>
        <v>40.502917620000005</v>
      </c>
      <c r="T44" s="181">
        <f t="shared" si="32"/>
        <v>163.23903161999999</v>
      </c>
      <c r="V44" s="120"/>
    </row>
    <row r="45" spans="1:22" x14ac:dyDescent="0.25">
      <c r="A45" s="222"/>
      <c r="B45" s="11" t="s">
        <v>13</v>
      </c>
      <c r="C45" s="84" t="s">
        <v>75</v>
      </c>
      <c r="D45" s="30" t="s">
        <v>124</v>
      </c>
      <c r="E45" s="141">
        <v>138</v>
      </c>
      <c r="F45" s="139">
        <v>110</v>
      </c>
      <c r="G45" s="7">
        <v>1</v>
      </c>
      <c r="H45" s="1">
        <f t="shared" si="37"/>
        <v>110</v>
      </c>
      <c r="I45" s="67">
        <v>0.25</v>
      </c>
      <c r="J45" s="16">
        <f t="shared" si="38"/>
        <v>27.5</v>
      </c>
      <c r="K45" s="3">
        <f t="shared" si="39"/>
        <v>28</v>
      </c>
      <c r="L45" s="7">
        <v>1</v>
      </c>
      <c r="M45" s="1">
        <f t="shared" si="43"/>
        <v>28</v>
      </c>
      <c r="N45" s="31">
        <v>8.3000000000000001E-3</v>
      </c>
      <c r="O45" s="12">
        <f t="shared" si="40"/>
        <v>0.2324</v>
      </c>
      <c r="P45" s="15">
        <f t="shared" si="41"/>
        <v>27.732399999999998</v>
      </c>
      <c r="Q45" s="24">
        <v>59.31</v>
      </c>
      <c r="R45" s="101">
        <f t="shared" si="42"/>
        <v>1644.808644</v>
      </c>
      <c r="S45" s="180">
        <f t="shared" si="8"/>
        <v>542.78685252000002</v>
      </c>
      <c r="T45" s="181">
        <f t="shared" si="32"/>
        <v>2187.5954965199999</v>
      </c>
      <c r="V45" s="120"/>
    </row>
    <row r="46" spans="1:22" x14ac:dyDescent="0.25">
      <c r="A46" s="216" t="s">
        <v>40</v>
      </c>
      <c r="B46" s="11" t="s">
        <v>14</v>
      </c>
      <c r="C46" s="84" t="s">
        <v>121</v>
      </c>
      <c r="D46" s="30" t="s">
        <v>122</v>
      </c>
      <c r="E46" s="136">
        <v>8</v>
      </c>
      <c r="F46" s="137">
        <v>8</v>
      </c>
      <c r="G46" s="123">
        <v>1</v>
      </c>
      <c r="H46" s="138">
        <f t="shared" ref="H46" si="53">+F46*G46</f>
        <v>8</v>
      </c>
      <c r="I46" s="31">
        <v>1.67E-2</v>
      </c>
      <c r="J46" s="140">
        <f t="shared" ref="J46" si="54">+H46*I46</f>
        <v>0.1336</v>
      </c>
      <c r="K46" s="124">
        <f t="shared" ref="K46" si="55">+E46-F46</f>
        <v>0</v>
      </c>
      <c r="L46" s="123">
        <v>1</v>
      </c>
      <c r="M46" s="138">
        <f t="shared" ref="M46" si="56">+K46*L46</f>
        <v>0</v>
      </c>
      <c r="N46" s="125">
        <v>8.3000000000000001E-3</v>
      </c>
      <c r="O46" s="126">
        <f t="shared" ref="O46" si="57">M46*N46</f>
        <v>0</v>
      </c>
      <c r="P46" s="17">
        <f t="shared" ref="P46" si="58">+O46+J46</f>
        <v>0.1336</v>
      </c>
      <c r="Q46" s="24">
        <v>25.94</v>
      </c>
      <c r="R46" s="101">
        <f t="shared" ref="R46" si="59">Q46*P46</f>
        <v>3.4655840000000002</v>
      </c>
      <c r="S46" s="180">
        <f t="shared" ref="S46" si="60">R46*0.33</f>
        <v>1.1436427200000001</v>
      </c>
      <c r="T46" s="181">
        <f t="shared" ref="T46" si="61">R46+S46</f>
        <v>4.6092267200000006</v>
      </c>
    </row>
    <row r="47" spans="1:22" x14ac:dyDescent="0.25">
      <c r="A47" s="217"/>
      <c r="B47" s="11" t="s">
        <v>14</v>
      </c>
      <c r="C47" s="84" t="s">
        <v>118</v>
      </c>
      <c r="D47" s="30" t="s">
        <v>123</v>
      </c>
      <c r="E47" s="136">
        <v>8</v>
      </c>
      <c r="F47" s="137">
        <v>8</v>
      </c>
      <c r="G47" s="123">
        <v>1</v>
      </c>
      <c r="H47" s="138">
        <f t="shared" si="37"/>
        <v>8</v>
      </c>
      <c r="I47" s="173">
        <v>8</v>
      </c>
      <c r="J47" s="140">
        <f t="shared" si="38"/>
        <v>64</v>
      </c>
      <c r="K47" s="124">
        <f t="shared" si="39"/>
        <v>0</v>
      </c>
      <c r="L47" s="123">
        <v>1</v>
      </c>
      <c r="M47" s="138">
        <f t="shared" si="43"/>
        <v>0</v>
      </c>
      <c r="N47" s="125">
        <v>8.3000000000000001E-3</v>
      </c>
      <c r="O47" s="126">
        <f t="shared" si="40"/>
        <v>0</v>
      </c>
      <c r="P47" s="17">
        <f t="shared" si="41"/>
        <v>64</v>
      </c>
      <c r="Q47" s="24">
        <v>25.94</v>
      </c>
      <c r="R47" s="101">
        <f t="shared" si="42"/>
        <v>1660.16</v>
      </c>
      <c r="S47" s="180">
        <f t="shared" si="8"/>
        <v>547.8528</v>
      </c>
      <c r="T47" s="181">
        <f t="shared" si="32"/>
        <v>2208.0128</v>
      </c>
    </row>
    <row r="48" spans="1:22" x14ac:dyDescent="0.25">
      <c r="A48" s="217"/>
      <c r="B48" s="11" t="s">
        <v>14</v>
      </c>
      <c r="C48" s="84" t="s">
        <v>116</v>
      </c>
      <c r="D48" s="30" t="s">
        <v>93</v>
      </c>
      <c r="E48" s="136">
        <v>63</v>
      </c>
      <c r="F48" s="137">
        <v>60</v>
      </c>
      <c r="G48" s="123">
        <v>1</v>
      </c>
      <c r="H48" s="138">
        <f t="shared" ref="H48" si="62">+F48*G48</f>
        <v>60</v>
      </c>
      <c r="I48" s="125">
        <v>1.67E-2</v>
      </c>
      <c r="J48" s="140">
        <f t="shared" si="38"/>
        <v>1.002</v>
      </c>
      <c r="K48" s="124">
        <f t="shared" si="39"/>
        <v>3</v>
      </c>
      <c r="L48" s="123">
        <v>1</v>
      </c>
      <c r="M48" s="138">
        <f t="shared" ref="M48" si="63">+K48*L48</f>
        <v>3</v>
      </c>
      <c r="N48" s="125">
        <v>8.3000000000000001E-3</v>
      </c>
      <c r="O48" s="126">
        <f t="shared" si="40"/>
        <v>2.4899999999999999E-2</v>
      </c>
      <c r="P48" s="17">
        <f t="shared" si="41"/>
        <v>1.0268999999999999</v>
      </c>
      <c r="Q48" s="24">
        <v>25.94</v>
      </c>
      <c r="R48" s="101">
        <f t="shared" ref="R48" si="64">Q48*P48</f>
        <v>26.637785999999998</v>
      </c>
      <c r="S48" s="180">
        <f t="shared" ref="S48" si="65">R48*0.33</f>
        <v>8.7904693799999993</v>
      </c>
      <c r="T48" s="181">
        <f t="shared" ref="T48" si="66">R48+S48</f>
        <v>35.428255379999996</v>
      </c>
    </row>
    <row r="49" spans="1:22" x14ac:dyDescent="0.25">
      <c r="A49" s="217"/>
      <c r="B49" s="11" t="s">
        <v>14</v>
      </c>
      <c r="C49" s="84" t="s">
        <v>117</v>
      </c>
      <c r="D49" s="30" t="s">
        <v>92</v>
      </c>
      <c r="E49" s="132">
        <v>60</v>
      </c>
      <c r="F49" s="133">
        <v>60</v>
      </c>
      <c r="G49" s="7">
        <v>1</v>
      </c>
      <c r="H49" s="1">
        <f t="shared" si="37"/>
        <v>60</v>
      </c>
      <c r="I49" s="8">
        <v>1.5</v>
      </c>
      <c r="J49" s="16">
        <f t="shared" si="38"/>
        <v>90</v>
      </c>
      <c r="K49" s="3">
        <f t="shared" si="39"/>
        <v>0</v>
      </c>
      <c r="L49" s="7">
        <v>1</v>
      </c>
      <c r="M49" s="1">
        <f t="shared" si="43"/>
        <v>0</v>
      </c>
      <c r="N49" s="31">
        <v>8.3000000000000001E-3</v>
      </c>
      <c r="O49" s="14">
        <f t="shared" si="40"/>
        <v>0</v>
      </c>
      <c r="P49" s="17">
        <f t="shared" si="41"/>
        <v>90</v>
      </c>
      <c r="Q49" s="24">
        <v>25.94</v>
      </c>
      <c r="R49" s="101">
        <f t="shared" si="42"/>
        <v>2334.6</v>
      </c>
      <c r="S49" s="180">
        <f t="shared" si="8"/>
        <v>770.41800000000001</v>
      </c>
      <c r="T49" s="181">
        <f t="shared" si="32"/>
        <v>3105.018</v>
      </c>
      <c r="V49" s="121"/>
    </row>
    <row r="50" spans="1:22" ht="15.75" x14ac:dyDescent="0.25">
      <c r="A50" s="217"/>
      <c r="B50" s="11" t="s">
        <v>14</v>
      </c>
      <c r="C50" s="84" t="s">
        <v>74</v>
      </c>
      <c r="D50" s="30" t="s">
        <v>94</v>
      </c>
      <c r="E50" s="132">
        <v>42</v>
      </c>
      <c r="F50" s="133">
        <v>40</v>
      </c>
      <c r="G50" s="7">
        <v>1</v>
      </c>
      <c r="H50" s="1">
        <f t="shared" si="37"/>
        <v>40</v>
      </c>
      <c r="I50" s="31">
        <v>1.67E-2</v>
      </c>
      <c r="J50" s="16">
        <f t="shared" si="38"/>
        <v>0.66799999999999993</v>
      </c>
      <c r="K50" s="3">
        <f t="shared" si="39"/>
        <v>2</v>
      </c>
      <c r="L50" s="7">
        <v>1</v>
      </c>
      <c r="M50" s="1">
        <f t="shared" si="43"/>
        <v>2</v>
      </c>
      <c r="N50" s="31">
        <v>8.3000000000000001E-3</v>
      </c>
      <c r="O50" s="14">
        <f t="shared" si="40"/>
        <v>1.66E-2</v>
      </c>
      <c r="P50" s="17">
        <f t="shared" si="41"/>
        <v>0.68459999999999988</v>
      </c>
      <c r="Q50" s="24">
        <v>25.94</v>
      </c>
      <c r="R50" s="101">
        <f t="shared" si="42"/>
        <v>17.758523999999998</v>
      </c>
      <c r="S50" s="180">
        <f t="shared" si="8"/>
        <v>5.8603129199999993</v>
      </c>
      <c r="T50" s="181">
        <f t="shared" si="32"/>
        <v>23.618836919999996</v>
      </c>
      <c r="V50" s="121"/>
    </row>
    <row r="51" spans="1:22" ht="15.75" thickBot="1" x14ac:dyDescent="0.3">
      <c r="A51" s="218"/>
      <c r="B51" s="11" t="s">
        <v>14</v>
      </c>
      <c r="C51" s="145" t="s">
        <v>75</v>
      </c>
      <c r="D51" s="30" t="s">
        <v>124</v>
      </c>
      <c r="E51" s="134">
        <v>42</v>
      </c>
      <c r="F51" s="135">
        <v>40</v>
      </c>
      <c r="G51" s="18">
        <v>1</v>
      </c>
      <c r="H51" s="19">
        <f t="shared" si="37"/>
        <v>40</v>
      </c>
      <c r="I51" s="142">
        <v>0.25</v>
      </c>
      <c r="J51" s="20">
        <f t="shared" si="38"/>
        <v>10</v>
      </c>
      <c r="K51" s="21">
        <f t="shared" si="39"/>
        <v>2</v>
      </c>
      <c r="L51" s="18">
        <v>1</v>
      </c>
      <c r="M51" s="19">
        <f t="shared" si="43"/>
        <v>2</v>
      </c>
      <c r="N51" s="85">
        <v>8.3000000000000001E-3</v>
      </c>
      <c r="O51" s="22">
        <f t="shared" si="40"/>
        <v>1.66E-2</v>
      </c>
      <c r="P51" s="23">
        <f t="shared" si="41"/>
        <v>10.0166</v>
      </c>
      <c r="Q51" s="25">
        <v>25.94</v>
      </c>
      <c r="R51" s="103">
        <f t="shared" si="42"/>
        <v>259.83060400000005</v>
      </c>
      <c r="S51" s="182">
        <f t="shared" si="8"/>
        <v>85.744099320000018</v>
      </c>
      <c r="T51" s="183">
        <f t="shared" si="32"/>
        <v>345.57470332000008</v>
      </c>
      <c r="V51" s="120"/>
    </row>
    <row r="52" spans="1:22" ht="16.5" thickTop="1" thickBot="1" x14ac:dyDescent="0.3">
      <c r="A52" s="204" t="s">
        <v>49</v>
      </c>
      <c r="B52" s="205"/>
      <c r="C52" s="206"/>
      <c r="D52" s="74"/>
      <c r="E52" s="75">
        <f>SUM(E40,E43,E44,E47,E48,E50)</f>
        <v>431</v>
      </c>
      <c r="F52" s="143">
        <f>SUM(F40,F43,F44,F47,F48,F50)</f>
        <v>391</v>
      </c>
      <c r="G52" s="76">
        <f>H52/F52</f>
        <v>2</v>
      </c>
      <c r="H52" s="77">
        <f>SUM(H40:H51)</f>
        <v>782</v>
      </c>
      <c r="I52" s="128">
        <f>J52/H52</f>
        <v>0.65157250639386188</v>
      </c>
      <c r="J52" s="131">
        <f>SUM(J40:J51)</f>
        <v>509.52969999999999</v>
      </c>
      <c r="K52" s="129">
        <f>SUM(K40,K43,K44,K47,K48,K50)</f>
        <v>40</v>
      </c>
      <c r="L52" s="130">
        <f>IFERROR(M52/K52,"")</f>
        <v>1.75</v>
      </c>
      <c r="M52" s="77">
        <f>SUM(M40:M51)</f>
        <v>70</v>
      </c>
      <c r="N52" s="77">
        <f>IFERROR(O52/M52,"")</f>
        <v>9.1399999999999988E-3</v>
      </c>
      <c r="O52" s="131">
        <f>SUM(O40:O51)</f>
        <v>0.63979999999999992</v>
      </c>
      <c r="P52" s="82">
        <f t="shared" si="41"/>
        <v>510.16949999999997</v>
      </c>
      <c r="Q52" s="83" t="s">
        <v>38</v>
      </c>
      <c r="R52" s="102">
        <f>SUM(R40:R51)</f>
        <v>24723.348115999997</v>
      </c>
      <c r="S52" s="189">
        <f>R52*0.33</f>
        <v>8158.7048782799993</v>
      </c>
      <c r="T52" s="190">
        <f>R52+S52</f>
        <v>32882.052994279999</v>
      </c>
    </row>
    <row r="53" spans="1:22" ht="15.75" thickTop="1" x14ac:dyDescent="0.25">
      <c r="A53" s="223" t="s">
        <v>72</v>
      </c>
      <c r="B53" s="11" t="s">
        <v>14</v>
      </c>
      <c r="C53" s="84" t="s">
        <v>121</v>
      </c>
      <c r="D53" s="30" t="s">
        <v>122</v>
      </c>
      <c r="E53" s="148">
        <v>8</v>
      </c>
      <c r="F53" s="149">
        <v>8</v>
      </c>
      <c r="G53" s="123">
        <v>1</v>
      </c>
      <c r="H53" s="150">
        <f t="shared" ref="H53:H58" si="67">+F53*G53</f>
        <v>8</v>
      </c>
      <c r="I53" s="31">
        <v>1.67E-2</v>
      </c>
      <c r="J53" s="151">
        <f t="shared" ref="J53:J58" si="68">+H53*I53</f>
        <v>0.1336</v>
      </c>
      <c r="K53" s="124">
        <f t="shared" ref="K53:K58" si="69">+E53-F53</f>
        <v>0</v>
      </c>
      <c r="L53" s="123">
        <v>1</v>
      </c>
      <c r="M53" s="150">
        <f>+K53*L53</f>
        <v>0</v>
      </c>
      <c r="N53" s="125">
        <v>1.67E-2</v>
      </c>
      <c r="O53" s="126">
        <f t="shared" ref="O53:O58" si="70">M53*N53</f>
        <v>0</v>
      </c>
      <c r="P53" s="152">
        <f t="shared" ref="P53" si="71">+O53+J53</f>
        <v>0.1336</v>
      </c>
      <c r="Q53" s="24">
        <v>25.94</v>
      </c>
      <c r="R53" s="153">
        <f t="shared" ref="R53" si="72">Q53*P53</f>
        <v>3.4655840000000002</v>
      </c>
      <c r="S53" s="178">
        <f t="shared" ref="S53" si="73">R53*0.33</f>
        <v>1.1436427200000001</v>
      </c>
      <c r="T53" s="179">
        <f t="shared" ref="T53" si="74">R53+S53</f>
        <v>4.6092267200000006</v>
      </c>
    </row>
    <row r="54" spans="1:22" ht="15" customHeight="1" x14ac:dyDescent="0.25">
      <c r="A54" s="217"/>
      <c r="B54" s="11" t="s">
        <v>14</v>
      </c>
      <c r="C54" s="84" t="s">
        <v>118</v>
      </c>
      <c r="D54" s="30" t="s">
        <v>123</v>
      </c>
      <c r="E54" s="148">
        <v>8</v>
      </c>
      <c r="F54" s="149">
        <v>8</v>
      </c>
      <c r="G54" s="123">
        <v>1</v>
      </c>
      <c r="H54" s="150">
        <f t="shared" si="67"/>
        <v>8</v>
      </c>
      <c r="I54" s="173">
        <v>8</v>
      </c>
      <c r="J54" s="151">
        <f t="shared" si="68"/>
        <v>64</v>
      </c>
      <c r="K54" s="124">
        <f t="shared" si="69"/>
        <v>0</v>
      </c>
      <c r="L54" s="123">
        <v>1</v>
      </c>
      <c r="M54" s="150">
        <f>+K54*L54</f>
        <v>0</v>
      </c>
      <c r="N54" s="125">
        <v>1.67E-2</v>
      </c>
      <c r="O54" s="126">
        <f t="shared" si="70"/>
        <v>0</v>
      </c>
      <c r="P54" s="152">
        <f t="shared" si="41"/>
        <v>64</v>
      </c>
      <c r="Q54" s="24">
        <v>25.94</v>
      </c>
      <c r="R54" s="153">
        <f t="shared" ref="R54:R58" si="75">Q54*P54</f>
        <v>1660.16</v>
      </c>
      <c r="S54" s="178">
        <f t="shared" ref="S54:S58" si="76">R54*0.33</f>
        <v>547.8528</v>
      </c>
      <c r="T54" s="179">
        <f t="shared" ref="T54:T58" si="77">R54+S54</f>
        <v>2208.0128</v>
      </c>
    </row>
    <row r="55" spans="1:22" x14ac:dyDescent="0.25">
      <c r="A55" s="217"/>
      <c r="B55" s="11" t="s">
        <v>14</v>
      </c>
      <c r="C55" s="84" t="s">
        <v>116</v>
      </c>
      <c r="D55" s="30" t="s">
        <v>93</v>
      </c>
      <c r="E55" s="148">
        <v>16</v>
      </c>
      <c r="F55" s="149">
        <v>15</v>
      </c>
      <c r="G55" s="123">
        <v>1</v>
      </c>
      <c r="H55" s="150">
        <f t="shared" si="67"/>
        <v>15</v>
      </c>
      <c r="I55" s="125">
        <v>1.67E-2</v>
      </c>
      <c r="J55" s="151">
        <f t="shared" si="68"/>
        <v>0.2505</v>
      </c>
      <c r="K55" s="124">
        <f t="shared" si="69"/>
        <v>1</v>
      </c>
      <c r="L55" s="123">
        <v>1</v>
      </c>
      <c r="M55" s="150">
        <f>+K55*L55</f>
        <v>1</v>
      </c>
      <c r="N55" s="125">
        <v>1.67E-2</v>
      </c>
      <c r="O55" s="126">
        <f t="shared" si="70"/>
        <v>1.67E-2</v>
      </c>
      <c r="P55" s="152">
        <f t="shared" si="41"/>
        <v>0.26719999999999999</v>
      </c>
      <c r="Q55" s="24">
        <v>25.94</v>
      </c>
      <c r="R55" s="153">
        <f t="shared" ref="R55" si="78">Q55*P55</f>
        <v>6.9311680000000004</v>
      </c>
      <c r="S55" s="178">
        <f t="shared" ref="S55" si="79">R55*0.33</f>
        <v>2.2872854400000002</v>
      </c>
      <c r="T55" s="179">
        <f t="shared" ref="T55" si="80">R55+S55</f>
        <v>9.2184534400000011</v>
      </c>
    </row>
    <row r="56" spans="1:22" x14ac:dyDescent="0.25">
      <c r="A56" s="217"/>
      <c r="B56" s="11" t="s">
        <v>14</v>
      </c>
      <c r="C56" s="84" t="s">
        <v>117</v>
      </c>
      <c r="D56" s="30" t="s">
        <v>92</v>
      </c>
      <c r="E56" s="9">
        <v>15</v>
      </c>
      <c r="F56" s="10">
        <v>15</v>
      </c>
      <c r="G56" s="7">
        <v>1</v>
      </c>
      <c r="H56" s="11">
        <f t="shared" si="67"/>
        <v>15</v>
      </c>
      <c r="I56" s="8">
        <v>1.5</v>
      </c>
      <c r="J56" s="12">
        <f t="shared" si="68"/>
        <v>22.5</v>
      </c>
      <c r="K56" s="13">
        <f t="shared" si="69"/>
        <v>0</v>
      </c>
      <c r="L56" s="7">
        <v>1</v>
      </c>
      <c r="M56" s="11">
        <f t="shared" ref="M56:M58" si="81">+K56*L56</f>
        <v>0</v>
      </c>
      <c r="N56" s="31">
        <v>8.3000000000000001E-3</v>
      </c>
      <c r="O56" s="14">
        <f t="shared" si="70"/>
        <v>0</v>
      </c>
      <c r="P56" s="15">
        <f t="shared" si="41"/>
        <v>22.5</v>
      </c>
      <c r="Q56" s="24">
        <v>25.94</v>
      </c>
      <c r="R56" s="101">
        <f t="shared" si="75"/>
        <v>583.65</v>
      </c>
      <c r="S56" s="180">
        <f t="shared" si="76"/>
        <v>192.6045</v>
      </c>
      <c r="T56" s="181">
        <f t="shared" si="77"/>
        <v>776.25450000000001</v>
      </c>
    </row>
    <row r="57" spans="1:22" ht="15.75" x14ac:dyDescent="0.25">
      <c r="A57" s="217"/>
      <c r="B57" s="11" t="s">
        <v>14</v>
      </c>
      <c r="C57" s="84" t="s">
        <v>74</v>
      </c>
      <c r="D57" s="30" t="s">
        <v>94</v>
      </c>
      <c r="E57" s="9">
        <v>11</v>
      </c>
      <c r="F57" s="10">
        <v>10</v>
      </c>
      <c r="G57" s="7">
        <v>1</v>
      </c>
      <c r="H57" s="11">
        <f t="shared" si="67"/>
        <v>10</v>
      </c>
      <c r="I57" s="31">
        <v>1.67E-2</v>
      </c>
      <c r="J57" s="12">
        <f t="shared" si="68"/>
        <v>0.16699999999999998</v>
      </c>
      <c r="K57" s="13">
        <f t="shared" si="69"/>
        <v>1</v>
      </c>
      <c r="L57" s="7">
        <v>1</v>
      </c>
      <c r="M57" s="11">
        <f t="shared" si="81"/>
        <v>1</v>
      </c>
      <c r="N57" s="31">
        <v>8.3000000000000001E-3</v>
      </c>
      <c r="O57" s="14">
        <f t="shared" si="70"/>
        <v>8.3000000000000001E-3</v>
      </c>
      <c r="P57" s="15">
        <f t="shared" si="41"/>
        <v>0.17529999999999998</v>
      </c>
      <c r="Q57" s="24">
        <v>25.94</v>
      </c>
      <c r="R57" s="101">
        <f t="shared" si="75"/>
        <v>4.547282</v>
      </c>
      <c r="S57" s="180">
        <f t="shared" si="76"/>
        <v>1.50060306</v>
      </c>
      <c r="T57" s="181">
        <f t="shared" si="77"/>
        <v>6.0478850600000005</v>
      </c>
    </row>
    <row r="58" spans="1:22" ht="15.75" thickBot="1" x14ac:dyDescent="0.3">
      <c r="A58" s="218"/>
      <c r="B58" s="11" t="s">
        <v>14</v>
      </c>
      <c r="C58" s="84" t="s">
        <v>75</v>
      </c>
      <c r="D58" s="30" t="s">
        <v>124</v>
      </c>
      <c r="E58" s="154">
        <v>11</v>
      </c>
      <c r="F58" s="155">
        <v>10</v>
      </c>
      <c r="G58" s="18">
        <v>1</v>
      </c>
      <c r="H58" s="156">
        <f t="shared" si="67"/>
        <v>10</v>
      </c>
      <c r="I58" s="142">
        <v>0.25</v>
      </c>
      <c r="J58" s="157">
        <f t="shared" si="68"/>
        <v>2.5</v>
      </c>
      <c r="K58" s="158">
        <f t="shared" si="69"/>
        <v>1</v>
      </c>
      <c r="L58" s="18">
        <v>1</v>
      </c>
      <c r="M58" s="156">
        <f t="shared" si="81"/>
        <v>1</v>
      </c>
      <c r="N58" s="159">
        <v>0</v>
      </c>
      <c r="O58" s="22">
        <f t="shared" si="70"/>
        <v>0</v>
      </c>
      <c r="P58" s="160">
        <f t="shared" si="41"/>
        <v>2.5</v>
      </c>
      <c r="Q58" s="161">
        <v>25.94</v>
      </c>
      <c r="R58" s="103">
        <f t="shared" si="75"/>
        <v>64.850000000000009</v>
      </c>
      <c r="S58" s="191">
        <f t="shared" si="76"/>
        <v>21.400500000000005</v>
      </c>
      <c r="T58" s="192">
        <f t="shared" si="77"/>
        <v>86.250500000000017</v>
      </c>
      <c r="V58" s="120"/>
    </row>
    <row r="59" spans="1:22" ht="16.5" thickTop="1" thickBot="1" x14ac:dyDescent="0.3">
      <c r="A59" s="207" t="s">
        <v>73</v>
      </c>
      <c r="B59" s="208"/>
      <c r="C59" s="209"/>
      <c r="D59" s="162"/>
      <c r="E59" s="163">
        <f>SUM(E54,E55,E58)</f>
        <v>35</v>
      </c>
      <c r="F59" s="164">
        <f>SUM(F54,F55,F58)</f>
        <v>33</v>
      </c>
      <c r="G59" s="165">
        <f>H59/F59</f>
        <v>1.7575757575757576</v>
      </c>
      <c r="H59" s="166">
        <f>SUM(H54:H58)</f>
        <v>58</v>
      </c>
      <c r="I59" s="167">
        <f>J59/H59</f>
        <v>1.5416810344827587</v>
      </c>
      <c r="J59" s="200">
        <f>SUM(J54:J58)</f>
        <v>89.417500000000004</v>
      </c>
      <c r="K59" s="164">
        <f>SUM(K54,K55,K58)</f>
        <v>2</v>
      </c>
      <c r="L59" s="168">
        <f>IFERROR(M59/K59,"")</f>
        <v>1.5</v>
      </c>
      <c r="M59" s="169">
        <f>SUM(M54:M58)</f>
        <v>3</v>
      </c>
      <c r="N59" s="169">
        <f>IFERROR(O59/M59,"")</f>
        <v>8.3333333333333332E-3</v>
      </c>
      <c r="O59" s="170">
        <f>SUM(O54:O58)</f>
        <v>2.5000000000000001E-2</v>
      </c>
      <c r="P59" s="171">
        <f t="shared" si="41"/>
        <v>89.44250000000001</v>
      </c>
      <c r="Q59" s="172" t="s">
        <v>38</v>
      </c>
      <c r="R59" s="193">
        <f>SUM(R54:R58)</f>
        <v>2320.1384499999999</v>
      </c>
      <c r="S59" s="194">
        <f>R59*0.33</f>
        <v>765.64568850000001</v>
      </c>
      <c r="T59" s="195">
        <f>R59+S59</f>
        <v>3085.7841385000002</v>
      </c>
    </row>
    <row r="60" spans="1:22" ht="15.75" thickBot="1" x14ac:dyDescent="0.3">
      <c r="A60" s="86"/>
      <c r="B60" s="87" t="s">
        <v>0</v>
      </c>
      <c r="C60" s="88"/>
      <c r="D60" s="89"/>
      <c r="E60" s="90">
        <f>E52+E38+E59</f>
        <v>61782</v>
      </c>
      <c r="F60" s="91">
        <f>F52+F38+F59</f>
        <v>49476</v>
      </c>
      <c r="G60" s="92">
        <f>+H60/F60</f>
        <v>3.5011728919071881</v>
      </c>
      <c r="H60" s="93">
        <f>H52+H38+H59</f>
        <v>173224.03000000003</v>
      </c>
      <c r="I60" s="92">
        <f>+J60/H60</f>
        <v>8.6514896004901837E-2</v>
      </c>
      <c r="J60" s="198">
        <f>J52+J38+J59</f>
        <v>14986.458940999997</v>
      </c>
      <c r="K60" s="94">
        <f>K52+K38+K59</f>
        <v>12306</v>
      </c>
      <c r="L60" s="201">
        <f>M60/K60</f>
        <v>5.3658353648626687</v>
      </c>
      <c r="M60" s="95">
        <f>M38+M52+M59</f>
        <v>66031.97</v>
      </c>
      <c r="N60" s="96">
        <f>O60/M60</f>
        <v>1.8616420485410321E-2</v>
      </c>
      <c r="O60" s="199">
        <f>O52+O38+O59</f>
        <v>1229.2789189999999</v>
      </c>
      <c r="P60" s="144">
        <f>P52+P38+P59</f>
        <v>16215.737859999997</v>
      </c>
      <c r="Q60" s="196"/>
      <c r="R60" s="104">
        <f>R52+R38+R59</f>
        <v>243415.64424099997</v>
      </c>
      <c r="S60" s="104">
        <f>R60*0.33</f>
        <v>80327.162599529998</v>
      </c>
      <c r="T60" s="104">
        <f>R60+S60</f>
        <v>323742.80684052996</v>
      </c>
    </row>
    <row r="61" spans="1:22" x14ac:dyDescent="0.25">
      <c r="F61" s="147"/>
      <c r="G61" s="197"/>
      <c r="H61" s="147"/>
      <c r="J61" s="97"/>
      <c r="M61" s="147"/>
      <c r="N61" s="147"/>
      <c r="P61" s="97"/>
      <c r="V61" s="120"/>
    </row>
    <row r="62" spans="1:22" ht="15.75" x14ac:dyDescent="0.25">
      <c r="A62" s="98" t="s">
        <v>68</v>
      </c>
      <c r="J62" s="97"/>
      <c r="N62" s="147"/>
      <c r="O62" s="147"/>
      <c r="P62" s="97"/>
    </row>
    <row r="63" spans="1:22" x14ac:dyDescent="0.25">
      <c r="A63" s="99"/>
      <c r="J63" s="97"/>
      <c r="P63" s="97"/>
    </row>
    <row r="65" spans="1:18" x14ac:dyDescent="0.25">
      <c r="A65" s="210" t="s">
        <v>126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</row>
    <row r="66" spans="1:18" x14ac:dyDescent="0.25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</row>
    <row r="67" spans="1:18" x14ac:dyDescent="0.25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</row>
    <row r="68" spans="1:18" x14ac:dyDescent="0.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spans="1:18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</sheetData>
  <mergeCells count="10">
    <mergeCell ref="A52:C52"/>
    <mergeCell ref="A59:C59"/>
    <mergeCell ref="A65:R67"/>
    <mergeCell ref="F1:J1"/>
    <mergeCell ref="K1:O1"/>
    <mergeCell ref="A4:A37"/>
    <mergeCell ref="A38:C38"/>
    <mergeCell ref="A40:A45"/>
    <mergeCell ref="A53:A58"/>
    <mergeCell ref="A46:A5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ank xmlns="e7af00a0-4db2-4e43-90e3-8e4b091aeec2">6</Rank>
    <Description0 xmlns="e7af00a0-4db2-4e43-90e3-8e4b091aeec2">Complex Burden Table Template - for Studies</Description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e7af00a0-4db2-4e43-90e3-8e4b091aeec2"/>
    <ds:schemaRef ds:uri="http://schemas.microsoft.com/office/infopath/2007/PartnerControls"/>
    <ds:schemaRef ds:uri="a962400d-f753-4618-8b3a-acffb4d0003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D2DB342-A2DA-47DC-9823-9135DDDA6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59F468-1957-4B96-B7DB-1C96F3EDBC7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MATHEMATICA</dc:creator>
  <cp:lastModifiedBy>Kim McDonald</cp:lastModifiedBy>
  <cp:lastPrinted>2014-09-30T16:28:08Z</cp:lastPrinted>
  <dcterms:created xsi:type="dcterms:W3CDTF">2013-01-08T21:49:18Z</dcterms:created>
  <dcterms:modified xsi:type="dcterms:W3CDTF">2023-03-22T20:28:28Z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300</vt:r8>
  </property>
  <property fmtid="{D5CDD505-2E9C-101B-9397-08002B2CF9AE}" pid="4" name="xd_ProgID">
    <vt:lpwstr/>
  </property>
  <property fmtid="{D5CDD505-2E9C-101B-9397-08002B2CF9AE}" pid="5" name="_dlc_DocId">
    <vt:lpwstr>PAT56XDWNNC6-1500440792-3</vt:lpwstr>
  </property>
  <property fmtid="{D5CDD505-2E9C-101B-9397-08002B2CF9AE}" pid="6" name="_dlc_DocIdUrl">
    <vt:lpwstr>https://fncspro.usda.net/offices/ops/prao/_layouts/15/DocIdRedir.aspx?ID=PAT56XDWNNC6-1500440792-3, PAT56XDWNNC6-1500440792-3</vt:lpwstr>
  </property>
  <property fmtid="{D5CDD505-2E9C-101B-9397-08002B2CF9AE}" pid="7" name="TemplateUrl">
    <vt:lpwstr/>
  </property>
  <property fmtid="{D5CDD505-2E9C-101B-9397-08002B2CF9AE}" pid="8" name="_dlc_DocIdItemGuid">
    <vt:lpwstr>d7a3ecdc-64e6-4733-8f06-1b654382058a</vt:lpwstr>
  </property>
</Properties>
</file>