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mc:AlternateContent xmlns:mc="http://schemas.openxmlformats.org/markup-compatibility/2006">
    <mc:Choice Requires="x15">
      <x15ac:absPath xmlns:x15ac="http://schemas.microsoft.com/office/spreadsheetml/2010/11/ac" url="https://usepa-my.sharepoint.com/personal/kerwin_courtney_epa_gov/Documents/Downloads/"/>
    </mc:Choice>
  </mc:AlternateContent>
  <xr:revisionPtr revIDLastSave="0" documentId="8_{8BC2A8AF-D7E9-42C1-9D29-C90217CB2D4A}" xr6:coauthVersionLast="47" xr6:coauthVersionMax="47" xr10:uidLastSave="{00000000-0000-0000-0000-000000000000}"/>
  <workbookProtection workbookAlgorithmName="SHA-512" workbookHashValue="YQQ+MDOFnWM0IJaCY+yISM/PiQI2t8HuLGcpC0VKo+S7mgBkXTJZVLY8UcsJCiZniCY0AmJ6eAh8lLKBivn6gg==" workbookSaltValue="t5ciMLKcMamlkW+SsOwBAQ==" workbookSpinCount="100000" lockStructure="1"/>
  <bookViews>
    <workbookView xWindow="-38520" yWindow="810" windowWidth="19440" windowHeight="14880" activeTab="3" xr2:uid="{00000000-000D-0000-FFFF-FFFF00000000}"/>
  </bookViews>
  <sheets>
    <sheet name="Cover" sheetId="12" r:id="rId1"/>
    <sheet name="Table 1" sheetId="1" r:id="rId2"/>
    <sheet name="Table 2" sheetId="6" r:id="rId3"/>
    <sheet name="Table 3" sheetId="7" r:id="rId4"/>
    <sheet name="Table 4" sheetId="8" r:id="rId5"/>
    <sheet name="Table 5" sheetId="2" r:id="rId6"/>
    <sheet name="Table 6" sheetId="9" r:id="rId7"/>
    <sheet name="Table 7" sheetId="10" r:id="rId8"/>
    <sheet name="Table 8" sheetId="11" r:id="rId9"/>
    <sheet name="Capital O&amp;M" sheetId="3" r:id="rId10"/>
    <sheet name="Responses" sheetId="4" r:id="rId11"/>
    <sheet name="Respondents" sheetId="5" r:id="rId1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7" i="8" l="1"/>
  <c r="D7" i="8"/>
  <c r="D8" i="8"/>
  <c r="E11" i="4"/>
  <c r="E5" i="4"/>
  <c r="B10" i="4"/>
  <c r="B9" i="4"/>
  <c r="B8" i="4"/>
  <c r="B7" i="4"/>
  <c r="B5" i="4"/>
  <c r="B6" i="4" s="1"/>
  <c r="C9" i="5"/>
  <c r="B9" i="5"/>
  <c r="E7" i="11"/>
  <c r="C7" i="11" l="1"/>
  <c r="B7" i="11"/>
  <c r="C6" i="11"/>
  <c r="B6" i="11"/>
  <c r="C5" i="11"/>
  <c r="C4" i="11"/>
  <c r="C3" i="11"/>
  <c r="B5" i="11"/>
  <c r="B4" i="11"/>
  <c r="B3" i="11"/>
  <c r="D7" i="11"/>
  <c r="D6" i="11"/>
  <c r="E5" i="11"/>
  <c r="E4" i="11"/>
  <c r="E11" i="10"/>
  <c r="E9" i="10"/>
  <c r="E10" i="10" s="1"/>
  <c r="E8" i="10"/>
  <c r="F8" i="10" s="1"/>
  <c r="H8" i="10" s="1"/>
  <c r="E7" i="10"/>
  <c r="E6" i="10"/>
  <c r="E11" i="9"/>
  <c r="E8" i="9"/>
  <c r="F8" i="9" s="1"/>
  <c r="H8" i="9" s="1"/>
  <c r="E7" i="9"/>
  <c r="E6" i="9"/>
  <c r="D11" i="10"/>
  <c r="D10" i="10"/>
  <c r="D9" i="10"/>
  <c r="D8" i="10"/>
  <c r="D7" i="10"/>
  <c r="D6" i="10"/>
  <c r="F6" i="10" s="1"/>
  <c r="F11" i="9"/>
  <c r="D11" i="9"/>
  <c r="D10" i="9"/>
  <c r="E9" i="9"/>
  <c r="E10" i="9" s="1"/>
  <c r="D9" i="9"/>
  <c r="F9" i="9" s="1"/>
  <c r="D8" i="9"/>
  <c r="D7" i="9"/>
  <c r="F7" i="9" s="1"/>
  <c r="D6" i="9"/>
  <c r="F6" i="9" s="1"/>
  <c r="I12" i="2"/>
  <c r="I6" i="2"/>
  <c r="H6" i="2"/>
  <c r="G6" i="2"/>
  <c r="F6" i="2"/>
  <c r="D24" i="7"/>
  <c r="F24" i="7" s="1"/>
  <c r="D23" i="7"/>
  <c r="F23" i="7" s="1"/>
  <c r="D24" i="6"/>
  <c r="F24" i="6" s="1"/>
  <c r="G23" i="6"/>
  <c r="F23" i="6"/>
  <c r="H23" i="6" s="1"/>
  <c r="D23" i="6"/>
  <c r="E3" i="11" l="1"/>
  <c r="F11" i="10"/>
  <c r="G11" i="10" s="1"/>
  <c r="F9" i="10"/>
  <c r="F7" i="10"/>
  <c r="G7" i="10" s="1"/>
  <c r="G9" i="10"/>
  <c r="H9" i="10"/>
  <c r="H6" i="10"/>
  <c r="G6" i="10"/>
  <c r="I6" i="10" s="1"/>
  <c r="F10" i="10"/>
  <c r="G8" i="10"/>
  <c r="I8" i="10" s="1"/>
  <c r="G9" i="9"/>
  <c r="H9" i="9"/>
  <c r="I9" i="9" s="1"/>
  <c r="H6" i="9"/>
  <c r="G6" i="9"/>
  <c r="F10" i="9"/>
  <c r="H7" i="9"/>
  <c r="G7" i="9"/>
  <c r="G8" i="9"/>
  <c r="I8" i="9"/>
  <c r="G11" i="9"/>
  <c r="I11" i="9" s="1"/>
  <c r="H11" i="9"/>
  <c r="H23" i="7"/>
  <c r="G23" i="7"/>
  <c r="I23" i="7" s="1"/>
  <c r="I24" i="7"/>
  <c r="H24" i="7"/>
  <c r="G24" i="7"/>
  <c r="I23" i="6"/>
  <c r="H24" i="6"/>
  <c r="G24" i="6"/>
  <c r="I24" i="6" s="1"/>
  <c r="E6" i="11" l="1"/>
  <c r="H11" i="10"/>
  <c r="I11" i="10" s="1"/>
  <c r="I9" i="10"/>
  <c r="H7" i="10"/>
  <c r="I7" i="10" s="1"/>
  <c r="I7" i="9"/>
  <c r="I6" i="9"/>
  <c r="H10" i="10"/>
  <c r="G10" i="10"/>
  <c r="H10" i="9"/>
  <c r="I10" i="9" s="1"/>
  <c r="G10" i="9"/>
  <c r="I10" i="10" l="1"/>
  <c r="I12" i="10" s="1"/>
  <c r="F12" i="10"/>
  <c r="I12" i="9"/>
  <c r="F12" i="9"/>
  <c r="E8" i="2" l="1"/>
  <c r="D8" i="2"/>
  <c r="F8" i="2" s="1"/>
  <c r="E11" i="2"/>
  <c r="E9" i="2"/>
  <c r="E7" i="2"/>
  <c r="E6" i="2"/>
  <c r="D6" i="8"/>
  <c r="I27" i="7"/>
  <c r="D5" i="8"/>
  <c r="E4" i="8"/>
  <c r="D4" i="8"/>
  <c r="I26" i="1"/>
  <c r="I28" i="1" s="1"/>
  <c r="G14" i="3"/>
  <c r="D14" i="3"/>
  <c r="H8" i="2" l="1"/>
  <c r="G8" i="2"/>
  <c r="I8" i="2" s="1"/>
  <c r="I27" i="6" l="1"/>
  <c r="I27" i="1"/>
  <c r="C13" i="3"/>
  <c r="C12" i="3"/>
  <c r="C11" i="3"/>
  <c r="C10" i="3"/>
  <c r="C9" i="3"/>
  <c r="C8" i="3"/>
  <c r="C7" i="3"/>
  <c r="C6" i="3"/>
  <c r="C4" i="3"/>
  <c r="F7" i="3" l="1"/>
  <c r="F6" i="3"/>
  <c r="F5" i="3"/>
  <c r="F4" i="3"/>
  <c r="F13" i="3"/>
  <c r="F12" i="3"/>
  <c r="F11" i="3"/>
  <c r="F10" i="3"/>
  <c r="F9" i="3"/>
  <c r="F8" i="3"/>
  <c r="C4" i="8"/>
  <c r="E9" i="1" l="1"/>
  <c r="E12" i="1" s="1"/>
  <c r="D24" i="1" l="1"/>
  <c r="F24" i="1" s="1"/>
  <c r="D23" i="1"/>
  <c r="F23" i="1" s="1"/>
  <c r="G23" i="1" s="1"/>
  <c r="H24" i="1" l="1"/>
  <c r="G24" i="1"/>
  <c r="I24" i="1" s="1"/>
  <c r="H23" i="1"/>
  <c r="I23" i="1" s="1"/>
  <c r="E16" i="7" l="1"/>
  <c r="E16" i="6"/>
  <c r="F16" i="6" s="1"/>
  <c r="H16" i="6" s="1"/>
  <c r="E21" i="1"/>
  <c r="D22" i="7"/>
  <c r="D21" i="7"/>
  <c r="D18" i="7"/>
  <c r="D17" i="7"/>
  <c r="D16" i="7"/>
  <c r="D15" i="7"/>
  <c r="D13" i="7"/>
  <c r="D12" i="7"/>
  <c r="D10" i="7"/>
  <c r="D22" i="6"/>
  <c r="D21" i="6"/>
  <c r="D18" i="6"/>
  <c r="D17" i="6"/>
  <c r="D16" i="6"/>
  <c r="D15" i="6"/>
  <c r="D13" i="6"/>
  <c r="D12" i="6"/>
  <c r="D10" i="6"/>
  <c r="F16" i="7" l="1"/>
  <c r="H16" i="7" s="1"/>
  <c r="F10" i="7"/>
  <c r="H10" i="7" s="1"/>
  <c r="E18" i="7"/>
  <c r="E22" i="7" s="1"/>
  <c r="F22" i="7" s="1"/>
  <c r="F10" i="6"/>
  <c r="H10" i="6" s="1"/>
  <c r="E12" i="7"/>
  <c r="E21" i="7"/>
  <c r="F21" i="7" s="1"/>
  <c r="E15" i="7"/>
  <c r="F15" i="7" s="1"/>
  <c r="F9" i="7"/>
  <c r="H9" i="7" s="1"/>
  <c r="E12" i="6"/>
  <c r="E21" i="6"/>
  <c r="F21" i="6" s="1"/>
  <c r="F9" i="6"/>
  <c r="G9" i="6" s="1"/>
  <c r="E15" i="6"/>
  <c r="F15" i="6" s="1"/>
  <c r="H15" i="6" s="1"/>
  <c r="E18" i="6"/>
  <c r="E16" i="1"/>
  <c r="E15" i="1"/>
  <c r="E18" i="1"/>
  <c r="G16" i="7"/>
  <c r="H21" i="6"/>
  <c r="G21" i="6"/>
  <c r="H9" i="6"/>
  <c r="I9" i="6" s="1"/>
  <c r="G16" i="6"/>
  <c r="I16" i="6" s="1"/>
  <c r="G10" i="7" l="1"/>
  <c r="I10" i="7" s="1"/>
  <c r="G9" i="7"/>
  <c r="I9" i="7" s="1"/>
  <c r="G10" i="6"/>
  <c r="I10" i="6" s="1"/>
  <c r="H21" i="7"/>
  <c r="G21" i="7"/>
  <c r="G15" i="7"/>
  <c r="H15" i="7"/>
  <c r="I21" i="7"/>
  <c r="E13" i="7"/>
  <c r="F13" i="7" s="1"/>
  <c r="F12" i="7"/>
  <c r="I16" i="7"/>
  <c r="E13" i="6"/>
  <c r="F13" i="6" s="1"/>
  <c r="F12" i="6"/>
  <c r="F18" i="6"/>
  <c r="E22" i="6"/>
  <c r="F22" i="6" s="1"/>
  <c r="G22" i="6" s="1"/>
  <c r="G15" i="6"/>
  <c r="I15" i="6" s="1"/>
  <c r="H22" i="7"/>
  <c r="G22" i="7"/>
  <c r="F18" i="7"/>
  <c r="I21" i="6"/>
  <c r="I22" i="7" l="1"/>
  <c r="F25" i="7"/>
  <c r="H22" i="6"/>
  <c r="I25" i="7"/>
  <c r="I15" i="7"/>
  <c r="H13" i="7"/>
  <c r="G13" i="7"/>
  <c r="I13" i="7" s="1"/>
  <c r="G12" i="7"/>
  <c r="H12" i="7"/>
  <c r="E17" i="7"/>
  <c r="F17" i="7" s="1"/>
  <c r="G12" i="6"/>
  <c r="H12" i="6"/>
  <c r="H13" i="6"/>
  <c r="G13" i="6"/>
  <c r="E17" i="6"/>
  <c r="F17" i="6" s="1"/>
  <c r="H18" i="6"/>
  <c r="G18" i="6"/>
  <c r="H18" i="7"/>
  <c r="G18" i="7"/>
  <c r="I22" i="6"/>
  <c r="I25" i="6"/>
  <c r="F25" i="6"/>
  <c r="I18" i="7" l="1"/>
  <c r="I18" i="6"/>
  <c r="I12" i="7"/>
  <c r="H17" i="7"/>
  <c r="G17" i="7"/>
  <c r="I17" i="7" s="1"/>
  <c r="I19" i="7"/>
  <c r="I26" i="7" s="1"/>
  <c r="H17" i="6"/>
  <c r="G17" i="6"/>
  <c r="I17" i="6" s="1"/>
  <c r="I13" i="6"/>
  <c r="I12" i="6"/>
  <c r="I28" i="7" l="1"/>
  <c r="C6" i="8"/>
  <c r="E6" i="8" s="1"/>
  <c r="F19" i="6"/>
  <c r="F26" i="6" s="1"/>
  <c r="B5" i="8" s="1"/>
  <c r="F19" i="7"/>
  <c r="F26" i="7" s="1"/>
  <c r="B6" i="8" s="1"/>
  <c r="I19" i="6"/>
  <c r="I26" i="6" s="1"/>
  <c r="I28" i="6" l="1"/>
  <c r="C5" i="8"/>
  <c r="E5" i="8" s="1"/>
  <c r="F9" i="1"/>
  <c r="D10" i="1"/>
  <c r="F10" i="1" s="1"/>
  <c r="E8" i="8" l="1"/>
  <c r="G9" i="1"/>
  <c r="H9" i="1"/>
  <c r="H10" i="1"/>
  <c r="G10" i="1"/>
  <c r="I9" i="1" l="1"/>
  <c r="I10" i="1"/>
  <c r="G5" i="3" l="1"/>
  <c r="F6" i="5" l="1"/>
  <c r="C7" i="5" l="1"/>
  <c r="F7" i="5" l="1"/>
  <c r="C8" i="5" l="1"/>
  <c r="F8" i="5" l="1"/>
  <c r="F9" i="5" s="1"/>
  <c r="G13" i="3" l="1"/>
  <c r="G12" i="3"/>
  <c r="G11" i="3"/>
  <c r="G10" i="3"/>
  <c r="G9" i="3"/>
  <c r="G8" i="3"/>
  <c r="G7" i="3"/>
  <c r="G6" i="3"/>
  <c r="G4" i="3"/>
  <c r="D6" i="3" l="1"/>
  <c r="D7" i="3"/>
  <c r="D8" i="3"/>
  <c r="D9" i="3"/>
  <c r="D10" i="3"/>
  <c r="D11" i="3"/>
  <c r="D12" i="3"/>
  <c r="D13" i="3"/>
  <c r="D4" i="3"/>
  <c r="E10" i="4"/>
  <c r="E9" i="4"/>
  <c r="E8" i="4"/>
  <c r="E7" i="4"/>
  <c r="E6" i="4"/>
  <c r="D11" i="2"/>
  <c r="D10" i="2"/>
  <c r="E10" i="2"/>
  <c r="D9" i="2"/>
  <c r="F9" i="2" s="1"/>
  <c r="D7" i="2"/>
  <c r="F7" i="2" s="1"/>
  <c r="H7" i="2" s="1"/>
  <c r="D6" i="2"/>
  <c r="D22" i="1"/>
  <c r="D21" i="1"/>
  <c r="F21" i="1" s="1"/>
  <c r="E22" i="1"/>
  <c r="D18" i="1"/>
  <c r="F18" i="1" s="1"/>
  <c r="D17" i="1"/>
  <c r="D16" i="1"/>
  <c r="D15" i="1"/>
  <c r="F15" i="1" s="1"/>
  <c r="D13" i="1"/>
  <c r="D12" i="1"/>
  <c r="F12" i="1" s="1"/>
  <c r="F11" i="2" l="1"/>
  <c r="G11" i="2" s="1"/>
  <c r="F16" i="1"/>
  <c r="H16" i="1" s="1"/>
  <c r="G9" i="2"/>
  <c r="H9" i="2"/>
  <c r="F10" i="2"/>
  <c r="H11" i="2"/>
  <c r="G7" i="2"/>
  <c r="I7" i="2" s="1"/>
  <c r="H12" i="1"/>
  <c r="G12" i="1"/>
  <c r="H18" i="1"/>
  <c r="G18" i="1"/>
  <c r="H21" i="1"/>
  <c r="G21" i="1"/>
  <c r="H15" i="1"/>
  <c r="G15" i="1"/>
  <c r="F22" i="1"/>
  <c r="E13" i="1"/>
  <c r="I9" i="2" l="1"/>
  <c r="I18" i="1"/>
  <c r="I12" i="1"/>
  <c r="F13" i="1"/>
  <c r="E17" i="1"/>
  <c r="F17" i="1" s="1"/>
  <c r="H17" i="1" s="1"/>
  <c r="I15" i="1"/>
  <c r="I11" i="2"/>
  <c r="G16" i="1"/>
  <c r="I16" i="1" s="1"/>
  <c r="H10" i="2"/>
  <c r="G10" i="2"/>
  <c r="H22" i="1"/>
  <c r="G22" i="1"/>
  <c r="F25" i="1" s="1"/>
  <c r="I21" i="1"/>
  <c r="H13" i="1"/>
  <c r="G13" i="1"/>
  <c r="F12" i="2" l="1"/>
  <c r="I10" i="2"/>
  <c r="I13" i="1"/>
  <c r="G17" i="1"/>
  <c r="I17" i="1" s="1"/>
  <c r="I22" i="1"/>
  <c r="I25" i="1" s="1"/>
  <c r="F19" i="1" l="1"/>
  <c r="F26" i="1" s="1"/>
  <c r="B4" i="8" s="1"/>
  <c r="I19" i="1"/>
  <c r="B8" i="8" l="1"/>
  <c r="B7" i="8"/>
  <c r="C7" i="8"/>
  <c r="C8" i="8"/>
</calcChain>
</file>

<file path=xl/sharedStrings.xml><?xml version="1.0" encoding="utf-8"?>
<sst xmlns="http://schemas.openxmlformats.org/spreadsheetml/2006/main" count="342" uniqueCount="128">
  <si>
    <t>Burden item</t>
  </si>
  <si>
    <t>(A)</t>
  </si>
  <si>
    <t>(B)</t>
  </si>
  <si>
    <t>(C)</t>
  </si>
  <si>
    <t>(D)</t>
  </si>
  <si>
    <t>(E)</t>
  </si>
  <si>
    <t>(F)</t>
  </si>
  <si>
    <t>(G)</t>
  </si>
  <si>
    <t>(H)</t>
  </si>
  <si>
    <t>Person-hours per occurrence</t>
  </si>
  <si>
    <t>No. of occurrences per respondent per year</t>
  </si>
  <si>
    <t>Person-hours per respondent per year 
(C=AxB)</t>
  </si>
  <si>
    <r>
      <t xml:space="preserve">Respondents per year </t>
    </r>
    <r>
      <rPr>
        <b/>
        <vertAlign val="superscript"/>
        <sz val="10"/>
        <color theme="1"/>
        <rFont val="Times New Roman"/>
        <family val="1"/>
      </rPr>
      <t>a</t>
    </r>
  </si>
  <si>
    <t>Technical hours per year 
(E=CxD)</t>
  </si>
  <si>
    <t>Management hours per year 
(F=Ex0.05)</t>
  </si>
  <si>
    <t>Clerical hours per year 
(G=Ex0.1)</t>
  </si>
  <si>
    <r>
      <t xml:space="preserve">Total cost per year ($) </t>
    </r>
    <r>
      <rPr>
        <b/>
        <vertAlign val="superscript"/>
        <sz val="10"/>
        <color theme="1"/>
        <rFont val="Times New Roman"/>
        <family val="1"/>
      </rPr>
      <t>b</t>
    </r>
  </si>
  <si>
    <t>1.  Applications</t>
  </si>
  <si>
    <t>N/A</t>
  </si>
  <si>
    <t>2.  Survey and Studies</t>
  </si>
  <si>
    <t>3.  Reporting requirements</t>
  </si>
  <si>
    <r>
      <t xml:space="preserve">A.  Familiarize with regulatory requirements </t>
    </r>
    <r>
      <rPr>
        <vertAlign val="superscript"/>
        <sz val="10"/>
        <color theme="1"/>
        <rFont val="Times New Roman"/>
        <family val="1"/>
      </rPr>
      <t>c</t>
    </r>
  </si>
  <si>
    <t>B.  Required activities</t>
  </si>
  <si>
    <t>Initial performance test report</t>
  </si>
  <si>
    <r>
      <t xml:space="preserve">Repeat performance test report </t>
    </r>
    <r>
      <rPr>
        <vertAlign val="superscript"/>
        <sz val="10"/>
        <color theme="1"/>
        <rFont val="Times New Roman"/>
        <family val="1"/>
      </rPr>
      <t>d</t>
    </r>
  </si>
  <si>
    <t>C.  Write report</t>
  </si>
  <si>
    <t>Notification of construction/modification</t>
  </si>
  <si>
    <t>Notification of actual startup</t>
  </si>
  <si>
    <t>Notification of initial/repeat performance test</t>
  </si>
  <si>
    <t>Semiannual report</t>
  </si>
  <si>
    <t>Subtotal for Reporting Requirements</t>
  </si>
  <si>
    <t>4.  Recordkeeping requirements</t>
  </si>
  <si>
    <t>Records of operating parameters for control devices</t>
  </si>
  <si>
    <t>Records of operating conditions exceeding last performance test</t>
  </si>
  <si>
    <t>Subtotal for Recordkeeping Requirements</t>
  </si>
  <si>
    <t>Assumptions:</t>
  </si>
  <si>
    <r>
      <rPr>
        <vertAlign val="superscript"/>
        <sz val="10"/>
        <color theme="1"/>
        <rFont val="Times New Roman"/>
        <family val="1"/>
      </rPr>
      <t>c</t>
    </r>
    <r>
      <rPr>
        <sz val="10"/>
        <color theme="1"/>
        <rFont val="Times New Roman"/>
        <family val="1"/>
      </rPr>
      <t xml:space="preserve">  This ICR assumes all existing respondents will have to familiarize with the regulatory requirements each year.</t>
    </r>
  </si>
  <si>
    <r>
      <t>d</t>
    </r>
    <r>
      <rPr>
        <sz val="10"/>
        <color theme="1"/>
        <rFont val="Times New Roman"/>
        <family val="1"/>
      </rPr>
      <t xml:space="preserve">  Assume 20 percent of initial performance tests must be repeated due to failure.</t>
    </r>
  </si>
  <si>
    <t>Report review: New plant</t>
  </si>
  <si>
    <t xml:space="preserve">  </t>
  </si>
  <si>
    <t>Notification of construction/ modification</t>
  </si>
  <si>
    <t>Initial performance test</t>
  </si>
  <si>
    <r>
      <t xml:space="preserve">Repeat performance test </t>
    </r>
    <r>
      <rPr>
        <vertAlign val="superscript"/>
        <sz val="10"/>
        <color theme="1"/>
        <rFont val="Times New Roman"/>
        <family val="1"/>
      </rPr>
      <t>c</t>
    </r>
  </si>
  <si>
    <r>
      <t>TOTAL (rounded)</t>
    </r>
    <r>
      <rPr>
        <sz val="10"/>
        <color theme="1"/>
        <rFont val="Times New Roman"/>
        <family val="1"/>
      </rPr>
      <t> </t>
    </r>
    <r>
      <rPr>
        <b/>
        <vertAlign val="superscript"/>
        <sz val="10"/>
        <color theme="1"/>
        <rFont val="Times New Roman"/>
        <family val="1"/>
      </rPr>
      <t>d</t>
    </r>
  </si>
  <si>
    <r>
      <t>c</t>
    </r>
    <r>
      <rPr>
        <sz val="10"/>
        <color theme="1"/>
        <rFont val="Times New Roman"/>
        <family val="1"/>
      </rPr>
      <t xml:space="preserve">  Assume 20 percent of initial performance tests must be repeated due to failure.</t>
    </r>
  </si>
  <si>
    <r>
      <rPr>
        <vertAlign val="superscript"/>
        <sz val="10"/>
        <color theme="1"/>
        <rFont val="Times New Roman"/>
        <family val="1"/>
      </rPr>
      <t>d</t>
    </r>
    <r>
      <rPr>
        <sz val="10"/>
        <color theme="1"/>
        <rFont val="Times New Roman"/>
        <family val="1"/>
      </rPr>
      <t xml:space="preserve">  Totals have been rounded to 3 significant figures. Figures may not add exactly due to rounding. </t>
    </r>
  </si>
  <si>
    <t>Annual O&amp;M Costs for One Respondent</t>
  </si>
  <si>
    <t>Average</t>
  </si>
  <si>
    <t>Information Collection Activity</t>
  </si>
  <si>
    <t>Number of Respondents</t>
  </si>
  <si>
    <t>Number of Responses</t>
  </si>
  <si>
    <t>Number of Existing Respondents That Keep Records But Do Not Submit Reports</t>
  </si>
  <si>
    <t>Total Annual  Responses E=(BxC)+D</t>
  </si>
  <si>
    <t>Repeat performance test report</t>
  </si>
  <si>
    <r>
      <t xml:space="preserve">b  </t>
    </r>
    <r>
      <rPr>
        <sz val="10"/>
        <color theme="1"/>
        <rFont val="Times New Roman"/>
        <family val="1"/>
      </rPr>
      <t>This ICR uses the following labor rates for privately-owned sources: $161.34 for managerial, $101.24 for technical,  and $45.17 for clerical labor.  These rates are from the United States Department of Labor, Bureau of Labor Statistics, May 2021, National Industry-Specific Occupational Employment and Wage Estimates for NAICS 325000 - Chemical Manufacturing. These rates have been adjusted using a Fringe Benefit Loading Rate of 1.5 and an Overhead and Profit Rate of 1.4 (Mean Hourly Rate * Fringe Benefit Loading Rate * Overhead and Profit Rate = Loaded Rate) to account for varying industry wage rates and the additional overhead business costs of employing workers beyond their wages and benefits, including business expenses associated with hiring, training, and equipping their employees.</t>
    </r>
  </si>
  <si>
    <t>Capital/Startup vs. Operation and Maintenance (O&amp;M) Costs</t>
  </si>
  <si>
    <t>Capital/Startup Cost for One Respondent</t>
  </si>
  <si>
    <t>Flare monitoring requirements</t>
  </si>
  <si>
    <t>Non-flare control of vent streams</t>
  </si>
  <si>
    <t>Carbon cannisters</t>
  </si>
  <si>
    <t>Maintenance vent requirements</t>
  </si>
  <si>
    <r>
      <t xml:space="preserve">Total Capital/Startup Cost, (B X C) </t>
    </r>
    <r>
      <rPr>
        <vertAlign val="superscript"/>
        <sz val="10"/>
        <color rgb="FF000000"/>
        <rFont val="Times New Roman"/>
        <family val="1"/>
      </rPr>
      <t>a</t>
    </r>
  </si>
  <si>
    <r>
      <t xml:space="preserve">Total O&amp;M,
(E X F) </t>
    </r>
    <r>
      <rPr>
        <vertAlign val="superscript"/>
        <sz val="10"/>
        <color rgb="FF000000"/>
        <rFont val="Times New Roman"/>
        <family val="1"/>
      </rPr>
      <t>a</t>
    </r>
  </si>
  <si>
    <r>
      <t xml:space="preserve">Total </t>
    </r>
    <r>
      <rPr>
        <b/>
        <vertAlign val="superscript"/>
        <sz val="10"/>
        <color theme="1"/>
        <rFont val="Times New Roman"/>
        <family val="1"/>
      </rPr>
      <t>c</t>
    </r>
  </si>
  <si>
    <r>
      <t xml:space="preserve">Continuous Monitoring Device </t>
    </r>
    <r>
      <rPr>
        <vertAlign val="superscript"/>
        <sz val="10"/>
        <color rgb="FF000000"/>
        <rFont val="Times New Roman"/>
        <family val="1"/>
      </rPr>
      <t>a</t>
    </r>
  </si>
  <si>
    <t>H2 Analyzer</t>
  </si>
  <si>
    <t>Calorimeter</t>
  </si>
  <si>
    <t>Flare Gas Flow Monitor</t>
  </si>
  <si>
    <t>Steam Controls/Flow Monitor</t>
  </si>
  <si>
    <t>Avg. NG Cost per Flare to Meet NHVcz</t>
  </si>
  <si>
    <t>Steam Cost Savings per Flare to Meet NHVcz</t>
  </si>
  <si>
    <r>
      <rPr>
        <vertAlign val="superscript"/>
        <sz val="10"/>
        <color rgb="FF000000"/>
        <rFont val="Times New Roman"/>
        <family val="1"/>
      </rPr>
      <t>a</t>
    </r>
    <r>
      <rPr>
        <sz val="10"/>
        <color rgb="FF000000"/>
        <rFont val="Times New Roman"/>
        <family val="1"/>
      </rPr>
      <t xml:space="preserve"> Costs are shown in 2021 $. Respondent counts and monitoring and control requirements are based on the memorandum from Eastern Research Group, Inc. to EPA titled "CAA 111(b)(1)(B) review for the SOCMI air oxidation unit processes, distillation operations, and reactor processes NSPS subparts III, NNN, and RRR," March 2023, EPA-HQ-OAR-2022-0730.</t>
    </r>
  </si>
  <si>
    <t>Respondents That Submit Reports</t>
  </si>
  <si>
    <t>Respondents That Do Not Submit Any Reports</t>
  </si>
  <si>
    <t>Year</t>
  </si>
  <si>
    <r>
      <t xml:space="preserve">Number of New Respondents </t>
    </r>
    <r>
      <rPr>
        <vertAlign val="superscript"/>
        <sz val="10"/>
        <color rgb="FF000000"/>
        <rFont val="Times New Roman"/>
        <family val="1"/>
      </rPr>
      <t>1</t>
    </r>
  </si>
  <si>
    <t>Number of Existing Respondents</t>
  </si>
  <si>
    <t>Number of Existing Respondents that keep records but do not submit reports</t>
  </si>
  <si>
    <t>Number of Existing Respondents That Are Also New Respondents</t>
  </si>
  <si>
    <t>Number of Respondents
(E=A+B+C-D)</t>
  </si>
  <si>
    <t>New Sources</t>
  </si>
  <si>
    <t>Existing Sources</t>
  </si>
  <si>
    <t>Total Labor Hours</t>
  </si>
  <si>
    <t>Labor Costs</t>
  </si>
  <si>
    <t>Non-Labor (Capital/Startup and O&amp;M) Costs</t>
  </si>
  <si>
    <t>Total Costs</t>
  </si>
  <si>
    <r>
      <t>Records of flow events from a relief valve discharge</t>
    </r>
    <r>
      <rPr>
        <vertAlign val="superscript"/>
        <sz val="10"/>
        <color theme="1"/>
        <rFont val="Times New Roman"/>
        <family val="1"/>
      </rPr>
      <t xml:space="preserve"> e</t>
    </r>
  </si>
  <si>
    <r>
      <t xml:space="preserve">Records for bypass lines </t>
    </r>
    <r>
      <rPr>
        <vertAlign val="superscript"/>
        <sz val="10"/>
        <color theme="1"/>
        <rFont val="Times New Roman"/>
        <family val="1"/>
      </rPr>
      <t>e</t>
    </r>
  </si>
  <si>
    <r>
      <rPr>
        <vertAlign val="superscript"/>
        <sz val="10"/>
        <color theme="1"/>
        <rFont val="Times New Roman"/>
        <family val="1"/>
      </rPr>
      <t>e</t>
    </r>
    <r>
      <rPr>
        <sz val="10"/>
        <color theme="1"/>
        <rFont val="Times New Roman"/>
        <family val="1"/>
      </rPr>
      <t xml:space="preserve"> We have assumed that no respondents will bypass the control device or have a relief valve discharge to the atmosphere during the three-year period of this ICR.</t>
    </r>
  </si>
  <si>
    <r>
      <rPr>
        <vertAlign val="superscript"/>
        <sz val="10"/>
        <color theme="1"/>
        <rFont val="Times New Roman"/>
        <family val="1"/>
      </rPr>
      <t>f</t>
    </r>
    <r>
      <rPr>
        <sz val="10"/>
        <color theme="1"/>
        <rFont val="Times New Roman"/>
        <family val="1"/>
      </rPr>
      <t xml:space="preserve">  Totals have been rounded to 3 significant figures. Figures may not add exactly due to rounding. </t>
    </r>
  </si>
  <si>
    <r>
      <t xml:space="preserve">TOTAL LABOR BURDEN AND COST (rounded) </t>
    </r>
    <r>
      <rPr>
        <b/>
        <vertAlign val="superscript"/>
        <sz val="10"/>
        <color theme="1"/>
        <rFont val="Times New Roman"/>
        <family val="1"/>
      </rPr>
      <t>f</t>
    </r>
  </si>
  <si>
    <r>
      <t xml:space="preserve">TOTAL CAPITAL AND O&amp;M COST (rounded) </t>
    </r>
    <r>
      <rPr>
        <b/>
        <vertAlign val="superscript"/>
        <sz val="10"/>
        <color theme="1"/>
        <rFont val="Times New Roman"/>
        <family val="1"/>
      </rPr>
      <t>f</t>
    </r>
  </si>
  <si>
    <r>
      <t xml:space="preserve">GRAND TOTAL (rounded) </t>
    </r>
    <r>
      <rPr>
        <b/>
        <vertAlign val="superscript"/>
        <sz val="10"/>
        <color theme="1"/>
        <rFont val="Times New Roman"/>
        <family val="1"/>
      </rPr>
      <t>f</t>
    </r>
  </si>
  <si>
    <r>
      <rPr>
        <vertAlign val="superscript"/>
        <sz val="10"/>
        <color theme="1"/>
        <rFont val="Times New Roman"/>
        <family val="1"/>
      </rPr>
      <t>c</t>
    </r>
    <r>
      <rPr>
        <sz val="10"/>
        <color theme="1"/>
        <rFont val="Times New Roman"/>
        <family val="1"/>
      </rPr>
      <t xml:space="preserve"> Totals have been rounded to 3 significant figures. Figures may not add exactly due to rounding.</t>
    </r>
  </si>
  <si>
    <r>
      <t xml:space="preserve">Number of Respondents with O&amp;M </t>
    </r>
    <r>
      <rPr>
        <vertAlign val="superscript"/>
        <sz val="10"/>
        <color rgb="FF000000"/>
        <rFont val="Times New Roman"/>
        <family val="1"/>
      </rPr>
      <t>a, b</t>
    </r>
  </si>
  <si>
    <r>
      <t xml:space="preserve">Number of New Respondents </t>
    </r>
    <r>
      <rPr>
        <vertAlign val="superscript"/>
        <sz val="10"/>
        <color rgb="FF000000"/>
        <rFont val="Times New Roman"/>
        <family val="1"/>
      </rPr>
      <t>a, b</t>
    </r>
  </si>
  <si>
    <r>
      <t xml:space="preserve">a </t>
    </r>
    <r>
      <rPr>
        <sz val="10"/>
        <color theme="1"/>
        <rFont val="Times New Roman"/>
        <family val="1"/>
      </rPr>
      <t xml:space="preserve"> We have assumed that there will be 6 new respondents over the three-year period of this ICR.  We have assumed that on average, there will be 2 new respondents per year.</t>
    </r>
  </si>
  <si>
    <r>
      <t>a</t>
    </r>
    <r>
      <rPr>
        <sz val="10"/>
        <color theme="1"/>
        <rFont val="Times New Roman"/>
        <family val="1"/>
      </rPr>
      <t xml:space="preserve">  We have assumed that there will be 6 new respondents over the three-year period of this ICR.  We have assumed that on average, there will be 2 new respondents per year.</t>
    </r>
  </si>
  <si>
    <r>
      <rPr>
        <vertAlign val="superscript"/>
        <sz val="10"/>
        <color theme="1"/>
        <rFont val="Times New Roman"/>
        <family val="1"/>
      </rPr>
      <t>b</t>
    </r>
    <r>
      <rPr>
        <sz val="10"/>
        <color theme="1"/>
        <rFont val="Times New Roman"/>
        <family val="1"/>
      </rPr>
      <t xml:space="preserve">  This ICR uses the following labor rates:  $69.04 for managerial, $51.23 for technical,  and $27.73 for clerical labor.   These rates are from the Office of Personnel Management (OPM), 2021 General Schedule, which excludes locality rates of pay. The rates have been increased by 60 percent to account for the benefit packages available to government employees. </t>
    </r>
  </si>
  <si>
    <t>Total Hours</t>
  </si>
  <si>
    <t>Non-Labor Costs</t>
  </si>
  <si>
    <r>
      <rPr>
        <vertAlign val="superscript"/>
        <sz val="10"/>
        <color theme="1"/>
        <rFont val="Times New Roman"/>
        <family val="1"/>
      </rPr>
      <t xml:space="preserve">1 </t>
    </r>
    <r>
      <rPr>
        <sz val="10"/>
        <color theme="1"/>
        <rFont val="Times New Roman"/>
        <family val="1"/>
      </rPr>
      <t>We have assumed that there will be 6 new respondents over the three-year period of this ICR.  We have assumed that on average, there will be 2 new respondents per year.</t>
    </r>
  </si>
  <si>
    <t>Subtotal (rounded)</t>
  </si>
  <si>
    <t>Average (rounded)</t>
  </si>
  <si>
    <t>Total (rounded)</t>
  </si>
  <si>
    <t>Table 1: Annual Respondent Burden and Cost Year One - Review of the New Source Performance Standards for VOC from Reactor Processes in the SOCMI (40 CFR Part 60, Subpart RRRa) (Proposed Rule)</t>
  </si>
  <si>
    <t>Table 2: Annual Respondent Burden and Cost Year Two - Review of the New Source Performance Standards for VOC from Reactor Processes in the SOCMI (40 CFR Part 60, Subpart RRRa) (Proposed Rule)</t>
  </si>
  <si>
    <t>Table 3: Annual Respondent Burden and Cost Year Three - Review of the New Source Performance Standards for VOC from Reactor Processes in the SOCMI (40 CFR Part 60, Subpart RRRa) (Proposed Rule)</t>
  </si>
  <si>
    <t>Table 4 - Summary of Annual Respondent Burden and Cost - Review of the New Source Performance Standards for VOC from Reactor Processes in the SOCMI (40 CFR Part 60, Subpart RRRa) (Proposed Rule)</t>
  </si>
  <si>
    <t>Table 5: Average Annual EPA Burden and Cost Year One - Review of the New Source Performance Standards for VOC from Reactor Processes in the SOCMI (40 CFR Part 60, Subpart RRRa) (Proposed Rule)</t>
  </si>
  <si>
    <t>Table 6: Average Annual EPA Burden and Cost Year Two - Review of the New Source Performance Standards for VOC from Reactor Processes in the SOCMI (40 CFR Part 60, Subpart RRRa) (Proposed Rule)</t>
  </si>
  <si>
    <t>Table 7: Average Annual EPA Burden and Cost Year Three - Review of the New Source Performance Standards for VOC from Reactor Processes in the SOCMI (40 CFR Part 60, Subpart RRRa) (Proposed Rule)</t>
  </si>
  <si>
    <t>Table 8: Summary of Average Annual EPA Burden and Cost - Review of the New Source Performance Standards for VOC from Reactor Processes in the SOCMI (40 CFR Part 60, Subpart RRRa) (Proposed Rule)</t>
  </si>
  <si>
    <t>Summary of Total Annual Responses</t>
  </si>
  <si>
    <r>
      <rPr>
        <vertAlign val="superscript"/>
        <sz val="10"/>
        <color rgb="FF000000"/>
        <rFont val="Times New Roman"/>
        <family val="1"/>
      </rPr>
      <t xml:space="preserve">b </t>
    </r>
    <r>
      <rPr>
        <sz val="10"/>
        <color rgb="FF000000"/>
        <rFont val="Times New Roman"/>
        <family val="1"/>
      </rPr>
      <t>Number of respondents is based on 19 new sources becoming subject to 40 CFR Part 60, Subparts IIIa, NNNa, or RRRa during the three-year period of this ICR. We have assumed that 6 of the 19 will be subject to Subpart RRRa and have adjusted the respondent counts for capital/startup costs by a factor of approximately 0.1053 (2/19 = 0.1053) to apportion the capital and O&amp;M estimates for sources subject to RRRa (approximately 2 new sources per year for the three-year period of this ICR). We have adjusted the annual O&amp;M costs by a factor of approximately 0.3158 (6/19 = 0.3158) to apportion the costs to the 6 sources that will be subject to Subpart RRRa. The burden and costs for Subparts NNNa and IIIa are accounted for separately under EPA ICR Numbers 2757.01 and 2756.01.</t>
    </r>
  </si>
  <si>
    <t>Total (Rounded)</t>
  </si>
  <si>
    <t>Average (Rounded)</t>
  </si>
  <si>
    <t>ATTACHMENT 1</t>
  </si>
  <si>
    <t>SUPPORTING STATEMENT</t>
  </si>
  <si>
    <t>TABLES 1, 2, and 3</t>
  </si>
  <si>
    <t>TABLE 4</t>
  </si>
  <si>
    <t>TABLES 5, 6, and 7</t>
  </si>
  <si>
    <t>TABLE 8</t>
  </si>
  <si>
    <t xml:space="preserve">Review of the New Source Performance Standards for VOC from Reactor Processes in the SOCMI (40 CFR Part 60, Subpart RRRa) (Proposed Rule) </t>
  </si>
  <si>
    <t>Annual Respondent Burden and Cost of the Review of the New Source Performance Standards for VOC from Reactor Processes in the SOCMI (40 CFR Part 60, Subpart RRRa) (Proposed Rule)  – Years 1-3</t>
  </si>
  <si>
    <t xml:space="preserve">Summary of Annual Respondent Burden and Cost of the Review of the New Source Performance Standards for VOC from Reactor Processes in the SOCMI (40 CFR Part 60, Subpart RRRa) (Proposed Rule) </t>
  </si>
  <si>
    <t>Annual Agency Burden and Cost of the Review of the New Source Performance Standards for VOC from Reactor Processes in the SOCMI (40 CFR Part 60, Subpart RRRa) (Proposed Rule)  – Years 1-3</t>
  </si>
  <si>
    <t>Summary of Annual Agency Burden and Cost of the Review of the New Source Performance Standards for VOC from Reactor Processes in the SOCMI (40 CFR Part 60, Subpart RRRa) (Proposed Rule)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</si>
</sst>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_);[Red]\(&quot;$&quot;#,##0\)"/>
    <numFmt numFmtId="8" formatCode="&quot;$&quot;#,##0.00_);[Red]\(&quot;$&quot;#,##0.00\)"/>
    <numFmt numFmtId="164" formatCode="&quot;$&quot;#,##0.00"/>
    <numFmt numFmtId="165" formatCode="0.0"/>
    <numFmt numFmtId="166" formatCode="General_)"/>
    <numFmt numFmtId="167" formatCode="&quot;$&quot;#,##0"/>
  </numFmts>
  <fonts count="22" x14ac:knownFonts="1">
    <font>
      <sz val="11"/>
      <color theme="1"/>
      <name val="Calibri"/>
      <family val="2"/>
      <scheme val="minor"/>
    </font>
    <font>
      <b/>
      <sz val="12"/>
      <color theme="1"/>
      <name val="Times New Roman"/>
      <family val="1"/>
    </font>
    <font>
      <sz val="10"/>
      <color theme="1"/>
      <name val="Times New Roman"/>
      <family val="1"/>
    </font>
    <font>
      <b/>
      <sz val="10"/>
      <color theme="1"/>
      <name val="Times New Roman"/>
      <family val="1"/>
    </font>
    <font>
      <b/>
      <sz val="10"/>
      <color rgb="FF000000"/>
      <name val="Times New Roman"/>
      <family val="1"/>
    </font>
    <font>
      <b/>
      <vertAlign val="superscript"/>
      <sz val="10"/>
      <color theme="1"/>
      <name val="Times New Roman"/>
      <family val="1"/>
    </font>
    <font>
      <vertAlign val="superscript"/>
      <sz val="10"/>
      <color theme="1"/>
      <name val="Times New Roman"/>
      <family val="1"/>
    </font>
    <font>
      <b/>
      <i/>
      <sz val="10"/>
      <color theme="1"/>
      <name val="Times New Roman"/>
      <family val="1"/>
    </font>
    <font>
      <sz val="10"/>
      <color rgb="FFFF0000"/>
      <name val="Times New Roman"/>
      <family val="1"/>
    </font>
    <font>
      <b/>
      <sz val="11"/>
      <color theme="1"/>
      <name val="Times New Roman"/>
      <family val="1"/>
    </font>
    <font>
      <sz val="11"/>
      <color theme="1"/>
      <name val="Times New Roman"/>
      <family val="1"/>
    </font>
    <font>
      <sz val="10"/>
      <name val="Times New Roman"/>
      <family val="1"/>
    </font>
    <font>
      <sz val="9"/>
      <color rgb="FF000000"/>
      <name val="Times New Roman"/>
      <family val="1"/>
    </font>
    <font>
      <b/>
      <sz val="12"/>
      <color rgb="FF000000"/>
      <name val="Times New Roman"/>
      <family val="1"/>
    </font>
    <font>
      <sz val="10"/>
      <color rgb="FF000000"/>
      <name val="Times New Roman"/>
      <family val="1"/>
    </font>
    <font>
      <sz val="12"/>
      <color rgb="FF000000"/>
      <name val="Times New Roman"/>
      <family val="1"/>
    </font>
    <font>
      <sz val="12"/>
      <color theme="1"/>
      <name val="Calibri"/>
      <family val="2"/>
      <scheme val="minor"/>
    </font>
    <font>
      <vertAlign val="superscript"/>
      <sz val="10"/>
      <color rgb="FF000000"/>
      <name val="Times New Roman"/>
      <family val="1"/>
    </font>
    <font>
      <sz val="9"/>
      <name val="Times New Roman"/>
      <family val="1"/>
    </font>
    <font>
      <b/>
      <sz val="12"/>
      <name val="Times New Roman"/>
      <family val="1"/>
    </font>
    <font>
      <b/>
      <sz val="10"/>
      <name val="Times New Roman"/>
      <family val="1"/>
    </font>
    <font>
      <sz val="12"/>
      <color theme="1"/>
      <name val="Times New Roman"/>
      <family val="1"/>
    </font>
  </fonts>
  <fills count="4">
    <fill>
      <patternFill patternType="none"/>
    </fill>
    <fill>
      <patternFill patternType="gray125"/>
    </fill>
    <fill>
      <patternFill patternType="solid">
        <fgColor theme="0"/>
        <bgColor indexed="64"/>
      </patternFill>
    </fill>
    <fill>
      <patternFill patternType="solid">
        <fgColor rgb="FFFFFFFF"/>
        <bgColor rgb="FF000000"/>
      </patternFill>
    </fill>
  </fills>
  <borders count="10">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bottom style="double">
        <color indexed="64"/>
      </bottom>
      <diagonal/>
    </border>
  </borders>
  <cellStyleXfs count="2">
    <xf numFmtId="0" fontId="0" fillId="0" borderId="0"/>
    <xf numFmtId="0" fontId="16" fillId="0" borderId="0"/>
  </cellStyleXfs>
  <cellXfs count="102">
    <xf numFmtId="0" fontId="0" fillId="0" borderId="0" xfId="0"/>
    <xf numFmtId="0" fontId="1" fillId="0" borderId="0" xfId="0" applyFont="1" applyAlignment="1">
      <alignment vertical="center"/>
    </xf>
    <xf numFmtId="164" fontId="2" fillId="0" borderId="0" xfId="0" applyNumberFormat="1" applyFont="1"/>
    <xf numFmtId="0" fontId="3" fillId="0" borderId="2" xfId="0" applyFont="1" applyBorder="1" applyAlignment="1">
      <alignment horizontal="center" vertical="center"/>
    </xf>
    <xf numFmtId="0" fontId="4" fillId="0" borderId="2" xfId="0" applyFont="1" applyBorder="1" applyAlignment="1">
      <alignment horizontal="center" vertical="center" wrapText="1"/>
    </xf>
    <xf numFmtId="0" fontId="3" fillId="0" borderId="2" xfId="0" applyFont="1" applyBorder="1" applyAlignment="1">
      <alignment horizontal="center" vertical="center" wrapText="1"/>
    </xf>
    <xf numFmtId="0" fontId="2" fillId="0" borderId="2" xfId="0" applyFont="1" applyBorder="1" applyAlignment="1">
      <alignment vertical="center" wrapText="1"/>
    </xf>
    <xf numFmtId="0" fontId="2" fillId="0" borderId="2" xfId="0" applyFont="1" applyBorder="1" applyAlignment="1">
      <alignment horizontal="center" vertical="center" wrapText="1"/>
    </xf>
    <xf numFmtId="0" fontId="2" fillId="0" borderId="2" xfId="0" applyFont="1" applyBorder="1" applyAlignment="1">
      <alignment horizontal="right" vertical="center" wrapText="1"/>
    </xf>
    <xf numFmtId="0" fontId="2" fillId="0" borderId="2" xfId="0" applyFont="1" applyBorder="1" applyAlignment="1">
      <alignment horizontal="left" vertical="center" wrapText="1" indent="1"/>
    </xf>
    <xf numFmtId="8" fontId="2" fillId="0" borderId="2" xfId="0" applyNumberFormat="1" applyFont="1" applyBorder="1" applyAlignment="1">
      <alignment horizontal="right" vertical="center" wrapText="1"/>
    </xf>
    <xf numFmtId="0" fontId="2" fillId="0" borderId="2" xfId="0" applyFont="1" applyBorder="1" applyAlignment="1">
      <alignment horizontal="left" vertical="center" wrapText="1" indent="2"/>
    </xf>
    <xf numFmtId="165" fontId="2" fillId="0" borderId="2" xfId="0" applyNumberFormat="1" applyFont="1" applyBorder="1" applyAlignment="1">
      <alignment horizontal="center" vertical="center" wrapText="1"/>
    </xf>
    <xf numFmtId="1" fontId="2" fillId="0" borderId="2" xfId="0" applyNumberFormat="1" applyFont="1" applyBorder="1" applyAlignment="1">
      <alignment horizontal="center" vertical="center" wrapText="1"/>
    </xf>
    <xf numFmtId="0" fontId="7" fillId="0" borderId="2" xfId="0" applyFont="1" applyBorder="1" applyAlignment="1">
      <alignment vertical="center" wrapText="1"/>
    </xf>
    <xf numFmtId="6" fontId="3" fillId="0" borderId="2" xfId="0" applyNumberFormat="1" applyFont="1" applyBorder="1" applyAlignment="1">
      <alignment horizontal="right" vertical="center" wrapText="1"/>
    </xf>
    <xf numFmtId="0" fontId="3" fillId="0" borderId="2" xfId="0" applyFont="1" applyBorder="1" applyAlignment="1">
      <alignment vertical="center" wrapText="1"/>
    </xf>
    <xf numFmtId="3" fontId="3" fillId="0" borderId="2" xfId="0" applyNumberFormat="1" applyFont="1" applyBorder="1" applyAlignment="1">
      <alignment horizontal="center" vertical="center" wrapText="1"/>
    </xf>
    <xf numFmtId="0" fontId="3" fillId="0" borderId="0" xfId="0" applyFont="1" applyAlignment="1">
      <alignment vertical="center"/>
    </xf>
    <xf numFmtId="0" fontId="1" fillId="0" borderId="0" xfId="0" applyFont="1"/>
    <xf numFmtId="0" fontId="2" fillId="0" borderId="0" xfId="0" applyFont="1"/>
    <xf numFmtId="0" fontId="8" fillId="0" borderId="0" xfId="0" applyFont="1"/>
    <xf numFmtId="0" fontId="9" fillId="0" borderId="0" xfId="0" applyFont="1"/>
    <xf numFmtId="0" fontId="10" fillId="0" borderId="0" xfId="0" applyFont="1"/>
    <xf numFmtId="0" fontId="4" fillId="0" borderId="2" xfId="0" applyFont="1" applyBorder="1" applyAlignment="1">
      <alignment horizontal="center" vertical="center"/>
    </xf>
    <xf numFmtId="0" fontId="3" fillId="0" borderId="2" xfId="0" applyFont="1" applyBorder="1"/>
    <xf numFmtId="6" fontId="2" fillId="0" borderId="2" xfId="0" applyNumberFormat="1" applyFont="1" applyBorder="1" applyAlignment="1">
      <alignment horizontal="center"/>
    </xf>
    <xf numFmtId="6" fontId="3" fillId="0" borderId="2" xfId="0" applyNumberFormat="1" applyFont="1" applyBorder="1"/>
    <xf numFmtId="0" fontId="12" fillId="0" borderId="2" xfId="0" applyFont="1" applyBorder="1" applyAlignment="1">
      <alignment horizontal="center" vertical="center" wrapText="1"/>
    </xf>
    <xf numFmtId="0" fontId="13" fillId="0" borderId="0" xfId="0" applyFont="1" applyAlignment="1">
      <alignment horizontal="left" vertical="center"/>
    </xf>
    <xf numFmtId="0" fontId="14" fillId="0" borderId="2" xfId="0" applyFont="1" applyBorder="1" applyAlignment="1">
      <alignment horizontal="center" vertical="center"/>
    </xf>
    <xf numFmtId="0" fontId="11" fillId="0" borderId="2" xfId="0" applyFont="1" applyBorder="1" applyAlignment="1">
      <alignment horizontal="center" vertical="center"/>
    </xf>
    <xf numFmtId="0" fontId="14" fillId="0" borderId="2" xfId="0" applyFont="1" applyBorder="1" applyAlignment="1">
      <alignment vertical="center"/>
    </xf>
    <xf numFmtId="0" fontId="2" fillId="0" borderId="0" xfId="0" applyFont="1" applyAlignment="1">
      <alignment vertical="center"/>
    </xf>
    <xf numFmtId="0" fontId="14" fillId="0" borderId="2" xfId="0" applyFont="1" applyBorder="1" applyAlignment="1">
      <alignment vertical="center" wrapText="1"/>
    </xf>
    <xf numFmtId="0" fontId="14" fillId="0" borderId="2" xfId="0" applyFont="1" applyBorder="1" applyAlignment="1">
      <alignment horizontal="center" vertical="center" wrapText="1"/>
    </xf>
    <xf numFmtId="6" fontId="0" fillId="0" borderId="0" xfId="0" applyNumberFormat="1"/>
    <xf numFmtId="1" fontId="3" fillId="0" borderId="2" xfId="0" applyNumberFormat="1" applyFont="1" applyBorder="1" applyAlignment="1">
      <alignment horizontal="center" vertical="center" wrapText="1"/>
    </xf>
    <xf numFmtId="8" fontId="0" fillId="0" borderId="0" xfId="0" applyNumberFormat="1"/>
    <xf numFmtId="6" fontId="2" fillId="0" borderId="2" xfId="0" applyNumberFormat="1" applyFont="1" applyBorder="1" applyAlignment="1">
      <alignment vertical="top" wrapText="1"/>
    </xf>
    <xf numFmtId="6" fontId="2" fillId="0" borderId="2" xfId="0" applyNumberFormat="1" applyFont="1" applyBorder="1" applyAlignment="1">
      <alignment horizontal="right"/>
    </xf>
    <xf numFmtId="0" fontId="14" fillId="0" borderId="2" xfId="0" applyFont="1" applyBorder="1" applyAlignment="1">
      <alignment horizontal="center" wrapText="1"/>
    </xf>
    <xf numFmtId="164" fontId="11" fillId="0" borderId="2" xfId="0" applyNumberFormat="1" applyFont="1" applyBorder="1" applyAlignment="1">
      <alignment horizontal="center"/>
    </xf>
    <xf numFmtId="164" fontId="11" fillId="0" borderId="2" xfId="0" applyNumberFormat="1" applyFont="1" applyBorder="1" applyAlignment="1">
      <alignment vertical="top" wrapText="1"/>
    </xf>
    <xf numFmtId="0" fontId="12" fillId="0" borderId="2" xfId="0" applyFont="1" applyBorder="1" applyAlignment="1">
      <alignment vertical="center" wrapText="1"/>
    </xf>
    <xf numFmtId="0" fontId="13" fillId="0" borderId="2" xfId="0" applyFont="1" applyBorder="1" applyAlignment="1">
      <alignment vertical="center" wrapText="1"/>
    </xf>
    <xf numFmtId="2" fontId="2" fillId="0" borderId="2" xfId="0" applyNumberFormat="1" applyFont="1" applyBorder="1" applyAlignment="1">
      <alignment horizontal="center" vertical="center" wrapText="1"/>
    </xf>
    <xf numFmtId="166" fontId="19" fillId="2" borderId="0" xfId="0" applyNumberFormat="1" applyFont="1" applyFill="1" applyAlignment="1">
      <alignment vertical="center"/>
    </xf>
    <xf numFmtId="166" fontId="19" fillId="2" borderId="0" xfId="0" applyNumberFormat="1" applyFont="1" applyFill="1" applyAlignment="1">
      <alignment vertical="center" wrapText="1"/>
    </xf>
    <xf numFmtId="166" fontId="20" fillId="2" borderId="2" xfId="0" applyNumberFormat="1" applyFont="1" applyFill="1" applyBorder="1" applyAlignment="1">
      <alignment horizontal="center"/>
    </xf>
    <xf numFmtId="166" fontId="11" fillId="2" borderId="2" xfId="0" applyNumberFormat="1" applyFont="1" applyFill="1" applyBorder="1" applyAlignment="1">
      <alignment horizontal="center"/>
    </xf>
    <xf numFmtId="166" fontId="20" fillId="3" borderId="2" xfId="0" applyNumberFormat="1" applyFont="1" applyFill="1" applyBorder="1" applyAlignment="1">
      <alignment horizontal="center" wrapText="1"/>
    </xf>
    <xf numFmtId="166" fontId="20" fillId="0" borderId="2" xfId="0" applyNumberFormat="1" applyFont="1" applyBorder="1" applyAlignment="1">
      <alignment horizontal="center" wrapText="1"/>
    </xf>
    <xf numFmtId="3" fontId="11" fillId="3" borderId="2" xfId="0" applyNumberFormat="1" applyFont="1" applyFill="1" applyBorder="1" applyAlignment="1">
      <alignment horizontal="center"/>
    </xf>
    <xf numFmtId="167" fontId="11" fillId="3" borderId="2" xfId="0" applyNumberFormat="1" applyFont="1" applyFill="1" applyBorder="1" applyAlignment="1">
      <alignment horizontal="center"/>
    </xf>
    <xf numFmtId="3" fontId="20" fillId="3" borderId="2" xfId="0" applyNumberFormat="1" applyFont="1" applyFill="1" applyBorder="1" applyAlignment="1">
      <alignment horizontal="center"/>
    </xf>
    <xf numFmtId="167" fontId="20" fillId="3" borderId="2" xfId="0" applyNumberFormat="1" applyFont="1" applyFill="1" applyBorder="1" applyAlignment="1">
      <alignment horizontal="center"/>
    </xf>
    <xf numFmtId="2" fontId="2" fillId="0" borderId="2" xfId="0" applyNumberFormat="1" applyFont="1" applyBorder="1" applyAlignment="1">
      <alignment horizontal="center" wrapText="1"/>
    </xf>
    <xf numFmtId="2" fontId="2" fillId="0" borderId="2" xfId="0" applyNumberFormat="1" applyFont="1" applyBorder="1" applyAlignment="1">
      <alignment horizontal="center"/>
    </xf>
    <xf numFmtId="167" fontId="0" fillId="0" borderId="0" xfId="0" applyNumberFormat="1"/>
    <xf numFmtId="3" fontId="20" fillId="0" borderId="2" xfId="0" applyNumberFormat="1" applyFont="1" applyBorder="1" applyAlignment="1">
      <alignment horizontal="center"/>
    </xf>
    <xf numFmtId="167" fontId="20" fillId="0" borderId="2" xfId="0" applyNumberFormat="1" applyFont="1" applyBorder="1" applyAlignment="1">
      <alignment horizontal="center"/>
    </xf>
    <xf numFmtId="166" fontId="20" fillId="2" borderId="7" xfId="0" applyNumberFormat="1" applyFont="1" applyFill="1" applyBorder="1" applyAlignment="1">
      <alignment horizontal="center"/>
    </xf>
    <xf numFmtId="166" fontId="20" fillId="2" borderId="7" xfId="0" applyNumberFormat="1" applyFont="1" applyFill="1" applyBorder="1" applyAlignment="1">
      <alignment horizontal="center" wrapText="1"/>
    </xf>
    <xf numFmtId="166" fontId="11" fillId="2" borderId="3" xfId="0" applyNumberFormat="1" applyFont="1" applyFill="1" applyBorder="1" applyAlignment="1">
      <alignment horizontal="center"/>
    </xf>
    <xf numFmtId="3" fontId="11" fillId="2" borderId="3" xfId="0" applyNumberFormat="1" applyFont="1" applyFill="1" applyBorder="1" applyAlignment="1">
      <alignment horizontal="center"/>
    </xf>
    <xf numFmtId="167" fontId="11" fillId="2" borderId="3" xfId="0" applyNumberFormat="1" applyFont="1" applyFill="1" applyBorder="1" applyAlignment="1">
      <alignment horizontal="center"/>
    </xf>
    <xf numFmtId="3" fontId="11" fillId="2" borderId="2" xfId="0" applyNumberFormat="1" applyFont="1" applyFill="1" applyBorder="1" applyAlignment="1">
      <alignment horizontal="center"/>
    </xf>
    <xf numFmtId="167" fontId="11" fillId="2" borderId="2" xfId="0" applyNumberFormat="1" applyFont="1" applyFill="1" applyBorder="1" applyAlignment="1">
      <alignment horizontal="center"/>
    </xf>
    <xf numFmtId="166" fontId="11" fillId="2" borderId="7" xfId="0" applyNumberFormat="1" applyFont="1" applyFill="1" applyBorder="1" applyAlignment="1">
      <alignment horizontal="center"/>
    </xf>
    <xf numFmtId="3" fontId="11" fillId="2" borderId="7" xfId="0" applyNumberFormat="1" applyFont="1" applyFill="1" applyBorder="1" applyAlignment="1">
      <alignment horizontal="center"/>
    </xf>
    <xf numFmtId="167" fontId="11" fillId="2" borderId="7" xfId="0" applyNumberFormat="1" applyFont="1" applyFill="1" applyBorder="1" applyAlignment="1">
      <alignment horizontal="center"/>
    </xf>
    <xf numFmtId="167" fontId="11" fillId="2" borderId="8" xfId="0" applyNumberFormat="1" applyFont="1" applyFill="1" applyBorder="1" applyAlignment="1">
      <alignment horizontal="center"/>
    </xf>
    <xf numFmtId="167" fontId="11" fillId="2" borderId="9" xfId="0" applyNumberFormat="1" applyFont="1" applyFill="1" applyBorder="1" applyAlignment="1">
      <alignment horizontal="center"/>
    </xf>
    <xf numFmtId="1" fontId="12" fillId="0" borderId="2" xfId="0" applyNumberFormat="1" applyFont="1" applyBorder="1" applyAlignment="1">
      <alignment horizontal="center" vertical="center" wrapText="1"/>
    </xf>
    <xf numFmtId="1" fontId="18" fillId="0" borderId="2" xfId="0" applyNumberFormat="1" applyFont="1" applyBorder="1" applyAlignment="1">
      <alignment horizontal="center" vertical="center" wrapText="1"/>
    </xf>
    <xf numFmtId="1" fontId="11" fillId="0" borderId="2" xfId="0" applyNumberFormat="1" applyFont="1" applyBorder="1" applyAlignment="1">
      <alignment horizontal="center" vertical="center"/>
    </xf>
    <xf numFmtId="166" fontId="20" fillId="2" borderId="3" xfId="0" applyNumberFormat="1" applyFont="1" applyFill="1" applyBorder="1" applyAlignment="1">
      <alignment horizontal="center"/>
    </xf>
    <xf numFmtId="0" fontId="21" fillId="0" borderId="0" xfId="0" applyFont="1" applyAlignment="1">
      <alignment vertical="center"/>
    </xf>
    <xf numFmtId="0" fontId="21" fillId="0" borderId="0" xfId="0" applyFont="1"/>
    <xf numFmtId="0" fontId="21" fillId="0" borderId="0" xfId="0" applyFont="1" applyAlignment="1">
      <alignment horizontal="left" vertical="center" indent="10"/>
    </xf>
    <xf numFmtId="0" fontId="13" fillId="0" borderId="0" xfId="0" applyFont="1" applyAlignment="1">
      <alignment vertical="center"/>
    </xf>
    <xf numFmtId="0" fontId="15" fillId="0" borderId="0" xfId="0" applyFont="1" applyAlignment="1">
      <alignment vertical="center"/>
    </xf>
    <xf numFmtId="0" fontId="1" fillId="0" borderId="0" xfId="0" applyFont="1" applyAlignment="1">
      <alignment horizontal="center" vertical="center"/>
    </xf>
    <xf numFmtId="0" fontId="1" fillId="0" borderId="0" xfId="0" applyFont="1" applyAlignment="1">
      <alignment horizontal="center" vertical="center" wrapText="1"/>
    </xf>
    <xf numFmtId="0" fontId="21" fillId="0" borderId="0" xfId="0" applyFont="1" applyAlignment="1">
      <alignment wrapText="1"/>
    </xf>
    <xf numFmtId="0" fontId="1" fillId="0" borderId="0" xfId="0" applyFont="1" applyAlignment="1">
      <alignment horizontal="center"/>
    </xf>
    <xf numFmtId="0" fontId="2" fillId="0" borderId="0" xfId="0" applyFont="1" applyAlignment="1">
      <alignment horizontal="left" vertical="top" wrapText="1"/>
    </xf>
    <xf numFmtId="0" fontId="6" fillId="0" borderId="0" xfId="0" applyFont="1" applyAlignment="1">
      <alignment horizontal="left" vertical="top" wrapText="1"/>
    </xf>
    <xf numFmtId="0" fontId="3" fillId="0" borderId="1" xfId="0" applyFont="1" applyBorder="1" applyAlignment="1">
      <alignment horizontal="center" vertical="center" wrapText="1"/>
    </xf>
    <xf numFmtId="0" fontId="3" fillId="0" borderId="3" xfId="0" applyFont="1" applyBorder="1" applyAlignment="1">
      <alignment horizontal="center" vertical="center" wrapText="1"/>
    </xf>
    <xf numFmtId="1" fontId="3" fillId="0" borderId="2" xfId="0" applyNumberFormat="1" applyFont="1" applyBorder="1" applyAlignment="1">
      <alignment horizontal="center" vertical="center" wrapText="1"/>
    </xf>
    <xf numFmtId="3" fontId="3" fillId="0" borderId="2" xfId="0" applyNumberFormat="1" applyFont="1" applyBorder="1" applyAlignment="1">
      <alignment horizontal="center" vertical="center" wrapText="1"/>
    </xf>
    <xf numFmtId="0" fontId="2" fillId="0" borderId="0" xfId="0" applyFont="1" applyAlignment="1">
      <alignment horizontal="left" vertical="top"/>
    </xf>
    <xf numFmtId="0" fontId="3" fillId="0" borderId="2" xfId="0" applyFont="1" applyBorder="1" applyAlignment="1">
      <alignment horizontal="center" vertical="center" wrapText="1"/>
    </xf>
    <xf numFmtId="0" fontId="6" fillId="0" borderId="0" xfId="0" applyFont="1" applyAlignment="1">
      <alignment horizontal="left" vertical="top"/>
    </xf>
    <xf numFmtId="0" fontId="13" fillId="0" borderId="2" xfId="0" applyFont="1" applyBorder="1" applyAlignment="1">
      <alignment horizontal="center" vertical="center" wrapText="1"/>
    </xf>
    <xf numFmtId="0" fontId="14" fillId="0" borderId="4" xfId="0" applyFont="1" applyBorder="1" applyAlignment="1">
      <alignment horizontal="left" vertical="center" wrapText="1"/>
    </xf>
    <xf numFmtId="0" fontId="14" fillId="0" borderId="0" xfId="0" applyFont="1" applyAlignment="1">
      <alignment horizontal="left" vertical="center" wrapText="1"/>
    </xf>
    <xf numFmtId="0" fontId="12" fillId="0" borderId="5" xfId="0" applyFont="1" applyBorder="1" applyAlignment="1">
      <alignment horizontal="left" vertical="center" wrapText="1"/>
    </xf>
    <xf numFmtId="0" fontId="12" fillId="0" borderId="6" xfId="0" applyFont="1" applyBorder="1" applyAlignment="1">
      <alignment horizontal="left" vertical="center" wrapText="1"/>
    </xf>
    <xf numFmtId="0" fontId="15" fillId="0" borderId="2" xfId="0" applyFont="1" applyBorder="1" applyAlignment="1">
      <alignment vertical="center" wrapText="1"/>
    </xf>
  </cellXfs>
  <cellStyles count="2">
    <cellStyle name="Normal" xfId="0" builtinId="0"/>
    <cellStyle name="Normal 2" xfId="1" xr:uid="{7E6C7388-5E63-4F6D-AA25-0F1E37A8568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20"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4073D8-DD4B-4B7E-AE0C-9266759FBA30}">
  <dimension ref="A1:Q15"/>
  <sheetViews>
    <sheetView workbookViewId="0">
      <selection activeCell="K23" sqref="K23"/>
    </sheetView>
  </sheetViews>
  <sheetFormatPr defaultRowHeight="14.5" x14ac:dyDescent="0.35"/>
  <sheetData>
    <row r="1" spans="1:17" ht="15" x14ac:dyDescent="0.35">
      <c r="A1" s="83" t="s">
        <v>117</v>
      </c>
      <c r="B1" s="83"/>
      <c r="C1" s="83"/>
      <c r="D1" s="83"/>
      <c r="E1" s="83"/>
      <c r="F1" s="83"/>
      <c r="G1" s="83"/>
      <c r="H1" s="83"/>
      <c r="I1" s="83"/>
      <c r="J1" s="83"/>
      <c r="K1" s="83"/>
      <c r="L1" s="83"/>
      <c r="M1" s="83"/>
      <c r="N1" s="83"/>
      <c r="O1" s="83"/>
      <c r="P1" s="83"/>
      <c r="Q1" s="83"/>
    </row>
    <row r="2" spans="1:17" ht="15.5" x14ac:dyDescent="0.35">
      <c r="A2" s="84" t="s">
        <v>118</v>
      </c>
      <c r="B2" s="85"/>
      <c r="C2" s="85"/>
      <c r="D2" s="85"/>
      <c r="E2" s="85"/>
      <c r="F2" s="85"/>
      <c r="G2" s="85"/>
      <c r="H2" s="85"/>
      <c r="I2" s="85"/>
      <c r="J2" s="85"/>
      <c r="K2" s="85"/>
      <c r="L2" s="85"/>
      <c r="M2" s="85"/>
      <c r="N2" s="85"/>
      <c r="O2" s="85"/>
      <c r="P2" s="85"/>
      <c r="Q2" s="85"/>
    </row>
    <row r="3" spans="1:17" ht="15.5" x14ac:dyDescent="0.35">
      <c r="A3" s="86" t="s">
        <v>123</v>
      </c>
      <c r="B3" s="86"/>
      <c r="C3" s="86"/>
      <c r="D3" s="86"/>
      <c r="E3" s="86"/>
      <c r="F3" s="86"/>
      <c r="G3" s="86"/>
      <c r="H3" s="86"/>
      <c r="I3" s="86"/>
      <c r="J3" s="86"/>
      <c r="K3" s="86"/>
      <c r="L3" s="86"/>
      <c r="M3" s="86"/>
      <c r="N3" s="86"/>
      <c r="O3" s="86"/>
      <c r="P3" s="86"/>
      <c r="Q3" s="86"/>
    </row>
    <row r="4" spans="1:17" ht="15.5" x14ac:dyDescent="0.35">
      <c r="A4" s="78"/>
      <c r="B4" s="79"/>
      <c r="C4" s="79"/>
      <c r="D4" s="79"/>
      <c r="E4" s="79"/>
      <c r="F4" s="79"/>
      <c r="G4" s="79"/>
      <c r="H4" s="79"/>
      <c r="I4" s="79"/>
      <c r="J4" s="79"/>
      <c r="K4" s="79"/>
      <c r="L4" s="79"/>
      <c r="M4" s="79"/>
      <c r="N4" s="79"/>
      <c r="O4" s="79"/>
      <c r="P4" s="79"/>
      <c r="Q4" s="79"/>
    </row>
    <row r="5" spans="1:17" ht="15.5" x14ac:dyDescent="0.35">
      <c r="A5" s="1" t="s">
        <v>119</v>
      </c>
      <c r="B5" s="79"/>
      <c r="C5" s="79"/>
      <c r="D5" s="79"/>
      <c r="E5" s="79"/>
      <c r="F5" s="79"/>
      <c r="G5" s="79"/>
      <c r="H5" s="79"/>
      <c r="I5" s="79"/>
      <c r="J5" s="79"/>
      <c r="K5" s="79"/>
      <c r="L5" s="79"/>
      <c r="M5" s="79"/>
      <c r="N5" s="79"/>
      <c r="O5" s="79"/>
      <c r="P5" s="79"/>
      <c r="Q5" s="79"/>
    </row>
    <row r="6" spans="1:17" ht="15.5" x14ac:dyDescent="0.35">
      <c r="A6" s="78" t="s">
        <v>124</v>
      </c>
      <c r="B6" s="79"/>
      <c r="C6" s="79"/>
      <c r="D6" s="79"/>
      <c r="E6" s="79"/>
      <c r="F6" s="79"/>
      <c r="G6" s="79"/>
      <c r="H6" s="79"/>
      <c r="I6" s="79"/>
      <c r="J6" s="79"/>
      <c r="K6" s="79"/>
      <c r="L6" s="79"/>
      <c r="M6" s="79"/>
      <c r="N6" s="79"/>
      <c r="O6" s="79"/>
      <c r="P6" s="79"/>
      <c r="Q6" s="79"/>
    </row>
    <row r="7" spans="1:17" ht="15.5" x14ac:dyDescent="0.35">
      <c r="A7" s="80"/>
      <c r="B7" s="79"/>
      <c r="C7" s="79"/>
      <c r="D7" s="79"/>
      <c r="E7" s="79"/>
      <c r="F7" s="79"/>
      <c r="G7" s="79"/>
      <c r="H7" s="79"/>
      <c r="I7" s="79"/>
      <c r="J7" s="79"/>
      <c r="K7" s="79"/>
      <c r="L7" s="79"/>
      <c r="M7" s="79"/>
      <c r="N7" s="79"/>
      <c r="O7" s="79"/>
      <c r="P7" s="79"/>
      <c r="Q7" s="79"/>
    </row>
    <row r="8" spans="1:17" ht="15.5" x14ac:dyDescent="0.35">
      <c r="A8" s="19" t="s">
        <v>120</v>
      </c>
      <c r="B8" s="79"/>
      <c r="C8" s="79"/>
      <c r="D8" s="79"/>
      <c r="E8" s="79"/>
      <c r="F8" s="79"/>
      <c r="G8" s="79"/>
      <c r="H8" s="79"/>
      <c r="I8" s="79"/>
      <c r="J8" s="79"/>
      <c r="K8" s="79"/>
      <c r="L8" s="79"/>
      <c r="M8" s="79"/>
      <c r="N8" s="79"/>
      <c r="O8" s="79"/>
      <c r="P8" s="79"/>
      <c r="Q8" s="79"/>
    </row>
    <row r="9" spans="1:17" ht="15.5" x14ac:dyDescent="0.35">
      <c r="A9" s="78" t="s">
        <v>125</v>
      </c>
      <c r="B9" s="79"/>
      <c r="C9" s="79"/>
      <c r="D9" s="79"/>
      <c r="E9" s="79"/>
      <c r="F9" s="79"/>
      <c r="G9" s="79"/>
      <c r="H9" s="79"/>
      <c r="I9" s="79"/>
      <c r="J9" s="79"/>
      <c r="K9" s="79"/>
      <c r="L9" s="79"/>
      <c r="M9" s="79"/>
      <c r="N9" s="79"/>
      <c r="O9" s="79"/>
      <c r="P9" s="79"/>
      <c r="Q9" s="79"/>
    </row>
    <row r="10" spans="1:17" ht="15.5" x14ac:dyDescent="0.35">
      <c r="A10" s="79"/>
      <c r="B10" s="79"/>
      <c r="C10" s="79"/>
      <c r="D10" s="79"/>
      <c r="E10" s="79"/>
      <c r="F10" s="79"/>
      <c r="G10" s="79"/>
      <c r="H10" s="79"/>
      <c r="I10" s="79"/>
      <c r="J10" s="79"/>
      <c r="K10" s="79"/>
      <c r="L10" s="79"/>
      <c r="M10" s="79"/>
      <c r="N10" s="79"/>
      <c r="O10" s="79"/>
      <c r="P10" s="79"/>
      <c r="Q10" s="79"/>
    </row>
    <row r="11" spans="1:17" ht="15.5" x14ac:dyDescent="0.35">
      <c r="A11" s="81" t="s">
        <v>121</v>
      </c>
      <c r="B11" s="81"/>
      <c r="C11" s="79"/>
      <c r="D11" s="79"/>
      <c r="E11" s="79"/>
      <c r="F11" s="79"/>
      <c r="G11" s="79"/>
      <c r="H11" s="79"/>
      <c r="I11" s="79"/>
      <c r="J11" s="79"/>
      <c r="K11" s="79"/>
      <c r="L11" s="79"/>
      <c r="M11" s="79"/>
      <c r="N11" s="79"/>
      <c r="O11" s="79"/>
      <c r="P11" s="79"/>
      <c r="Q11" s="79"/>
    </row>
    <row r="12" spans="1:17" ht="15.5" x14ac:dyDescent="0.35">
      <c r="A12" s="82" t="s">
        <v>126</v>
      </c>
      <c r="B12" s="79"/>
      <c r="C12" s="79"/>
      <c r="D12" s="79"/>
      <c r="E12" s="79"/>
      <c r="F12" s="79"/>
      <c r="G12" s="79"/>
      <c r="H12" s="79"/>
      <c r="I12" s="79"/>
      <c r="J12" s="79"/>
      <c r="K12" s="79"/>
      <c r="L12" s="79"/>
      <c r="M12" s="79"/>
      <c r="N12" s="79"/>
      <c r="O12" s="79"/>
      <c r="P12" s="79"/>
      <c r="Q12" s="79"/>
    </row>
    <row r="13" spans="1:17" ht="15.5" x14ac:dyDescent="0.35">
      <c r="A13" s="79"/>
      <c r="B13" s="79"/>
      <c r="C13" s="79"/>
      <c r="D13" s="79"/>
      <c r="E13" s="79"/>
      <c r="F13" s="79"/>
      <c r="G13" s="79"/>
      <c r="H13" s="79"/>
      <c r="I13" s="79"/>
      <c r="J13" s="79"/>
      <c r="K13" s="79"/>
      <c r="L13" s="79"/>
      <c r="M13" s="79"/>
      <c r="N13" s="79"/>
      <c r="O13" s="79"/>
      <c r="P13" s="79"/>
      <c r="Q13" s="79"/>
    </row>
    <row r="14" spans="1:17" ht="15.5" x14ac:dyDescent="0.35">
      <c r="A14" s="19" t="s">
        <v>122</v>
      </c>
      <c r="B14" s="79"/>
      <c r="C14" s="79"/>
      <c r="D14" s="79"/>
      <c r="E14" s="79"/>
      <c r="F14" s="79"/>
      <c r="G14" s="79"/>
      <c r="H14" s="79"/>
      <c r="I14" s="79"/>
      <c r="J14" s="79"/>
      <c r="K14" s="79"/>
      <c r="L14" s="79"/>
      <c r="M14" s="79"/>
      <c r="N14" s="79"/>
      <c r="O14" s="79"/>
      <c r="P14" s="79"/>
      <c r="Q14" s="79"/>
    </row>
    <row r="15" spans="1:17" ht="15.5" x14ac:dyDescent="0.35">
      <c r="A15" s="82" t="s">
        <v>127</v>
      </c>
      <c r="B15" s="79"/>
      <c r="C15" s="79"/>
      <c r="D15" s="79"/>
      <c r="E15" s="79"/>
      <c r="F15" s="79"/>
      <c r="G15" s="79"/>
      <c r="H15" s="79"/>
      <c r="I15" s="79"/>
      <c r="J15" s="79"/>
      <c r="K15" s="79"/>
      <c r="L15" s="79"/>
      <c r="M15" s="79"/>
      <c r="N15" s="79"/>
      <c r="O15" s="79"/>
      <c r="P15" s="79"/>
      <c r="Q15" s="79"/>
    </row>
  </sheetData>
  <sheetProtection algorithmName="SHA-512" hashValue="QImE7c6vAj0AW1inZNnoaWTMAu+SXn/L5OyeFpo4Yl8Zvfq12L75Vb0TSaGwjXFI8unYoYa316ncSKs8nxNGGw==" saltValue="gxxVRxslqLUzTkj2tSz86w==" spinCount="100000" sheet="1" objects="1" scenarios="1"/>
  <mergeCells count="3">
    <mergeCell ref="A1:Q1"/>
    <mergeCell ref="A2:Q2"/>
    <mergeCell ref="A3:Q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ABD54C-57BD-4507-B21F-ED9234306367}">
  <dimension ref="A1:J19"/>
  <sheetViews>
    <sheetView zoomScale="124" zoomScaleNormal="124" workbookViewId="0">
      <selection sqref="A1:G1"/>
    </sheetView>
  </sheetViews>
  <sheetFormatPr defaultRowHeight="14.5" x14ac:dyDescent="0.35"/>
  <cols>
    <col min="1" max="1" width="48.81640625" bestFit="1" customWidth="1"/>
    <col min="2" max="2" width="14.453125" customWidth="1"/>
    <col min="3" max="3" width="16.1796875" customWidth="1"/>
    <col min="4" max="4" width="14" customWidth="1"/>
    <col min="5" max="5" width="13.1796875" customWidth="1"/>
    <col min="6" max="6" width="12" customWidth="1"/>
    <col min="7" max="7" width="17.54296875" customWidth="1"/>
    <col min="10" max="10" width="13.54296875" bestFit="1" customWidth="1"/>
  </cols>
  <sheetData>
    <row r="1" spans="1:10" ht="15" x14ac:dyDescent="0.35">
      <c r="A1" s="96" t="s">
        <v>55</v>
      </c>
      <c r="B1" s="96"/>
      <c r="C1" s="96"/>
      <c r="D1" s="96"/>
      <c r="E1" s="96"/>
      <c r="F1" s="96"/>
      <c r="G1" s="96"/>
    </row>
    <row r="2" spans="1:10" x14ac:dyDescent="0.35">
      <c r="A2" s="35" t="s">
        <v>1</v>
      </c>
      <c r="B2" s="35" t="s">
        <v>2</v>
      </c>
      <c r="C2" s="35" t="s">
        <v>3</v>
      </c>
      <c r="D2" s="35" t="s">
        <v>4</v>
      </c>
      <c r="E2" s="35" t="s">
        <v>5</v>
      </c>
      <c r="F2" s="35" t="s">
        <v>6</v>
      </c>
      <c r="G2" s="35" t="s">
        <v>7</v>
      </c>
    </row>
    <row r="3" spans="1:10" ht="42" x14ac:dyDescent="0.35">
      <c r="A3" s="34" t="s">
        <v>64</v>
      </c>
      <c r="B3" s="41" t="s">
        <v>56</v>
      </c>
      <c r="C3" s="41" t="s">
        <v>95</v>
      </c>
      <c r="D3" s="41" t="s">
        <v>61</v>
      </c>
      <c r="E3" s="41" t="s">
        <v>46</v>
      </c>
      <c r="F3" s="41" t="s">
        <v>94</v>
      </c>
      <c r="G3" s="41" t="s">
        <v>62</v>
      </c>
    </row>
    <row r="4" spans="1:10" x14ac:dyDescent="0.35">
      <c r="A4" s="34" t="s">
        <v>57</v>
      </c>
      <c r="B4" s="26">
        <v>3752222.5038671331</v>
      </c>
      <c r="C4" s="57">
        <f>6*(2/19)</f>
        <v>0.63157894736842102</v>
      </c>
      <c r="D4" s="39">
        <f>B4*C4</f>
        <v>2369824.7392845051</v>
      </c>
      <c r="E4" s="26">
        <v>789172.70627979888</v>
      </c>
      <c r="F4" s="57">
        <f>6*(6/19)</f>
        <v>1.8947368421052631</v>
      </c>
      <c r="G4" s="39">
        <f>E4*F4</f>
        <v>1495274.6013722504</v>
      </c>
      <c r="H4" s="36"/>
      <c r="J4" s="38"/>
    </row>
    <row r="5" spans="1:10" x14ac:dyDescent="0.35">
      <c r="A5" s="34" t="s">
        <v>60</v>
      </c>
      <c r="B5" s="26" t="s">
        <v>18</v>
      </c>
      <c r="C5" s="26" t="s">
        <v>18</v>
      </c>
      <c r="D5" s="40" t="s">
        <v>18</v>
      </c>
      <c r="E5" s="26">
        <v>455.30000000000172</v>
      </c>
      <c r="F5" s="57">
        <f>18*6/19</f>
        <v>5.6842105263157894</v>
      </c>
      <c r="G5" s="39">
        <f>E5*F5</f>
        <v>2588.0210526315886</v>
      </c>
      <c r="H5" s="36"/>
      <c r="J5" s="38"/>
    </row>
    <row r="6" spans="1:10" x14ac:dyDescent="0.35">
      <c r="A6" s="34" t="s">
        <v>58</v>
      </c>
      <c r="B6" s="26">
        <v>39276.801030086026</v>
      </c>
      <c r="C6" s="57">
        <f>7*(2/19)</f>
        <v>0.73684210526315785</v>
      </c>
      <c r="D6" s="39">
        <f t="shared" ref="D6:D13" si="0">B6*C6</f>
        <v>28940.800759010755</v>
      </c>
      <c r="E6" s="26">
        <v>98429.222776520503</v>
      </c>
      <c r="F6" s="57">
        <f>7*(6/19)</f>
        <v>2.2105263157894735</v>
      </c>
      <c r="G6" s="39">
        <f t="shared" ref="G6:G13" si="1">E6*F6</f>
        <v>217580.38719020318</v>
      </c>
      <c r="H6" s="36"/>
      <c r="J6" s="38"/>
    </row>
    <row r="7" spans="1:10" x14ac:dyDescent="0.35">
      <c r="A7" s="34" t="s">
        <v>59</v>
      </c>
      <c r="B7" s="26">
        <v>26500</v>
      </c>
      <c r="C7" s="57">
        <f>2*(2/19)</f>
        <v>0.21052631578947367</v>
      </c>
      <c r="D7" s="39">
        <f t="shared" si="0"/>
        <v>5578.9473684210525</v>
      </c>
      <c r="E7" s="26">
        <v>2500</v>
      </c>
      <c r="F7" s="57">
        <f>2*(6/19)</f>
        <v>0.63157894736842102</v>
      </c>
      <c r="G7" s="39">
        <f t="shared" si="1"/>
        <v>1578.9473684210525</v>
      </c>
      <c r="H7" s="36"/>
      <c r="J7" s="38"/>
    </row>
    <row r="8" spans="1:10" x14ac:dyDescent="0.35">
      <c r="A8" s="34" t="s">
        <v>65</v>
      </c>
      <c r="B8" s="26">
        <v>46274.210817795822</v>
      </c>
      <c r="C8" s="58">
        <f t="shared" ref="C8:C13" si="2">1*(2/19)</f>
        <v>0.10526315789473684</v>
      </c>
      <c r="D8" s="39">
        <f t="shared" si="0"/>
        <v>4870.9695597679811</v>
      </c>
      <c r="E8" s="26">
        <v>29580.815967066384</v>
      </c>
      <c r="F8" s="58">
        <f t="shared" ref="F8:F13" si="3">1*(6/19)</f>
        <v>0.31578947368421051</v>
      </c>
      <c r="G8" s="39">
        <f t="shared" si="1"/>
        <v>9341.3103053893847</v>
      </c>
      <c r="H8" s="36"/>
      <c r="J8" s="38"/>
    </row>
    <row r="9" spans="1:10" x14ac:dyDescent="0.35">
      <c r="A9" s="34" t="s">
        <v>66</v>
      </c>
      <c r="B9" s="26">
        <v>134966.99280044303</v>
      </c>
      <c r="C9" s="58">
        <f t="shared" si="2"/>
        <v>0.10526315789473684</v>
      </c>
      <c r="D9" s="39">
        <f t="shared" si="0"/>
        <v>14207.051873730845</v>
      </c>
      <c r="E9" s="26">
        <v>37114.970240665723</v>
      </c>
      <c r="F9" s="58">
        <f t="shared" si="3"/>
        <v>0.31578947368421051</v>
      </c>
      <c r="G9" s="39">
        <f t="shared" si="1"/>
        <v>11720.516918104964</v>
      </c>
      <c r="H9" s="36"/>
      <c r="J9" s="38"/>
    </row>
    <row r="10" spans="1:10" x14ac:dyDescent="0.35">
      <c r="A10" s="34" t="s">
        <v>67</v>
      </c>
      <c r="B10" s="26">
        <v>565577.89920620259</v>
      </c>
      <c r="C10" s="58">
        <f t="shared" si="2"/>
        <v>0.10526315789473684</v>
      </c>
      <c r="D10" s="39">
        <f t="shared" si="0"/>
        <v>59534.515705916056</v>
      </c>
      <c r="E10" s="26">
        <v>97732.806418802735</v>
      </c>
      <c r="F10" s="58">
        <f t="shared" si="3"/>
        <v>0.31578947368421051</v>
      </c>
      <c r="G10" s="39">
        <f t="shared" si="1"/>
        <v>30862.991500674547</v>
      </c>
      <c r="H10" s="36"/>
      <c r="J10" s="38"/>
    </row>
    <row r="11" spans="1:10" x14ac:dyDescent="0.35">
      <c r="A11" s="34" t="s">
        <v>68</v>
      </c>
      <c r="B11" s="26">
        <v>879215.23352409073</v>
      </c>
      <c r="C11" s="58">
        <f t="shared" si="2"/>
        <v>0.10526315789473684</v>
      </c>
      <c r="D11" s="39">
        <f t="shared" si="0"/>
        <v>92548.971949904284</v>
      </c>
      <c r="E11" s="26">
        <v>150220.95100184606</v>
      </c>
      <c r="F11" s="58">
        <f t="shared" si="3"/>
        <v>0.31578947368421051</v>
      </c>
      <c r="G11" s="39">
        <f t="shared" si="1"/>
        <v>47438.195053214542</v>
      </c>
      <c r="H11" s="36"/>
      <c r="J11" s="38"/>
    </row>
    <row r="12" spans="1:10" x14ac:dyDescent="0.35">
      <c r="A12" s="34" t="s">
        <v>69</v>
      </c>
      <c r="B12" s="26">
        <v>0</v>
      </c>
      <c r="C12" s="58">
        <f t="shared" si="2"/>
        <v>0.10526315789473684</v>
      </c>
      <c r="D12" s="39">
        <f t="shared" si="0"/>
        <v>0</v>
      </c>
      <c r="E12" s="26">
        <v>110031.25000000001</v>
      </c>
      <c r="F12" s="58">
        <f t="shared" si="3"/>
        <v>0.31578947368421051</v>
      </c>
      <c r="G12" s="39">
        <f t="shared" si="1"/>
        <v>34746.710526315794</v>
      </c>
      <c r="H12" s="36"/>
      <c r="J12" s="38"/>
    </row>
    <row r="13" spans="1:10" x14ac:dyDescent="0.35">
      <c r="A13" s="34" t="s">
        <v>70</v>
      </c>
      <c r="B13" s="26">
        <v>0</v>
      </c>
      <c r="C13" s="58">
        <f t="shared" si="2"/>
        <v>0.10526315789473684</v>
      </c>
      <c r="D13" s="39">
        <f t="shared" si="0"/>
        <v>0</v>
      </c>
      <c r="E13" s="42">
        <v>-62117.187499999993</v>
      </c>
      <c r="F13" s="58">
        <f t="shared" si="3"/>
        <v>0.31578947368421051</v>
      </c>
      <c r="G13" s="43">
        <f t="shared" si="1"/>
        <v>-19615.953947368416</v>
      </c>
      <c r="H13" s="36"/>
      <c r="J13" s="38"/>
    </row>
    <row r="14" spans="1:10" ht="15.5" x14ac:dyDescent="0.35">
      <c r="A14" s="25" t="s">
        <v>63</v>
      </c>
      <c r="B14" s="25"/>
      <c r="C14" s="25"/>
      <c r="D14" s="27">
        <f>ROUND(SUM(D4:D13),-4)</f>
        <v>2580000</v>
      </c>
      <c r="E14" s="25"/>
      <c r="F14" s="25"/>
      <c r="G14" s="27">
        <f>ROUND(SUM(G4:G13),-4)</f>
        <v>1830000</v>
      </c>
      <c r="J14" s="38"/>
    </row>
    <row r="15" spans="1:10" ht="38.25" customHeight="1" x14ac:dyDescent="0.35">
      <c r="A15" s="97" t="s">
        <v>71</v>
      </c>
      <c r="B15" s="97"/>
      <c r="C15" s="97"/>
      <c r="D15" s="97"/>
      <c r="E15" s="97"/>
      <c r="F15" s="97"/>
      <c r="G15" s="97"/>
      <c r="J15" s="38"/>
    </row>
    <row r="16" spans="1:10" ht="63.75" customHeight="1" x14ac:dyDescent="0.35">
      <c r="A16" s="98" t="s">
        <v>114</v>
      </c>
      <c r="B16" s="98"/>
      <c r="C16" s="98"/>
      <c r="D16" s="98"/>
      <c r="E16" s="98"/>
      <c r="F16" s="98"/>
      <c r="G16" s="98"/>
    </row>
    <row r="17" spans="1:7" ht="15.5" x14ac:dyDescent="0.35">
      <c r="A17" s="33" t="s">
        <v>93</v>
      </c>
    </row>
    <row r="18" spans="1:7" x14ac:dyDescent="0.35">
      <c r="D18" s="36"/>
      <c r="G18" s="38"/>
    </row>
    <row r="19" spans="1:7" x14ac:dyDescent="0.35">
      <c r="D19" s="38"/>
      <c r="F19" s="36"/>
    </row>
  </sheetData>
  <sheetProtection algorithmName="SHA-512" hashValue="IVW6J/Z+GW5E/oEGQ9Vp4L2eSh7p068vKpmD/3DHwuTGQuGYMdLIP/OVPJhwT7bgtrtYWMHwwYw9lMA55SnvGg==" saltValue="YKrb7nLWZDdxY+XP8xBaGg==" spinCount="100000" sheet="1" objects="1" scenarios="1"/>
  <mergeCells count="3">
    <mergeCell ref="A1:G1"/>
    <mergeCell ref="A15:G15"/>
    <mergeCell ref="A16:G16"/>
  </mergeCells>
  <pageMargins left="0.7" right="0.7" top="0.75" bottom="0.75" header="0.3" footer="0.3"/>
  <pageSetup orientation="portrait" horizontalDpi="4294967293"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851268-E157-4911-90AC-9185DB9AC5A8}">
  <dimension ref="A1:E11"/>
  <sheetViews>
    <sheetView workbookViewId="0">
      <selection activeCell="A2" sqref="A2"/>
    </sheetView>
  </sheetViews>
  <sheetFormatPr defaultRowHeight="14.5" x14ac:dyDescent="0.35"/>
  <cols>
    <col min="1" max="1" width="26.7265625" customWidth="1"/>
    <col min="2" max="2" width="27.1796875" customWidth="1"/>
    <col min="3" max="3" width="18.54296875" customWidth="1"/>
    <col min="4" max="5" width="23.453125" customWidth="1"/>
  </cols>
  <sheetData>
    <row r="1" spans="1:5" ht="15" x14ac:dyDescent="0.35">
      <c r="A1" s="29" t="s">
        <v>113</v>
      </c>
      <c r="B1" s="23"/>
      <c r="C1" s="23"/>
      <c r="D1" s="23"/>
      <c r="E1" s="23"/>
    </row>
    <row r="2" spans="1:5" x14ac:dyDescent="0.35">
      <c r="A2" s="22"/>
      <c r="B2" s="23"/>
      <c r="C2" s="23"/>
      <c r="D2" s="23"/>
      <c r="E2" s="23"/>
    </row>
    <row r="3" spans="1:5" x14ac:dyDescent="0.35">
      <c r="A3" s="3" t="s">
        <v>1</v>
      </c>
      <c r="B3" s="3" t="s">
        <v>2</v>
      </c>
      <c r="C3" s="3" t="s">
        <v>3</v>
      </c>
      <c r="D3" s="3" t="s">
        <v>4</v>
      </c>
      <c r="E3" s="4" t="s">
        <v>5</v>
      </c>
    </row>
    <row r="4" spans="1:5" ht="52" x14ac:dyDescent="0.35">
      <c r="A4" s="5" t="s">
        <v>48</v>
      </c>
      <c r="B4" s="5" t="s">
        <v>49</v>
      </c>
      <c r="C4" s="5" t="s">
        <v>50</v>
      </c>
      <c r="D4" s="5" t="s">
        <v>51</v>
      </c>
      <c r="E4" s="5" t="s">
        <v>52</v>
      </c>
    </row>
    <row r="5" spans="1:5" x14ac:dyDescent="0.35">
      <c r="A5" s="6" t="s">
        <v>23</v>
      </c>
      <c r="B5" s="76">
        <f>Respondents!B9</f>
        <v>2</v>
      </c>
      <c r="C5" s="30">
        <v>1</v>
      </c>
      <c r="D5" s="30">
        <v>0</v>
      </c>
      <c r="E5" s="30">
        <f>+B5*C5+D5</f>
        <v>2</v>
      </c>
    </row>
    <row r="6" spans="1:5" x14ac:dyDescent="0.35">
      <c r="A6" s="6" t="s">
        <v>53</v>
      </c>
      <c r="B6" s="31">
        <f>B5*0.2</f>
        <v>0.4</v>
      </c>
      <c r="C6" s="30">
        <v>1</v>
      </c>
      <c r="D6" s="30">
        <v>0</v>
      </c>
      <c r="E6" s="30">
        <f t="shared" ref="E6:E10" si="0">+B6*C6+D6</f>
        <v>0.4</v>
      </c>
    </row>
    <row r="7" spans="1:5" ht="26" x14ac:dyDescent="0.35">
      <c r="A7" s="6" t="s">
        <v>26</v>
      </c>
      <c r="B7" s="76">
        <f>Respondents!B9</f>
        <v>2</v>
      </c>
      <c r="C7" s="30">
        <v>1</v>
      </c>
      <c r="D7" s="30">
        <v>0</v>
      </c>
      <c r="E7" s="30">
        <f t="shared" si="0"/>
        <v>2</v>
      </c>
    </row>
    <row r="8" spans="1:5" x14ac:dyDescent="0.35">
      <c r="A8" s="6" t="s">
        <v>27</v>
      </c>
      <c r="B8" s="76">
        <f>Respondents!B9</f>
        <v>2</v>
      </c>
      <c r="C8" s="30">
        <v>1</v>
      </c>
      <c r="D8" s="30">
        <v>0</v>
      </c>
      <c r="E8" s="30">
        <f t="shared" si="0"/>
        <v>2</v>
      </c>
    </row>
    <row r="9" spans="1:5" ht="26" x14ac:dyDescent="0.35">
      <c r="A9" s="6" t="s">
        <v>28</v>
      </c>
      <c r="B9" s="76">
        <f>B5+B6</f>
        <v>2.4</v>
      </c>
      <c r="C9" s="30">
        <v>1</v>
      </c>
      <c r="D9" s="30">
        <v>0</v>
      </c>
      <c r="E9" s="30">
        <f t="shared" si="0"/>
        <v>2.4</v>
      </c>
    </row>
    <row r="10" spans="1:5" x14ac:dyDescent="0.35">
      <c r="A10" s="6" t="s">
        <v>29</v>
      </c>
      <c r="B10" s="76">
        <f>Respondents!F9</f>
        <v>4</v>
      </c>
      <c r="C10" s="30">
        <v>2</v>
      </c>
      <c r="D10" s="30">
        <v>0</v>
      </c>
      <c r="E10" s="30">
        <f t="shared" si="0"/>
        <v>8</v>
      </c>
    </row>
    <row r="11" spans="1:5" x14ac:dyDescent="0.35">
      <c r="A11" s="32"/>
      <c r="B11" s="30"/>
      <c r="C11" s="30"/>
      <c r="D11" s="3" t="s">
        <v>102</v>
      </c>
      <c r="E11" s="24">
        <f>ROUND(SUM(E5:E10),0)</f>
        <v>17</v>
      </c>
    </row>
  </sheetData>
  <sheetProtection algorithmName="SHA-512" hashValue="w94It4KSK2S44zI4Rbns8Foo3dp9/EW7/v3PM1XQxhLmohJrpc3r78yFhspIi/OSjwAiHhjMPZrD0uB0Zij3Uw==" saltValue="9CMwriU0Ky4/fsjXWMPkeQ==" spinCount="100000" sheet="1" objects="1" scenarios="1"/>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7DB38A-D13A-4562-8ECB-C30F39597E3E}">
  <dimension ref="A1:F10"/>
  <sheetViews>
    <sheetView workbookViewId="0">
      <selection sqref="A1:F1"/>
    </sheetView>
  </sheetViews>
  <sheetFormatPr defaultRowHeight="14.5" x14ac:dyDescent="0.35"/>
  <cols>
    <col min="2" max="2" width="19" customWidth="1"/>
    <col min="3" max="3" width="20.81640625" customWidth="1"/>
    <col min="4" max="4" width="35" customWidth="1"/>
    <col min="5" max="5" width="26.7265625" customWidth="1"/>
    <col min="6" max="6" width="18.1796875" customWidth="1"/>
  </cols>
  <sheetData>
    <row r="1" spans="1:6" ht="15.5" x14ac:dyDescent="0.35">
      <c r="A1" s="101"/>
      <c r="B1" s="101"/>
      <c r="C1" s="101"/>
      <c r="D1" s="101"/>
      <c r="E1" s="101"/>
      <c r="F1" s="101"/>
    </row>
    <row r="2" spans="1:6" ht="15" x14ac:dyDescent="0.35">
      <c r="A2" s="96" t="s">
        <v>49</v>
      </c>
      <c r="B2" s="96"/>
      <c r="C2" s="96"/>
      <c r="D2" s="96"/>
      <c r="E2" s="96"/>
      <c r="F2" s="96"/>
    </row>
    <row r="3" spans="1:6" ht="15" x14ac:dyDescent="0.35">
      <c r="A3" s="45"/>
      <c r="B3" s="99" t="s">
        <v>72</v>
      </c>
      <c r="C3" s="100"/>
      <c r="D3" s="44" t="s">
        <v>73</v>
      </c>
      <c r="E3" s="44"/>
      <c r="F3" s="44"/>
    </row>
    <row r="4" spans="1:6" x14ac:dyDescent="0.35">
      <c r="A4" s="34"/>
      <c r="B4" s="35" t="s">
        <v>1</v>
      </c>
      <c r="C4" s="35" t="s">
        <v>2</v>
      </c>
      <c r="D4" s="35" t="s">
        <v>3</v>
      </c>
      <c r="E4" s="35" t="s">
        <v>4</v>
      </c>
      <c r="F4" s="35" t="s">
        <v>5</v>
      </c>
    </row>
    <row r="5" spans="1:6" ht="28.5" x14ac:dyDescent="0.35">
      <c r="A5" s="35" t="s">
        <v>74</v>
      </c>
      <c r="B5" s="34" t="s">
        <v>75</v>
      </c>
      <c r="C5" s="34" t="s">
        <v>76</v>
      </c>
      <c r="D5" s="34" t="s">
        <v>77</v>
      </c>
      <c r="E5" s="34" t="s">
        <v>78</v>
      </c>
      <c r="F5" s="34" t="s">
        <v>79</v>
      </c>
    </row>
    <row r="6" spans="1:6" x14ac:dyDescent="0.35">
      <c r="A6" s="28">
        <v>1</v>
      </c>
      <c r="B6" s="74">
        <v>2</v>
      </c>
      <c r="C6" s="74">
        <v>0</v>
      </c>
      <c r="D6" s="74">
        <v>0</v>
      </c>
      <c r="E6" s="74">
        <v>0</v>
      </c>
      <c r="F6" s="74">
        <f>B6+C6+D6-E6</f>
        <v>2</v>
      </c>
    </row>
    <row r="7" spans="1:6" x14ac:dyDescent="0.35">
      <c r="A7" s="28">
        <v>2</v>
      </c>
      <c r="B7" s="74">
        <v>2</v>
      </c>
      <c r="C7" s="74">
        <f>F6</f>
        <v>2</v>
      </c>
      <c r="D7" s="74">
        <v>0</v>
      </c>
      <c r="E7" s="74">
        <v>0</v>
      </c>
      <c r="F7" s="74">
        <f t="shared" ref="F7:F8" si="0">B7+C7+D7-E7</f>
        <v>4</v>
      </c>
    </row>
    <row r="8" spans="1:6" x14ac:dyDescent="0.35">
      <c r="A8" s="28">
        <v>3</v>
      </c>
      <c r="B8" s="74">
        <v>2</v>
      </c>
      <c r="C8" s="74">
        <f>F7</f>
        <v>4</v>
      </c>
      <c r="D8" s="74">
        <v>0</v>
      </c>
      <c r="E8" s="74">
        <v>0</v>
      </c>
      <c r="F8" s="74">
        <f t="shared" si="0"/>
        <v>6</v>
      </c>
    </row>
    <row r="9" spans="1:6" x14ac:dyDescent="0.35">
      <c r="A9" s="28" t="s">
        <v>47</v>
      </c>
      <c r="B9" s="74">
        <f>AVERAGE(B6:B8)</f>
        <v>2</v>
      </c>
      <c r="C9" s="74">
        <f>AVERAGE(C6:C8)</f>
        <v>2</v>
      </c>
      <c r="D9" s="74"/>
      <c r="E9" s="74"/>
      <c r="F9" s="75">
        <f>AVERAGE(F6:F8)</f>
        <v>4</v>
      </c>
    </row>
    <row r="10" spans="1:6" ht="16" x14ac:dyDescent="0.35">
      <c r="A10" s="20" t="s">
        <v>101</v>
      </c>
    </row>
  </sheetData>
  <sheetProtection algorithmName="SHA-512" hashValue="MGBSQrVWHU7rzX93WKr2vnMCsb4zEYh3Kj3Tnhi+7XauiMi9/DqcdOG0YdUyXcHlCOYuZIAzXu7ALscxvFlzGQ==" saltValue="+j3vxoB5cWbDkCJy7nisTA==" spinCount="100000" sheet="1" objects="1" scenarios="1"/>
  <mergeCells count="3">
    <mergeCell ref="B3:C3"/>
    <mergeCell ref="A1:F1"/>
    <mergeCell ref="A2:F2"/>
  </mergeCells>
  <pageMargins left="0.7" right="0.7" top="0.75" bottom="0.75" header="0.3" footer="0.3"/>
  <pageSetup orientation="portrait"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36"/>
  <sheetViews>
    <sheetView topLeftCell="A4" workbookViewId="0">
      <selection activeCell="A2" sqref="A2"/>
    </sheetView>
  </sheetViews>
  <sheetFormatPr defaultRowHeight="14.5" x14ac:dyDescent="0.35"/>
  <cols>
    <col min="1" max="1" width="30.26953125" customWidth="1"/>
    <col min="2" max="2" width="11.7265625" customWidth="1"/>
    <col min="3" max="3" width="11.453125" customWidth="1"/>
    <col min="4" max="4" width="12.453125" customWidth="1"/>
    <col min="5" max="5" width="12.26953125" customWidth="1"/>
    <col min="6" max="6" width="10.453125" customWidth="1"/>
    <col min="7" max="7" width="12.26953125" customWidth="1"/>
    <col min="8" max="8" width="10.54296875" customWidth="1"/>
    <col min="9" max="9" width="12.54296875" customWidth="1"/>
  </cols>
  <sheetData>
    <row r="1" spans="1:9" ht="15" x14ac:dyDescent="0.35">
      <c r="A1" s="1" t="s">
        <v>105</v>
      </c>
    </row>
    <row r="2" spans="1:9" x14ac:dyDescent="0.35">
      <c r="F2" s="2">
        <v>101.24</v>
      </c>
      <c r="G2" s="2">
        <v>161.34</v>
      </c>
      <c r="H2" s="2">
        <v>45.17</v>
      </c>
      <c r="I2" s="2"/>
    </row>
    <row r="3" spans="1:9" x14ac:dyDescent="0.35">
      <c r="A3" s="89" t="s">
        <v>0</v>
      </c>
      <c r="B3" s="3" t="s">
        <v>1</v>
      </c>
      <c r="C3" s="3" t="s">
        <v>2</v>
      </c>
      <c r="D3" s="3" t="s">
        <v>3</v>
      </c>
      <c r="E3" s="3" t="s">
        <v>4</v>
      </c>
      <c r="F3" s="4" t="s">
        <v>5</v>
      </c>
      <c r="G3" s="3" t="s">
        <v>6</v>
      </c>
      <c r="H3" s="3" t="s">
        <v>7</v>
      </c>
      <c r="I3" s="3" t="s">
        <v>8</v>
      </c>
    </row>
    <row r="4" spans="1:9" ht="65" x14ac:dyDescent="0.35">
      <c r="A4" s="90"/>
      <c r="B4" s="5" t="s">
        <v>9</v>
      </c>
      <c r="C4" s="5" t="s">
        <v>10</v>
      </c>
      <c r="D4" s="5" t="s">
        <v>11</v>
      </c>
      <c r="E4" s="5" t="s">
        <v>12</v>
      </c>
      <c r="F4" s="5" t="s">
        <v>13</v>
      </c>
      <c r="G4" s="5" t="s">
        <v>14</v>
      </c>
      <c r="H4" s="5" t="s">
        <v>15</v>
      </c>
      <c r="I4" s="5" t="s">
        <v>16</v>
      </c>
    </row>
    <row r="5" spans="1:9" x14ac:dyDescent="0.35">
      <c r="A5" s="6" t="s">
        <v>17</v>
      </c>
      <c r="B5" s="7" t="s">
        <v>18</v>
      </c>
      <c r="C5" s="7"/>
      <c r="D5" s="7"/>
      <c r="E5" s="7"/>
      <c r="F5" s="7"/>
      <c r="G5" s="7"/>
      <c r="H5" s="7"/>
      <c r="I5" s="8"/>
    </row>
    <row r="6" spans="1:9" x14ac:dyDescent="0.35">
      <c r="A6" s="6" t="s">
        <v>19</v>
      </c>
      <c r="B6" s="7" t="s">
        <v>18</v>
      </c>
      <c r="C6" s="7"/>
      <c r="D6" s="7"/>
      <c r="E6" s="7"/>
      <c r="F6" s="7"/>
      <c r="G6" s="7"/>
      <c r="H6" s="7"/>
      <c r="I6" s="8"/>
    </row>
    <row r="7" spans="1:9" x14ac:dyDescent="0.35">
      <c r="A7" s="6" t="s">
        <v>20</v>
      </c>
      <c r="B7" s="7"/>
      <c r="C7" s="7"/>
      <c r="D7" s="7"/>
      <c r="E7" s="7"/>
      <c r="F7" s="7"/>
      <c r="G7" s="7"/>
      <c r="H7" s="7"/>
      <c r="I7" s="8"/>
    </row>
    <row r="8" spans="1:9" ht="28.5" x14ac:dyDescent="0.35">
      <c r="A8" s="9" t="s">
        <v>21</v>
      </c>
      <c r="B8" s="7"/>
      <c r="C8" s="7"/>
      <c r="D8" s="7"/>
      <c r="E8" s="7"/>
      <c r="F8" s="7"/>
      <c r="G8" s="7"/>
      <c r="H8" s="7"/>
      <c r="I8" s="10"/>
    </row>
    <row r="9" spans="1:9" x14ac:dyDescent="0.35">
      <c r="A9" s="11" t="s">
        <v>80</v>
      </c>
      <c r="B9" s="7">
        <v>8</v>
      </c>
      <c r="C9" s="7">
        <v>1</v>
      </c>
      <c r="D9" s="7">
        <v>1</v>
      </c>
      <c r="E9" s="13">
        <f>6/3</f>
        <v>2</v>
      </c>
      <c r="F9" s="13">
        <f>+D9*E9</f>
        <v>2</v>
      </c>
      <c r="G9" s="46">
        <f>+F9*0.05</f>
        <v>0.1</v>
      </c>
      <c r="H9" s="46">
        <f>+F9*0.1</f>
        <v>0.2</v>
      </c>
      <c r="I9" s="10">
        <f>+$F$2*F9+$G$2*G9+$H$2*H9</f>
        <v>227.64799999999997</v>
      </c>
    </row>
    <row r="10" spans="1:9" x14ac:dyDescent="0.35">
      <c r="A10" s="11" t="s">
        <v>81</v>
      </c>
      <c r="B10" s="7">
        <v>1</v>
      </c>
      <c r="C10" s="7">
        <v>1</v>
      </c>
      <c r="D10" s="7">
        <f>+B10*C10</f>
        <v>1</v>
      </c>
      <c r="E10" s="7">
        <v>0</v>
      </c>
      <c r="F10" s="7">
        <f>+D10*E10</f>
        <v>0</v>
      </c>
      <c r="G10" s="7">
        <f>+F10*0.05</f>
        <v>0</v>
      </c>
      <c r="H10" s="7">
        <f>+F10*0.1</f>
        <v>0</v>
      </c>
      <c r="I10" s="10">
        <f>+$F$2*F10+$G$2*G10+$H$2*H10</f>
        <v>0</v>
      </c>
    </row>
    <row r="11" spans="1:9" x14ac:dyDescent="0.35">
      <c r="A11" s="9" t="s">
        <v>22</v>
      </c>
      <c r="B11" s="7"/>
      <c r="C11" s="7"/>
      <c r="D11" s="7"/>
      <c r="E11" s="7"/>
      <c r="F11" s="7"/>
      <c r="G11" s="7"/>
      <c r="H11" s="7"/>
      <c r="I11" s="8"/>
    </row>
    <row r="12" spans="1:9" x14ac:dyDescent="0.35">
      <c r="A12" s="11" t="s">
        <v>23</v>
      </c>
      <c r="B12" s="7">
        <v>60</v>
      </c>
      <c r="C12" s="7">
        <v>1</v>
      </c>
      <c r="D12" s="7">
        <f t="shared" ref="D12:D22" si="0">+B12*C12</f>
        <v>60</v>
      </c>
      <c r="E12" s="13">
        <f>E9</f>
        <v>2</v>
      </c>
      <c r="F12" s="7">
        <f t="shared" ref="F12:F18" si="1">+D12*E12</f>
        <v>120</v>
      </c>
      <c r="G12" s="7">
        <f t="shared" ref="G12:G18" si="2">+F12*0.05</f>
        <v>6</v>
      </c>
      <c r="H12" s="7">
        <f t="shared" ref="H12:H18" si="3">+F12*0.1</f>
        <v>12</v>
      </c>
      <c r="I12" s="10">
        <f t="shared" ref="I12:I18" si="4">+$F$2*F12+$G$2*G12+$H$2*H12</f>
        <v>13658.880000000001</v>
      </c>
    </row>
    <row r="13" spans="1:9" ht="15.5" x14ac:dyDescent="0.35">
      <c r="A13" s="11" t="s">
        <v>24</v>
      </c>
      <c r="B13" s="7">
        <v>60</v>
      </c>
      <c r="C13" s="7">
        <v>1</v>
      </c>
      <c r="D13" s="7">
        <f t="shared" si="0"/>
        <v>60</v>
      </c>
      <c r="E13" s="46">
        <f>E12*0.2</f>
        <v>0.4</v>
      </c>
      <c r="F13" s="7">
        <f t="shared" si="1"/>
        <v>24</v>
      </c>
      <c r="G13" s="7">
        <f t="shared" si="2"/>
        <v>1.2000000000000002</v>
      </c>
      <c r="H13" s="7">
        <f t="shared" si="3"/>
        <v>2.4000000000000004</v>
      </c>
      <c r="I13" s="10">
        <f t="shared" si="4"/>
        <v>2731.7759999999998</v>
      </c>
    </row>
    <row r="14" spans="1:9" x14ac:dyDescent="0.35">
      <c r="A14" s="9" t="s">
        <v>25</v>
      </c>
      <c r="B14" s="7"/>
      <c r="C14" s="7"/>
      <c r="D14" s="7"/>
      <c r="E14" s="7"/>
      <c r="F14" s="7"/>
      <c r="G14" s="7"/>
      <c r="H14" s="7"/>
      <c r="I14" s="8"/>
    </row>
    <row r="15" spans="1:9" ht="26" x14ac:dyDescent="0.35">
      <c r="A15" s="11" t="s">
        <v>26</v>
      </c>
      <c r="B15" s="7">
        <v>2</v>
      </c>
      <c r="C15" s="7">
        <v>1</v>
      </c>
      <c r="D15" s="7">
        <f t="shared" si="0"/>
        <v>2</v>
      </c>
      <c r="E15" s="13">
        <f>E9</f>
        <v>2</v>
      </c>
      <c r="F15" s="46">
        <f t="shared" si="1"/>
        <v>4</v>
      </c>
      <c r="G15" s="46">
        <f t="shared" si="2"/>
        <v>0.2</v>
      </c>
      <c r="H15" s="46">
        <f t="shared" si="3"/>
        <v>0.4</v>
      </c>
      <c r="I15" s="10">
        <f t="shared" si="4"/>
        <v>455.29599999999994</v>
      </c>
    </row>
    <row r="16" spans="1:9" x14ac:dyDescent="0.35">
      <c r="A16" s="11" t="s">
        <v>27</v>
      </c>
      <c r="B16" s="7">
        <v>1</v>
      </c>
      <c r="C16" s="7">
        <v>1</v>
      </c>
      <c r="D16" s="7">
        <f t="shared" si="0"/>
        <v>1</v>
      </c>
      <c r="E16" s="13">
        <f>E9</f>
        <v>2</v>
      </c>
      <c r="F16" s="46">
        <f t="shared" si="1"/>
        <v>2</v>
      </c>
      <c r="G16" s="46">
        <f t="shared" si="2"/>
        <v>0.1</v>
      </c>
      <c r="H16" s="46">
        <f t="shared" si="3"/>
        <v>0.2</v>
      </c>
      <c r="I16" s="10">
        <f t="shared" si="4"/>
        <v>227.64799999999997</v>
      </c>
    </row>
    <row r="17" spans="1:9" ht="26" x14ac:dyDescent="0.35">
      <c r="A17" s="11" t="s">
        <v>28</v>
      </c>
      <c r="B17" s="7">
        <v>2</v>
      </c>
      <c r="C17" s="7">
        <v>1</v>
      </c>
      <c r="D17" s="7">
        <f t="shared" si="0"/>
        <v>2</v>
      </c>
      <c r="E17" s="46">
        <f>SUM(E12:E13)</f>
        <v>2.4</v>
      </c>
      <c r="F17" s="7">
        <f t="shared" si="1"/>
        <v>4.8</v>
      </c>
      <c r="G17" s="12">
        <f t="shared" si="2"/>
        <v>0.24</v>
      </c>
      <c r="H17" s="12">
        <f t="shared" si="3"/>
        <v>0.48</v>
      </c>
      <c r="I17" s="10">
        <f t="shared" si="4"/>
        <v>546.35519999999997</v>
      </c>
    </row>
    <row r="18" spans="1:9" x14ac:dyDescent="0.35">
      <c r="A18" s="11" t="s">
        <v>29</v>
      </c>
      <c r="B18" s="7">
        <v>3</v>
      </c>
      <c r="C18" s="7">
        <v>2</v>
      </c>
      <c r="D18" s="7">
        <f t="shared" si="0"/>
        <v>6</v>
      </c>
      <c r="E18" s="13">
        <f>SUM(E9:E10)</f>
        <v>2</v>
      </c>
      <c r="F18" s="7">
        <f t="shared" si="1"/>
        <v>12</v>
      </c>
      <c r="G18" s="13">
        <f t="shared" si="2"/>
        <v>0.60000000000000009</v>
      </c>
      <c r="H18" s="13">
        <f t="shared" si="3"/>
        <v>1.2000000000000002</v>
      </c>
      <c r="I18" s="10">
        <f t="shared" si="4"/>
        <v>1365.8879999999999</v>
      </c>
    </row>
    <row r="19" spans="1:9" x14ac:dyDescent="0.35">
      <c r="A19" s="14" t="s">
        <v>30</v>
      </c>
      <c r="B19" s="5"/>
      <c r="C19" s="5"/>
      <c r="D19" s="7"/>
      <c r="E19" s="37"/>
      <c r="F19" s="91">
        <f>SUM(F5:H18)</f>
        <v>194.11999999999998</v>
      </c>
      <c r="G19" s="91"/>
      <c r="H19" s="91"/>
      <c r="I19" s="15">
        <f>SUM(I5:I18)</f>
        <v>19213.491199999997</v>
      </c>
    </row>
    <row r="20" spans="1:9" x14ac:dyDescent="0.35">
      <c r="A20" s="6" t="s">
        <v>31</v>
      </c>
      <c r="B20" s="7"/>
      <c r="C20" s="7"/>
      <c r="D20" s="7"/>
      <c r="E20" s="13"/>
      <c r="F20" s="7"/>
      <c r="G20" s="7"/>
      <c r="H20" s="7"/>
      <c r="I20" s="8"/>
    </row>
    <row r="21" spans="1:9" ht="26" x14ac:dyDescent="0.35">
      <c r="A21" s="11" t="s">
        <v>32</v>
      </c>
      <c r="B21" s="7">
        <v>1</v>
      </c>
      <c r="C21" s="7">
        <v>12</v>
      </c>
      <c r="D21" s="7">
        <f t="shared" si="0"/>
        <v>12</v>
      </c>
      <c r="E21" s="13">
        <f>E9</f>
        <v>2</v>
      </c>
      <c r="F21" s="7">
        <f t="shared" ref="F21:F22" si="5">+D21*E21</f>
        <v>24</v>
      </c>
      <c r="G21" s="7">
        <f t="shared" ref="G21:G22" si="6">+F21*0.05</f>
        <v>1.2000000000000002</v>
      </c>
      <c r="H21" s="7">
        <f t="shared" ref="H21:H22" si="7">+F21*0.1</f>
        <v>2.4000000000000004</v>
      </c>
      <c r="I21" s="10">
        <f t="shared" ref="I21:I22" si="8">+$F$2*F21+$G$2*G21+$H$2*H21</f>
        <v>2731.7759999999998</v>
      </c>
    </row>
    <row r="22" spans="1:9" ht="26" x14ac:dyDescent="0.35">
      <c r="A22" s="11" t="s">
        <v>33</v>
      </c>
      <c r="B22" s="7">
        <v>1</v>
      </c>
      <c r="C22" s="7">
        <v>8</v>
      </c>
      <c r="D22" s="7">
        <f t="shared" si="0"/>
        <v>8</v>
      </c>
      <c r="E22" s="13">
        <f>E18</f>
        <v>2</v>
      </c>
      <c r="F22" s="46">
        <f t="shared" si="5"/>
        <v>16</v>
      </c>
      <c r="G22" s="13">
        <f t="shared" si="6"/>
        <v>0.8</v>
      </c>
      <c r="H22" s="13">
        <f t="shared" si="7"/>
        <v>1.6</v>
      </c>
      <c r="I22" s="10">
        <f t="shared" si="8"/>
        <v>1821.1839999999997</v>
      </c>
    </row>
    <row r="23" spans="1:9" ht="28.5" x14ac:dyDescent="0.35">
      <c r="A23" s="11" t="s">
        <v>86</v>
      </c>
      <c r="B23" s="7">
        <v>1</v>
      </c>
      <c r="C23" s="7">
        <v>1</v>
      </c>
      <c r="D23" s="7">
        <f t="shared" ref="D23" si="9">+B23*C23</f>
        <v>1</v>
      </c>
      <c r="E23" s="13">
        <v>0</v>
      </c>
      <c r="F23" s="13">
        <f t="shared" ref="F23" si="10">+D23*E23</f>
        <v>0</v>
      </c>
      <c r="G23" s="13">
        <f t="shared" ref="G23" si="11">+F23*0.05</f>
        <v>0</v>
      </c>
      <c r="H23" s="13">
        <f t="shared" ref="H23" si="12">+F23*0.1</f>
        <v>0</v>
      </c>
      <c r="I23" s="10">
        <f t="shared" ref="I23" si="13">+$F$2*F23+$G$2*G23+$H$2*H23</f>
        <v>0</v>
      </c>
    </row>
    <row r="24" spans="1:9" ht="15.5" x14ac:dyDescent="0.35">
      <c r="A24" s="11" t="s">
        <v>87</v>
      </c>
      <c r="B24" s="7">
        <v>1</v>
      </c>
      <c r="C24" s="7">
        <v>1</v>
      </c>
      <c r="D24" s="7">
        <f t="shared" ref="D24" si="14">+B24*C24</f>
        <v>1</v>
      </c>
      <c r="E24" s="13">
        <v>0</v>
      </c>
      <c r="F24" s="13">
        <f t="shared" ref="F24" si="15">+D24*E24</f>
        <v>0</v>
      </c>
      <c r="G24" s="13">
        <f t="shared" ref="G24" si="16">+F24*0.05</f>
        <v>0</v>
      </c>
      <c r="H24" s="13">
        <f t="shared" ref="H24" si="17">+F24*0.1</f>
        <v>0</v>
      </c>
      <c r="I24" s="10">
        <f t="shared" ref="I24" si="18">+$F$2*F24+$G$2*G24+$H$2*H24</f>
        <v>0</v>
      </c>
    </row>
    <row r="25" spans="1:9" ht="27" x14ac:dyDescent="0.35">
      <c r="A25" s="14" t="s">
        <v>34</v>
      </c>
      <c r="B25" s="5"/>
      <c r="C25" s="5"/>
      <c r="D25" s="16"/>
      <c r="E25" s="5"/>
      <c r="F25" s="91">
        <f>SUM(F20:H24)</f>
        <v>46</v>
      </c>
      <c r="G25" s="91"/>
      <c r="H25" s="91"/>
      <c r="I25" s="15">
        <f>SUM(I20:I24)</f>
        <v>4552.9599999999991</v>
      </c>
    </row>
    <row r="26" spans="1:9" ht="28" x14ac:dyDescent="0.35">
      <c r="A26" s="16" t="s">
        <v>90</v>
      </c>
      <c r="B26" s="16"/>
      <c r="C26" s="16"/>
      <c r="D26" s="16"/>
      <c r="E26" s="16"/>
      <c r="F26" s="92">
        <f>ROUND(F19+F25,0)</f>
        <v>240</v>
      </c>
      <c r="G26" s="92"/>
      <c r="H26" s="92"/>
      <c r="I26" s="15">
        <f>ROUND(I19+I25,-2)</f>
        <v>23800</v>
      </c>
    </row>
    <row r="27" spans="1:9" ht="28" x14ac:dyDescent="0.35">
      <c r="A27" s="16" t="s">
        <v>91</v>
      </c>
      <c r="B27" s="16"/>
      <c r="C27" s="16"/>
      <c r="D27" s="16"/>
      <c r="E27" s="16"/>
      <c r="F27" s="17"/>
      <c r="G27" s="17"/>
      <c r="H27" s="17"/>
      <c r="I27" s="15">
        <f>'Capital O&amp;M'!$D$14+('Capital O&amp;M'!$G$14/3)</f>
        <v>3190000</v>
      </c>
    </row>
    <row r="28" spans="1:9" ht="15" x14ac:dyDescent="0.35">
      <c r="A28" s="16" t="s">
        <v>92</v>
      </c>
      <c r="B28" s="16"/>
      <c r="C28" s="16"/>
      <c r="D28" s="16"/>
      <c r="E28" s="16"/>
      <c r="F28" s="17"/>
      <c r="G28" s="17"/>
      <c r="H28" s="17"/>
      <c r="I28" s="15">
        <f>ROUND(I26+I27,-4)</f>
        <v>3210000</v>
      </c>
    </row>
    <row r="30" spans="1:9" x14ac:dyDescent="0.35">
      <c r="A30" s="18" t="s">
        <v>35</v>
      </c>
    </row>
    <row r="31" spans="1:9" ht="32.25" customHeight="1" x14ac:dyDescent="0.35">
      <c r="A31" s="88" t="s">
        <v>96</v>
      </c>
      <c r="B31" s="88"/>
      <c r="C31" s="88"/>
      <c r="D31" s="88"/>
      <c r="E31" s="88"/>
      <c r="F31" s="88"/>
      <c r="G31" s="88"/>
      <c r="H31" s="88"/>
      <c r="I31" s="88"/>
    </row>
    <row r="32" spans="1:9" ht="87" customHeight="1" x14ac:dyDescent="0.35">
      <c r="A32" s="88" t="s">
        <v>54</v>
      </c>
      <c r="B32" s="88"/>
      <c r="C32" s="88"/>
      <c r="D32" s="88"/>
      <c r="E32" s="88"/>
      <c r="F32" s="88"/>
      <c r="G32" s="88"/>
      <c r="H32" s="88"/>
      <c r="I32" s="88"/>
    </row>
    <row r="33" spans="1:9" x14ac:dyDescent="0.35">
      <c r="A33" s="87" t="s">
        <v>36</v>
      </c>
      <c r="B33" s="87"/>
      <c r="C33" s="87"/>
      <c r="D33" s="87"/>
      <c r="E33" s="87"/>
      <c r="F33" s="87"/>
      <c r="G33" s="87"/>
      <c r="H33" s="87"/>
      <c r="I33" s="87"/>
    </row>
    <row r="34" spans="1:9" ht="15.5" x14ac:dyDescent="0.35">
      <c r="A34" s="88" t="s">
        <v>37</v>
      </c>
      <c r="B34" s="88"/>
      <c r="C34" s="88"/>
      <c r="D34" s="88"/>
      <c r="E34" s="88"/>
      <c r="F34" s="88"/>
      <c r="G34" s="88"/>
      <c r="H34" s="88"/>
      <c r="I34" s="88"/>
    </row>
    <row r="35" spans="1:9" ht="16" x14ac:dyDescent="0.35">
      <c r="A35" s="20" t="s">
        <v>88</v>
      </c>
    </row>
    <row r="36" spans="1:9" x14ac:dyDescent="0.35">
      <c r="A36" s="87" t="s">
        <v>89</v>
      </c>
      <c r="B36" s="87"/>
      <c r="C36" s="87"/>
      <c r="D36" s="87"/>
      <c r="E36" s="87"/>
      <c r="F36" s="87"/>
      <c r="G36" s="87"/>
      <c r="H36" s="87"/>
      <c r="I36" s="87"/>
    </row>
  </sheetData>
  <sheetProtection algorithmName="SHA-512" hashValue="1JO/i8hlRDk5OLpTFMe/T58vO0x7izSEdy0TDG0CFgv6E1DB39t7vuDgcLvV1TyKXFKG16wkY2Xtxh7lW+eaQA==" saltValue="+mkAmvx4yp4Z+VwpDe2Eaw==" spinCount="100000" sheet="1" objects="1" scenarios="1"/>
  <mergeCells count="9">
    <mergeCell ref="A33:I33"/>
    <mergeCell ref="A34:I34"/>
    <mergeCell ref="A36:I36"/>
    <mergeCell ref="A3:A4"/>
    <mergeCell ref="F19:H19"/>
    <mergeCell ref="F25:H25"/>
    <mergeCell ref="F26:H26"/>
    <mergeCell ref="A31:I31"/>
    <mergeCell ref="A32:I32"/>
  </mergeCells>
  <pageMargins left="0.7" right="0.7" top="0.75" bottom="0.75" header="0.3" footer="0.3"/>
  <pageSetup orientation="portrait" horizontalDpi="4294967293"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A60029-2B59-4B64-B138-C02DEB1608E0}">
  <dimension ref="A1:I36"/>
  <sheetViews>
    <sheetView workbookViewId="0">
      <selection activeCell="A2" sqref="A2"/>
    </sheetView>
  </sheetViews>
  <sheetFormatPr defaultRowHeight="14.5" x14ac:dyDescent="0.35"/>
  <cols>
    <col min="1" max="1" width="28.7265625" customWidth="1"/>
    <col min="3" max="3" width="11.453125" customWidth="1"/>
    <col min="4" max="4" width="12.453125" customWidth="1"/>
    <col min="5" max="5" width="12.26953125" customWidth="1"/>
    <col min="6" max="6" width="10.453125" customWidth="1"/>
    <col min="7" max="7" width="12.26953125" customWidth="1"/>
    <col min="8" max="8" width="10.54296875" customWidth="1"/>
    <col min="9" max="9" width="12.54296875" customWidth="1"/>
  </cols>
  <sheetData>
    <row r="1" spans="1:9" ht="15" x14ac:dyDescent="0.35">
      <c r="A1" s="1" t="s">
        <v>106</v>
      </c>
    </row>
    <row r="2" spans="1:9" x14ac:dyDescent="0.35">
      <c r="F2" s="2">
        <v>101.24</v>
      </c>
      <c r="G2" s="2">
        <v>161.34</v>
      </c>
      <c r="H2" s="2">
        <v>45.17</v>
      </c>
      <c r="I2" s="2"/>
    </row>
    <row r="3" spans="1:9" x14ac:dyDescent="0.35">
      <c r="A3" s="89" t="s">
        <v>0</v>
      </c>
      <c r="B3" s="3" t="s">
        <v>1</v>
      </c>
      <c r="C3" s="3" t="s">
        <v>2</v>
      </c>
      <c r="D3" s="3" t="s">
        <v>3</v>
      </c>
      <c r="E3" s="3" t="s">
        <v>4</v>
      </c>
      <c r="F3" s="4" t="s">
        <v>5</v>
      </c>
      <c r="G3" s="3" t="s">
        <v>6</v>
      </c>
      <c r="H3" s="3" t="s">
        <v>7</v>
      </c>
      <c r="I3" s="3" t="s">
        <v>8</v>
      </c>
    </row>
    <row r="4" spans="1:9" ht="65" x14ac:dyDescent="0.35">
      <c r="A4" s="90"/>
      <c r="B4" s="5" t="s">
        <v>9</v>
      </c>
      <c r="C4" s="5" t="s">
        <v>10</v>
      </c>
      <c r="D4" s="5" t="s">
        <v>11</v>
      </c>
      <c r="E4" s="5" t="s">
        <v>12</v>
      </c>
      <c r="F4" s="5" t="s">
        <v>13</v>
      </c>
      <c r="G4" s="5" t="s">
        <v>14</v>
      </c>
      <c r="H4" s="5" t="s">
        <v>15</v>
      </c>
      <c r="I4" s="5" t="s">
        <v>16</v>
      </c>
    </row>
    <row r="5" spans="1:9" x14ac:dyDescent="0.35">
      <c r="A5" s="6" t="s">
        <v>17</v>
      </c>
      <c r="B5" s="7" t="s">
        <v>18</v>
      </c>
      <c r="C5" s="7"/>
      <c r="D5" s="7"/>
      <c r="E5" s="7"/>
      <c r="F5" s="7"/>
      <c r="G5" s="7"/>
      <c r="H5" s="7"/>
      <c r="I5" s="8"/>
    </row>
    <row r="6" spans="1:9" x14ac:dyDescent="0.35">
      <c r="A6" s="6" t="s">
        <v>19</v>
      </c>
      <c r="B6" s="7" t="s">
        <v>18</v>
      </c>
      <c r="C6" s="7"/>
      <c r="D6" s="7"/>
      <c r="E6" s="7"/>
      <c r="F6" s="7"/>
      <c r="G6" s="7"/>
      <c r="H6" s="7"/>
      <c r="I6" s="8"/>
    </row>
    <row r="7" spans="1:9" x14ac:dyDescent="0.35">
      <c r="A7" s="6" t="s">
        <v>20</v>
      </c>
      <c r="B7" s="7"/>
      <c r="C7" s="7"/>
      <c r="D7" s="7"/>
      <c r="E7" s="7"/>
      <c r="F7" s="7"/>
      <c r="G7" s="7"/>
      <c r="H7" s="7"/>
      <c r="I7" s="8"/>
    </row>
    <row r="8" spans="1:9" ht="28.5" x14ac:dyDescent="0.35">
      <c r="A8" s="9" t="s">
        <v>21</v>
      </c>
      <c r="B8" s="7"/>
      <c r="C8" s="7"/>
      <c r="D8" s="7"/>
      <c r="E8" s="7"/>
      <c r="F8" s="7"/>
      <c r="G8" s="7"/>
      <c r="H8" s="7"/>
      <c r="I8" s="10"/>
    </row>
    <row r="9" spans="1:9" x14ac:dyDescent="0.35">
      <c r="A9" s="11" t="s">
        <v>80</v>
      </c>
      <c r="B9" s="7">
        <v>8</v>
      </c>
      <c r="C9" s="7">
        <v>1</v>
      </c>
      <c r="D9" s="7">
        <v>1</v>
      </c>
      <c r="E9" s="13">
        <v>2</v>
      </c>
      <c r="F9" s="13">
        <f>+D9*E9</f>
        <v>2</v>
      </c>
      <c r="G9" s="46">
        <f>+F9*0.05</f>
        <v>0.1</v>
      </c>
      <c r="H9" s="46">
        <f>+F9*0.1</f>
        <v>0.2</v>
      </c>
      <c r="I9" s="10">
        <f>+$F$2*F9+$G$2*G9+$H$2*H9</f>
        <v>227.64799999999997</v>
      </c>
    </row>
    <row r="10" spans="1:9" x14ac:dyDescent="0.35">
      <c r="A10" s="11" t="s">
        <v>81</v>
      </c>
      <c r="B10" s="7">
        <v>1</v>
      </c>
      <c r="C10" s="7">
        <v>1</v>
      </c>
      <c r="D10" s="7">
        <f>+B10*C10</f>
        <v>1</v>
      </c>
      <c r="E10" s="13">
        <v>2</v>
      </c>
      <c r="F10" s="13">
        <f>+D10*E10</f>
        <v>2</v>
      </c>
      <c r="G10" s="46">
        <f>+F10*0.05</f>
        <v>0.1</v>
      </c>
      <c r="H10" s="46">
        <f>+F10*0.1</f>
        <v>0.2</v>
      </c>
      <c r="I10" s="10">
        <f>+$F$2*F10+$G$2*G10+$H$2*H10</f>
        <v>227.64799999999997</v>
      </c>
    </row>
    <row r="11" spans="1:9" x14ac:dyDescent="0.35">
      <c r="A11" s="9" t="s">
        <v>22</v>
      </c>
      <c r="B11" s="7"/>
      <c r="C11" s="7"/>
      <c r="D11" s="7"/>
      <c r="E11" s="13"/>
      <c r="F11" s="7"/>
      <c r="G11" s="7"/>
      <c r="H11" s="7"/>
      <c r="I11" s="8"/>
    </row>
    <row r="12" spans="1:9" x14ac:dyDescent="0.35">
      <c r="A12" s="11" t="s">
        <v>23</v>
      </c>
      <c r="B12" s="7">
        <v>60</v>
      </c>
      <c r="C12" s="7">
        <v>1</v>
      </c>
      <c r="D12" s="7">
        <f t="shared" ref="D12:D24" si="0">+B12*C12</f>
        <v>60</v>
      </c>
      <c r="E12" s="13">
        <f>E9</f>
        <v>2</v>
      </c>
      <c r="F12" s="7">
        <f t="shared" ref="F12:F18" si="1">+D12*E12</f>
        <v>120</v>
      </c>
      <c r="G12" s="7">
        <f t="shared" ref="G12:G18" si="2">+F12*0.05</f>
        <v>6</v>
      </c>
      <c r="H12" s="7">
        <f t="shared" ref="H12:H18" si="3">+F12*0.1</f>
        <v>12</v>
      </c>
      <c r="I12" s="10">
        <f t="shared" ref="I12:I18" si="4">+$F$2*F12+$G$2*G12+$H$2*H12</f>
        <v>13658.880000000001</v>
      </c>
    </row>
    <row r="13" spans="1:9" ht="15.5" x14ac:dyDescent="0.35">
      <c r="A13" s="11" t="s">
        <v>24</v>
      </c>
      <c r="B13" s="7">
        <v>60</v>
      </c>
      <c r="C13" s="7">
        <v>1</v>
      </c>
      <c r="D13" s="7">
        <f t="shared" si="0"/>
        <v>60</v>
      </c>
      <c r="E13" s="46">
        <f>E12*0.2</f>
        <v>0.4</v>
      </c>
      <c r="F13" s="7">
        <f t="shared" si="1"/>
        <v>24</v>
      </c>
      <c r="G13" s="7">
        <f t="shared" si="2"/>
        <v>1.2000000000000002</v>
      </c>
      <c r="H13" s="7">
        <f t="shared" si="3"/>
        <v>2.4000000000000004</v>
      </c>
      <c r="I13" s="10">
        <f t="shared" si="4"/>
        <v>2731.7759999999998</v>
      </c>
    </row>
    <row r="14" spans="1:9" x14ac:dyDescent="0.35">
      <c r="A14" s="9" t="s">
        <v>25</v>
      </c>
      <c r="B14" s="7"/>
      <c r="C14" s="7"/>
      <c r="D14" s="7"/>
      <c r="E14" s="7"/>
      <c r="F14" s="7"/>
      <c r="G14" s="7"/>
      <c r="H14" s="7"/>
      <c r="I14" s="8"/>
    </row>
    <row r="15" spans="1:9" ht="26" x14ac:dyDescent="0.35">
      <c r="A15" s="11" t="s">
        <v>26</v>
      </c>
      <c r="B15" s="7">
        <v>2</v>
      </c>
      <c r="C15" s="7">
        <v>1</v>
      </c>
      <c r="D15" s="7">
        <f t="shared" si="0"/>
        <v>2</v>
      </c>
      <c r="E15" s="13">
        <f>E9</f>
        <v>2</v>
      </c>
      <c r="F15" s="13">
        <f t="shared" si="1"/>
        <v>4</v>
      </c>
      <c r="G15" s="46">
        <f t="shared" si="2"/>
        <v>0.2</v>
      </c>
      <c r="H15" s="46">
        <f t="shared" si="3"/>
        <v>0.4</v>
      </c>
      <c r="I15" s="10">
        <f t="shared" si="4"/>
        <v>455.29599999999994</v>
      </c>
    </row>
    <row r="16" spans="1:9" x14ac:dyDescent="0.35">
      <c r="A16" s="11" t="s">
        <v>27</v>
      </c>
      <c r="B16" s="7">
        <v>1</v>
      </c>
      <c r="C16" s="7">
        <v>1</v>
      </c>
      <c r="D16" s="7">
        <f t="shared" si="0"/>
        <v>1</v>
      </c>
      <c r="E16" s="13">
        <f>E9</f>
        <v>2</v>
      </c>
      <c r="F16" s="13">
        <f t="shared" si="1"/>
        <v>2</v>
      </c>
      <c r="G16" s="46">
        <f t="shared" si="2"/>
        <v>0.1</v>
      </c>
      <c r="H16" s="46">
        <f t="shared" si="3"/>
        <v>0.2</v>
      </c>
      <c r="I16" s="10">
        <f t="shared" si="4"/>
        <v>227.64799999999997</v>
      </c>
    </row>
    <row r="17" spans="1:9" ht="26" x14ac:dyDescent="0.35">
      <c r="A17" s="11" t="s">
        <v>28</v>
      </c>
      <c r="B17" s="7">
        <v>2</v>
      </c>
      <c r="C17" s="7">
        <v>1</v>
      </c>
      <c r="D17" s="7">
        <f t="shared" si="0"/>
        <v>2</v>
      </c>
      <c r="E17" s="46">
        <f>SUM(E12:E13)</f>
        <v>2.4</v>
      </c>
      <c r="F17" s="7">
        <f t="shared" si="1"/>
        <v>4.8</v>
      </c>
      <c r="G17" s="12">
        <f t="shared" si="2"/>
        <v>0.24</v>
      </c>
      <c r="H17" s="12">
        <f t="shared" si="3"/>
        <v>0.48</v>
      </c>
      <c r="I17" s="10">
        <f t="shared" si="4"/>
        <v>546.35519999999997</v>
      </c>
    </row>
    <row r="18" spans="1:9" x14ac:dyDescent="0.35">
      <c r="A18" s="11" t="s">
        <v>29</v>
      </c>
      <c r="B18" s="7">
        <v>3</v>
      </c>
      <c r="C18" s="7">
        <v>2</v>
      </c>
      <c r="D18" s="7">
        <f t="shared" si="0"/>
        <v>6</v>
      </c>
      <c r="E18" s="13">
        <f>SUM(E9:E10)</f>
        <v>4</v>
      </c>
      <c r="F18" s="7">
        <f t="shared" si="1"/>
        <v>24</v>
      </c>
      <c r="G18" s="13">
        <f t="shared" si="2"/>
        <v>1.2000000000000002</v>
      </c>
      <c r="H18" s="13">
        <f t="shared" si="3"/>
        <v>2.4000000000000004</v>
      </c>
      <c r="I18" s="10">
        <f t="shared" si="4"/>
        <v>2731.7759999999998</v>
      </c>
    </row>
    <row r="19" spans="1:9" ht="27" x14ac:dyDescent="0.35">
      <c r="A19" s="14" t="s">
        <v>30</v>
      </c>
      <c r="B19" s="5"/>
      <c r="C19" s="5"/>
      <c r="D19" s="7"/>
      <c r="E19" s="5"/>
      <c r="F19" s="91">
        <f>SUM(F5:H18)</f>
        <v>210.21999999999997</v>
      </c>
      <c r="G19" s="91"/>
      <c r="H19" s="91"/>
      <c r="I19" s="15">
        <f>SUM(I5:I18)</f>
        <v>20807.027199999997</v>
      </c>
    </row>
    <row r="20" spans="1:9" x14ac:dyDescent="0.35">
      <c r="A20" s="6" t="s">
        <v>31</v>
      </c>
      <c r="B20" s="7"/>
      <c r="C20" s="7"/>
      <c r="D20" s="7"/>
      <c r="E20" s="7"/>
      <c r="F20" s="7"/>
      <c r="G20" s="7"/>
      <c r="H20" s="7"/>
      <c r="I20" s="8"/>
    </row>
    <row r="21" spans="1:9" ht="26" x14ac:dyDescent="0.35">
      <c r="A21" s="11" t="s">
        <v>32</v>
      </c>
      <c r="B21" s="7">
        <v>1</v>
      </c>
      <c r="C21" s="7">
        <v>12</v>
      </c>
      <c r="D21" s="7">
        <f t="shared" si="0"/>
        <v>12</v>
      </c>
      <c r="E21" s="13">
        <f>E9</f>
        <v>2</v>
      </c>
      <c r="F21" s="7">
        <f t="shared" ref="F21:F24" si="5">+D21*E21</f>
        <v>24</v>
      </c>
      <c r="G21" s="7">
        <f t="shared" ref="G21:G24" si="6">+F21*0.05</f>
        <v>1.2000000000000002</v>
      </c>
      <c r="H21" s="7">
        <f t="shared" ref="H21:H24" si="7">+F21*0.1</f>
        <v>2.4000000000000004</v>
      </c>
      <c r="I21" s="10">
        <f t="shared" ref="I21:I24" si="8">+$F$2*F21+$G$2*G21+$H$2*H21</f>
        <v>2731.7759999999998</v>
      </c>
    </row>
    <row r="22" spans="1:9" ht="26" x14ac:dyDescent="0.35">
      <c r="A22" s="11" t="s">
        <v>33</v>
      </c>
      <c r="B22" s="7">
        <v>1</v>
      </c>
      <c r="C22" s="7">
        <v>8</v>
      </c>
      <c r="D22" s="7">
        <f t="shared" si="0"/>
        <v>8</v>
      </c>
      <c r="E22" s="13">
        <f>E18</f>
        <v>4</v>
      </c>
      <c r="F22" s="13">
        <f t="shared" si="5"/>
        <v>32</v>
      </c>
      <c r="G22" s="13">
        <f t="shared" si="6"/>
        <v>1.6</v>
      </c>
      <c r="H22" s="13">
        <f t="shared" si="7"/>
        <v>3.2</v>
      </c>
      <c r="I22" s="10">
        <f t="shared" si="8"/>
        <v>3642.3679999999995</v>
      </c>
    </row>
    <row r="23" spans="1:9" ht="28.5" x14ac:dyDescent="0.35">
      <c r="A23" s="11" t="s">
        <v>86</v>
      </c>
      <c r="B23" s="7">
        <v>1</v>
      </c>
      <c r="C23" s="7">
        <v>1</v>
      </c>
      <c r="D23" s="7">
        <f t="shared" si="0"/>
        <v>1</v>
      </c>
      <c r="E23" s="13">
        <v>0</v>
      </c>
      <c r="F23" s="13">
        <f t="shared" si="5"/>
        <v>0</v>
      </c>
      <c r="G23" s="13">
        <f t="shared" si="6"/>
        <v>0</v>
      </c>
      <c r="H23" s="13">
        <f t="shared" si="7"/>
        <v>0</v>
      </c>
      <c r="I23" s="10">
        <f t="shared" si="8"/>
        <v>0</v>
      </c>
    </row>
    <row r="24" spans="1:9" ht="15.5" x14ac:dyDescent="0.35">
      <c r="A24" s="11" t="s">
        <v>87</v>
      </c>
      <c r="B24" s="7">
        <v>1</v>
      </c>
      <c r="C24" s="7">
        <v>1</v>
      </c>
      <c r="D24" s="7">
        <f t="shared" si="0"/>
        <v>1</v>
      </c>
      <c r="E24" s="13">
        <v>0</v>
      </c>
      <c r="F24" s="13">
        <f t="shared" si="5"/>
        <v>0</v>
      </c>
      <c r="G24" s="13">
        <f t="shared" si="6"/>
        <v>0</v>
      </c>
      <c r="H24" s="13">
        <f t="shared" si="7"/>
        <v>0</v>
      </c>
      <c r="I24" s="10">
        <f t="shared" si="8"/>
        <v>0</v>
      </c>
    </row>
    <row r="25" spans="1:9" ht="27" x14ac:dyDescent="0.35">
      <c r="A25" s="14" t="s">
        <v>34</v>
      </c>
      <c r="B25" s="5"/>
      <c r="C25" s="5"/>
      <c r="D25" s="16"/>
      <c r="E25" s="5"/>
      <c r="F25" s="91">
        <f>SUM(F20:H22)</f>
        <v>64.400000000000006</v>
      </c>
      <c r="G25" s="91"/>
      <c r="H25" s="91"/>
      <c r="I25" s="15">
        <f>SUM(I20:I22)</f>
        <v>6374.1439999999993</v>
      </c>
    </row>
    <row r="26" spans="1:9" ht="28" x14ac:dyDescent="0.35">
      <c r="A26" s="16" t="s">
        <v>90</v>
      </c>
      <c r="B26" s="16"/>
      <c r="C26" s="16"/>
      <c r="D26" s="16"/>
      <c r="E26" s="16"/>
      <c r="F26" s="92">
        <f>ROUND(F19+F25,0)</f>
        <v>275</v>
      </c>
      <c r="G26" s="92"/>
      <c r="H26" s="92"/>
      <c r="I26" s="15">
        <f>ROUND(I19+I25,-2)</f>
        <v>27200</v>
      </c>
    </row>
    <row r="27" spans="1:9" ht="28" x14ac:dyDescent="0.35">
      <c r="A27" s="16" t="s">
        <v>91</v>
      </c>
      <c r="B27" s="16"/>
      <c r="C27" s="16"/>
      <c r="D27" s="16"/>
      <c r="E27" s="16"/>
      <c r="F27" s="17"/>
      <c r="G27" s="17"/>
      <c r="H27" s="17"/>
      <c r="I27" s="15">
        <f>'Capital O&amp;M'!$D$14+('Capital O&amp;M'!$G$14/3*2)</f>
        <v>3800000</v>
      </c>
    </row>
    <row r="28" spans="1:9" ht="15" x14ac:dyDescent="0.35">
      <c r="A28" s="16" t="s">
        <v>92</v>
      </c>
      <c r="B28" s="16"/>
      <c r="C28" s="16"/>
      <c r="D28" s="16"/>
      <c r="E28" s="16"/>
      <c r="F28" s="17"/>
      <c r="G28" s="17"/>
      <c r="H28" s="17"/>
      <c r="I28" s="15">
        <f>ROUND(I26+I27,-4)</f>
        <v>3830000</v>
      </c>
    </row>
    <row r="30" spans="1:9" x14ac:dyDescent="0.35">
      <c r="A30" s="18" t="s">
        <v>35</v>
      </c>
    </row>
    <row r="31" spans="1:9" ht="32.25" customHeight="1" x14ac:dyDescent="0.35">
      <c r="A31" s="88" t="s">
        <v>96</v>
      </c>
      <c r="B31" s="88"/>
      <c r="C31" s="88"/>
      <c r="D31" s="88"/>
      <c r="E31" s="88"/>
      <c r="F31" s="88"/>
      <c r="G31" s="88"/>
      <c r="H31" s="88"/>
      <c r="I31" s="88"/>
    </row>
    <row r="32" spans="1:9" ht="87" customHeight="1" x14ac:dyDescent="0.35">
      <c r="A32" s="88" t="s">
        <v>54</v>
      </c>
      <c r="B32" s="88"/>
      <c r="C32" s="88"/>
      <c r="D32" s="88"/>
      <c r="E32" s="88"/>
      <c r="F32" s="88"/>
      <c r="G32" s="88"/>
      <c r="H32" s="88"/>
      <c r="I32" s="88"/>
    </row>
    <row r="33" spans="1:9" x14ac:dyDescent="0.35">
      <c r="A33" s="87" t="s">
        <v>36</v>
      </c>
      <c r="B33" s="87"/>
      <c r="C33" s="87"/>
      <c r="D33" s="87"/>
      <c r="E33" s="87"/>
      <c r="F33" s="87"/>
      <c r="G33" s="87"/>
      <c r="H33" s="87"/>
      <c r="I33" s="87"/>
    </row>
    <row r="34" spans="1:9" ht="15.5" x14ac:dyDescent="0.35">
      <c r="A34" s="88" t="s">
        <v>37</v>
      </c>
      <c r="B34" s="88"/>
      <c r="C34" s="88"/>
      <c r="D34" s="88"/>
      <c r="E34" s="88"/>
      <c r="F34" s="88"/>
      <c r="G34" s="88"/>
      <c r="H34" s="88"/>
      <c r="I34" s="88"/>
    </row>
    <row r="35" spans="1:9" ht="15" customHeight="1" x14ac:dyDescent="0.35">
      <c r="A35" s="20" t="s">
        <v>88</v>
      </c>
    </row>
    <row r="36" spans="1:9" x14ac:dyDescent="0.35">
      <c r="A36" s="87" t="s">
        <v>89</v>
      </c>
      <c r="B36" s="87"/>
      <c r="C36" s="87"/>
      <c r="D36" s="87"/>
      <c r="E36" s="87"/>
      <c r="F36" s="87"/>
      <c r="G36" s="87"/>
      <c r="H36" s="87"/>
      <c r="I36" s="87"/>
    </row>
  </sheetData>
  <sheetProtection algorithmName="SHA-512" hashValue="GhxAxAatQYTVqbKFJVFVt+r8ghMuzqsd+b7zCzAOCk4pBNzgmf25WVtnzh5hUovIQDP0CHZ4CtYi+gBwWlFtVg==" saltValue="X05G0BlmD+jUUZeKAI2JVQ==" spinCount="100000" sheet="1" objects="1" scenarios="1"/>
  <mergeCells count="9">
    <mergeCell ref="A33:I33"/>
    <mergeCell ref="A34:I34"/>
    <mergeCell ref="A36:I36"/>
    <mergeCell ref="A3:A4"/>
    <mergeCell ref="F19:H19"/>
    <mergeCell ref="F25:H25"/>
    <mergeCell ref="F26:H26"/>
    <mergeCell ref="A31:I31"/>
    <mergeCell ref="A32:I3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04FF80-C28C-4374-89DC-73948B605933}">
  <dimension ref="A1:I36"/>
  <sheetViews>
    <sheetView tabSelected="1" workbookViewId="0">
      <selection activeCell="A2" sqref="A2"/>
    </sheetView>
  </sheetViews>
  <sheetFormatPr defaultRowHeight="14.5" x14ac:dyDescent="0.35"/>
  <cols>
    <col min="1" max="1" width="28.7265625" customWidth="1"/>
    <col min="3" max="3" width="11.453125" customWidth="1"/>
    <col min="4" max="4" width="12.453125" customWidth="1"/>
    <col min="5" max="5" width="12.26953125" customWidth="1"/>
    <col min="6" max="6" width="10.453125" customWidth="1"/>
    <col min="7" max="7" width="12.26953125" customWidth="1"/>
    <col min="8" max="8" width="10.54296875" customWidth="1"/>
    <col min="9" max="9" width="12.54296875" customWidth="1"/>
  </cols>
  <sheetData>
    <row r="1" spans="1:9" ht="15" x14ac:dyDescent="0.35">
      <c r="A1" s="1" t="s">
        <v>107</v>
      </c>
    </row>
    <row r="2" spans="1:9" x14ac:dyDescent="0.35">
      <c r="F2" s="2">
        <v>101.24</v>
      </c>
      <c r="G2" s="2">
        <v>161.34</v>
      </c>
      <c r="H2" s="2">
        <v>45.17</v>
      </c>
      <c r="I2" s="2"/>
    </row>
    <row r="3" spans="1:9" x14ac:dyDescent="0.35">
      <c r="A3" s="89" t="s">
        <v>0</v>
      </c>
      <c r="B3" s="3" t="s">
        <v>1</v>
      </c>
      <c r="C3" s="3" t="s">
        <v>2</v>
      </c>
      <c r="D3" s="3" t="s">
        <v>3</v>
      </c>
      <c r="E3" s="3" t="s">
        <v>4</v>
      </c>
      <c r="F3" s="4" t="s">
        <v>5</v>
      </c>
      <c r="G3" s="3" t="s">
        <v>6</v>
      </c>
      <c r="H3" s="3" t="s">
        <v>7</v>
      </c>
      <c r="I3" s="3" t="s">
        <v>8</v>
      </c>
    </row>
    <row r="4" spans="1:9" ht="65" x14ac:dyDescent="0.35">
      <c r="A4" s="90"/>
      <c r="B4" s="5" t="s">
        <v>9</v>
      </c>
      <c r="C4" s="5" t="s">
        <v>10</v>
      </c>
      <c r="D4" s="5" t="s">
        <v>11</v>
      </c>
      <c r="E4" s="5" t="s">
        <v>12</v>
      </c>
      <c r="F4" s="5" t="s">
        <v>13</v>
      </c>
      <c r="G4" s="5" t="s">
        <v>14</v>
      </c>
      <c r="H4" s="5" t="s">
        <v>15</v>
      </c>
      <c r="I4" s="5" t="s">
        <v>16</v>
      </c>
    </row>
    <row r="5" spans="1:9" x14ac:dyDescent="0.35">
      <c r="A5" s="6" t="s">
        <v>17</v>
      </c>
      <c r="B5" s="7" t="s">
        <v>18</v>
      </c>
      <c r="C5" s="7"/>
      <c r="D5" s="7"/>
      <c r="E5" s="7"/>
      <c r="F5" s="7"/>
      <c r="G5" s="7"/>
      <c r="H5" s="7"/>
      <c r="I5" s="8"/>
    </row>
    <row r="6" spans="1:9" x14ac:dyDescent="0.35">
      <c r="A6" s="6" t="s">
        <v>19</v>
      </c>
      <c r="B6" s="7" t="s">
        <v>18</v>
      </c>
      <c r="C6" s="7"/>
      <c r="D6" s="7"/>
      <c r="E6" s="7"/>
      <c r="F6" s="7"/>
      <c r="G6" s="7"/>
      <c r="H6" s="7"/>
      <c r="I6" s="8"/>
    </row>
    <row r="7" spans="1:9" x14ac:dyDescent="0.35">
      <c r="A7" s="6" t="s">
        <v>20</v>
      </c>
      <c r="B7" s="7"/>
      <c r="C7" s="7"/>
      <c r="D7" s="7"/>
      <c r="E7" s="7"/>
      <c r="F7" s="7"/>
      <c r="G7" s="7"/>
      <c r="H7" s="7"/>
      <c r="I7" s="8"/>
    </row>
    <row r="8" spans="1:9" ht="28.5" x14ac:dyDescent="0.35">
      <c r="A8" s="9" t="s">
        <v>21</v>
      </c>
      <c r="B8" s="7"/>
      <c r="C8" s="7"/>
      <c r="D8" s="7"/>
      <c r="E8" s="7"/>
      <c r="F8" s="7"/>
      <c r="G8" s="7"/>
      <c r="H8" s="7"/>
      <c r="I8" s="10"/>
    </row>
    <row r="9" spans="1:9" x14ac:dyDescent="0.35">
      <c r="A9" s="11" t="s">
        <v>80</v>
      </c>
      <c r="B9" s="7">
        <v>8</v>
      </c>
      <c r="C9" s="7">
        <v>1</v>
      </c>
      <c r="D9" s="7">
        <v>1</v>
      </c>
      <c r="E9" s="13">
        <v>2</v>
      </c>
      <c r="F9" s="46">
        <f>+D9*E9</f>
        <v>2</v>
      </c>
      <c r="G9" s="46">
        <f>+F9*0.05</f>
        <v>0.1</v>
      </c>
      <c r="H9" s="46">
        <f>+F9*0.1</f>
        <v>0.2</v>
      </c>
      <c r="I9" s="10">
        <f>+$F$2*F9+$G$2*G9+$H$2*H9</f>
        <v>227.64799999999997</v>
      </c>
    </row>
    <row r="10" spans="1:9" x14ac:dyDescent="0.35">
      <c r="A10" s="11" t="s">
        <v>81</v>
      </c>
      <c r="B10" s="7">
        <v>1</v>
      </c>
      <c r="C10" s="7">
        <v>1</v>
      </c>
      <c r="D10" s="7">
        <f>+B10*C10</f>
        <v>1</v>
      </c>
      <c r="E10" s="13">
        <v>4</v>
      </c>
      <c r="F10" s="46">
        <f>+D10*E10</f>
        <v>4</v>
      </c>
      <c r="G10" s="46">
        <f>+F10*0.05</f>
        <v>0.2</v>
      </c>
      <c r="H10" s="46">
        <f>+F10*0.1</f>
        <v>0.4</v>
      </c>
      <c r="I10" s="10">
        <f>+$F$2*F10+$G$2*G10+$H$2*H10</f>
        <v>455.29599999999994</v>
      </c>
    </row>
    <row r="11" spans="1:9" x14ac:dyDescent="0.35">
      <c r="A11" s="9" t="s">
        <v>22</v>
      </c>
      <c r="B11" s="7"/>
      <c r="C11" s="7"/>
      <c r="D11" s="7"/>
      <c r="E11" s="7"/>
      <c r="F11" s="7"/>
      <c r="G11" s="7"/>
      <c r="H11" s="7"/>
      <c r="I11" s="8"/>
    </row>
    <row r="12" spans="1:9" x14ac:dyDescent="0.35">
      <c r="A12" s="11" t="s">
        <v>23</v>
      </c>
      <c r="B12" s="7">
        <v>60</v>
      </c>
      <c r="C12" s="7">
        <v>1</v>
      </c>
      <c r="D12" s="7">
        <f t="shared" ref="D12:D24" si="0">+B12*C12</f>
        <v>60</v>
      </c>
      <c r="E12" s="13">
        <f>E9</f>
        <v>2</v>
      </c>
      <c r="F12" s="7">
        <f t="shared" ref="F12:F18" si="1">+D12*E12</f>
        <v>120</v>
      </c>
      <c r="G12" s="7">
        <f t="shared" ref="G12:G18" si="2">+F12*0.05</f>
        <v>6</v>
      </c>
      <c r="H12" s="7">
        <f t="shared" ref="H12:H18" si="3">+F12*0.1</f>
        <v>12</v>
      </c>
      <c r="I12" s="10">
        <f t="shared" ref="I12:I18" si="4">+$F$2*F12+$G$2*G12+$H$2*H12</f>
        <v>13658.880000000001</v>
      </c>
    </row>
    <row r="13" spans="1:9" ht="15.5" x14ac:dyDescent="0.35">
      <c r="A13" s="11" t="s">
        <v>24</v>
      </c>
      <c r="B13" s="7">
        <v>60</v>
      </c>
      <c r="C13" s="7">
        <v>1</v>
      </c>
      <c r="D13" s="7">
        <f t="shared" si="0"/>
        <v>60</v>
      </c>
      <c r="E13" s="46">
        <f>E12*0.2</f>
        <v>0.4</v>
      </c>
      <c r="F13" s="7">
        <f t="shared" si="1"/>
        <v>24</v>
      </c>
      <c r="G13" s="7">
        <f t="shared" si="2"/>
        <v>1.2000000000000002</v>
      </c>
      <c r="H13" s="7">
        <f t="shared" si="3"/>
        <v>2.4000000000000004</v>
      </c>
      <c r="I13" s="10">
        <f t="shared" si="4"/>
        <v>2731.7759999999998</v>
      </c>
    </row>
    <row r="14" spans="1:9" x14ac:dyDescent="0.35">
      <c r="A14" s="9" t="s">
        <v>25</v>
      </c>
      <c r="B14" s="7"/>
      <c r="C14" s="7"/>
      <c r="D14" s="7"/>
      <c r="E14" s="7"/>
      <c r="F14" s="7"/>
      <c r="G14" s="7"/>
      <c r="H14" s="7"/>
      <c r="I14" s="8"/>
    </row>
    <row r="15" spans="1:9" ht="26" x14ac:dyDescent="0.35">
      <c r="A15" s="11" t="s">
        <v>26</v>
      </c>
      <c r="B15" s="7">
        <v>2</v>
      </c>
      <c r="C15" s="7">
        <v>1</v>
      </c>
      <c r="D15" s="7">
        <f t="shared" si="0"/>
        <v>2</v>
      </c>
      <c r="E15" s="13">
        <f>E9</f>
        <v>2</v>
      </c>
      <c r="F15" s="46">
        <f t="shared" si="1"/>
        <v>4</v>
      </c>
      <c r="G15" s="46">
        <f t="shared" si="2"/>
        <v>0.2</v>
      </c>
      <c r="H15" s="46">
        <f t="shared" si="3"/>
        <v>0.4</v>
      </c>
      <c r="I15" s="10">
        <f t="shared" si="4"/>
        <v>455.29599999999994</v>
      </c>
    </row>
    <row r="16" spans="1:9" x14ac:dyDescent="0.35">
      <c r="A16" s="11" t="s">
        <v>27</v>
      </c>
      <c r="B16" s="7">
        <v>1</v>
      </c>
      <c r="C16" s="7">
        <v>1</v>
      </c>
      <c r="D16" s="7">
        <f t="shared" si="0"/>
        <v>1</v>
      </c>
      <c r="E16" s="13">
        <f>E9</f>
        <v>2</v>
      </c>
      <c r="F16" s="46">
        <f t="shared" si="1"/>
        <v>2</v>
      </c>
      <c r="G16" s="46">
        <f t="shared" si="2"/>
        <v>0.1</v>
      </c>
      <c r="H16" s="46">
        <f t="shared" si="3"/>
        <v>0.2</v>
      </c>
      <c r="I16" s="10">
        <f t="shared" si="4"/>
        <v>227.64799999999997</v>
      </c>
    </row>
    <row r="17" spans="1:9" ht="26" x14ac:dyDescent="0.35">
      <c r="A17" s="11" t="s">
        <v>28</v>
      </c>
      <c r="B17" s="7">
        <v>2</v>
      </c>
      <c r="C17" s="7">
        <v>1</v>
      </c>
      <c r="D17" s="7">
        <f t="shared" si="0"/>
        <v>2</v>
      </c>
      <c r="E17" s="46">
        <f>SUM(E12:E13)</f>
        <v>2.4</v>
      </c>
      <c r="F17" s="7">
        <f t="shared" si="1"/>
        <v>4.8</v>
      </c>
      <c r="G17" s="12">
        <f t="shared" si="2"/>
        <v>0.24</v>
      </c>
      <c r="H17" s="12">
        <f t="shared" si="3"/>
        <v>0.48</v>
      </c>
      <c r="I17" s="10">
        <f t="shared" si="4"/>
        <v>546.35519999999997</v>
      </c>
    </row>
    <row r="18" spans="1:9" x14ac:dyDescent="0.35">
      <c r="A18" s="11" t="s">
        <v>29</v>
      </c>
      <c r="B18" s="7">
        <v>3</v>
      </c>
      <c r="C18" s="7">
        <v>2</v>
      </c>
      <c r="D18" s="7">
        <f t="shared" si="0"/>
        <v>6</v>
      </c>
      <c r="E18" s="7">
        <f>SUM(E9:E10)</f>
        <v>6</v>
      </c>
      <c r="F18" s="7">
        <f t="shared" si="1"/>
        <v>36</v>
      </c>
      <c r="G18" s="13">
        <f t="shared" si="2"/>
        <v>1.8</v>
      </c>
      <c r="H18" s="13">
        <f t="shared" si="3"/>
        <v>3.6</v>
      </c>
      <c r="I18" s="10">
        <f t="shared" si="4"/>
        <v>4097.6639999999998</v>
      </c>
    </row>
    <row r="19" spans="1:9" ht="27" x14ac:dyDescent="0.35">
      <c r="A19" s="14" t="s">
        <v>30</v>
      </c>
      <c r="B19" s="5"/>
      <c r="C19" s="5"/>
      <c r="D19" s="7"/>
      <c r="E19" s="5"/>
      <c r="F19" s="91">
        <f>SUM(F5:H18)</f>
        <v>226.32</v>
      </c>
      <c r="G19" s="91"/>
      <c r="H19" s="91"/>
      <c r="I19" s="15">
        <f>SUM(I5:I18)</f>
        <v>22400.563200000001</v>
      </c>
    </row>
    <row r="20" spans="1:9" x14ac:dyDescent="0.35">
      <c r="A20" s="6" t="s">
        <v>31</v>
      </c>
      <c r="B20" s="7"/>
      <c r="C20" s="7"/>
      <c r="D20" s="7"/>
      <c r="E20" s="7"/>
      <c r="F20" s="7"/>
      <c r="G20" s="7"/>
      <c r="H20" s="7"/>
      <c r="I20" s="8"/>
    </row>
    <row r="21" spans="1:9" ht="26" x14ac:dyDescent="0.35">
      <c r="A21" s="11" t="s">
        <v>32</v>
      </c>
      <c r="B21" s="7">
        <v>1</v>
      </c>
      <c r="C21" s="7">
        <v>12</v>
      </c>
      <c r="D21" s="7">
        <f t="shared" si="0"/>
        <v>12</v>
      </c>
      <c r="E21" s="13">
        <f>E9</f>
        <v>2</v>
      </c>
      <c r="F21" s="7">
        <f t="shared" ref="F21:F24" si="5">+D21*E21</f>
        <v>24</v>
      </c>
      <c r="G21" s="7">
        <f t="shared" ref="G21:G24" si="6">+F21*0.05</f>
        <v>1.2000000000000002</v>
      </c>
      <c r="H21" s="7">
        <f t="shared" ref="H21:H24" si="7">+F21*0.1</f>
        <v>2.4000000000000004</v>
      </c>
      <c r="I21" s="10">
        <f t="shared" ref="I21:I24" si="8">+$F$2*F21+$G$2*G21+$H$2*H21</f>
        <v>2731.7759999999998</v>
      </c>
    </row>
    <row r="22" spans="1:9" ht="26" x14ac:dyDescent="0.35">
      <c r="A22" s="11" t="s">
        <v>33</v>
      </c>
      <c r="B22" s="7">
        <v>1</v>
      </c>
      <c r="C22" s="7">
        <v>8</v>
      </c>
      <c r="D22" s="7">
        <f t="shared" si="0"/>
        <v>8</v>
      </c>
      <c r="E22" s="7">
        <f>E18</f>
        <v>6</v>
      </c>
      <c r="F22" s="7">
        <f t="shared" si="5"/>
        <v>48</v>
      </c>
      <c r="G22" s="13">
        <f t="shared" si="6"/>
        <v>2.4000000000000004</v>
      </c>
      <c r="H22" s="13">
        <f t="shared" si="7"/>
        <v>4.8000000000000007</v>
      </c>
      <c r="I22" s="10">
        <f t="shared" si="8"/>
        <v>5463.5519999999997</v>
      </c>
    </row>
    <row r="23" spans="1:9" ht="28.5" x14ac:dyDescent="0.35">
      <c r="A23" s="11" t="s">
        <v>86</v>
      </c>
      <c r="B23" s="7">
        <v>1</v>
      </c>
      <c r="C23" s="7">
        <v>1</v>
      </c>
      <c r="D23" s="7">
        <f t="shared" si="0"/>
        <v>1</v>
      </c>
      <c r="E23" s="13">
        <v>0</v>
      </c>
      <c r="F23" s="13">
        <f t="shared" si="5"/>
        <v>0</v>
      </c>
      <c r="G23" s="13">
        <f t="shared" si="6"/>
        <v>0</v>
      </c>
      <c r="H23" s="13">
        <f t="shared" si="7"/>
        <v>0</v>
      </c>
      <c r="I23" s="10">
        <f t="shared" si="8"/>
        <v>0</v>
      </c>
    </row>
    <row r="24" spans="1:9" ht="15.5" x14ac:dyDescent="0.35">
      <c r="A24" s="11" t="s">
        <v>87</v>
      </c>
      <c r="B24" s="7">
        <v>1</v>
      </c>
      <c r="C24" s="7">
        <v>1</v>
      </c>
      <c r="D24" s="7">
        <f t="shared" si="0"/>
        <v>1</v>
      </c>
      <c r="E24" s="13">
        <v>0</v>
      </c>
      <c r="F24" s="13">
        <f t="shared" si="5"/>
        <v>0</v>
      </c>
      <c r="G24" s="13">
        <f t="shared" si="6"/>
        <v>0</v>
      </c>
      <c r="H24" s="13">
        <f t="shared" si="7"/>
        <v>0</v>
      </c>
      <c r="I24" s="10">
        <f t="shared" si="8"/>
        <v>0</v>
      </c>
    </row>
    <row r="25" spans="1:9" ht="27" x14ac:dyDescent="0.35">
      <c r="A25" s="14" t="s">
        <v>34</v>
      </c>
      <c r="B25" s="5"/>
      <c r="C25" s="5"/>
      <c r="D25" s="16"/>
      <c r="E25" s="5"/>
      <c r="F25" s="91">
        <f>SUM(F20:H22)</f>
        <v>82.8</v>
      </c>
      <c r="G25" s="91"/>
      <c r="H25" s="91"/>
      <c r="I25" s="15">
        <f>SUM(I20:I22)</f>
        <v>8195.3279999999995</v>
      </c>
    </row>
    <row r="26" spans="1:9" ht="28" x14ac:dyDescent="0.35">
      <c r="A26" s="16" t="s">
        <v>90</v>
      </c>
      <c r="B26" s="16"/>
      <c r="C26" s="16"/>
      <c r="D26" s="16"/>
      <c r="E26" s="16"/>
      <c r="F26" s="92">
        <f>ROUND(F19+F25,0)</f>
        <v>309</v>
      </c>
      <c r="G26" s="92"/>
      <c r="H26" s="92"/>
      <c r="I26" s="15">
        <f>ROUND(I19+I25,-2)</f>
        <v>30600</v>
      </c>
    </row>
    <row r="27" spans="1:9" ht="28" x14ac:dyDescent="0.35">
      <c r="A27" s="16" t="s">
        <v>91</v>
      </c>
      <c r="B27" s="16"/>
      <c r="C27" s="16"/>
      <c r="D27" s="16"/>
      <c r="E27" s="16"/>
      <c r="F27" s="17"/>
      <c r="G27" s="17"/>
      <c r="H27" s="17"/>
      <c r="I27" s="15">
        <f>'Capital O&amp;M'!$D$14+'Capital O&amp;M'!$G$14</f>
        <v>4410000</v>
      </c>
    </row>
    <row r="28" spans="1:9" ht="15" x14ac:dyDescent="0.35">
      <c r="A28" s="16" t="s">
        <v>92</v>
      </c>
      <c r="B28" s="16"/>
      <c r="C28" s="16"/>
      <c r="D28" s="16"/>
      <c r="E28" s="16"/>
      <c r="F28" s="17"/>
      <c r="G28" s="17"/>
      <c r="H28" s="17"/>
      <c r="I28" s="15">
        <f>ROUND(I26+I27,-4)</f>
        <v>4440000</v>
      </c>
    </row>
    <row r="30" spans="1:9" x14ac:dyDescent="0.35">
      <c r="A30" s="18" t="s">
        <v>35</v>
      </c>
    </row>
    <row r="31" spans="1:9" ht="32.25" customHeight="1" x14ac:dyDescent="0.35">
      <c r="A31" s="88" t="s">
        <v>96</v>
      </c>
      <c r="B31" s="88"/>
      <c r="C31" s="88"/>
      <c r="D31" s="88"/>
      <c r="E31" s="88"/>
      <c r="F31" s="88"/>
      <c r="G31" s="88"/>
      <c r="H31" s="88"/>
      <c r="I31" s="88"/>
    </row>
    <row r="32" spans="1:9" ht="87" customHeight="1" x14ac:dyDescent="0.35">
      <c r="A32" s="88" t="s">
        <v>54</v>
      </c>
      <c r="B32" s="88"/>
      <c r="C32" s="88"/>
      <c r="D32" s="88"/>
      <c r="E32" s="88"/>
      <c r="F32" s="88"/>
      <c r="G32" s="88"/>
      <c r="H32" s="88"/>
      <c r="I32" s="88"/>
    </row>
    <row r="33" spans="1:9" x14ac:dyDescent="0.35">
      <c r="A33" s="87" t="s">
        <v>36</v>
      </c>
      <c r="B33" s="87"/>
      <c r="C33" s="87"/>
      <c r="D33" s="87"/>
      <c r="E33" s="87"/>
      <c r="F33" s="87"/>
      <c r="G33" s="87"/>
      <c r="H33" s="87"/>
      <c r="I33" s="87"/>
    </row>
    <row r="34" spans="1:9" ht="15.5" x14ac:dyDescent="0.35">
      <c r="A34" s="88" t="s">
        <v>37</v>
      </c>
      <c r="B34" s="88"/>
      <c r="C34" s="88"/>
      <c r="D34" s="88"/>
      <c r="E34" s="88"/>
      <c r="F34" s="88"/>
      <c r="G34" s="88"/>
      <c r="H34" s="88"/>
      <c r="I34" s="88"/>
    </row>
    <row r="35" spans="1:9" ht="15" customHeight="1" x14ac:dyDescent="0.35">
      <c r="A35" s="20" t="s">
        <v>88</v>
      </c>
    </row>
    <row r="36" spans="1:9" x14ac:dyDescent="0.35">
      <c r="A36" s="87" t="s">
        <v>89</v>
      </c>
      <c r="B36" s="87"/>
      <c r="C36" s="87"/>
      <c r="D36" s="87"/>
      <c r="E36" s="87"/>
      <c r="F36" s="87"/>
      <c r="G36" s="87"/>
      <c r="H36" s="87"/>
      <c r="I36" s="87"/>
    </row>
  </sheetData>
  <sheetProtection algorithmName="SHA-512" hashValue="uS8YiDjCI/kCtzaqd+nCc5xWsBXND3KAvJ+MPsLaPGdadvP+rBw7KSdASjuPzI0/viIieMX/YtDY4pIciE13JQ==" saltValue="osiobDUtBUFQ6zaqhKU7UQ==" spinCount="100000" sheet="1" objects="1" scenarios="1"/>
  <mergeCells count="9">
    <mergeCell ref="A33:I33"/>
    <mergeCell ref="A34:I34"/>
    <mergeCell ref="A36:I36"/>
    <mergeCell ref="A3:A4"/>
    <mergeCell ref="F19:H19"/>
    <mergeCell ref="F25:H25"/>
    <mergeCell ref="F26:H26"/>
    <mergeCell ref="A31:I31"/>
    <mergeCell ref="A32:I3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3C31D2-8EA9-417A-AC0E-9215685FB37B}">
  <dimension ref="A1:E10"/>
  <sheetViews>
    <sheetView workbookViewId="0">
      <selection activeCell="A2" sqref="A2"/>
    </sheetView>
  </sheetViews>
  <sheetFormatPr defaultRowHeight="14.5" x14ac:dyDescent="0.35"/>
  <cols>
    <col min="1" max="1" width="18.453125" customWidth="1"/>
    <col min="2" max="2" width="21.81640625" customWidth="1"/>
    <col min="3" max="3" width="26" customWidth="1"/>
    <col min="4" max="4" width="22.453125" customWidth="1"/>
    <col min="5" max="5" width="22.26953125" customWidth="1"/>
    <col min="6" max="6" width="15.81640625" customWidth="1"/>
    <col min="7" max="7" width="29.7265625" customWidth="1"/>
    <col min="8" max="8" width="20.54296875" customWidth="1"/>
  </cols>
  <sheetData>
    <row r="1" spans="1:5" ht="15" x14ac:dyDescent="0.35">
      <c r="A1" s="47" t="s">
        <v>108</v>
      </c>
    </row>
    <row r="2" spans="1:5" ht="15" x14ac:dyDescent="0.35">
      <c r="A2" s="48"/>
    </row>
    <row r="3" spans="1:5" ht="26.5" x14ac:dyDescent="0.35">
      <c r="A3" s="49" t="s">
        <v>74</v>
      </c>
      <c r="B3" s="51" t="s">
        <v>82</v>
      </c>
      <c r="C3" s="51" t="s">
        <v>83</v>
      </c>
      <c r="D3" s="52" t="s">
        <v>84</v>
      </c>
      <c r="E3" s="51" t="s">
        <v>85</v>
      </c>
    </row>
    <row r="4" spans="1:5" x14ac:dyDescent="0.35">
      <c r="A4" s="50">
        <v>1</v>
      </c>
      <c r="B4" s="53">
        <f>'Table 1'!F26</f>
        <v>240</v>
      </c>
      <c r="C4" s="54">
        <f>'Table 1'!I26</f>
        <v>23800</v>
      </c>
      <c r="D4" s="54">
        <f>SUM('Capital O&amp;M'!D4:D13)+(SUM('Capital O&amp;M'!G4:G13)/3)</f>
        <v>3186011.2389478683</v>
      </c>
      <c r="E4" s="54">
        <f>C4+D4</f>
        <v>3209811.2389478683</v>
      </c>
    </row>
    <row r="5" spans="1:5" x14ac:dyDescent="0.35">
      <c r="A5" s="50">
        <v>2</v>
      </c>
      <c r="B5" s="53">
        <f>'Table 2'!F26</f>
        <v>275</v>
      </c>
      <c r="C5" s="54">
        <f>'Table 2'!I26</f>
        <v>27200</v>
      </c>
      <c r="D5" s="54">
        <f>SUM('Capital O&amp;M'!D4:D13)+(SUM('Capital O&amp;M'!G4:G13)/3*2)</f>
        <v>3796516.4813944809</v>
      </c>
      <c r="E5" s="54">
        <f>SUM(C5:D5)</f>
        <v>3823716.4813944809</v>
      </c>
    </row>
    <row r="6" spans="1:5" x14ac:dyDescent="0.35">
      <c r="A6" s="50">
        <v>3</v>
      </c>
      <c r="B6" s="53">
        <f>'Table 3'!F26</f>
        <v>309</v>
      </c>
      <c r="C6" s="54">
        <f>'Table 3'!I26</f>
        <v>30600</v>
      </c>
      <c r="D6" s="54">
        <f>SUM('Capital O&amp;M'!D4:D13)+SUM('Capital O&amp;M'!G4:G13)</f>
        <v>4407021.7238410935</v>
      </c>
      <c r="E6" s="54">
        <f>ROUND(SUM(C6:D6),-4)</f>
        <v>4440000</v>
      </c>
    </row>
    <row r="7" spans="1:5" x14ac:dyDescent="0.35">
      <c r="A7" s="49" t="s">
        <v>104</v>
      </c>
      <c r="B7" s="60">
        <f>SUM(B4:B6)</f>
        <v>824</v>
      </c>
      <c r="C7" s="61">
        <f>SUM(C4:C6)</f>
        <v>81600</v>
      </c>
      <c r="D7" s="61">
        <f>ROUND(SUM(D4:D6),-5)</f>
        <v>11400000</v>
      </c>
      <c r="E7" s="56">
        <f>ROUND(SUM(E4:E6),-5)</f>
        <v>11500000</v>
      </c>
    </row>
    <row r="8" spans="1:5" x14ac:dyDescent="0.35">
      <c r="A8" s="49" t="s">
        <v>103</v>
      </c>
      <c r="B8" s="55">
        <f>AVERAGE(B4:B6)</f>
        <v>274.66666666666669</v>
      </c>
      <c r="C8" s="56">
        <f>AVERAGE(C4:C6)</f>
        <v>27200</v>
      </c>
      <c r="D8" s="56">
        <f>ROUND(AVERAGE(D4:D6),-4)</f>
        <v>3800000</v>
      </c>
      <c r="E8" s="56">
        <f>ROUND(AVERAGE(E4:E6),-4)</f>
        <v>3820000</v>
      </c>
    </row>
    <row r="10" spans="1:5" x14ac:dyDescent="0.35">
      <c r="D10" s="59"/>
      <c r="E10" s="59"/>
    </row>
  </sheetData>
  <sheetProtection algorithmName="SHA-512" hashValue="b9AlWFAPqp/4b8iJMH+7WPy1lRU++Tqan2latJ1OoPXS8aJzDa5xDcxgwGkxWVNYKLVs9JXjoLgVzoj40ejl/A==" saltValue="M5YOb4cXa2nAyDZWhXUNXA==" spinCount="100000" sheet="1" objects="1" scenarios="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C1E70A-2FA9-4BA0-BD8F-4555C7318829}">
  <dimension ref="A1:J33"/>
  <sheetViews>
    <sheetView workbookViewId="0">
      <selection activeCell="A2" sqref="A2"/>
    </sheetView>
  </sheetViews>
  <sheetFormatPr defaultRowHeight="14.5" x14ac:dyDescent="0.35"/>
  <cols>
    <col min="1" max="1" width="43.81640625" customWidth="1"/>
    <col min="2" max="2" width="10" customWidth="1"/>
    <col min="3" max="3" width="11" customWidth="1"/>
    <col min="4" max="4" width="9.7265625" customWidth="1"/>
    <col min="5" max="5" width="11" customWidth="1"/>
    <col min="7" max="7" width="10.7265625" customWidth="1"/>
    <col min="12" max="12" width="31" customWidth="1"/>
    <col min="15" max="15" width="23.453125" customWidth="1"/>
    <col min="16" max="16" width="21.54296875" customWidth="1"/>
  </cols>
  <sheetData>
    <row r="1" spans="1:10" ht="15.5" x14ac:dyDescent="0.35">
      <c r="A1" s="19" t="s">
        <v>109</v>
      </c>
    </row>
    <row r="2" spans="1:10" s="20" customFormat="1" ht="13" x14ac:dyDescent="0.3">
      <c r="F2" s="2">
        <v>51.23</v>
      </c>
      <c r="G2" s="2">
        <v>69.040000000000006</v>
      </c>
      <c r="H2" s="2">
        <v>27.73</v>
      </c>
      <c r="I2" s="2"/>
    </row>
    <row r="3" spans="1:10" s="20" customFormat="1" ht="13" x14ac:dyDescent="0.3">
      <c r="A3" s="94" t="s">
        <v>0</v>
      </c>
      <c r="B3" s="3" t="s">
        <v>1</v>
      </c>
      <c r="C3" s="3" t="s">
        <v>2</v>
      </c>
      <c r="D3" s="3" t="s">
        <v>3</v>
      </c>
      <c r="E3" s="3" t="s">
        <v>4</v>
      </c>
      <c r="F3" s="4" t="s">
        <v>5</v>
      </c>
      <c r="G3" s="3" t="s">
        <v>6</v>
      </c>
      <c r="H3" s="3" t="s">
        <v>7</v>
      </c>
      <c r="I3" s="3" t="s">
        <v>8</v>
      </c>
    </row>
    <row r="4" spans="1:10" s="20" customFormat="1" ht="65" x14ac:dyDescent="0.3">
      <c r="A4" s="94"/>
      <c r="B4" s="5" t="s">
        <v>9</v>
      </c>
      <c r="C4" s="5" t="s">
        <v>10</v>
      </c>
      <c r="D4" s="5" t="s">
        <v>11</v>
      </c>
      <c r="E4" s="5" t="s">
        <v>12</v>
      </c>
      <c r="F4" s="5" t="s">
        <v>13</v>
      </c>
      <c r="G4" s="5" t="s">
        <v>14</v>
      </c>
      <c r="H4" s="5" t="s">
        <v>15</v>
      </c>
      <c r="I4" s="5" t="s">
        <v>16</v>
      </c>
    </row>
    <row r="5" spans="1:10" s="20" customFormat="1" ht="13" x14ac:dyDescent="0.3">
      <c r="A5" s="6" t="s">
        <v>38</v>
      </c>
      <c r="B5" s="7"/>
      <c r="C5" s="7"/>
      <c r="D5" s="7"/>
      <c r="E5" s="7"/>
      <c r="F5" s="7"/>
      <c r="G5" s="7"/>
      <c r="H5" s="7"/>
      <c r="I5" s="6" t="s">
        <v>39</v>
      </c>
    </row>
    <row r="6" spans="1:10" s="20" customFormat="1" ht="13" x14ac:dyDescent="0.3">
      <c r="A6" s="9" t="s">
        <v>40</v>
      </c>
      <c r="B6" s="7">
        <v>2</v>
      </c>
      <c r="C6" s="7">
        <v>1</v>
      </c>
      <c r="D6" s="7">
        <f>B6*C6</f>
        <v>2</v>
      </c>
      <c r="E6" s="13">
        <f>'Table 1'!E15</f>
        <v>2</v>
      </c>
      <c r="F6" s="7">
        <f>D6*E6</f>
        <v>4</v>
      </c>
      <c r="G6" s="7">
        <f>F6*0.05</f>
        <v>0.2</v>
      </c>
      <c r="H6" s="7">
        <f>F6*0.1</f>
        <v>0.4</v>
      </c>
      <c r="I6" s="10">
        <f>$F$2*F6+$G$2*G6+$H$2*H6</f>
        <v>229.82</v>
      </c>
    </row>
    <row r="7" spans="1:10" s="20" customFormat="1" ht="13" x14ac:dyDescent="0.3">
      <c r="A7" s="9" t="s">
        <v>27</v>
      </c>
      <c r="B7" s="7">
        <v>2</v>
      </c>
      <c r="C7" s="7">
        <v>1</v>
      </c>
      <c r="D7" s="7">
        <f t="shared" ref="D7:D11" si="0">B7*C7</f>
        <v>2</v>
      </c>
      <c r="E7" s="13">
        <f>'Table 1'!E16</f>
        <v>2</v>
      </c>
      <c r="F7" s="7">
        <f t="shared" ref="F7:F11" si="1">D7*E7</f>
        <v>4</v>
      </c>
      <c r="G7" s="7">
        <f t="shared" ref="G7:G11" si="2">F7*0.05</f>
        <v>0.2</v>
      </c>
      <c r="H7" s="7">
        <f t="shared" ref="H7:H11" si="3">F7*0.1</f>
        <v>0.4</v>
      </c>
      <c r="I7" s="10">
        <f t="shared" ref="I7:I11" si="4">$F$2*F7+$G$2*G7+$H$2*H7</f>
        <v>229.82</v>
      </c>
    </row>
    <row r="8" spans="1:10" s="20" customFormat="1" ht="13" x14ac:dyDescent="0.3">
      <c r="A8" s="9" t="s">
        <v>28</v>
      </c>
      <c r="B8" s="7">
        <v>2</v>
      </c>
      <c r="C8" s="7">
        <v>1</v>
      </c>
      <c r="D8" s="7">
        <f t="shared" si="0"/>
        <v>2</v>
      </c>
      <c r="E8" s="12">
        <f>'Table 1'!E17</f>
        <v>2.4</v>
      </c>
      <c r="F8" s="7">
        <f t="shared" ref="F8" si="5">D8*E8</f>
        <v>4.8</v>
      </c>
      <c r="G8" s="7">
        <f t="shared" ref="G8" si="6">F8*0.05</f>
        <v>0.24</v>
      </c>
      <c r="H8" s="7">
        <f t="shared" ref="H8" si="7">F8*0.1</f>
        <v>0.48</v>
      </c>
      <c r="I8" s="10">
        <f t="shared" ref="I8" si="8">$F$2*F8+$G$2*G8+$H$2*H8</f>
        <v>275.78399999999999</v>
      </c>
    </row>
    <row r="9" spans="1:10" s="20" customFormat="1" ht="13" x14ac:dyDescent="0.3">
      <c r="A9" s="9" t="s">
        <v>41</v>
      </c>
      <c r="B9" s="7">
        <v>8</v>
      </c>
      <c r="C9" s="7">
        <v>1</v>
      </c>
      <c r="D9" s="7">
        <f t="shared" si="0"/>
        <v>8</v>
      </c>
      <c r="E9" s="13">
        <f>'Table 1'!E12</f>
        <v>2</v>
      </c>
      <c r="F9" s="7">
        <f t="shared" si="1"/>
        <v>16</v>
      </c>
      <c r="G9" s="7">
        <f t="shared" si="2"/>
        <v>0.8</v>
      </c>
      <c r="H9" s="7">
        <f t="shared" si="3"/>
        <v>1.6</v>
      </c>
      <c r="I9" s="10">
        <f t="shared" si="4"/>
        <v>919.28</v>
      </c>
    </row>
    <row r="10" spans="1:10" s="20" customFormat="1" ht="15.5" x14ac:dyDescent="0.3">
      <c r="A10" s="9" t="s">
        <v>42</v>
      </c>
      <c r="B10" s="7">
        <v>8</v>
      </c>
      <c r="C10" s="7">
        <v>1</v>
      </c>
      <c r="D10" s="7">
        <f t="shared" si="0"/>
        <v>8</v>
      </c>
      <c r="E10" s="7">
        <f>E9*0.2</f>
        <v>0.4</v>
      </c>
      <c r="F10" s="7">
        <f t="shared" si="1"/>
        <v>3.2</v>
      </c>
      <c r="G10" s="12">
        <f t="shared" si="2"/>
        <v>0.16000000000000003</v>
      </c>
      <c r="H10" s="12">
        <f t="shared" si="3"/>
        <v>0.32000000000000006</v>
      </c>
      <c r="I10" s="10">
        <f t="shared" si="4"/>
        <v>183.85600000000002</v>
      </c>
    </row>
    <row r="11" spans="1:10" s="20" customFormat="1" ht="13" x14ac:dyDescent="0.3">
      <c r="A11" s="9" t="s">
        <v>29</v>
      </c>
      <c r="B11" s="7">
        <v>2</v>
      </c>
      <c r="C11" s="7">
        <v>2</v>
      </c>
      <c r="D11" s="7">
        <f t="shared" si="0"/>
        <v>4</v>
      </c>
      <c r="E11" s="13">
        <f>'Table 1'!E18</f>
        <v>2</v>
      </c>
      <c r="F11" s="7">
        <f t="shared" si="1"/>
        <v>8</v>
      </c>
      <c r="G11" s="7">
        <f t="shared" si="2"/>
        <v>0.4</v>
      </c>
      <c r="H11" s="7">
        <f t="shared" si="3"/>
        <v>0.8</v>
      </c>
      <c r="I11" s="10">
        <f t="shared" si="4"/>
        <v>459.64</v>
      </c>
    </row>
    <row r="12" spans="1:10" s="20" customFormat="1" ht="15" x14ac:dyDescent="0.3">
      <c r="A12" s="16" t="s">
        <v>43</v>
      </c>
      <c r="B12" s="16"/>
      <c r="C12" s="16"/>
      <c r="D12" s="16"/>
      <c r="E12" s="16"/>
      <c r="F12" s="94">
        <f>ROUND(SUM(F5:H11),0)</f>
        <v>46</v>
      </c>
      <c r="G12" s="94"/>
      <c r="H12" s="94"/>
      <c r="I12" s="15">
        <f>ROUND(SUM(I5:I11),-1)</f>
        <v>2300</v>
      </c>
    </row>
    <row r="13" spans="1:10" s="20" customFormat="1" ht="13" x14ac:dyDescent="0.3">
      <c r="J13" s="21"/>
    </row>
    <row r="14" spans="1:10" s="20" customFormat="1" ht="13" x14ac:dyDescent="0.3">
      <c r="A14" s="18" t="s">
        <v>35</v>
      </c>
    </row>
    <row r="15" spans="1:10" s="20" customFormat="1" ht="33" customHeight="1" x14ac:dyDescent="0.3">
      <c r="A15" s="88" t="s">
        <v>97</v>
      </c>
      <c r="B15" s="88"/>
      <c r="C15" s="88"/>
      <c r="D15" s="88"/>
      <c r="E15" s="88"/>
      <c r="F15" s="88"/>
      <c r="G15" s="88"/>
      <c r="H15" s="88"/>
      <c r="I15" s="88"/>
    </row>
    <row r="16" spans="1:10" s="20" customFormat="1" ht="48.75" customHeight="1" x14ac:dyDescent="0.3">
      <c r="A16" s="87" t="s">
        <v>98</v>
      </c>
      <c r="B16" s="87"/>
      <c r="C16" s="87"/>
      <c r="D16" s="87"/>
      <c r="E16" s="87"/>
      <c r="F16" s="87"/>
      <c r="G16" s="87"/>
      <c r="H16" s="87"/>
      <c r="I16" s="87"/>
    </row>
    <row r="17" spans="1:9" s="20" customFormat="1" ht="15.5" x14ac:dyDescent="0.3">
      <c r="A17" s="95" t="s">
        <v>44</v>
      </c>
      <c r="B17" s="95"/>
      <c r="C17" s="95"/>
      <c r="D17" s="95"/>
      <c r="E17" s="95"/>
      <c r="F17" s="95"/>
      <c r="G17" s="95"/>
      <c r="H17" s="95"/>
      <c r="I17" s="95"/>
    </row>
    <row r="18" spans="1:9" s="20" customFormat="1" ht="15.5" x14ac:dyDescent="0.3">
      <c r="A18" s="93" t="s">
        <v>45</v>
      </c>
      <c r="B18" s="93"/>
      <c r="C18" s="93"/>
      <c r="D18" s="93"/>
      <c r="E18" s="93"/>
      <c r="F18" s="93"/>
      <c r="G18" s="93"/>
      <c r="H18" s="93"/>
      <c r="I18" s="93"/>
    </row>
    <row r="19" spans="1:9" s="20" customFormat="1" ht="13" x14ac:dyDescent="0.3"/>
    <row r="20" spans="1:9" s="20" customFormat="1" ht="13" x14ac:dyDescent="0.3"/>
    <row r="21" spans="1:9" s="20" customFormat="1" ht="13" x14ac:dyDescent="0.3"/>
    <row r="22" spans="1:9" s="20" customFormat="1" ht="13" x14ac:dyDescent="0.3"/>
    <row r="23" spans="1:9" s="20" customFormat="1" ht="13" x14ac:dyDescent="0.3"/>
    <row r="24" spans="1:9" s="20" customFormat="1" ht="13" x14ac:dyDescent="0.3"/>
    <row r="25" spans="1:9" s="20" customFormat="1" ht="13" x14ac:dyDescent="0.3"/>
    <row r="26" spans="1:9" s="20" customFormat="1" ht="13" x14ac:dyDescent="0.3"/>
    <row r="27" spans="1:9" s="20" customFormat="1" ht="13" x14ac:dyDescent="0.3"/>
    <row r="28" spans="1:9" s="20" customFormat="1" ht="13" x14ac:dyDescent="0.3"/>
    <row r="29" spans="1:9" s="20" customFormat="1" ht="13" x14ac:dyDescent="0.3"/>
    <row r="30" spans="1:9" s="20" customFormat="1" ht="13" x14ac:dyDescent="0.3"/>
    <row r="31" spans="1:9" s="20" customFormat="1" ht="13" x14ac:dyDescent="0.3"/>
    <row r="32" spans="1:9" s="20" customFormat="1" x14ac:dyDescent="0.35">
      <c r="A32"/>
      <c r="B32"/>
      <c r="C32"/>
      <c r="D32"/>
      <c r="E32"/>
      <c r="F32"/>
      <c r="G32"/>
      <c r="H32"/>
      <c r="I32"/>
    </row>
    <row r="33" spans="1:9" s="20" customFormat="1" x14ac:dyDescent="0.35">
      <c r="A33"/>
      <c r="B33"/>
      <c r="C33"/>
      <c r="D33"/>
      <c r="E33"/>
      <c r="F33"/>
      <c r="G33"/>
      <c r="H33"/>
      <c r="I33"/>
    </row>
  </sheetData>
  <sheetProtection algorithmName="SHA-512" hashValue="42TOx/szjHzc2RbxPk/kc7pmBKWamp+ugzwPRn9fnmJK593VQw+j6A1TWobeF4MLr4Wl5BBkvb7go44k1NWOZA==" saltValue="nxKuTL2hwz0Z8FHyJFfsbQ==" spinCount="100000" sheet="1" objects="1" scenarios="1"/>
  <mergeCells count="6">
    <mergeCell ref="A18:I18"/>
    <mergeCell ref="A3:A4"/>
    <mergeCell ref="F12:H12"/>
    <mergeCell ref="A15:I15"/>
    <mergeCell ref="A16:I16"/>
    <mergeCell ref="A17:I17"/>
  </mergeCells>
  <pageMargins left="0.7" right="0.7" top="0.75" bottom="0.75" header="0.3" footer="0.3"/>
  <pageSetup orientation="portrait" horizontalDpi="4294967293"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2EF272-2265-4291-A3FF-2400A62E206C}">
  <dimension ref="A1:J33"/>
  <sheetViews>
    <sheetView workbookViewId="0">
      <selection activeCell="A2" sqref="A2"/>
    </sheetView>
  </sheetViews>
  <sheetFormatPr defaultRowHeight="14.5" x14ac:dyDescent="0.35"/>
  <cols>
    <col min="1" max="1" width="43.81640625" customWidth="1"/>
    <col min="2" max="2" width="10" customWidth="1"/>
    <col min="3" max="3" width="11" customWidth="1"/>
    <col min="4" max="4" width="9.7265625" customWidth="1"/>
    <col min="5" max="5" width="11" customWidth="1"/>
    <col min="7" max="7" width="10.7265625" customWidth="1"/>
    <col min="12" max="12" width="31" customWidth="1"/>
    <col min="15" max="15" width="23.453125" customWidth="1"/>
    <col min="16" max="16" width="21.54296875" customWidth="1"/>
  </cols>
  <sheetData>
    <row r="1" spans="1:10" ht="15.5" x14ac:dyDescent="0.35">
      <c r="A1" s="19" t="s">
        <v>110</v>
      </c>
    </row>
    <row r="2" spans="1:10" s="20" customFormat="1" ht="13" x14ac:dyDescent="0.3">
      <c r="F2" s="2">
        <v>51.23</v>
      </c>
      <c r="G2" s="2">
        <v>69.040000000000006</v>
      </c>
      <c r="H2" s="2">
        <v>27.73</v>
      </c>
      <c r="I2" s="2"/>
    </row>
    <row r="3" spans="1:10" s="20" customFormat="1" ht="13" x14ac:dyDescent="0.3">
      <c r="A3" s="94" t="s">
        <v>0</v>
      </c>
      <c r="B3" s="3" t="s">
        <v>1</v>
      </c>
      <c r="C3" s="3" t="s">
        <v>2</v>
      </c>
      <c r="D3" s="3" t="s">
        <v>3</v>
      </c>
      <c r="E3" s="3" t="s">
        <v>4</v>
      </c>
      <c r="F3" s="4" t="s">
        <v>5</v>
      </c>
      <c r="G3" s="3" t="s">
        <v>6</v>
      </c>
      <c r="H3" s="3" t="s">
        <v>7</v>
      </c>
      <c r="I3" s="3" t="s">
        <v>8</v>
      </c>
    </row>
    <row r="4" spans="1:10" s="20" customFormat="1" ht="65" x14ac:dyDescent="0.3">
      <c r="A4" s="94"/>
      <c r="B4" s="5" t="s">
        <v>9</v>
      </c>
      <c r="C4" s="5" t="s">
        <v>10</v>
      </c>
      <c r="D4" s="5" t="s">
        <v>11</v>
      </c>
      <c r="E4" s="5" t="s">
        <v>12</v>
      </c>
      <c r="F4" s="5" t="s">
        <v>13</v>
      </c>
      <c r="G4" s="5" t="s">
        <v>14</v>
      </c>
      <c r="H4" s="5" t="s">
        <v>15</v>
      </c>
      <c r="I4" s="5" t="s">
        <v>16</v>
      </c>
    </row>
    <row r="5" spans="1:10" s="20" customFormat="1" ht="13" x14ac:dyDescent="0.3">
      <c r="A5" s="6" t="s">
        <v>38</v>
      </c>
      <c r="B5" s="7"/>
      <c r="C5" s="7"/>
      <c r="D5" s="7"/>
      <c r="E5" s="7"/>
      <c r="F5" s="7"/>
      <c r="G5" s="7"/>
      <c r="H5" s="7"/>
      <c r="I5" s="6" t="s">
        <v>39</v>
      </c>
    </row>
    <row r="6" spans="1:10" s="20" customFormat="1" ht="13" x14ac:dyDescent="0.3">
      <c r="A6" s="9" t="s">
        <v>40</v>
      </c>
      <c r="B6" s="7">
        <v>2</v>
      </c>
      <c r="C6" s="7">
        <v>1</v>
      </c>
      <c r="D6" s="7">
        <f>B6*C6</f>
        <v>2</v>
      </c>
      <c r="E6" s="13">
        <f>'Table 2'!E15</f>
        <v>2</v>
      </c>
      <c r="F6" s="7">
        <f>D6*E6</f>
        <v>4</v>
      </c>
      <c r="G6" s="7">
        <f>F6*0.05</f>
        <v>0.2</v>
      </c>
      <c r="H6" s="7">
        <f>F6*0.1</f>
        <v>0.4</v>
      </c>
      <c r="I6" s="10">
        <f>$F$2*F6+$G$2*G6+$H$2*H6</f>
        <v>229.82</v>
      </c>
    </row>
    <row r="7" spans="1:10" s="20" customFormat="1" ht="13" x14ac:dyDescent="0.3">
      <c r="A7" s="9" t="s">
        <v>27</v>
      </c>
      <c r="B7" s="7">
        <v>2</v>
      </c>
      <c r="C7" s="7">
        <v>1</v>
      </c>
      <c r="D7" s="7">
        <f t="shared" ref="D7:D11" si="0">B7*C7</f>
        <v>2</v>
      </c>
      <c r="E7" s="13">
        <f>'Table 2'!E16</f>
        <v>2</v>
      </c>
      <c r="F7" s="7">
        <f t="shared" ref="F7:F11" si="1">D7*E7</f>
        <v>4</v>
      </c>
      <c r="G7" s="7">
        <f t="shared" ref="G7:G11" si="2">F7*0.05</f>
        <v>0.2</v>
      </c>
      <c r="H7" s="7">
        <f t="shared" ref="H7:H11" si="3">F7*0.1</f>
        <v>0.4</v>
      </c>
      <c r="I7" s="10">
        <f t="shared" ref="I7:I11" si="4">$F$2*F7+$G$2*G7+$H$2*H7</f>
        <v>229.82</v>
      </c>
    </row>
    <row r="8" spans="1:10" s="20" customFormat="1" ht="13" x14ac:dyDescent="0.3">
      <c r="A8" s="9" t="s">
        <v>28</v>
      </c>
      <c r="B8" s="7">
        <v>2</v>
      </c>
      <c r="C8" s="7">
        <v>1</v>
      </c>
      <c r="D8" s="7">
        <f t="shared" si="0"/>
        <v>2</v>
      </c>
      <c r="E8" s="12">
        <f>'Table 2'!E17</f>
        <v>2.4</v>
      </c>
      <c r="F8" s="7">
        <f t="shared" si="1"/>
        <v>4.8</v>
      </c>
      <c r="G8" s="7">
        <f t="shared" si="2"/>
        <v>0.24</v>
      </c>
      <c r="H8" s="7">
        <f t="shared" si="3"/>
        <v>0.48</v>
      </c>
      <c r="I8" s="10">
        <f t="shared" si="4"/>
        <v>275.78399999999999</v>
      </c>
    </row>
    <row r="9" spans="1:10" s="20" customFormat="1" ht="13" x14ac:dyDescent="0.3">
      <c r="A9" s="9" t="s">
        <v>41</v>
      </c>
      <c r="B9" s="7">
        <v>8</v>
      </c>
      <c r="C9" s="7">
        <v>1</v>
      </c>
      <c r="D9" s="7">
        <f t="shared" si="0"/>
        <v>8</v>
      </c>
      <c r="E9" s="13">
        <f>'Table 1'!E12</f>
        <v>2</v>
      </c>
      <c r="F9" s="7">
        <f t="shared" si="1"/>
        <v>16</v>
      </c>
      <c r="G9" s="7">
        <f t="shared" si="2"/>
        <v>0.8</v>
      </c>
      <c r="H9" s="7">
        <f t="shared" si="3"/>
        <v>1.6</v>
      </c>
      <c r="I9" s="10">
        <f t="shared" si="4"/>
        <v>919.28</v>
      </c>
    </row>
    <row r="10" spans="1:10" s="20" customFormat="1" ht="15.5" x14ac:dyDescent="0.3">
      <c r="A10" s="9" t="s">
        <v>42</v>
      </c>
      <c r="B10" s="7">
        <v>8</v>
      </c>
      <c r="C10" s="7">
        <v>1</v>
      </c>
      <c r="D10" s="7">
        <f t="shared" si="0"/>
        <v>8</v>
      </c>
      <c r="E10" s="7">
        <f>E9*0.2</f>
        <v>0.4</v>
      </c>
      <c r="F10" s="7">
        <f t="shared" si="1"/>
        <v>3.2</v>
      </c>
      <c r="G10" s="12">
        <f t="shared" si="2"/>
        <v>0.16000000000000003</v>
      </c>
      <c r="H10" s="12">
        <f t="shared" si="3"/>
        <v>0.32000000000000006</v>
      </c>
      <c r="I10" s="10">
        <f t="shared" si="4"/>
        <v>183.85600000000002</v>
      </c>
    </row>
    <row r="11" spans="1:10" s="20" customFormat="1" ht="13" x14ac:dyDescent="0.3">
      <c r="A11" s="9" t="s">
        <v>29</v>
      </c>
      <c r="B11" s="7">
        <v>2</v>
      </c>
      <c r="C11" s="7">
        <v>2</v>
      </c>
      <c r="D11" s="7">
        <f t="shared" si="0"/>
        <v>4</v>
      </c>
      <c r="E11" s="13">
        <f>'Table 2'!E18</f>
        <v>4</v>
      </c>
      <c r="F11" s="7">
        <f t="shared" si="1"/>
        <v>16</v>
      </c>
      <c r="G11" s="7">
        <f t="shared" si="2"/>
        <v>0.8</v>
      </c>
      <c r="H11" s="7">
        <f t="shared" si="3"/>
        <v>1.6</v>
      </c>
      <c r="I11" s="10">
        <f t="shared" si="4"/>
        <v>919.28</v>
      </c>
    </row>
    <row r="12" spans="1:10" s="20" customFormat="1" ht="15" x14ac:dyDescent="0.3">
      <c r="A12" s="16" t="s">
        <v>43</v>
      </c>
      <c r="B12" s="16"/>
      <c r="C12" s="16"/>
      <c r="D12" s="16"/>
      <c r="E12" s="16"/>
      <c r="F12" s="94">
        <f>ROUND(SUM(F5:H11),0)</f>
        <v>55</v>
      </c>
      <c r="G12" s="94"/>
      <c r="H12" s="94"/>
      <c r="I12" s="15">
        <f>ROUND(SUM(I5:I11),-1)</f>
        <v>2760</v>
      </c>
    </row>
    <row r="13" spans="1:10" s="20" customFormat="1" ht="13" x14ac:dyDescent="0.3">
      <c r="J13" s="21"/>
    </row>
    <row r="14" spans="1:10" s="20" customFormat="1" ht="13" x14ac:dyDescent="0.3">
      <c r="A14" s="18" t="s">
        <v>35</v>
      </c>
    </row>
    <row r="15" spans="1:10" s="20" customFormat="1" ht="33" customHeight="1" x14ac:dyDescent="0.3">
      <c r="A15" s="88" t="s">
        <v>97</v>
      </c>
      <c r="B15" s="88"/>
      <c r="C15" s="88"/>
      <c r="D15" s="88"/>
      <c r="E15" s="88"/>
      <c r="F15" s="88"/>
      <c r="G15" s="88"/>
      <c r="H15" s="88"/>
      <c r="I15" s="88"/>
    </row>
    <row r="16" spans="1:10" s="20" customFormat="1" ht="48.75" customHeight="1" x14ac:dyDescent="0.3">
      <c r="A16" s="87" t="s">
        <v>98</v>
      </c>
      <c r="B16" s="87"/>
      <c r="C16" s="87"/>
      <c r="D16" s="87"/>
      <c r="E16" s="87"/>
      <c r="F16" s="87"/>
      <c r="G16" s="87"/>
      <c r="H16" s="87"/>
      <c r="I16" s="87"/>
    </row>
    <row r="17" spans="1:9" s="20" customFormat="1" ht="15.5" x14ac:dyDescent="0.3">
      <c r="A17" s="95" t="s">
        <v>44</v>
      </c>
      <c r="B17" s="95"/>
      <c r="C17" s="95"/>
      <c r="D17" s="95"/>
      <c r="E17" s="95"/>
      <c r="F17" s="95"/>
      <c r="G17" s="95"/>
      <c r="H17" s="95"/>
      <c r="I17" s="95"/>
    </row>
    <row r="18" spans="1:9" s="20" customFormat="1" ht="15.5" x14ac:dyDescent="0.3">
      <c r="A18" s="93" t="s">
        <v>45</v>
      </c>
      <c r="B18" s="93"/>
      <c r="C18" s="93"/>
      <c r="D18" s="93"/>
      <c r="E18" s="93"/>
      <c r="F18" s="93"/>
      <c r="G18" s="93"/>
      <c r="H18" s="93"/>
      <c r="I18" s="93"/>
    </row>
    <row r="19" spans="1:9" s="20" customFormat="1" ht="13" x14ac:dyDescent="0.3"/>
    <row r="20" spans="1:9" s="20" customFormat="1" ht="13" x14ac:dyDescent="0.3"/>
    <row r="21" spans="1:9" s="20" customFormat="1" ht="13" x14ac:dyDescent="0.3"/>
    <row r="22" spans="1:9" s="20" customFormat="1" ht="13" x14ac:dyDescent="0.3"/>
    <row r="23" spans="1:9" s="20" customFormat="1" ht="13" x14ac:dyDescent="0.3"/>
    <row r="24" spans="1:9" s="20" customFormat="1" ht="13" x14ac:dyDescent="0.3"/>
    <row r="25" spans="1:9" s="20" customFormat="1" ht="13" x14ac:dyDescent="0.3"/>
    <row r="26" spans="1:9" s="20" customFormat="1" ht="13" x14ac:dyDescent="0.3"/>
    <row r="27" spans="1:9" s="20" customFormat="1" ht="13" x14ac:dyDescent="0.3"/>
    <row r="28" spans="1:9" s="20" customFormat="1" ht="13" x14ac:dyDescent="0.3"/>
    <row r="29" spans="1:9" s="20" customFormat="1" ht="13" x14ac:dyDescent="0.3"/>
    <row r="30" spans="1:9" s="20" customFormat="1" ht="13" x14ac:dyDescent="0.3"/>
    <row r="31" spans="1:9" s="20" customFormat="1" ht="13" x14ac:dyDescent="0.3"/>
    <row r="32" spans="1:9" s="20" customFormat="1" x14ac:dyDescent="0.35">
      <c r="A32"/>
      <c r="B32"/>
      <c r="C32"/>
      <c r="D32"/>
      <c r="E32"/>
      <c r="F32"/>
      <c r="G32"/>
      <c r="H32"/>
      <c r="I32"/>
    </row>
    <row r="33" spans="1:9" s="20" customFormat="1" x14ac:dyDescent="0.35">
      <c r="A33"/>
      <c r="B33"/>
      <c r="C33"/>
      <c r="D33"/>
      <c r="E33"/>
      <c r="F33"/>
      <c r="G33"/>
      <c r="H33"/>
      <c r="I33"/>
    </row>
  </sheetData>
  <sheetProtection algorithmName="SHA-512" hashValue="lnMkwJZ/+zMs5abWevZEBqatemBBy18NG2xkHeXOBnOBNcX5nS1gENIWKntAIvjh8vOX6GpjDDmx1b2OsSF4GA==" saltValue="5vPlC7zV+eo5H8LV7m9S2A==" spinCount="100000" sheet="1" objects="1" scenarios="1"/>
  <mergeCells count="6">
    <mergeCell ref="A18:I18"/>
    <mergeCell ref="A3:A4"/>
    <mergeCell ref="F12:H12"/>
    <mergeCell ref="A15:I15"/>
    <mergeCell ref="A16:I16"/>
    <mergeCell ref="A17:I17"/>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62D46C-1319-4A38-80D3-317D06508A8D}">
  <dimension ref="A1:J33"/>
  <sheetViews>
    <sheetView workbookViewId="0">
      <selection activeCell="A2" sqref="A2"/>
    </sheetView>
  </sheetViews>
  <sheetFormatPr defaultRowHeight="14.5" x14ac:dyDescent="0.35"/>
  <cols>
    <col min="1" max="1" width="43.81640625" customWidth="1"/>
    <col min="2" max="2" width="10" customWidth="1"/>
    <col min="3" max="3" width="11" customWidth="1"/>
    <col min="4" max="4" width="9.7265625" customWidth="1"/>
    <col min="5" max="5" width="11" customWidth="1"/>
    <col min="7" max="7" width="10.7265625" customWidth="1"/>
    <col min="12" max="12" width="31" customWidth="1"/>
    <col min="15" max="15" width="23.453125" customWidth="1"/>
    <col min="16" max="16" width="21.54296875" customWidth="1"/>
  </cols>
  <sheetData>
    <row r="1" spans="1:10" ht="15.5" x14ac:dyDescent="0.35">
      <c r="A1" s="19" t="s">
        <v>111</v>
      </c>
    </row>
    <row r="2" spans="1:10" s="20" customFormat="1" ht="13" x14ac:dyDescent="0.3">
      <c r="F2" s="2">
        <v>51.23</v>
      </c>
      <c r="G2" s="2">
        <v>69.040000000000006</v>
      </c>
      <c r="H2" s="2">
        <v>27.73</v>
      </c>
      <c r="I2" s="2"/>
    </row>
    <row r="3" spans="1:10" s="20" customFormat="1" ht="13" x14ac:dyDescent="0.3">
      <c r="A3" s="94" t="s">
        <v>0</v>
      </c>
      <c r="B3" s="3" t="s">
        <v>1</v>
      </c>
      <c r="C3" s="3" t="s">
        <v>2</v>
      </c>
      <c r="D3" s="3" t="s">
        <v>3</v>
      </c>
      <c r="E3" s="3" t="s">
        <v>4</v>
      </c>
      <c r="F3" s="4" t="s">
        <v>5</v>
      </c>
      <c r="G3" s="3" t="s">
        <v>6</v>
      </c>
      <c r="H3" s="3" t="s">
        <v>7</v>
      </c>
      <c r="I3" s="3" t="s">
        <v>8</v>
      </c>
    </row>
    <row r="4" spans="1:10" s="20" customFormat="1" ht="65" x14ac:dyDescent="0.3">
      <c r="A4" s="94"/>
      <c r="B4" s="5" t="s">
        <v>9</v>
      </c>
      <c r="C4" s="5" t="s">
        <v>10</v>
      </c>
      <c r="D4" s="5" t="s">
        <v>11</v>
      </c>
      <c r="E4" s="5" t="s">
        <v>12</v>
      </c>
      <c r="F4" s="5" t="s">
        <v>13</v>
      </c>
      <c r="G4" s="5" t="s">
        <v>14</v>
      </c>
      <c r="H4" s="5" t="s">
        <v>15</v>
      </c>
      <c r="I4" s="5" t="s">
        <v>16</v>
      </c>
    </row>
    <row r="5" spans="1:10" s="20" customFormat="1" ht="13" x14ac:dyDescent="0.3">
      <c r="A5" s="6" t="s">
        <v>38</v>
      </c>
      <c r="B5" s="7"/>
      <c r="C5" s="7"/>
      <c r="D5" s="7"/>
      <c r="E5" s="7"/>
      <c r="F5" s="7"/>
      <c r="G5" s="7"/>
      <c r="H5" s="7"/>
      <c r="I5" s="6" t="s">
        <v>39</v>
      </c>
    </row>
    <row r="6" spans="1:10" s="20" customFormat="1" ht="13" x14ac:dyDescent="0.3">
      <c r="A6" s="9" t="s">
        <v>40</v>
      </c>
      <c r="B6" s="7">
        <v>2</v>
      </c>
      <c r="C6" s="7">
        <v>1</v>
      </c>
      <c r="D6" s="7">
        <f>B6*C6</f>
        <v>2</v>
      </c>
      <c r="E6" s="13">
        <f>'Table 3'!E15</f>
        <v>2</v>
      </c>
      <c r="F6" s="7">
        <f>D6*E6</f>
        <v>4</v>
      </c>
      <c r="G6" s="7">
        <f>F6*0.05</f>
        <v>0.2</v>
      </c>
      <c r="H6" s="7">
        <f>F6*0.1</f>
        <v>0.4</v>
      </c>
      <c r="I6" s="10">
        <f>$F$2*F6+$G$2*G6+$H$2*H6</f>
        <v>229.82</v>
      </c>
    </row>
    <row r="7" spans="1:10" s="20" customFormat="1" ht="13" x14ac:dyDescent="0.3">
      <c r="A7" s="9" t="s">
        <v>27</v>
      </c>
      <c r="B7" s="7">
        <v>2</v>
      </c>
      <c r="C7" s="7">
        <v>1</v>
      </c>
      <c r="D7" s="7">
        <f t="shared" ref="D7:D11" si="0">B7*C7</f>
        <v>2</v>
      </c>
      <c r="E7" s="13">
        <f>'Table 3'!E16</f>
        <v>2</v>
      </c>
      <c r="F7" s="7">
        <f t="shared" ref="F7:F11" si="1">D7*E7</f>
        <v>4</v>
      </c>
      <c r="G7" s="7">
        <f t="shared" ref="G7:G11" si="2">F7*0.05</f>
        <v>0.2</v>
      </c>
      <c r="H7" s="7">
        <f t="shared" ref="H7:H11" si="3">F7*0.1</f>
        <v>0.4</v>
      </c>
      <c r="I7" s="10">
        <f t="shared" ref="I7:I11" si="4">$F$2*F7+$G$2*G7+$H$2*H7</f>
        <v>229.82</v>
      </c>
    </row>
    <row r="8" spans="1:10" s="20" customFormat="1" ht="13" x14ac:dyDescent="0.3">
      <c r="A8" s="9" t="s">
        <v>28</v>
      </c>
      <c r="B8" s="7">
        <v>2</v>
      </c>
      <c r="C8" s="7">
        <v>1</v>
      </c>
      <c r="D8" s="7">
        <f t="shared" si="0"/>
        <v>2</v>
      </c>
      <c r="E8" s="12">
        <f>'Table 3'!E17</f>
        <v>2.4</v>
      </c>
      <c r="F8" s="7">
        <f t="shared" si="1"/>
        <v>4.8</v>
      </c>
      <c r="G8" s="7">
        <f t="shared" si="2"/>
        <v>0.24</v>
      </c>
      <c r="H8" s="7">
        <f t="shared" si="3"/>
        <v>0.48</v>
      </c>
      <c r="I8" s="10">
        <f t="shared" si="4"/>
        <v>275.78399999999999</v>
      </c>
    </row>
    <row r="9" spans="1:10" s="20" customFormat="1" ht="13" x14ac:dyDescent="0.3">
      <c r="A9" s="9" t="s">
        <v>41</v>
      </c>
      <c r="B9" s="7">
        <v>8</v>
      </c>
      <c r="C9" s="7">
        <v>1</v>
      </c>
      <c r="D9" s="7">
        <f t="shared" si="0"/>
        <v>8</v>
      </c>
      <c r="E9" s="13">
        <f>'Table 3'!E12</f>
        <v>2</v>
      </c>
      <c r="F9" s="7">
        <f t="shared" si="1"/>
        <v>16</v>
      </c>
      <c r="G9" s="7">
        <f t="shared" si="2"/>
        <v>0.8</v>
      </c>
      <c r="H9" s="7">
        <f t="shared" si="3"/>
        <v>1.6</v>
      </c>
      <c r="I9" s="10">
        <f t="shared" si="4"/>
        <v>919.28</v>
      </c>
    </row>
    <row r="10" spans="1:10" s="20" customFormat="1" ht="15.5" x14ac:dyDescent="0.3">
      <c r="A10" s="9" t="s">
        <v>42</v>
      </c>
      <c r="B10" s="7">
        <v>8</v>
      </c>
      <c r="C10" s="7">
        <v>1</v>
      </c>
      <c r="D10" s="7">
        <f t="shared" si="0"/>
        <v>8</v>
      </c>
      <c r="E10" s="7">
        <f>E9*0.2</f>
        <v>0.4</v>
      </c>
      <c r="F10" s="7">
        <f t="shared" si="1"/>
        <v>3.2</v>
      </c>
      <c r="G10" s="12">
        <f t="shared" si="2"/>
        <v>0.16000000000000003</v>
      </c>
      <c r="H10" s="12">
        <f t="shared" si="3"/>
        <v>0.32000000000000006</v>
      </c>
      <c r="I10" s="10">
        <f t="shared" si="4"/>
        <v>183.85600000000002</v>
      </c>
    </row>
    <row r="11" spans="1:10" s="20" customFormat="1" ht="13" x14ac:dyDescent="0.3">
      <c r="A11" s="9" t="s">
        <v>29</v>
      </c>
      <c r="B11" s="7">
        <v>2</v>
      </c>
      <c r="C11" s="7">
        <v>2</v>
      </c>
      <c r="D11" s="7">
        <f t="shared" si="0"/>
        <v>4</v>
      </c>
      <c r="E11" s="13">
        <f>'Table 3'!E18</f>
        <v>6</v>
      </c>
      <c r="F11" s="7">
        <f t="shared" si="1"/>
        <v>24</v>
      </c>
      <c r="G11" s="7">
        <f t="shared" si="2"/>
        <v>1.2000000000000002</v>
      </c>
      <c r="H11" s="7">
        <f t="shared" si="3"/>
        <v>2.4000000000000004</v>
      </c>
      <c r="I11" s="10">
        <f t="shared" si="4"/>
        <v>1378.9199999999998</v>
      </c>
    </row>
    <row r="12" spans="1:10" s="20" customFormat="1" ht="15" x14ac:dyDescent="0.3">
      <c r="A12" s="16" t="s">
        <v>43</v>
      </c>
      <c r="B12" s="16"/>
      <c r="C12" s="16"/>
      <c r="D12" s="16"/>
      <c r="E12" s="16"/>
      <c r="F12" s="94">
        <f>ROUND(SUM(F5:H11),0)</f>
        <v>64</v>
      </c>
      <c r="G12" s="94"/>
      <c r="H12" s="94"/>
      <c r="I12" s="15">
        <f>ROUND(SUM(I5:I11),-1)</f>
        <v>3220</v>
      </c>
    </row>
    <row r="13" spans="1:10" s="20" customFormat="1" ht="13" x14ac:dyDescent="0.3">
      <c r="J13" s="21"/>
    </row>
    <row r="14" spans="1:10" s="20" customFormat="1" ht="13" x14ac:dyDescent="0.3">
      <c r="A14" s="18" t="s">
        <v>35</v>
      </c>
    </row>
    <row r="15" spans="1:10" s="20" customFormat="1" ht="33" customHeight="1" x14ac:dyDescent="0.3">
      <c r="A15" s="88" t="s">
        <v>97</v>
      </c>
      <c r="B15" s="88"/>
      <c r="C15" s="88"/>
      <c r="D15" s="88"/>
      <c r="E15" s="88"/>
      <c r="F15" s="88"/>
      <c r="G15" s="88"/>
      <c r="H15" s="88"/>
      <c r="I15" s="88"/>
    </row>
    <row r="16" spans="1:10" s="20" customFormat="1" ht="48.75" customHeight="1" x14ac:dyDescent="0.3">
      <c r="A16" s="87" t="s">
        <v>98</v>
      </c>
      <c r="B16" s="87"/>
      <c r="C16" s="87"/>
      <c r="D16" s="87"/>
      <c r="E16" s="87"/>
      <c r="F16" s="87"/>
      <c r="G16" s="87"/>
      <c r="H16" s="87"/>
      <c r="I16" s="87"/>
    </row>
    <row r="17" spans="1:9" s="20" customFormat="1" ht="15.5" x14ac:dyDescent="0.3">
      <c r="A17" s="95" t="s">
        <v>44</v>
      </c>
      <c r="B17" s="95"/>
      <c r="C17" s="95"/>
      <c r="D17" s="95"/>
      <c r="E17" s="95"/>
      <c r="F17" s="95"/>
      <c r="G17" s="95"/>
      <c r="H17" s="95"/>
      <c r="I17" s="95"/>
    </row>
    <row r="18" spans="1:9" s="20" customFormat="1" ht="15.5" x14ac:dyDescent="0.3">
      <c r="A18" s="93" t="s">
        <v>45</v>
      </c>
      <c r="B18" s="93"/>
      <c r="C18" s="93"/>
      <c r="D18" s="93"/>
      <c r="E18" s="93"/>
      <c r="F18" s="93"/>
      <c r="G18" s="93"/>
      <c r="H18" s="93"/>
      <c r="I18" s="93"/>
    </row>
    <row r="19" spans="1:9" s="20" customFormat="1" ht="13" x14ac:dyDescent="0.3"/>
    <row r="20" spans="1:9" s="20" customFormat="1" ht="13" x14ac:dyDescent="0.3"/>
    <row r="21" spans="1:9" s="20" customFormat="1" ht="13" x14ac:dyDescent="0.3"/>
    <row r="22" spans="1:9" s="20" customFormat="1" ht="13" x14ac:dyDescent="0.3"/>
    <row r="23" spans="1:9" s="20" customFormat="1" ht="13" x14ac:dyDescent="0.3"/>
    <row r="24" spans="1:9" s="20" customFormat="1" ht="13" x14ac:dyDescent="0.3"/>
    <row r="25" spans="1:9" s="20" customFormat="1" ht="13" x14ac:dyDescent="0.3"/>
    <row r="26" spans="1:9" s="20" customFormat="1" ht="13" x14ac:dyDescent="0.3"/>
    <row r="27" spans="1:9" s="20" customFormat="1" ht="13" x14ac:dyDescent="0.3"/>
    <row r="28" spans="1:9" s="20" customFormat="1" ht="13" x14ac:dyDescent="0.3"/>
    <row r="29" spans="1:9" s="20" customFormat="1" ht="13" x14ac:dyDescent="0.3"/>
    <row r="30" spans="1:9" s="20" customFormat="1" ht="13" x14ac:dyDescent="0.3"/>
    <row r="31" spans="1:9" s="20" customFormat="1" ht="13" x14ac:dyDescent="0.3"/>
    <row r="32" spans="1:9" s="20" customFormat="1" x14ac:dyDescent="0.35">
      <c r="A32"/>
      <c r="B32"/>
      <c r="C32"/>
      <c r="D32"/>
      <c r="E32"/>
      <c r="F32"/>
      <c r="G32"/>
      <c r="H32"/>
      <c r="I32"/>
    </row>
    <row r="33" spans="1:9" s="20" customFormat="1" x14ac:dyDescent="0.35">
      <c r="A33"/>
      <c r="B33"/>
      <c r="C33"/>
      <c r="D33"/>
      <c r="E33"/>
      <c r="F33"/>
      <c r="G33"/>
      <c r="H33"/>
      <c r="I33"/>
    </row>
  </sheetData>
  <sheetProtection algorithmName="SHA-512" hashValue="dm3DHIPNblXffBPsaVqPxl7C949fMGdu4jzuVlwDA4/V9oKC6gMKyOUPMlLYzOTA26XaILJK53mGyd/vZkiFVg==" saltValue="GcvtfmIdCtT50XJkqKrYRQ==" spinCount="100000" sheet="1" objects="1" scenarios="1"/>
  <mergeCells count="6">
    <mergeCell ref="A18:I18"/>
    <mergeCell ref="A3:A4"/>
    <mergeCell ref="F12:H12"/>
    <mergeCell ref="A15:I15"/>
    <mergeCell ref="A16:I16"/>
    <mergeCell ref="A17:I17"/>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AFF141-A7C5-440C-92B6-5471CF845B53}">
  <dimension ref="A1:E7"/>
  <sheetViews>
    <sheetView workbookViewId="0">
      <selection activeCell="A8" sqref="A8"/>
    </sheetView>
  </sheetViews>
  <sheetFormatPr defaultRowHeight="14.5" x14ac:dyDescent="0.35"/>
  <cols>
    <col min="1" max="1" width="16.453125" customWidth="1"/>
  </cols>
  <sheetData>
    <row r="1" spans="1:5" x14ac:dyDescent="0.35">
      <c r="A1" s="22" t="s">
        <v>112</v>
      </c>
    </row>
    <row r="2" spans="1:5" ht="40" thickBot="1" x14ac:dyDescent="0.4">
      <c r="A2" s="62" t="s">
        <v>74</v>
      </c>
      <c r="B2" s="63" t="s">
        <v>99</v>
      </c>
      <c r="C2" s="63" t="s">
        <v>83</v>
      </c>
      <c r="D2" s="63" t="s">
        <v>100</v>
      </c>
      <c r="E2" s="63" t="s">
        <v>85</v>
      </c>
    </row>
    <row r="3" spans="1:5" ht="15" thickTop="1" x14ac:dyDescent="0.35">
      <c r="A3" s="64">
        <v>1</v>
      </c>
      <c r="B3" s="65">
        <f>'Table 5'!F12</f>
        <v>46</v>
      </c>
      <c r="C3" s="72">
        <f>'Table 5'!I12</f>
        <v>2300</v>
      </c>
      <c r="D3" s="66">
        <v>0</v>
      </c>
      <c r="E3" s="66">
        <f>+C3+D3</f>
        <v>2300</v>
      </c>
    </row>
    <row r="4" spans="1:5" x14ac:dyDescent="0.35">
      <c r="A4" s="50">
        <v>2</v>
      </c>
      <c r="B4" s="65">
        <f>'Table 6'!F12</f>
        <v>55</v>
      </c>
      <c r="C4" s="66">
        <f>'Table 6'!I12</f>
        <v>2760</v>
      </c>
      <c r="D4" s="68">
        <v>0</v>
      </c>
      <c r="E4" s="66">
        <f>+C4+D4</f>
        <v>2760</v>
      </c>
    </row>
    <row r="5" spans="1:5" ht="15" thickBot="1" x14ac:dyDescent="0.4">
      <c r="A5" s="69">
        <v>3</v>
      </c>
      <c r="B5" s="70">
        <f>'Table 7'!F12</f>
        <v>64</v>
      </c>
      <c r="C5" s="73">
        <f>'Table 7'!I12</f>
        <v>3220</v>
      </c>
      <c r="D5" s="71">
        <v>0</v>
      </c>
      <c r="E5" s="71">
        <f>+C5+D5</f>
        <v>3220</v>
      </c>
    </row>
    <row r="6" spans="1:5" ht="15" thickTop="1" x14ac:dyDescent="0.35">
      <c r="A6" s="77" t="s">
        <v>115</v>
      </c>
      <c r="B6" s="65">
        <f>SUM(B3:B5)</f>
        <v>165</v>
      </c>
      <c r="C6" s="66">
        <f>SUM(C3:C5)</f>
        <v>8280</v>
      </c>
      <c r="D6" s="66">
        <f t="shared" ref="D6:E6" si="0">SUM(D3:D5)</f>
        <v>0</v>
      </c>
      <c r="E6" s="66">
        <f t="shared" si="0"/>
        <v>8280</v>
      </c>
    </row>
    <row r="7" spans="1:5" x14ac:dyDescent="0.35">
      <c r="A7" s="49" t="s">
        <v>116</v>
      </c>
      <c r="B7" s="67">
        <f>AVERAGE(B3:B5)</f>
        <v>55</v>
      </c>
      <c r="C7" s="68">
        <f>AVERAGE(C3:C5)</f>
        <v>2760</v>
      </c>
      <c r="D7" s="68">
        <f>AVERAGE(D3:D5)</f>
        <v>0</v>
      </c>
      <c r="E7" s="68">
        <f>ROUND(AVERAGE(E3:E5),-1)</f>
        <v>2760</v>
      </c>
    </row>
  </sheetData>
  <sheetProtection algorithmName="SHA-512" hashValue="idW1sScpCYcOiJfENbb4huGjRHqAi3Z9fbdj5XigHxyjoU3ZwkRCXe72r3Sln3SpKlqL79t/2Id+TcY75J7HrQ==" saltValue="0DVfKhtQH8UChLRba5BHgg==" spinCount="100000" sheet="1" objects="1" scenarios="1"/>
  <pageMargins left="0.7" right="0.7" top="0.75" bottom="0.75" header="0.3" footer="0.3"/>
  <pageSetup orientation="portrait" horizontalDpi="4294967293"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haredContentType xmlns="Microsoft.SharePoint.Taxonomy.ContentTypeSync" SourceId="29f62856-1543-49d4-a736-4569d363f533" ContentTypeId="0x0101" PreviousValue="false"/>
</file>

<file path=customXml/item3.xml><?xml version="1.0" encoding="utf-8"?>
<ct:contentTypeSchema xmlns:ct="http://schemas.microsoft.com/office/2006/metadata/contentType" xmlns:ma="http://schemas.microsoft.com/office/2006/metadata/properties/metaAttributes" ct:_="" ma:_="" ma:contentTypeName="Document" ma:contentTypeID="0x010100C14BEA793E871741BB5BFC015BE97561" ma:contentTypeVersion="11" ma:contentTypeDescription="Create a new document." ma:contentTypeScope="" ma:versionID="ea566342c01f458e21b9901286ccdeaf">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46a8cd57-5784-4cac-a6bd-5ef783e3d2a5" xmlns:ns6="4d27f04f-83d7-4d75-8ccf-cd2a30d94274" targetNamespace="http://schemas.microsoft.com/office/2006/metadata/properties" ma:root="true" ma:fieldsID="e1398481648e11644d314064f13def64" ns1:_="" ns2:_="" ns3:_="" ns4:_="" ns5:_="" ns6:_="">
    <xsd:import namespace="http://schemas.microsoft.com/sharepoint/v3"/>
    <xsd:import namespace="4ffa91fb-a0ff-4ac5-b2db-65c790d184a4"/>
    <xsd:import namespace="http://schemas.microsoft.com/sharepoint.v3"/>
    <xsd:import namespace="http://schemas.microsoft.com/sharepoint/v3/fields"/>
    <xsd:import namespace="46a8cd57-5784-4cac-a6bd-5ef783e3d2a5"/>
    <xsd:import namespace="4d27f04f-83d7-4d75-8ccf-cd2a30d94274"/>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5:MediaServiceMetadata" minOccurs="0"/>
                <xsd:element ref="ns5:MediaServiceFastMetadata" minOccurs="0"/>
                <xsd:element ref="ns5:MediaServiceDateTaken" minOccurs="0"/>
                <xsd:element ref="ns5:MediaLengthInSeconds" minOccurs="0"/>
                <xsd:element ref="ns5:lcf76f155ced4ddcb4097134ff3c332f" minOccurs="0"/>
                <xsd:element ref="ns5:MediaServiceOCR" minOccurs="0"/>
                <xsd:element ref="ns5:MediaServiceGenerationTime" minOccurs="0"/>
                <xsd:element ref="ns5:MediaServiceEventHashCode" minOccurs="0"/>
                <xsd:element ref="ns6:SharedWithUsers" minOccurs="0"/>
                <xsd:element ref="ns6: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ma:readOnly="fals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ma:readOnly="false">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hidden="true" ma:list="{47e64720-fcbf-4c31-9123-2c110f2663c7}" ma:internalName="TaxCatchAllLabel" ma:readOnly="true" ma:showField="CatchAllDataLabel" ma:web="4d27f04f-83d7-4d75-8ccf-cd2a30d94274">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hidden="true" ma:list="{47e64720-fcbf-4c31-9123-2c110f2663c7}" ma:internalName="TaxCatchAll" ma:showField="CatchAllData" ma:web="4d27f04f-83d7-4d75-8ccf-cd2a30d94274">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6a8cd57-5784-4cac-a6bd-5ef783e3d2a5" elementFormDefault="qualified">
    <xsd:import namespace="http://schemas.microsoft.com/office/2006/documentManagement/types"/>
    <xsd:import namespace="http://schemas.microsoft.com/office/infopath/2007/PartnerControls"/>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element name="MediaServiceDateTaken" ma:index="30" nillable="true" ma:displayName="MediaServiceDateTaken" ma:hidden="true" ma:internalName="MediaServiceDateTaken" ma:readOnly="true">
      <xsd:simpleType>
        <xsd:restriction base="dms:Text"/>
      </xsd:simpleType>
    </xsd:element>
    <xsd:element name="MediaLengthInSeconds" ma:index="31" nillable="true" ma:displayName="MediaLengthInSeconds" ma:hidden="true" ma:internalName="MediaLengthInSeconds" ma:readOnly="true">
      <xsd:simpleType>
        <xsd:restriction base="dms:Unknown"/>
      </xsd:simpleType>
    </xsd:element>
    <xsd:element name="lcf76f155ced4ddcb4097134ff3c332f" ma:index="33"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element name="MediaServiceOCR" ma:index="34" nillable="true" ma:displayName="Extracted Text" ma:internalName="MediaServiceOCR" ma:readOnly="true">
      <xsd:simpleType>
        <xsd:restriction base="dms:Note">
          <xsd:maxLength value="255"/>
        </xsd:restriction>
      </xsd:simpleType>
    </xsd:element>
    <xsd:element name="MediaServiceGenerationTime" ma:index="35" nillable="true" ma:displayName="MediaServiceGenerationTime" ma:hidden="true" ma:internalName="MediaServiceGenerationTime" ma:readOnly="true">
      <xsd:simpleType>
        <xsd:restriction base="dms:Text"/>
      </xsd:simpleType>
    </xsd:element>
    <xsd:element name="MediaServiceEventHashCode" ma:index="36"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d27f04f-83d7-4d75-8ccf-cd2a30d94274" elementFormDefault="qualified">
    <xsd:import namespace="http://schemas.microsoft.com/office/2006/documentManagement/types"/>
    <xsd:import namespace="http://schemas.microsoft.com/office/infopath/2007/PartnerControls"/>
    <xsd:element name="SharedWithUsers" ma:index="3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j747ac98061d40f0aa7bd47e1db5675d xmlns="4ffa91fb-a0ff-4ac5-b2db-65c790d184a4">
      <Terms xmlns="http://schemas.microsoft.com/office/infopath/2007/PartnerControls"/>
    </j747ac98061d40f0aa7bd47e1db5675d>
    <External_x0020_Contributor xmlns="4ffa91fb-a0ff-4ac5-b2db-65c790d184a4" xsi:nil="true"/>
    <TaxKeywordTaxHTField xmlns="4ffa91fb-a0ff-4ac5-b2db-65c790d184a4">
      <Terms xmlns="http://schemas.microsoft.com/office/infopath/2007/PartnerControls"/>
    </TaxKeywordTaxHTField>
    <Record xmlns="4ffa91fb-a0ff-4ac5-b2db-65c790d184a4">Shared</Record>
    <lcf76f155ced4ddcb4097134ff3c332f xmlns="46a8cd57-5784-4cac-a6bd-5ef783e3d2a5">
      <Terms xmlns="http://schemas.microsoft.com/office/infopath/2007/PartnerControls"/>
    </lcf76f155ced4ddcb4097134ff3c332f>
    <Rights xmlns="4ffa91fb-a0ff-4ac5-b2db-65c790d184a4" xsi:nil="true"/>
    <Document_x0020_Creation_x0020_Date xmlns="4ffa91fb-a0ff-4ac5-b2db-65c790d184a4">2023-03-01T21:05:10+00:00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xsi:nil="true"/>
  </documentManagement>
</p:properties>
</file>

<file path=customXml/itemProps1.xml><?xml version="1.0" encoding="utf-8"?>
<ds:datastoreItem xmlns:ds="http://schemas.openxmlformats.org/officeDocument/2006/customXml" ds:itemID="{6A8E89AE-B1F4-48F9-9507-83CEFB542033}">
  <ds:schemaRefs>
    <ds:schemaRef ds:uri="http://schemas.microsoft.com/sharepoint/v3/contenttype/forms"/>
  </ds:schemaRefs>
</ds:datastoreItem>
</file>

<file path=customXml/itemProps2.xml><?xml version="1.0" encoding="utf-8"?>
<ds:datastoreItem xmlns:ds="http://schemas.openxmlformats.org/officeDocument/2006/customXml" ds:itemID="{576E94BB-7182-4F47-885C-14C3C91726D5}">
  <ds:schemaRefs>
    <ds:schemaRef ds:uri="Microsoft.SharePoint.Taxonomy.ContentTypeSync"/>
  </ds:schemaRefs>
</ds:datastoreItem>
</file>

<file path=customXml/itemProps3.xml><?xml version="1.0" encoding="utf-8"?>
<ds:datastoreItem xmlns:ds="http://schemas.openxmlformats.org/officeDocument/2006/customXml" ds:itemID="{3EED7C41-2318-4091-9455-A2389E974EC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ffa91fb-a0ff-4ac5-b2db-65c790d184a4"/>
    <ds:schemaRef ds:uri="http://schemas.microsoft.com/sharepoint.v3"/>
    <ds:schemaRef ds:uri="http://schemas.microsoft.com/sharepoint/v3/fields"/>
    <ds:schemaRef ds:uri="46a8cd57-5784-4cac-a6bd-5ef783e3d2a5"/>
    <ds:schemaRef ds:uri="4d27f04f-83d7-4d75-8ccf-cd2a30d9427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CB3F7F7C-E30B-4677-BCDF-B573F91742C8}">
  <ds:schemaRefs>
    <ds:schemaRef ds:uri="http://schemas.microsoft.com/office/2006/metadata/properties"/>
    <ds:schemaRef ds:uri="http://schemas.microsoft.com/office/infopath/2007/PartnerControls"/>
    <ds:schemaRef ds:uri="http://schemas.microsoft.com/sharepoint/v3/fields"/>
    <ds:schemaRef ds:uri="http://schemas.microsoft.com/sharepoint/v3"/>
    <ds:schemaRef ds:uri="4ffa91fb-a0ff-4ac5-b2db-65c790d184a4"/>
    <ds:schemaRef ds:uri="46a8cd57-5784-4cac-a6bd-5ef783e3d2a5"/>
    <ds:schemaRef ds:uri="http://schemas.microsoft.com/sharepoint.v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Cover</vt:lpstr>
      <vt:lpstr>Table 1</vt:lpstr>
      <vt:lpstr>Table 2</vt:lpstr>
      <vt:lpstr>Table 3</vt:lpstr>
      <vt:lpstr>Table 4</vt:lpstr>
      <vt:lpstr>Table 5</vt:lpstr>
      <vt:lpstr>Table 6</vt:lpstr>
      <vt:lpstr>Table 7</vt:lpstr>
      <vt:lpstr>Table 8</vt:lpstr>
      <vt:lpstr>Capital O&amp;M</vt:lpstr>
      <vt:lpstr>Responses</vt:lpstr>
      <vt:lpstr>Respondents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Stacie Enoch</dc:creator>
  <cp:lastModifiedBy>Kerwin, Courtney</cp:lastModifiedBy>
  <dcterms:created xsi:type="dcterms:W3CDTF">2015-06-05T18:17:20Z</dcterms:created>
  <dcterms:modified xsi:type="dcterms:W3CDTF">2023-11-16T17:45:27Z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0x010100C14BEA793E871741BB5BFC015BE97561</vt:lpwstr>
  </property>
  <property fmtid="{D5CDD505-2E9C-101B-9397-08002B2CF9AE}" pid="3" name="TaxKeyword">
    <vt:lpwstr/>
  </property>
</Properties>
</file>